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prild\.syncclient\1695232715975\aprildugan@hydroottawa.com\14eLXz6qrVFgub0ZkVmm2KBNKRgKXUo_k\"/>
    </mc:Choice>
  </mc:AlternateContent>
  <xr:revisionPtr revIDLastSave="0" documentId="13_ncr:1_{2961F0A3-D17B-4D1E-BC95-7A72CA2A744D}" xr6:coauthVersionLast="47" xr6:coauthVersionMax="47" xr10:uidLastSave="{00000000-0000-0000-0000-000000000000}"/>
  <bookViews>
    <workbookView xWindow="30240" yWindow="3405" windowWidth="21600" windowHeight="11295" xr2:uid="{00000000-000D-0000-FFFF-FFFF00000000}"/>
  </bookViews>
  <sheets>
    <sheet name="Summary" sheetId="1" r:id="rId1"/>
    <sheet name="2026" sheetId="2" r:id="rId2"/>
    <sheet name="Summary for future Impacts" sheetId="3" state="hidden" r:id="rId3"/>
    <sheet name="2027" sheetId="4" r:id="rId4"/>
    <sheet name="2028" sheetId="5" r:id="rId5"/>
    <sheet name="2029" sheetId="6" r:id="rId6"/>
    <sheet name="2030" sheetId="7" r:id="rId7"/>
    <sheet name="Proposed Rates" sheetId="8" r:id="rId8"/>
    <sheet name="Res (100)" sheetId="9" r:id="rId9"/>
    <sheet name="Res (232)" sheetId="10" r:id="rId10"/>
    <sheet name="Res (250)" sheetId="11" r:id="rId11"/>
    <sheet name="Res (500)" sheetId="12" r:id="rId12"/>
    <sheet name="Res (620)" sheetId="13" r:id="rId13"/>
    <sheet name="Res (640)" sheetId="14" r:id="rId14"/>
    <sheet name="Res (750)" sheetId="15" r:id="rId15"/>
    <sheet name="Res (1000)" sheetId="16" r:id="rId16"/>
    <sheet name="Res (1500)" sheetId="17" r:id="rId17"/>
    <sheet name="Res (2000)" sheetId="18" r:id="rId18"/>
    <sheet name="SC (1000)" sheetId="19" r:id="rId19"/>
    <sheet name="SC (2000)" sheetId="20" r:id="rId20"/>
    <sheet name="SC (2400)" sheetId="21" r:id="rId21"/>
    <sheet name="SC (5000)" sheetId="22" r:id="rId22"/>
    <sheet name="SC (10000)" sheetId="23" r:id="rId23"/>
    <sheet name="SC (15000)" sheetId="24" r:id="rId24"/>
    <sheet name="&gt;50 (100)" sheetId="25" r:id="rId25"/>
    <sheet name="&gt;50 (185)" sheetId="26" r:id="rId26"/>
    <sheet name="&gt;50 (250)" sheetId="27" r:id="rId27"/>
    <sheet name="&gt;50 (250) 51,000" sheetId="28" r:id="rId28"/>
    <sheet name="&gt;50 (500)" sheetId="29" r:id="rId29"/>
    <sheet name="&gt;50 (1000)" sheetId="30" r:id="rId30"/>
    <sheet name="&gt;1500(1925)" sheetId="31" r:id="rId31"/>
    <sheet name="&gt;1500(2500)" sheetId="32" r:id="rId32"/>
    <sheet name="&gt;1500(4000)" sheetId="33" r:id="rId33"/>
    <sheet name="LU(7500)" sheetId="34" r:id="rId34"/>
    <sheet name="LU(7900)" sheetId="35" r:id="rId35"/>
    <sheet name="LU(10000)" sheetId="36" r:id="rId36"/>
    <sheet name="SN (.4)" sheetId="37" r:id="rId37"/>
    <sheet name="StLght(1)" sheetId="38" r:id="rId38"/>
    <sheet name="StLght(50)" sheetId="39" r:id="rId39"/>
    <sheet name="StLght (4910)" sheetId="40" r:id="rId40"/>
    <sheet name="USL (470)" sheetId="41" r:id="rId41"/>
  </sheets>
  <externalReferences>
    <externalReference r:id="rId42"/>
  </externalReferences>
  <definedNames>
    <definedName name="BI_LDCLIST" localSheetId="1">#REF!</definedName>
    <definedName name="BI_LDCLIST" localSheetId="4">#REF!</definedName>
    <definedName name="BI_LDCLIST" localSheetId="5">#REF!</definedName>
    <definedName name="BI_LDCLIST" localSheetId="6">#REF!</definedName>
    <definedName name="BI_LDCLIST">#REF!</definedName>
    <definedName name="contactf" localSheetId="1">#REF!</definedName>
    <definedName name="contactf" localSheetId="4">#REF!</definedName>
    <definedName name="contactf" localSheetId="5">#REF!</definedName>
    <definedName name="contactf" localSheetId="6">#REF!</definedName>
    <definedName name="contactf">#REF!</definedName>
    <definedName name="COS_RES_CUSTOMERS" localSheetId="1">#REF!</definedName>
    <definedName name="COS_RES_CUSTOMERS" localSheetId="4">#REF!</definedName>
    <definedName name="COS_RES_CUSTOMERS" localSheetId="5">#REF!</definedName>
    <definedName name="COS_RES_CUSTOMERS" localSheetId="6">#REF!</definedName>
    <definedName name="COS_RES_CUSTOMERS">#REF!</definedName>
    <definedName name="COS_RES_KWH" localSheetId="1">#REF!</definedName>
    <definedName name="COS_RES_KWH" localSheetId="4">#REF!</definedName>
    <definedName name="COS_RES_KWH" localSheetId="5">#REF!</definedName>
    <definedName name="COS_RES_KWH" localSheetId="6">#REF!</definedName>
    <definedName name="COS_RES_KWH">#REF!</definedName>
    <definedName name="Cust3a" localSheetId="1">#REF!</definedName>
    <definedName name="Cust3a" localSheetId="4">#REF!</definedName>
    <definedName name="Cust3a" localSheetId="5">#REF!</definedName>
    <definedName name="Cust3a" localSheetId="6">#REF!</definedName>
    <definedName name="Cust3a">#REF!</definedName>
    <definedName name="Cust3b" localSheetId="1">#REF!</definedName>
    <definedName name="Cust3b" localSheetId="4">#REF!</definedName>
    <definedName name="Cust3b" localSheetId="5">#REF!</definedName>
    <definedName name="Cust3b" localSheetId="6">#REF!</definedName>
    <definedName name="Cust3b">#REF!</definedName>
    <definedName name="CustomerAdministration" localSheetId="4">#REF!</definedName>
    <definedName name="CustomerAdministration" localSheetId="5">#REF!</definedName>
    <definedName name="CustomerAdministration" localSheetId="6">#REF!</definedName>
    <definedName name="CustomerAdministration1" localSheetId="1">#REF!</definedName>
    <definedName name="CustomerAdministration1">#REF!</definedName>
    <definedName name="DRC" localSheetId="1">#REF!</definedName>
    <definedName name="DRC" localSheetId="4">#REF!</definedName>
    <definedName name="DRC" localSheetId="5">#REF!</definedName>
    <definedName name="DRC" localSheetId="6">#REF!</definedName>
    <definedName name="DRC">#REF!</definedName>
    <definedName name="fed_sb" localSheetId="1">#REF!</definedName>
    <definedName name="fed_sb" localSheetId="4">#REF!</definedName>
    <definedName name="fed_sb" localSheetId="5">#REF!</definedName>
    <definedName name="fed_sb" localSheetId="6">#REF!</definedName>
    <definedName name="fed_sb">#REF!</definedName>
    <definedName name="fedtax" localSheetId="1">#REF!</definedName>
    <definedName name="fedtax" localSheetId="4">#REF!</definedName>
    <definedName name="fedtax" localSheetId="5">#REF!</definedName>
    <definedName name="fedtax" localSheetId="6">#REF!</definedName>
    <definedName name="fedtax">#REF!</definedName>
    <definedName name="forecast_wholesale_lineplus" localSheetId="1">#REF!</definedName>
    <definedName name="forecast_wholesale_lineplus" localSheetId="4">#REF!</definedName>
    <definedName name="forecast_wholesale_lineplus" localSheetId="5">#REF!</definedName>
    <definedName name="forecast_wholesale_lineplus" localSheetId="6">#REF!</definedName>
    <definedName name="forecast_wholesale_lineplus">#REF!</definedName>
    <definedName name="forecast_wholesale_network" localSheetId="1">#REF!</definedName>
    <definedName name="forecast_wholesale_network" localSheetId="4">#REF!</definedName>
    <definedName name="forecast_wholesale_network" localSheetId="5">#REF!</definedName>
    <definedName name="forecast_wholesale_network" localSheetId="6">#REF!</definedName>
    <definedName name="forecast_wholesale_network">#REF!</definedName>
    <definedName name="G1LD" localSheetId="1">#REF!</definedName>
    <definedName name="G1LD" localSheetId="4">#REF!</definedName>
    <definedName name="G1LD" localSheetId="5">#REF!</definedName>
    <definedName name="G1LD" localSheetId="6">#REF!</definedName>
    <definedName name="G1LD">#REF!</definedName>
    <definedName name="G1LDCBR" localSheetId="1">#REF!</definedName>
    <definedName name="G1LDCBR" localSheetId="4">#REF!</definedName>
    <definedName name="G1LDCBR" localSheetId="5">#REF!</definedName>
    <definedName name="G1LDCBR" localSheetId="6">#REF!</definedName>
    <definedName name="G1LDCBR">#REF!</definedName>
    <definedName name="Group1Desposing" localSheetId="1">#REF!</definedName>
    <definedName name="Group1Desposing" localSheetId="4">#REF!</definedName>
    <definedName name="Group1Desposing" localSheetId="5">#REF!</definedName>
    <definedName name="Group1Desposing" localSheetId="6">#REF!</definedName>
    <definedName name="Group1Desposing">#REF!</definedName>
    <definedName name="Incr2000" localSheetId="1">#REF!</definedName>
    <definedName name="Incr2000" localSheetId="4">#REF!</definedName>
    <definedName name="Incr2000" localSheetId="5">#REF!</definedName>
    <definedName name="Incr2000" localSheetId="6">#REF!</definedName>
    <definedName name="Incr2000">#REF!</definedName>
    <definedName name="LIMIT" localSheetId="1">#REF!</definedName>
    <definedName name="LIMIT" localSheetId="4">#REF!</definedName>
    <definedName name="LIMIT" localSheetId="5">#REF!</definedName>
    <definedName name="LIMIT" localSheetId="6">#REF!</definedName>
    <definedName name="LIMIT">#REF!</definedName>
    <definedName name="listdata" localSheetId="1">#REF!</definedName>
    <definedName name="listdata" localSheetId="4">#REF!</definedName>
    <definedName name="listdata" localSheetId="5">#REF!</definedName>
    <definedName name="listdata" localSheetId="6">#REF!</definedName>
    <definedName name="listdata">#REF!</definedName>
    <definedName name="man_beg_bud" localSheetId="1">#REF!</definedName>
    <definedName name="man_beg_bud" localSheetId="4">#REF!</definedName>
    <definedName name="man_beg_bud" localSheetId="5">#REF!</definedName>
    <definedName name="man_beg_bud" localSheetId="6">#REF!</definedName>
    <definedName name="man_beg_bud">#REF!</definedName>
    <definedName name="man_end_bud" localSheetId="1">#REF!</definedName>
    <definedName name="man_end_bud" localSheetId="4">#REF!</definedName>
    <definedName name="man_end_bud" localSheetId="5">#REF!</definedName>
    <definedName name="man_end_bud" localSheetId="6">#REF!</definedName>
    <definedName name="man_end_bud">#REF!</definedName>
    <definedName name="man12ACT" localSheetId="1">#REF!</definedName>
    <definedName name="man12ACT" localSheetId="4">#REF!</definedName>
    <definedName name="man12ACT" localSheetId="5">#REF!</definedName>
    <definedName name="man12ACT" localSheetId="6">#REF!</definedName>
    <definedName name="man12ACT">#REF!</definedName>
    <definedName name="MANBUD" localSheetId="1">#REF!</definedName>
    <definedName name="MANBUD" localSheetId="4">#REF!</definedName>
    <definedName name="MANBUD" localSheetId="5">#REF!</definedName>
    <definedName name="MANBUD" localSheetId="6">#REF!</definedName>
    <definedName name="MANBUD">#REF!</definedName>
    <definedName name="manCYACT" localSheetId="1">#REF!</definedName>
    <definedName name="manCYACT" localSheetId="4">#REF!</definedName>
    <definedName name="manCYACT" localSheetId="5">#REF!</definedName>
    <definedName name="manCYACT" localSheetId="6">#REF!</definedName>
    <definedName name="manCYACT">#REF!</definedName>
    <definedName name="manCYBUD" localSheetId="1">#REF!</definedName>
    <definedName name="manCYBUD" localSheetId="4">#REF!</definedName>
    <definedName name="manCYBUD" localSheetId="5">#REF!</definedName>
    <definedName name="manCYBUD" localSheetId="6">#REF!</definedName>
    <definedName name="manCYBUD">#REF!</definedName>
    <definedName name="manCYF" localSheetId="1">#REF!</definedName>
    <definedName name="manCYF" localSheetId="4">#REF!</definedName>
    <definedName name="manCYF" localSheetId="5">#REF!</definedName>
    <definedName name="manCYF" localSheetId="6">#REF!</definedName>
    <definedName name="manCYF">#REF!</definedName>
    <definedName name="MANEND" localSheetId="1">#REF!</definedName>
    <definedName name="MANEND" localSheetId="4">#REF!</definedName>
    <definedName name="MANEND" localSheetId="5">#REF!</definedName>
    <definedName name="MANEND" localSheetId="6">#REF!</definedName>
    <definedName name="MANEND">#REF!</definedName>
    <definedName name="manNYbud" localSheetId="1">#REF!</definedName>
    <definedName name="manNYbud" localSheetId="4">#REF!</definedName>
    <definedName name="manNYbud" localSheetId="5">#REF!</definedName>
    <definedName name="manNYbud" localSheetId="6">#REF!</definedName>
    <definedName name="manNYbud">#REF!</definedName>
    <definedName name="manpower_costs" localSheetId="1">#REF!</definedName>
    <definedName name="manpower_costs" localSheetId="4">#REF!</definedName>
    <definedName name="manpower_costs" localSheetId="5">#REF!</definedName>
    <definedName name="manpower_costs" localSheetId="6">#REF!</definedName>
    <definedName name="manpower_costs">#REF!</definedName>
    <definedName name="manPYACT" localSheetId="1">#REF!</definedName>
    <definedName name="manPYACT" localSheetId="4">#REF!</definedName>
    <definedName name="manPYACT" localSheetId="5">#REF!</definedName>
    <definedName name="manPYACT" localSheetId="6">#REF!</definedName>
    <definedName name="manPYACT">#REF!</definedName>
    <definedName name="MANSTART" localSheetId="1">#REF!</definedName>
    <definedName name="MANSTART" localSheetId="4">#REF!</definedName>
    <definedName name="MANSTART" localSheetId="5">#REF!</definedName>
    <definedName name="MANSTART" localSheetId="6">#REF!</definedName>
    <definedName name="MANSTART">#REF!</definedName>
    <definedName name="mat_beg_bud" localSheetId="1">#REF!</definedName>
    <definedName name="mat_beg_bud" localSheetId="4">#REF!</definedName>
    <definedName name="mat_beg_bud" localSheetId="5">#REF!</definedName>
    <definedName name="mat_beg_bud" localSheetId="6">#REF!</definedName>
    <definedName name="mat_beg_bud">#REF!</definedName>
    <definedName name="mat_end_bud" localSheetId="1">#REF!</definedName>
    <definedName name="mat_end_bud" localSheetId="4">#REF!</definedName>
    <definedName name="mat_end_bud" localSheetId="5">#REF!</definedName>
    <definedName name="mat_end_bud" localSheetId="6">#REF!</definedName>
    <definedName name="mat_end_bud">#REF!</definedName>
    <definedName name="mat12ACT" localSheetId="1">#REF!</definedName>
    <definedName name="mat12ACT" localSheetId="4">#REF!</definedName>
    <definedName name="mat12ACT" localSheetId="5">#REF!</definedName>
    <definedName name="mat12ACT" localSheetId="6">#REF!</definedName>
    <definedName name="mat12ACT">#REF!</definedName>
    <definedName name="MATBUD" localSheetId="1">#REF!</definedName>
    <definedName name="MATBUD" localSheetId="4">#REF!</definedName>
    <definedName name="MATBUD" localSheetId="5">#REF!</definedName>
    <definedName name="MATBUD" localSheetId="6">#REF!</definedName>
    <definedName name="MATBUD">#REF!</definedName>
    <definedName name="matCYACT" localSheetId="1">#REF!</definedName>
    <definedName name="matCYACT" localSheetId="4">#REF!</definedName>
    <definedName name="matCYACT" localSheetId="5">#REF!</definedName>
    <definedName name="matCYACT" localSheetId="6">#REF!</definedName>
    <definedName name="matCYACT">#REF!</definedName>
    <definedName name="matCYBUD" localSheetId="1">#REF!</definedName>
    <definedName name="matCYBUD" localSheetId="4">#REF!</definedName>
    <definedName name="matCYBUD" localSheetId="5">#REF!</definedName>
    <definedName name="matCYBUD" localSheetId="6">#REF!</definedName>
    <definedName name="matCYBUD">#REF!</definedName>
    <definedName name="matCYF" localSheetId="1">#REF!</definedName>
    <definedName name="matCYF" localSheetId="4">#REF!</definedName>
    <definedName name="matCYF" localSheetId="5">#REF!</definedName>
    <definedName name="matCYF" localSheetId="6">#REF!</definedName>
    <definedName name="matCYF">#REF!</definedName>
    <definedName name="MATEND" localSheetId="1">#REF!</definedName>
    <definedName name="MATEND" localSheetId="4">#REF!</definedName>
    <definedName name="MATEND" localSheetId="5">#REF!</definedName>
    <definedName name="MATEND" localSheetId="6">#REF!</definedName>
    <definedName name="MATEND">#REF!</definedName>
    <definedName name="material_costs" localSheetId="1">#REF!</definedName>
    <definedName name="material_costs" localSheetId="4">#REF!</definedName>
    <definedName name="material_costs" localSheetId="5">#REF!</definedName>
    <definedName name="material_costs" localSheetId="6">#REF!</definedName>
    <definedName name="material_costs">#REF!</definedName>
    <definedName name="matNYbud" localSheetId="1">#REF!</definedName>
    <definedName name="matNYbud" localSheetId="4">#REF!</definedName>
    <definedName name="matNYbud" localSheetId="5">#REF!</definedName>
    <definedName name="matNYbud" localSheetId="6">#REF!</definedName>
    <definedName name="matNYbud">#REF!</definedName>
    <definedName name="matPYACT" localSheetId="1">#REF!</definedName>
    <definedName name="matPYACT" localSheetId="4">#REF!</definedName>
    <definedName name="matPYACT" localSheetId="5">#REF!</definedName>
    <definedName name="matPYACT" localSheetId="6">#REF!</definedName>
    <definedName name="matPYACT">#REF!</definedName>
    <definedName name="MATSTART" localSheetId="1">#REF!</definedName>
    <definedName name="MATSTART" localSheetId="4">#REF!</definedName>
    <definedName name="MATSTART" localSheetId="5">#REF!</definedName>
    <definedName name="MATSTART" localSheetId="6">#REF!</definedName>
    <definedName name="MATSTART">#REF!</definedName>
    <definedName name="maxtax" localSheetId="1">#REF!</definedName>
    <definedName name="maxtax" localSheetId="4">#REF!</definedName>
    <definedName name="maxtax" localSheetId="5">#REF!</definedName>
    <definedName name="maxtax" localSheetId="6">#REF!</definedName>
    <definedName name="maxtax">#REF!</definedName>
    <definedName name="ontario_sb" localSheetId="1">#REF!</definedName>
    <definedName name="ontario_sb" localSheetId="4">#REF!</definedName>
    <definedName name="ontario_sb" localSheetId="5">#REF!</definedName>
    <definedName name="ontario_sb" localSheetId="6">#REF!</definedName>
    <definedName name="ontario_sb">#REF!</definedName>
    <definedName name="ontariotax" localSheetId="1">#REF!</definedName>
    <definedName name="ontariotax" localSheetId="4">#REF!</definedName>
    <definedName name="ontariotax" localSheetId="5">#REF!</definedName>
    <definedName name="ontariotax" localSheetId="6">#REF!</definedName>
    <definedName name="ontariotax">#REF!</definedName>
    <definedName name="oth_beg_bud" localSheetId="1">#REF!</definedName>
    <definedName name="oth_beg_bud" localSheetId="4">#REF!</definedName>
    <definedName name="oth_beg_bud" localSheetId="5">#REF!</definedName>
    <definedName name="oth_beg_bud" localSheetId="6">#REF!</definedName>
    <definedName name="oth_beg_bud">#REF!</definedName>
    <definedName name="oth_end_bud" localSheetId="1">#REF!</definedName>
    <definedName name="oth_end_bud" localSheetId="4">#REF!</definedName>
    <definedName name="oth_end_bud" localSheetId="5">#REF!</definedName>
    <definedName name="oth_end_bud" localSheetId="6">#REF!</definedName>
    <definedName name="oth_end_bud">#REF!</definedName>
    <definedName name="oth12ACT" localSheetId="1">#REF!</definedName>
    <definedName name="oth12ACT" localSheetId="4">#REF!</definedName>
    <definedName name="oth12ACT" localSheetId="5">#REF!</definedName>
    <definedName name="oth12ACT" localSheetId="6">#REF!</definedName>
    <definedName name="oth12ACT">#REF!</definedName>
    <definedName name="othCYACT" localSheetId="1">#REF!</definedName>
    <definedName name="othCYACT" localSheetId="4">#REF!</definedName>
    <definedName name="othCYACT" localSheetId="5">#REF!</definedName>
    <definedName name="othCYACT" localSheetId="6">#REF!</definedName>
    <definedName name="othCYACT">#REF!</definedName>
    <definedName name="othCYBUD" localSheetId="1">#REF!</definedName>
    <definedName name="othCYBUD" localSheetId="4">#REF!</definedName>
    <definedName name="othCYBUD" localSheetId="5">#REF!</definedName>
    <definedName name="othCYBUD" localSheetId="6">#REF!</definedName>
    <definedName name="othCYBUD">#REF!</definedName>
    <definedName name="othCYF" localSheetId="1">#REF!</definedName>
    <definedName name="othCYF" localSheetId="4">#REF!</definedName>
    <definedName name="othCYF" localSheetId="5">#REF!</definedName>
    <definedName name="othCYF" localSheetId="6">#REF!</definedName>
    <definedName name="othCYF">#REF!</definedName>
    <definedName name="OTHEND" localSheetId="1">#REF!</definedName>
    <definedName name="OTHEND" localSheetId="4">#REF!</definedName>
    <definedName name="OTHEND" localSheetId="5">#REF!</definedName>
    <definedName name="OTHEND" localSheetId="6">#REF!</definedName>
    <definedName name="OTHEND">#REF!</definedName>
    <definedName name="other_costs" localSheetId="1">#REF!</definedName>
    <definedName name="other_costs" localSheetId="4">#REF!</definedName>
    <definedName name="other_costs" localSheetId="5">#REF!</definedName>
    <definedName name="other_costs" localSheetId="6">#REF!</definedName>
    <definedName name="other_costs">#REF!</definedName>
    <definedName name="OTHERBUD" localSheetId="1">#REF!</definedName>
    <definedName name="OTHERBUD" localSheetId="4">#REF!</definedName>
    <definedName name="OTHERBUD" localSheetId="5">#REF!</definedName>
    <definedName name="OTHERBUD" localSheetId="6">#REF!</definedName>
    <definedName name="OTHERBUD">#REF!</definedName>
    <definedName name="othNYbud" localSheetId="1">#REF!</definedName>
    <definedName name="othNYbud" localSheetId="4">#REF!</definedName>
    <definedName name="othNYbud" localSheetId="5">#REF!</definedName>
    <definedName name="othNYbud" localSheetId="6">#REF!</definedName>
    <definedName name="othNYbud">#REF!</definedName>
    <definedName name="othPYACT" localSheetId="1">#REF!</definedName>
    <definedName name="othPYACT" localSheetId="4">#REF!</definedName>
    <definedName name="othPYACT" localSheetId="5">#REF!</definedName>
    <definedName name="othPYACT" localSheetId="6">#REF!</definedName>
    <definedName name="othPYACT">#REF!</definedName>
    <definedName name="OTHSTART" localSheetId="1">#REF!</definedName>
    <definedName name="OTHSTART" localSheetId="4">#REF!</definedName>
    <definedName name="OTHSTART" localSheetId="5">#REF!</definedName>
    <definedName name="OTHSTART" localSheetId="6">#REF!</definedName>
    <definedName name="OTHSTART">#REF!</definedName>
    <definedName name="passwordlist" localSheetId="1">#REF!</definedName>
    <definedName name="passwordlist" localSheetId="4">#REF!</definedName>
    <definedName name="passwordlist" localSheetId="5">#REF!</definedName>
    <definedName name="passwordlist" localSheetId="6">#REF!</definedName>
    <definedName name="passwordlist">#REF!</definedName>
    <definedName name="print_end" localSheetId="1">#REF!</definedName>
    <definedName name="print_end" localSheetId="4">#REF!</definedName>
    <definedName name="print_end" localSheetId="5">#REF!</definedName>
    <definedName name="print_end" localSheetId="6">#REF!</definedName>
    <definedName name="print_end">#REF!</definedName>
    <definedName name="ratebase" localSheetId="1">#REF!</definedName>
    <definedName name="ratebase" localSheetId="4">#REF!</definedName>
    <definedName name="ratebase" localSheetId="5">#REF!</definedName>
    <definedName name="ratebase" localSheetId="6">#REF!</definedName>
    <definedName name="ratebase">#REF!</definedName>
    <definedName name="RateRiderName">OFFSET('[1]Rate Rider Database'!$C$1,1,0,COUNTA('[1]Rate Rider Database'!$C:$C)-1,1)</definedName>
    <definedName name="SALBENF" localSheetId="1">#REF!</definedName>
    <definedName name="SALBENF" localSheetId="4">#REF!</definedName>
    <definedName name="SALBENF" localSheetId="5">#REF!</definedName>
    <definedName name="SALBENF" localSheetId="6">#REF!</definedName>
    <definedName name="SALBENF">#REF!</definedName>
    <definedName name="salreg" localSheetId="1">#REF!</definedName>
    <definedName name="salreg" localSheetId="4">#REF!</definedName>
    <definedName name="salreg" localSheetId="5">#REF!</definedName>
    <definedName name="salreg" localSheetId="6">#REF!</definedName>
    <definedName name="salreg">#REF!</definedName>
    <definedName name="SALREGF" localSheetId="1">#REF!</definedName>
    <definedName name="SALREGF" localSheetId="4">#REF!</definedName>
    <definedName name="SALREGF" localSheetId="5">#REF!</definedName>
    <definedName name="SALREGF" localSheetId="6">#REF!</definedName>
    <definedName name="SALREGF">#REF!</definedName>
    <definedName name="ss" localSheetId="1">#REF!</definedName>
    <definedName name="ss" localSheetId="4">#REF!</definedName>
    <definedName name="ss" localSheetId="5">#REF!</definedName>
    <definedName name="ss" localSheetId="6">#REF!</definedName>
    <definedName name="ss">#REF!</definedName>
    <definedName name="StartEnd" localSheetId="1">#REF!</definedName>
    <definedName name="StartEnd" localSheetId="4">#REF!</definedName>
    <definedName name="StartEnd" localSheetId="5">#REF!</definedName>
    <definedName name="StartEnd" localSheetId="6">#REF!</definedName>
    <definedName name="StartEnd">#REF!</definedName>
    <definedName name="taxableincome" localSheetId="1">#REF!</definedName>
    <definedName name="taxableincome" localSheetId="4">#REF!</definedName>
    <definedName name="taxableincome" localSheetId="5">#REF!</definedName>
    <definedName name="taxableincome" localSheetId="6">#REF!</definedName>
    <definedName name="taxableincome">#REF!</definedName>
    <definedName name="TEMPA" localSheetId="1">#REF!</definedName>
    <definedName name="TEMPA" localSheetId="4">#REF!</definedName>
    <definedName name="TEMPA" localSheetId="5">#REF!</definedName>
    <definedName name="TEMPA" localSheetId="6">#REF!</definedName>
    <definedName name="TEMPA">#REF!</definedName>
    <definedName name="Total_Current_Wholesale_Line" localSheetId="1">#REF!</definedName>
    <definedName name="Total_Current_Wholesale_Line" localSheetId="4">#REF!</definedName>
    <definedName name="Total_Current_Wholesale_Line" localSheetId="5">#REF!</definedName>
    <definedName name="Total_Current_Wholesale_Line" localSheetId="6">#REF!</definedName>
    <definedName name="Total_Current_Wholesale_Line">#REF!</definedName>
    <definedName name="Total_Current_Wholesale_Lineplus" localSheetId="1">#REF!</definedName>
    <definedName name="Total_Current_Wholesale_Lineplus" localSheetId="4">#REF!</definedName>
    <definedName name="Total_Current_Wholesale_Lineplus" localSheetId="5">#REF!</definedName>
    <definedName name="Total_Current_Wholesale_Lineplus" localSheetId="6">#REF!</definedName>
    <definedName name="Total_Current_Wholesale_Lineplus">#REF!</definedName>
    <definedName name="total_current_wholesale_network" localSheetId="1">#REF!</definedName>
    <definedName name="total_current_wholesale_network" localSheetId="4">#REF!</definedName>
    <definedName name="total_current_wholesale_network" localSheetId="5">#REF!</definedName>
    <definedName name="total_current_wholesale_network" localSheetId="6">#REF!</definedName>
    <definedName name="total_current_wholesale_network">#REF!</definedName>
    <definedName name="total_dept" localSheetId="1">#REF!</definedName>
    <definedName name="total_dept" localSheetId="4">#REF!</definedName>
    <definedName name="total_dept" localSheetId="5">#REF!</definedName>
    <definedName name="total_dept" localSheetId="6">#REF!</definedName>
    <definedName name="total_dept">#REF!</definedName>
    <definedName name="total_manpower" localSheetId="1">#REF!</definedName>
    <definedName name="total_manpower" localSheetId="4">#REF!</definedName>
    <definedName name="total_manpower" localSheetId="5">#REF!</definedName>
    <definedName name="total_manpower" localSheetId="6">#REF!</definedName>
    <definedName name="total_manpower">#REF!</definedName>
    <definedName name="total_material" localSheetId="1">#REF!</definedName>
    <definedName name="total_material" localSheetId="4">#REF!</definedName>
    <definedName name="total_material" localSheetId="5">#REF!</definedName>
    <definedName name="total_material" localSheetId="6">#REF!</definedName>
    <definedName name="total_material">#REF!</definedName>
    <definedName name="total_other" localSheetId="1">#REF!</definedName>
    <definedName name="total_other" localSheetId="4">#REF!</definedName>
    <definedName name="total_other" localSheetId="5">#REF!</definedName>
    <definedName name="total_other" localSheetId="6">#REF!</definedName>
    <definedName name="total_other">#REF!</definedName>
    <definedName name="total_transportation" localSheetId="1">#REF!</definedName>
    <definedName name="total_transportation" localSheetId="4">#REF!</definedName>
    <definedName name="total_transportation" localSheetId="5">#REF!</definedName>
    <definedName name="total_transportation" localSheetId="6">#REF!</definedName>
    <definedName name="total_transportation">#REF!</definedName>
    <definedName name="TRANBUD" localSheetId="1">#REF!</definedName>
    <definedName name="TRANBUD" localSheetId="4">#REF!</definedName>
    <definedName name="TRANBUD" localSheetId="5">#REF!</definedName>
    <definedName name="TRANBUD" localSheetId="6">#REF!</definedName>
    <definedName name="TRANBUD">#REF!</definedName>
    <definedName name="TranCust" localSheetId="1">#REF!</definedName>
    <definedName name="TranCust" localSheetId="4">#REF!</definedName>
    <definedName name="TranCust" localSheetId="5">#REF!</definedName>
    <definedName name="TranCust" localSheetId="6">#REF!</definedName>
    <definedName name="TranCust">#REF!</definedName>
    <definedName name="TranCustb" localSheetId="1">#REF!</definedName>
    <definedName name="TranCustb" localSheetId="4">#REF!</definedName>
    <definedName name="TranCustb" localSheetId="5">#REF!</definedName>
    <definedName name="TranCustb" localSheetId="6">#REF!</definedName>
    <definedName name="TranCustb">#REF!</definedName>
    <definedName name="TRANEND" localSheetId="1">#REF!</definedName>
    <definedName name="TRANEND" localSheetId="4">#REF!</definedName>
    <definedName name="TRANEND" localSheetId="5">#REF!</definedName>
    <definedName name="TRANEND" localSheetId="6">#REF!</definedName>
    <definedName name="TRANEND">#REF!</definedName>
    <definedName name="TransCust" localSheetId="1">#REF!</definedName>
    <definedName name="TransCust" localSheetId="4">#REF!</definedName>
    <definedName name="TransCust" localSheetId="5">#REF!</definedName>
    <definedName name="TransCust" localSheetId="6">#REF!</definedName>
    <definedName name="TransCust">#REF!</definedName>
    <definedName name="transportation_costs" localSheetId="1">#REF!</definedName>
    <definedName name="transportation_costs" localSheetId="4">#REF!</definedName>
    <definedName name="transportation_costs" localSheetId="5">#REF!</definedName>
    <definedName name="transportation_costs" localSheetId="6">#REF!</definedName>
    <definedName name="transportation_costs">#REF!</definedName>
    <definedName name="TRANSTART" localSheetId="1">#REF!</definedName>
    <definedName name="TRANSTART" localSheetId="4">#REF!</definedName>
    <definedName name="TRANSTART" localSheetId="5">#REF!</definedName>
    <definedName name="TRANSTART" localSheetId="6">#REF!</definedName>
    <definedName name="TRANSTART">#REF!</definedName>
    <definedName name="trn_beg_bud" localSheetId="1">#REF!</definedName>
    <definedName name="trn_beg_bud" localSheetId="4">#REF!</definedName>
    <definedName name="trn_beg_bud" localSheetId="5">#REF!</definedName>
    <definedName name="trn_beg_bud" localSheetId="6">#REF!</definedName>
    <definedName name="trn_beg_bud">#REF!</definedName>
    <definedName name="trn_end_bud" localSheetId="1">#REF!</definedName>
    <definedName name="trn_end_bud" localSheetId="4">#REF!</definedName>
    <definedName name="trn_end_bud" localSheetId="5">#REF!</definedName>
    <definedName name="trn_end_bud" localSheetId="6">#REF!</definedName>
    <definedName name="trn_end_bud">#REF!</definedName>
    <definedName name="trn12ACT" localSheetId="1">#REF!</definedName>
    <definedName name="trn12ACT" localSheetId="4">#REF!</definedName>
    <definedName name="trn12ACT" localSheetId="5">#REF!</definedName>
    <definedName name="trn12ACT" localSheetId="6">#REF!</definedName>
    <definedName name="trn12ACT">#REF!</definedName>
    <definedName name="trnCYACT" localSheetId="1">#REF!</definedName>
    <definedName name="trnCYACT" localSheetId="4">#REF!</definedName>
    <definedName name="trnCYACT" localSheetId="5">#REF!</definedName>
    <definedName name="trnCYACT" localSheetId="6">#REF!</definedName>
    <definedName name="trnCYACT">#REF!</definedName>
    <definedName name="trnCYBUD" localSheetId="1">#REF!</definedName>
    <definedName name="trnCYBUD" localSheetId="4">#REF!</definedName>
    <definedName name="trnCYBUD" localSheetId="5">#REF!</definedName>
    <definedName name="trnCYBUD" localSheetId="6">#REF!</definedName>
    <definedName name="trnCYBUD">#REF!</definedName>
    <definedName name="trnCYF" localSheetId="1">#REF!</definedName>
    <definedName name="trnCYF" localSheetId="4">#REF!</definedName>
    <definedName name="trnCYF" localSheetId="5">#REF!</definedName>
    <definedName name="trnCYF" localSheetId="6">#REF!</definedName>
    <definedName name="trnCYF">#REF!</definedName>
    <definedName name="trnNYbud" localSheetId="1">#REF!</definedName>
    <definedName name="trnNYbud" localSheetId="4">#REF!</definedName>
    <definedName name="trnNYbud" localSheetId="5">#REF!</definedName>
    <definedName name="trnNYbud" localSheetId="6">#REF!</definedName>
    <definedName name="trnNYbud">#REF!</definedName>
    <definedName name="trnPYACT" localSheetId="1">#REF!</definedName>
    <definedName name="trnPYACT" localSheetId="4">#REF!</definedName>
    <definedName name="trnPYACT" localSheetId="5">#REF!</definedName>
    <definedName name="trnPYACT" localSheetId="6">#REF!</definedName>
    <definedName name="trnPYACT">#REF!</definedName>
    <definedName name="Units1" localSheetId="1">#REF!</definedName>
    <definedName name="Units1" localSheetId="4">#REF!</definedName>
    <definedName name="Units1" localSheetId="5">#REF!</definedName>
    <definedName name="Units1" localSheetId="6">#REF!</definedName>
    <definedName name="Units1">#REF!</definedName>
    <definedName name="Units2" localSheetId="1">#REF!</definedName>
    <definedName name="Units2" localSheetId="4">#REF!</definedName>
    <definedName name="Units2" localSheetId="5">#REF!</definedName>
    <definedName name="Units2" localSheetId="6">#REF!</definedName>
    <definedName name="Units2">#REF!</definedName>
    <definedName name="WAGBENF" localSheetId="1">#REF!</definedName>
    <definedName name="WAGBENF" localSheetId="4">#REF!</definedName>
    <definedName name="WAGBENF" localSheetId="5">#REF!</definedName>
    <definedName name="WAGBENF" localSheetId="6">#REF!</definedName>
    <definedName name="WAGBENF">#REF!</definedName>
    <definedName name="wagdob" localSheetId="1">#REF!</definedName>
    <definedName name="wagdob" localSheetId="4">#REF!</definedName>
    <definedName name="wagdob" localSheetId="5">#REF!</definedName>
    <definedName name="wagdob" localSheetId="6">#REF!</definedName>
    <definedName name="wagdob">#REF!</definedName>
    <definedName name="wagdobf" localSheetId="1">#REF!</definedName>
    <definedName name="wagdobf" localSheetId="4">#REF!</definedName>
    <definedName name="wagdobf" localSheetId="5">#REF!</definedName>
    <definedName name="wagdobf" localSheetId="6">#REF!</definedName>
    <definedName name="wagdobf">#REF!</definedName>
    <definedName name="wagreg" localSheetId="1">#REF!</definedName>
    <definedName name="wagreg" localSheetId="4">#REF!</definedName>
    <definedName name="wagreg" localSheetId="5">#REF!</definedName>
    <definedName name="wagreg" localSheetId="6">#REF!</definedName>
    <definedName name="wagreg">#REF!</definedName>
    <definedName name="wagregf" localSheetId="1">#REF!</definedName>
    <definedName name="wagregf" localSheetId="4">#REF!</definedName>
    <definedName name="wagregf" localSheetId="5">#REF!</definedName>
    <definedName name="wagregf" localSheetId="6">#REF!</definedName>
    <definedName name="wagregf">#REF!</definedName>
    <definedName name="YRS_LEFT" localSheetId="1">#REF!</definedName>
    <definedName name="YRS_LEFT" localSheetId="4">#REF!</definedName>
    <definedName name="YRS_LEFT" localSheetId="5">#REF!</definedName>
    <definedName name="YRS_LEFT" localSheetId="6">#REF!</definedName>
    <definedName name="YRS_LEF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46" roundtripDataChecksum="9JK6+a6D0XdGlfsdQi4wkCSGO1VUqykR0lXcAqfrwlU="/>
    </ext>
  </extLst>
</workbook>
</file>

<file path=xl/calcChain.xml><?xml version="1.0" encoding="utf-8"?>
<calcChain xmlns="http://schemas.openxmlformats.org/spreadsheetml/2006/main">
  <c r="L52" i="37" l="1"/>
  <c r="AL65" i="41"/>
  <c r="AE65" i="41"/>
  <c r="X65" i="41"/>
  <c r="Q65" i="41"/>
  <c r="J65" i="41"/>
  <c r="F65" i="41"/>
  <c r="AL50" i="41"/>
  <c r="AE50" i="41"/>
  <c r="X50" i="41"/>
  <c r="Q50" i="41"/>
  <c r="J50" i="41"/>
  <c r="F50" i="41"/>
  <c r="C50" i="41"/>
  <c r="AL49" i="41"/>
  <c r="AE49" i="41"/>
  <c r="X49" i="41"/>
  <c r="Q49" i="41"/>
  <c r="J49" i="41"/>
  <c r="F49" i="41"/>
  <c r="C49" i="41"/>
  <c r="AM48" i="41"/>
  <c r="AL48" i="41"/>
  <c r="AN48" i="41" s="1"/>
  <c r="AF48" i="41"/>
  <c r="AE48" i="41"/>
  <c r="AG48" i="41" s="1"/>
  <c r="Y48" i="41"/>
  <c r="Z48" i="41" s="1"/>
  <c r="X48" i="41"/>
  <c r="R48" i="41"/>
  <c r="S48" i="41" s="1"/>
  <c r="Q48" i="41"/>
  <c r="K48" i="41"/>
  <c r="L48" i="41" s="1"/>
  <c r="J48" i="41"/>
  <c r="G48" i="41"/>
  <c r="H48" i="41" s="1"/>
  <c r="F48" i="41"/>
  <c r="C48" i="41"/>
  <c r="AM47" i="41"/>
  <c r="AL47" i="41"/>
  <c r="AN47" i="41" s="1"/>
  <c r="AP47" i="41" s="1"/>
  <c r="AI47" i="41"/>
  <c r="AG47" i="41"/>
  <c r="AF47" i="41"/>
  <c r="AE47" i="41"/>
  <c r="Y47" i="41"/>
  <c r="Z47" i="41" s="1"/>
  <c r="X47" i="41"/>
  <c r="R47" i="41"/>
  <c r="Q47" i="41"/>
  <c r="Q37" i="41" s="1"/>
  <c r="S37" i="41" s="1"/>
  <c r="L47" i="41"/>
  <c r="K47" i="41"/>
  <c r="J47" i="41"/>
  <c r="H47" i="41"/>
  <c r="G47" i="41"/>
  <c r="F47" i="41"/>
  <c r="C47" i="41"/>
  <c r="AP46" i="41"/>
  <c r="AN46" i="41"/>
  <c r="AM46" i="41"/>
  <c r="AL46" i="41"/>
  <c r="AF46" i="41"/>
  <c r="AG46" i="41" s="1"/>
  <c r="AE46" i="41"/>
  <c r="Y46" i="41"/>
  <c r="X46" i="41"/>
  <c r="X37" i="41" s="1"/>
  <c r="Z37" i="41" s="1"/>
  <c r="S46" i="41"/>
  <c r="R46" i="41"/>
  <c r="Q46" i="41"/>
  <c r="K46" i="41"/>
  <c r="L46" i="41" s="1"/>
  <c r="J46" i="41"/>
  <c r="G46" i="41"/>
  <c r="H46" i="41" s="1"/>
  <c r="F46" i="41"/>
  <c r="F37" i="41" s="1"/>
  <c r="C46" i="41"/>
  <c r="C45" i="41"/>
  <c r="K44" i="41"/>
  <c r="C44" i="41"/>
  <c r="AF43" i="41"/>
  <c r="R43" i="41"/>
  <c r="K43" i="41"/>
  <c r="C43" i="41"/>
  <c r="AF41" i="41"/>
  <c r="K41" i="41"/>
  <c r="G41" i="41"/>
  <c r="C41" i="41"/>
  <c r="AM40" i="41"/>
  <c r="R40" i="41"/>
  <c r="G40" i="41"/>
  <c r="C40" i="41"/>
  <c r="AM38" i="41"/>
  <c r="AF38" i="41"/>
  <c r="Y38" i="41"/>
  <c r="R38" i="41"/>
  <c r="K38" i="41"/>
  <c r="G38" i="41"/>
  <c r="C38" i="41"/>
  <c r="AM37" i="41"/>
  <c r="AM44" i="41" s="1"/>
  <c r="AL37" i="41"/>
  <c r="AN37" i="41" s="1"/>
  <c r="AP37" i="41" s="1"/>
  <c r="AQ37" i="41" s="1"/>
  <c r="AG37" i="41"/>
  <c r="AF37" i="41"/>
  <c r="AF40" i="41" s="1"/>
  <c r="AE37" i="41"/>
  <c r="Y37" i="41"/>
  <c r="Y44" i="41" s="1"/>
  <c r="R37" i="41"/>
  <c r="R44" i="41" s="1"/>
  <c r="K37" i="41"/>
  <c r="K40" i="41" s="1"/>
  <c r="J37" i="41"/>
  <c r="L37" i="41" s="1"/>
  <c r="H37" i="41"/>
  <c r="G37" i="41"/>
  <c r="C37" i="41"/>
  <c r="AM36" i="41"/>
  <c r="AF36" i="41"/>
  <c r="K36" i="41"/>
  <c r="G36" i="41"/>
  <c r="C36" i="41"/>
  <c r="AM35" i="41"/>
  <c r="AF35" i="41"/>
  <c r="Y35" i="41"/>
  <c r="R35" i="41"/>
  <c r="K35" i="41"/>
  <c r="G35" i="41"/>
  <c r="C35" i="41"/>
  <c r="AM34" i="41"/>
  <c r="AF34" i="41"/>
  <c r="Y34" i="41"/>
  <c r="R34" i="41"/>
  <c r="K34" i="41"/>
  <c r="G34" i="41"/>
  <c r="C34" i="41"/>
  <c r="AM33" i="41"/>
  <c r="AF33" i="41"/>
  <c r="Y33" i="41"/>
  <c r="R33" i="41"/>
  <c r="K33" i="41"/>
  <c r="G33" i="41"/>
  <c r="C33" i="41"/>
  <c r="AM32" i="41"/>
  <c r="AF32" i="41"/>
  <c r="Y32" i="41"/>
  <c r="R32" i="41"/>
  <c r="K32" i="41"/>
  <c r="G32" i="41"/>
  <c r="C32" i="41"/>
  <c r="AM31" i="41"/>
  <c r="AF31" i="41"/>
  <c r="Y31" i="41"/>
  <c r="R31" i="41"/>
  <c r="K31" i="41"/>
  <c r="G31" i="41"/>
  <c r="C31" i="41"/>
  <c r="AM30" i="41"/>
  <c r="AF30" i="41"/>
  <c r="Y30" i="41"/>
  <c r="R30" i="41"/>
  <c r="K30" i="41"/>
  <c r="G30" i="41"/>
  <c r="C30" i="41"/>
  <c r="AM28" i="41"/>
  <c r="AF28" i="41"/>
  <c r="Y28" i="41"/>
  <c r="R28" i="41"/>
  <c r="K28" i="41"/>
  <c r="G28" i="41"/>
  <c r="C28" i="41"/>
  <c r="AM27" i="41"/>
  <c r="AF27" i="41"/>
  <c r="Y27" i="41"/>
  <c r="R27" i="41"/>
  <c r="K27" i="41"/>
  <c r="G27" i="41"/>
  <c r="C27" i="41"/>
  <c r="AM26" i="41"/>
  <c r="AF26" i="41"/>
  <c r="Y26" i="41"/>
  <c r="R26" i="41"/>
  <c r="K26" i="41"/>
  <c r="G26" i="41"/>
  <c r="C26" i="41"/>
  <c r="AM25" i="41"/>
  <c r="AF25" i="41"/>
  <c r="Y25" i="41"/>
  <c r="R25" i="41"/>
  <c r="K25" i="41"/>
  <c r="G25" i="41"/>
  <c r="C25" i="41"/>
  <c r="AM24" i="41"/>
  <c r="AF24" i="41"/>
  <c r="Y24" i="41"/>
  <c r="R24" i="41"/>
  <c r="K24" i="41"/>
  <c r="G24" i="41"/>
  <c r="C24" i="41"/>
  <c r="AM23" i="41"/>
  <c r="AF23" i="41"/>
  <c r="Y23" i="41"/>
  <c r="R23" i="41"/>
  <c r="K23" i="41"/>
  <c r="G23" i="41"/>
  <c r="C23" i="41"/>
  <c r="AM22" i="41"/>
  <c r="AF22" i="41"/>
  <c r="Y22" i="41"/>
  <c r="R22" i="41"/>
  <c r="K22" i="41"/>
  <c r="G22" i="41"/>
  <c r="C22" i="41"/>
  <c r="AM21" i="41"/>
  <c r="AF21" i="41"/>
  <c r="Y21" i="41"/>
  <c r="R21" i="41"/>
  <c r="Q21" i="41"/>
  <c r="S21" i="41" s="1"/>
  <c r="K21" i="41"/>
  <c r="J21" i="41"/>
  <c r="G21" i="41"/>
  <c r="H21" i="41" s="1"/>
  <c r="O21" i="41" s="1"/>
  <c r="F21" i="41"/>
  <c r="C21" i="41"/>
  <c r="AM20" i="41"/>
  <c r="AF20" i="41"/>
  <c r="Y20" i="41"/>
  <c r="R20" i="41"/>
  <c r="K20" i="41"/>
  <c r="G20" i="41"/>
  <c r="C20" i="41"/>
  <c r="AM19" i="41"/>
  <c r="AF19" i="41"/>
  <c r="Y19" i="41"/>
  <c r="R19" i="41"/>
  <c r="K19" i="41"/>
  <c r="G19" i="41"/>
  <c r="C19" i="41"/>
  <c r="AM18" i="41"/>
  <c r="AF18" i="41"/>
  <c r="Y18" i="41"/>
  <c r="R18" i="41"/>
  <c r="K18" i="41"/>
  <c r="G18" i="41"/>
  <c r="C18" i="41"/>
  <c r="B18" i="41"/>
  <c r="AM17" i="41"/>
  <c r="AF17" i="41"/>
  <c r="Y17" i="41"/>
  <c r="R17" i="41"/>
  <c r="K17" i="41"/>
  <c r="G17" i="41"/>
  <c r="B17" i="41"/>
  <c r="C17" i="41" s="1"/>
  <c r="AM16" i="41"/>
  <c r="AF16" i="41"/>
  <c r="Y16" i="41"/>
  <c r="R16" i="41"/>
  <c r="K16" i="41"/>
  <c r="G16" i="41"/>
  <c r="C16" i="41"/>
  <c r="AM15" i="41"/>
  <c r="AF15" i="41"/>
  <c r="Y15" i="41"/>
  <c r="R15" i="41"/>
  <c r="K15" i="41"/>
  <c r="G15" i="41"/>
  <c r="C15" i="41"/>
  <c r="AP12" i="41"/>
  <c r="AI12" i="41"/>
  <c r="AB12" i="41"/>
  <c r="U12" i="41"/>
  <c r="N12" i="41"/>
  <c r="AQ11" i="41"/>
  <c r="AN11" i="41"/>
  <c r="AG11" i="41"/>
  <c r="AJ11" i="41" s="1"/>
  <c r="Z11" i="41"/>
  <c r="AC11" i="41" s="1"/>
  <c r="S11" i="41"/>
  <c r="V11" i="41" s="1"/>
  <c r="L11" i="41"/>
  <c r="O11" i="41" s="1"/>
  <c r="H11" i="41"/>
  <c r="S2" i="41"/>
  <c r="K49" i="41" s="1"/>
  <c r="L49" i="41" s="1"/>
  <c r="AL65" i="40"/>
  <c r="AE65" i="40"/>
  <c r="X65" i="40"/>
  <c r="Q65" i="40"/>
  <c r="R37" i="40" s="1"/>
  <c r="J65" i="40"/>
  <c r="F65" i="40"/>
  <c r="C50" i="40"/>
  <c r="C49" i="40"/>
  <c r="C48" i="40"/>
  <c r="C47" i="40"/>
  <c r="AM46" i="40"/>
  <c r="AF46" i="40"/>
  <c r="Y46" i="40"/>
  <c r="R46" i="40"/>
  <c r="K46" i="40"/>
  <c r="G46" i="40"/>
  <c r="C46" i="40"/>
  <c r="AM45" i="40"/>
  <c r="AF45" i="40"/>
  <c r="Y45" i="40"/>
  <c r="R45" i="40"/>
  <c r="K45" i="40"/>
  <c r="G45" i="40"/>
  <c r="C45" i="40"/>
  <c r="C44" i="40"/>
  <c r="C43" i="40"/>
  <c r="AM41" i="40"/>
  <c r="AF41" i="40"/>
  <c r="Y41" i="40"/>
  <c r="R41" i="40"/>
  <c r="K41" i="40"/>
  <c r="G41" i="40"/>
  <c r="C41" i="40"/>
  <c r="AM40" i="40"/>
  <c r="AF40" i="40"/>
  <c r="Y40" i="40"/>
  <c r="R40" i="40"/>
  <c r="K40" i="40"/>
  <c r="G40" i="40"/>
  <c r="C40" i="40"/>
  <c r="AM38" i="40"/>
  <c r="AF38" i="40"/>
  <c r="Y38" i="40"/>
  <c r="R38" i="40"/>
  <c r="K38" i="40"/>
  <c r="G38" i="40"/>
  <c r="AM37" i="40"/>
  <c r="AF37" i="40"/>
  <c r="Y37" i="40"/>
  <c r="K37" i="40"/>
  <c r="G37" i="40"/>
  <c r="AM36" i="40"/>
  <c r="AF36" i="40"/>
  <c r="Y36" i="40"/>
  <c r="R36" i="40"/>
  <c r="K36" i="40"/>
  <c r="G36" i="40"/>
  <c r="C36" i="40"/>
  <c r="AM35" i="40"/>
  <c r="AF35" i="40"/>
  <c r="Y35" i="40"/>
  <c r="R35" i="40"/>
  <c r="K35" i="40"/>
  <c r="G35" i="40"/>
  <c r="C35" i="40"/>
  <c r="AM34" i="40"/>
  <c r="AF34" i="40"/>
  <c r="Y34" i="40"/>
  <c r="R34" i="40"/>
  <c r="K34" i="40"/>
  <c r="G34" i="40"/>
  <c r="C34" i="40"/>
  <c r="AM33" i="40"/>
  <c r="AF33" i="40"/>
  <c r="Y33" i="40"/>
  <c r="R33" i="40"/>
  <c r="K33" i="40"/>
  <c r="G33" i="40"/>
  <c r="C33" i="40"/>
  <c r="AM32" i="40"/>
  <c r="AF32" i="40"/>
  <c r="Y32" i="40"/>
  <c r="R32" i="40"/>
  <c r="K32" i="40"/>
  <c r="G32" i="40"/>
  <c r="C32" i="40"/>
  <c r="AM31" i="40"/>
  <c r="AF31" i="40"/>
  <c r="Y31" i="40"/>
  <c r="R31" i="40"/>
  <c r="K31" i="40"/>
  <c r="G31" i="40"/>
  <c r="C31" i="40"/>
  <c r="AM30" i="40"/>
  <c r="AF30" i="40"/>
  <c r="Y30" i="40"/>
  <c r="R30" i="40"/>
  <c r="K30" i="40"/>
  <c r="G30" i="40"/>
  <c r="C30" i="40"/>
  <c r="AM28" i="40"/>
  <c r="AF28" i="40"/>
  <c r="Y28" i="40"/>
  <c r="R28" i="40"/>
  <c r="K28" i="40"/>
  <c r="G28" i="40"/>
  <c r="AM27" i="40"/>
  <c r="AF27" i="40"/>
  <c r="Y27" i="40"/>
  <c r="R27" i="40"/>
  <c r="K27" i="40"/>
  <c r="G27" i="40"/>
  <c r="AM26" i="40"/>
  <c r="AF26" i="40"/>
  <c r="Y26" i="40"/>
  <c r="R26" i="40"/>
  <c r="K26" i="40"/>
  <c r="G26" i="40"/>
  <c r="C26" i="40"/>
  <c r="AM25" i="40"/>
  <c r="AF25" i="40"/>
  <c r="Y25" i="40"/>
  <c r="R25" i="40"/>
  <c r="K25" i="40"/>
  <c r="G25" i="40"/>
  <c r="C25" i="40"/>
  <c r="AM24" i="40"/>
  <c r="AF24" i="40"/>
  <c r="Y24" i="40"/>
  <c r="R24" i="40"/>
  <c r="K24" i="40"/>
  <c r="G24" i="40"/>
  <c r="C24" i="40"/>
  <c r="AM23" i="40"/>
  <c r="AF23" i="40"/>
  <c r="Y23" i="40"/>
  <c r="R23" i="40"/>
  <c r="K23" i="40"/>
  <c r="G23" i="40"/>
  <c r="C23" i="40"/>
  <c r="AM22" i="40"/>
  <c r="AF22" i="40"/>
  <c r="Y22" i="40"/>
  <c r="R22" i="40"/>
  <c r="K22" i="40"/>
  <c r="G22" i="40"/>
  <c r="C22" i="40"/>
  <c r="AM21" i="40"/>
  <c r="AF21" i="40"/>
  <c r="AC21" i="40"/>
  <c r="Y21" i="40"/>
  <c r="R21" i="40"/>
  <c r="S21" i="40" s="1"/>
  <c r="Q21" i="40"/>
  <c r="L21" i="40"/>
  <c r="K21" i="40"/>
  <c r="J21" i="40"/>
  <c r="G21" i="40"/>
  <c r="H21" i="40" s="1"/>
  <c r="F21" i="40"/>
  <c r="C21" i="40"/>
  <c r="AM20" i="40"/>
  <c r="AF20" i="40"/>
  <c r="Y20" i="40"/>
  <c r="R20" i="40"/>
  <c r="K20" i="40"/>
  <c r="G20" i="40"/>
  <c r="C20" i="40"/>
  <c r="AM19" i="40"/>
  <c r="AF19" i="40"/>
  <c r="Y19" i="40"/>
  <c r="R19" i="40"/>
  <c r="K19" i="40"/>
  <c r="G19" i="40"/>
  <c r="C19" i="40"/>
  <c r="AM18" i="40"/>
  <c r="AF18" i="40"/>
  <c r="Y18" i="40"/>
  <c r="R18" i="40"/>
  <c r="K18" i="40"/>
  <c r="G18" i="40"/>
  <c r="B18" i="40"/>
  <c r="C18" i="40" s="1"/>
  <c r="AM17" i="40"/>
  <c r="AF17" i="40"/>
  <c r="Y17" i="40"/>
  <c r="R17" i="40"/>
  <c r="K17" i="40"/>
  <c r="G17" i="40"/>
  <c r="B17" i="40"/>
  <c r="C17" i="40" s="1"/>
  <c r="AM16" i="40"/>
  <c r="AF16" i="40"/>
  <c r="Y16" i="40"/>
  <c r="R16" i="40"/>
  <c r="K16" i="40"/>
  <c r="G16" i="40"/>
  <c r="C16" i="40"/>
  <c r="AM15" i="40"/>
  <c r="AF15" i="40"/>
  <c r="Y15" i="40"/>
  <c r="R15" i="40"/>
  <c r="K15" i="40"/>
  <c r="G15" i="40"/>
  <c r="C15" i="40"/>
  <c r="AP12" i="40"/>
  <c r="AI12" i="40"/>
  <c r="AB12" i="40"/>
  <c r="U12" i="40"/>
  <c r="N12" i="40"/>
  <c r="AQ11" i="40"/>
  <c r="AN11" i="40"/>
  <c r="AG11" i="40"/>
  <c r="AJ11" i="40" s="1"/>
  <c r="AC11" i="40"/>
  <c r="Z11" i="40"/>
  <c r="S11" i="40"/>
  <c r="V11" i="40" s="1"/>
  <c r="O11" i="40"/>
  <c r="L11" i="40"/>
  <c r="H11" i="40"/>
  <c r="S2" i="40"/>
  <c r="AL65" i="39"/>
  <c r="AM37" i="39" s="1"/>
  <c r="AE65" i="39"/>
  <c r="X65" i="39"/>
  <c r="Q65" i="39"/>
  <c r="J65" i="39"/>
  <c r="K37" i="39" s="1"/>
  <c r="K44" i="39" s="1"/>
  <c r="F65" i="39"/>
  <c r="C50" i="39"/>
  <c r="C49" i="39"/>
  <c r="C48" i="39"/>
  <c r="C47" i="39"/>
  <c r="AM46" i="39"/>
  <c r="AF46" i="39"/>
  <c r="Y46" i="39"/>
  <c r="R46" i="39"/>
  <c r="K46" i="39"/>
  <c r="G46" i="39"/>
  <c r="C46" i="39"/>
  <c r="C45" i="39"/>
  <c r="AF44" i="39"/>
  <c r="Y44" i="39"/>
  <c r="C44" i="39"/>
  <c r="K43" i="39"/>
  <c r="C43" i="39"/>
  <c r="AM41" i="39"/>
  <c r="AF41" i="39"/>
  <c r="Y41" i="39"/>
  <c r="R41" i="39"/>
  <c r="K41" i="39"/>
  <c r="G41" i="39"/>
  <c r="C41" i="39"/>
  <c r="AM40" i="39"/>
  <c r="AF40" i="39"/>
  <c r="Y40" i="39"/>
  <c r="R40" i="39"/>
  <c r="K40" i="39"/>
  <c r="G40" i="39"/>
  <c r="C40" i="39"/>
  <c r="AM38" i="39"/>
  <c r="AF38" i="39"/>
  <c r="Y38" i="39"/>
  <c r="R38" i="39"/>
  <c r="K38" i="39"/>
  <c r="G38" i="39"/>
  <c r="C38" i="39"/>
  <c r="AF37" i="39"/>
  <c r="AF43" i="39" s="1"/>
  <c r="Y37" i="39"/>
  <c r="R37" i="39"/>
  <c r="G37" i="39"/>
  <c r="C37" i="39"/>
  <c r="AM36" i="39"/>
  <c r="AF36" i="39"/>
  <c r="Y36" i="39"/>
  <c r="R36" i="39"/>
  <c r="K36" i="39"/>
  <c r="G36" i="39"/>
  <c r="C36" i="39"/>
  <c r="AM35" i="39"/>
  <c r="AF35" i="39"/>
  <c r="Y35" i="39"/>
  <c r="R35" i="39"/>
  <c r="K35" i="39"/>
  <c r="G35" i="39"/>
  <c r="C35" i="39"/>
  <c r="AM34" i="39"/>
  <c r="AF34" i="39"/>
  <c r="Y34" i="39"/>
  <c r="R34" i="39"/>
  <c r="K34" i="39"/>
  <c r="G34" i="39"/>
  <c r="C34" i="39"/>
  <c r="AM33" i="39"/>
  <c r="AF33" i="39"/>
  <c r="Y33" i="39"/>
  <c r="R33" i="39"/>
  <c r="K33" i="39"/>
  <c r="G33" i="39"/>
  <c r="C33" i="39"/>
  <c r="AM32" i="39"/>
  <c r="AF32" i="39"/>
  <c r="Y32" i="39"/>
  <c r="R32" i="39"/>
  <c r="K32" i="39"/>
  <c r="G32" i="39"/>
  <c r="C32" i="39"/>
  <c r="AM31" i="39"/>
  <c r="AF31" i="39"/>
  <c r="Y31" i="39"/>
  <c r="R31" i="39"/>
  <c r="K31" i="39"/>
  <c r="G31" i="39"/>
  <c r="C31" i="39"/>
  <c r="AM30" i="39"/>
  <c r="AF30" i="39"/>
  <c r="Y30" i="39"/>
  <c r="R30" i="39"/>
  <c r="K30" i="39"/>
  <c r="G30" i="39"/>
  <c r="C30" i="39"/>
  <c r="AM28" i="39"/>
  <c r="AF28" i="39"/>
  <c r="Y28" i="39"/>
  <c r="R28" i="39"/>
  <c r="K28" i="39"/>
  <c r="G28" i="39"/>
  <c r="C28" i="39"/>
  <c r="AM27" i="39"/>
  <c r="AF27" i="39"/>
  <c r="Y27" i="39"/>
  <c r="R27" i="39"/>
  <c r="K27" i="39"/>
  <c r="G27" i="39"/>
  <c r="C27" i="39"/>
  <c r="AM26" i="39"/>
  <c r="AF26" i="39"/>
  <c r="Y26" i="39"/>
  <c r="R26" i="39"/>
  <c r="K26" i="39"/>
  <c r="G26" i="39"/>
  <c r="C26" i="39"/>
  <c r="AM25" i="39"/>
  <c r="AF25" i="39"/>
  <c r="Y25" i="39"/>
  <c r="R25" i="39"/>
  <c r="K25" i="39"/>
  <c r="G25" i="39"/>
  <c r="C25" i="39"/>
  <c r="AM24" i="39"/>
  <c r="AF24" i="39"/>
  <c r="Y24" i="39"/>
  <c r="R24" i="39"/>
  <c r="K24" i="39"/>
  <c r="G24" i="39"/>
  <c r="C24" i="39"/>
  <c r="AM23" i="39"/>
  <c r="AF23" i="39"/>
  <c r="Y23" i="39"/>
  <c r="R23" i="39"/>
  <c r="K23" i="39"/>
  <c r="G23" i="39"/>
  <c r="C23" i="39"/>
  <c r="AM22" i="39"/>
  <c r="AF22" i="39"/>
  <c r="Y22" i="39"/>
  <c r="R22" i="39"/>
  <c r="K22" i="39"/>
  <c r="G22" i="39"/>
  <c r="C22" i="39"/>
  <c r="AM21" i="39"/>
  <c r="AF21" i="39"/>
  <c r="Y21" i="39"/>
  <c r="R21" i="39"/>
  <c r="Q21" i="39"/>
  <c r="L21" i="39"/>
  <c r="K21" i="39"/>
  <c r="J21" i="39"/>
  <c r="G21" i="39"/>
  <c r="F21" i="39"/>
  <c r="H21" i="39" s="1"/>
  <c r="C21" i="39"/>
  <c r="AM20" i="39"/>
  <c r="AF20" i="39"/>
  <c r="Y20" i="39"/>
  <c r="R20" i="39"/>
  <c r="K20" i="39"/>
  <c r="G20" i="39"/>
  <c r="C20" i="39"/>
  <c r="AM19" i="39"/>
  <c r="AF19" i="39"/>
  <c r="Y19" i="39"/>
  <c r="R19" i="39"/>
  <c r="K19" i="39"/>
  <c r="G19" i="39"/>
  <c r="C19" i="39"/>
  <c r="AM18" i="39"/>
  <c r="AF18" i="39"/>
  <c r="Y18" i="39"/>
  <c r="R18" i="39"/>
  <c r="K18" i="39"/>
  <c r="G18" i="39"/>
  <c r="C18" i="39"/>
  <c r="B18" i="39"/>
  <c r="AM17" i="39"/>
  <c r="AF17" i="39"/>
  <c r="Y17" i="39"/>
  <c r="R17" i="39"/>
  <c r="K17" i="39"/>
  <c r="G17" i="39"/>
  <c r="B17" i="39"/>
  <c r="C17" i="39" s="1"/>
  <c r="AM16" i="39"/>
  <c r="AF16" i="39"/>
  <c r="Y16" i="39"/>
  <c r="R16" i="39"/>
  <c r="K16" i="39"/>
  <c r="G16" i="39"/>
  <c r="C16" i="39"/>
  <c r="AM15" i="39"/>
  <c r="AF15" i="39"/>
  <c r="Y15" i="39"/>
  <c r="R15" i="39"/>
  <c r="K15" i="39"/>
  <c r="G15" i="39"/>
  <c r="C15" i="39"/>
  <c r="AP12" i="39"/>
  <c r="AI12" i="39"/>
  <c r="AB12" i="39"/>
  <c r="U12" i="39"/>
  <c r="N12" i="39"/>
  <c r="AN11" i="39"/>
  <c r="AQ11" i="39" s="1"/>
  <c r="AJ11" i="39"/>
  <c r="AG11" i="39"/>
  <c r="Z11" i="39"/>
  <c r="AC11" i="39" s="1"/>
  <c r="V11" i="39"/>
  <c r="S11" i="39"/>
  <c r="L11" i="39"/>
  <c r="O11" i="39" s="1"/>
  <c r="H11" i="39"/>
  <c r="AL65" i="38"/>
  <c r="AE65" i="38"/>
  <c r="X65" i="38"/>
  <c r="Q65" i="38"/>
  <c r="J65" i="38"/>
  <c r="F65" i="38"/>
  <c r="C50" i="38"/>
  <c r="C49" i="38"/>
  <c r="C48" i="38"/>
  <c r="C47" i="38"/>
  <c r="AM46" i="38"/>
  <c r="AF46" i="38"/>
  <c r="Y46" i="38"/>
  <c r="R46" i="38"/>
  <c r="K46" i="38"/>
  <c r="G46" i="38"/>
  <c r="C46" i="38"/>
  <c r="C45" i="38"/>
  <c r="AM44" i="38"/>
  <c r="AF44" i="38"/>
  <c r="C44" i="38"/>
  <c r="G43" i="38"/>
  <c r="C43" i="38"/>
  <c r="AM41" i="38"/>
  <c r="AF41" i="38"/>
  <c r="Y41" i="38"/>
  <c r="R41" i="38"/>
  <c r="K41" i="38"/>
  <c r="G41" i="38"/>
  <c r="C41" i="38"/>
  <c r="AM40" i="38"/>
  <c r="AF40" i="38"/>
  <c r="Y40" i="38"/>
  <c r="R40" i="38"/>
  <c r="K40" i="38"/>
  <c r="G40" i="38"/>
  <c r="C40" i="38"/>
  <c r="AM38" i="38"/>
  <c r="AF38" i="38"/>
  <c r="Y38" i="38"/>
  <c r="R38" i="38"/>
  <c r="K38" i="38"/>
  <c r="G38" i="38"/>
  <c r="C38" i="38"/>
  <c r="AM37" i="38"/>
  <c r="AM43" i="38" s="1"/>
  <c r="AF37" i="38"/>
  <c r="Y37" i="38"/>
  <c r="Y44" i="38" s="1"/>
  <c r="R37" i="38"/>
  <c r="R44" i="38" s="1"/>
  <c r="K37" i="38"/>
  <c r="K44" i="38" s="1"/>
  <c r="G37" i="38"/>
  <c r="G44" i="38" s="1"/>
  <c r="C37" i="38"/>
  <c r="AM36" i="38"/>
  <c r="AF36" i="38"/>
  <c r="Y36" i="38"/>
  <c r="R36" i="38"/>
  <c r="K36" i="38"/>
  <c r="G36" i="38"/>
  <c r="C36" i="38"/>
  <c r="AM35" i="38"/>
  <c r="AF35" i="38"/>
  <c r="Y35" i="38"/>
  <c r="R35" i="38"/>
  <c r="K35" i="38"/>
  <c r="G35" i="38"/>
  <c r="C35" i="38"/>
  <c r="AM34" i="38"/>
  <c r="AF34" i="38"/>
  <c r="Y34" i="38"/>
  <c r="R34" i="38"/>
  <c r="K34" i="38"/>
  <c r="G34" i="38"/>
  <c r="C34" i="38"/>
  <c r="AM33" i="38"/>
  <c r="AF33" i="38"/>
  <c r="Y33" i="38"/>
  <c r="R33" i="38"/>
  <c r="K33" i="38"/>
  <c r="G33" i="38"/>
  <c r="C33" i="38"/>
  <c r="AM32" i="38"/>
  <c r="AF32" i="38"/>
  <c r="Y32" i="38"/>
  <c r="R32" i="38"/>
  <c r="K32" i="38"/>
  <c r="G32" i="38"/>
  <c r="C32" i="38"/>
  <c r="AM31" i="38"/>
  <c r="AF31" i="38"/>
  <c r="Y31" i="38"/>
  <c r="R31" i="38"/>
  <c r="K31" i="38"/>
  <c r="G31" i="38"/>
  <c r="C31" i="38"/>
  <c r="AM30" i="38"/>
  <c r="AF30" i="38"/>
  <c r="Y30" i="38"/>
  <c r="R30" i="38"/>
  <c r="K30" i="38"/>
  <c r="G30" i="38"/>
  <c r="C30" i="38"/>
  <c r="AM28" i="38"/>
  <c r="AF28" i="38"/>
  <c r="Y28" i="38"/>
  <c r="R28" i="38"/>
  <c r="K28" i="38"/>
  <c r="G28" i="38"/>
  <c r="C28" i="38"/>
  <c r="AM27" i="38"/>
  <c r="AF27" i="38"/>
  <c r="Y27" i="38"/>
  <c r="R27" i="38"/>
  <c r="K27" i="38"/>
  <c r="G27" i="38"/>
  <c r="C27" i="38"/>
  <c r="AM26" i="38"/>
  <c r="AF26" i="38"/>
  <c r="Y26" i="38"/>
  <c r="R26" i="38"/>
  <c r="K26" i="38"/>
  <c r="G26" i="38"/>
  <c r="C26" i="38"/>
  <c r="AM25" i="38"/>
  <c r="AF25" i="38"/>
  <c r="Y25" i="38"/>
  <c r="R25" i="38"/>
  <c r="K25" i="38"/>
  <c r="G25" i="38"/>
  <c r="C25" i="38"/>
  <c r="AM24" i="38"/>
  <c r="AF24" i="38"/>
  <c r="Y24" i="38"/>
  <c r="R24" i="38"/>
  <c r="K24" i="38"/>
  <c r="G24" i="38"/>
  <c r="C24" i="38"/>
  <c r="AM23" i="38"/>
  <c r="AF23" i="38"/>
  <c r="Y23" i="38"/>
  <c r="R23" i="38"/>
  <c r="K23" i="38"/>
  <c r="G23" i="38"/>
  <c r="C23" i="38"/>
  <c r="AM22" i="38"/>
  <c r="AF22" i="38"/>
  <c r="Y22" i="38"/>
  <c r="R22" i="38"/>
  <c r="K22" i="38"/>
  <c r="G22" i="38"/>
  <c r="C22" i="38"/>
  <c r="AM21" i="38"/>
  <c r="AF21" i="38"/>
  <c r="Y21" i="38"/>
  <c r="R21" i="38"/>
  <c r="Q21" i="38"/>
  <c r="L21" i="38"/>
  <c r="K21" i="38"/>
  <c r="J21" i="38"/>
  <c r="H21" i="38"/>
  <c r="G21" i="38"/>
  <c r="F21" i="38"/>
  <c r="C21" i="38"/>
  <c r="AM20" i="38"/>
  <c r="AF20" i="38"/>
  <c r="Y20" i="38"/>
  <c r="R20" i="38"/>
  <c r="K20" i="38"/>
  <c r="G20" i="38"/>
  <c r="C20" i="38"/>
  <c r="AM19" i="38"/>
  <c r="AF19" i="38"/>
  <c r="Y19" i="38"/>
  <c r="R19" i="38"/>
  <c r="K19" i="38"/>
  <c r="G19" i="38"/>
  <c r="C19" i="38"/>
  <c r="AM18" i="38"/>
  <c r="AF18" i="38"/>
  <c r="Y18" i="38"/>
  <c r="R18" i="38"/>
  <c r="K18" i="38"/>
  <c r="G18" i="38"/>
  <c r="C18" i="38"/>
  <c r="B18" i="38"/>
  <c r="AM17" i="38"/>
  <c r="AF17" i="38"/>
  <c r="Y17" i="38"/>
  <c r="R17" i="38"/>
  <c r="K17" i="38"/>
  <c r="G17" i="38"/>
  <c r="C17" i="38"/>
  <c r="B17" i="38"/>
  <c r="AM16" i="38"/>
  <c r="AF16" i="38"/>
  <c r="Y16" i="38"/>
  <c r="R16" i="38"/>
  <c r="K16" i="38"/>
  <c r="G16" i="38"/>
  <c r="C16" i="38"/>
  <c r="AM15" i="38"/>
  <c r="AF15" i="38"/>
  <c r="Y15" i="38"/>
  <c r="R15" i="38"/>
  <c r="K15" i="38"/>
  <c r="G15" i="38"/>
  <c r="C15" i="38"/>
  <c r="AP12" i="38"/>
  <c r="AI12" i="38"/>
  <c r="AB12" i="38"/>
  <c r="U12" i="38"/>
  <c r="N12" i="38"/>
  <c r="AQ11" i="38"/>
  <c r="AN11" i="38"/>
  <c r="AJ11" i="38"/>
  <c r="AG11" i="38"/>
  <c r="Z11" i="38"/>
  <c r="AC11" i="38" s="1"/>
  <c r="V11" i="38"/>
  <c r="S11" i="38"/>
  <c r="O11" i="38"/>
  <c r="L11" i="38"/>
  <c r="H11" i="38"/>
  <c r="AL65" i="37"/>
  <c r="AE65" i="37"/>
  <c r="X65" i="37"/>
  <c r="Y37" i="37" s="1"/>
  <c r="Q65" i="37"/>
  <c r="R37" i="37" s="1"/>
  <c r="J65" i="37"/>
  <c r="K37" i="37" s="1"/>
  <c r="F65" i="37"/>
  <c r="F53" i="37"/>
  <c r="AM50" i="37"/>
  <c r="AL50" i="37"/>
  <c r="AE50" i="37"/>
  <c r="Y50" i="37"/>
  <c r="X50" i="37"/>
  <c r="S50" i="37"/>
  <c r="AC50" i="37" s="1"/>
  <c r="R50" i="37"/>
  <c r="Q50" i="37"/>
  <c r="J50" i="37"/>
  <c r="G50" i="37"/>
  <c r="F50" i="37"/>
  <c r="C50" i="37"/>
  <c r="AM49" i="37"/>
  <c r="AN49" i="37" s="1"/>
  <c r="AL49" i="37"/>
  <c r="AE49" i="37"/>
  <c r="Y49" i="37"/>
  <c r="X49" i="37"/>
  <c r="Z49" i="37" s="1"/>
  <c r="Q49" i="37"/>
  <c r="K49" i="37"/>
  <c r="J49" i="37"/>
  <c r="G49" i="37"/>
  <c r="F49" i="37"/>
  <c r="H49" i="37" s="1"/>
  <c r="C49" i="37"/>
  <c r="AM48" i="37"/>
  <c r="AL48" i="37"/>
  <c r="AN48" i="37" s="1"/>
  <c r="AP48" i="37" s="1"/>
  <c r="AG48" i="37"/>
  <c r="AF48" i="37"/>
  <c r="AE48" i="37"/>
  <c r="AB48" i="37"/>
  <c r="AC48" i="37" s="1"/>
  <c r="Z48" i="37"/>
  <c r="Y48" i="37"/>
  <c r="X48" i="37"/>
  <c r="R48" i="37"/>
  <c r="S48" i="37" s="1"/>
  <c r="Q48" i="37"/>
  <c r="L48" i="37"/>
  <c r="K48" i="37"/>
  <c r="J48" i="37"/>
  <c r="H48" i="37"/>
  <c r="G48" i="37"/>
  <c r="F48" i="37"/>
  <c r="C48" i="37"/>
  <c r="AN47" i="37"/>
  <c r="AM47" i="37"/>
  <c r="AL47" i="37"/>
  <c r="AG47" i="37"/>
  <c r="AF47" i="37"/>
  <c r="AE47" i="37"/>
  <c r="Y47" i="37"/>
  <c r="X47" i="37"/>
  <c r="S47" i="37"/>
  <c r="R47" i="37"/>
  <c r="Q47" i="37"/>
  <c r="K47" i="37"/>
  <c r="L47" i="37" s="1"/>
  <c r="J47" i="37"/>
  <c r="G47" i="37"/>
  <c r="F47" i="37"/>
  <c r="C47" i="37"/>
  <c r="AM46" i="37"/>
  <c r="AN46" i="37" s="1"/>
  <c r="AP46" i="37" s="1"/>
  <c r="AQ46" i="37" s="1"/>
  <c r="AL46" i="37"/>
  <c r="AF46" i="37"/>
  <c r="AG46" i="37" s="1"/>
  <c r="AE46" i="37"/>
  <c r="AB46" i="37"/>
  <c r="AC46" i="37" s="1"/>
  <c r="Y46" i="37"/>
  <c r="Z46" i="37" s="1"/>
  <c r="X46" i="37"/>
  <c r="R46" i="37"/>
  <c r="S46" i="37" s="1"/>
  <c r="Q46" i="37"/>
  <c r="L46" i="37"/>
  <c r="K46" i="37"/>
  <c r="J46" i="37"/>
  <c r="G46" i="37"/>
  <c r="H46" i="37" s="1"/>
  <c r="F46" i="37"/>
  <c r="C46" i="37"/>
  <c r="AM45" i="37"/>
  <c r="AF45" i="37"/>
  <c r="Y45" i="37"/>
  <c r="R45" i="37"/>
  <c r="K45" i="37"/>
  <c r="G45" i="37"/>
  <c r="C45" i="37"/>
  <c r="AM44" i="37"/>
  <c r="K44" i="37"/>
  <c r="G44" i="37"/>
  <c r="C44" i="37"/>
  <c r="C43" i="37"/>
  <c r="AM41" i="37"/>
  <c r="AF41" i="37"/>
  <c r="Y41" i="37"/>
  <c r="R41" i="37"/>
  <c r="K41" i="37"/>
  <c r="G41" i="37"/>
  <c r="C41" i="37"/>
  <c r="AM40" i="37"/>
  <c r="AF40" i="37"/>
  <c r="Y40" i="37"/>
  <c r="R40" i="37"/>
  <c r="K40" i="37"/>
  <c r="G40" i="37"/>
  <c r="C40" i="37"/>
  <c r="AM38" i="37"/>
  <c r="AF38" i="37"/>
  <c r="Y38" i="37"/>
  <c r="R38" i="37"/>
  <c r="K38" i="37"/>
  <c r="G38" i="37"/>
  <c r="C38" i="37"/>
  <c r="AM37" i="37"/>
  <c r="AM43" i="37" s="1"/>
  <c r="AF37" i="37"/>
  <c r="G37" i="37"/>
  <c r="C37" i="37"/>
  <c r="AM36" i="37"/>
  <c r="AF36" i="37"/>
  <c r="Y36" i="37"/>
  <c r="R36" i="37"/>
  <c r="K36" i="37"/>
  <c r="G36" i="37"/>
  <c r="C36" i="37"/>
  <c r="AM35" i="37"/>
  <c r="AF35" i="37"/>
  <c r="Y35" i="37"/>
  <c r="R35" i="37"/>
  <c r="K35" i="37"/>
  <c r="G35" i="37"/>
  <c r="C35" i="37"/>
  <c r="AM34" i="37"/>
  <c r="AF34" i="37"/>
  <c r="Y34" i="37"/>
  <c r="R34" i="37"/>
  <c r="K34" i="37"/>
  <c r="G34" i="37"/>
  <c r="C34" i="37"/>
  <c r="AM33" i="37"/>
  <c r="AF33" i="37"/>
  <c r="Y33" i="37"/>
  <c r="R33" i="37"/>
  <c r="K33" i="37"/>
  <c r="G33" i="37"/>
  <c r="C33" i="37"/>
  <c r="AM32" i="37"/>
  <c r="AF32" i="37"/>
  <c r="Y32" i="37"/>
  <c r="R32" i="37"/>
  <c r="K32" i="37"/>
  <c r="G32" i="37"/>
  <c r="C32" i="37"/>
  <c r="AM31" i="37"/>
  <c r="AF31" i="37"/>
  <c r="Y31" i="37"/>
  <c r="R31" i="37"/>
  <c r="K31" i="37"/>
  <c r="G31" i="37"/>
  <c r="C31" i="37"/>
  <c r="AM30" i="37"/>
  <c r="AF30" i="37"/>
  <c r="Y30" i="37"/>
  <c r="R30" i="37"/>
  <c r="K30" i="37"/>
  <c r="G30" i="37"/>
  <c r="C30" i="37"/>
  <c r="AM28" i="37"/>
  <c r="AF28" i="37"/>
  <c r="Y28" i="37"/>
  <c r="R28" i="37"/>
  <c r="K28" i="37"/>
  <c r="G28" i="37"/>
  <c r="C28" i="37"/>
  <c r="AM27" i="37"/>
  <c r="AF27" i="37"/>
  <c r="Y27" i="37"/>
  <c r="R27" i="37"/>
  <c r="K27" i="37"/>
  <c r="G27" i="37"/>
  <c r="C27" i="37"/>
  <c r="AM26" i="37"/>
  <c r="AF26" i="37"/>
  <c r="Y26" i="37"/>
  <c r="R26" i="37"/>
  <c r="K26" i="37"/>
  <c r="G26" i="37"/>
  <c r="C26" i="37"/>
  <c r="AM25" i="37"/>
  <c r="AF25" i="37"/>
  <c r="Y25" i="37"/>
  <c r="R25" i="37"/>
  <c r="K25" i="37"/>
  <c r="G25" i="37"/>
  <c r="C25" i="37"/>
  <c r="AM24" i="37"/>
  <c r="AF24" i="37"/>
  <c r="Y24" i="37"/>
  <c r="R24" i="37"/>
  <c r="K24" i="37"/>
  <c r="G24" i="37"/>
  <c r="C24" i="37"/>
  <c r="AM23" i="37"/>
  <c r="AF23" i="37"/>
  <c r="Y23" i="37"/>
  <c r="R23" i="37"/>
  <c r="K23" i="37"/>
  <c r="G23" i="37"/>
  <c r="C23" i="37"/>
  <c r="AM22" i="37"/>
  <c r="AF22" i="37"/>
  <c r="Y22" i="37"/>
  <c r="R22" i="37"/>
  <c r="K22" i="37"/>
  <c r="G22" i="37"/>
  <c r="C22" i="37"/>
  <c r="AM21" i="37"/>
  <c r="AF21" i="37"/>
  <c r="AC21" i="37"/>
  <c r="Y21" i="37"/>
  <c r="R21" i="37"/>
  <c r="Q21" i="37"/>
  <c r="S21" i="37" s="1"/>
  <c r="O21" i="37"/>
  <c r="K21" i="37"/>
  <c r="J21" i="37"/>
  <c r="H21" i="37"/>
  <c r="G21" i="37"/>
  <c r="F21" i="37"/>
  <c r="C21" i="37"/>
  <c r="AM20" i="37"/>
  <c r="AF20" i="37"/>
  <c r="Y20" i="37"/>
  <c r="R20" i="37"/>
  <c r="K20" i="37"/>
  <c r="G20" i="37"/>
  <c r="C20" i="37"/>
  <c r="AM19" i="37"/>
  <c r="AF19" i="37"/>
  <c r="Y19" i="37"/>
  <c r="R19" i="37"/>
  <c r="K19" i="37"/>
  <c r="G19" i="37"/>
  <c r="C19" i="37"/>
  <c r="AM18" i="37"/>
  <c r="AF18" i="37"/>
  <c r="Y18" i="37"/>
  <c r="R18" i="37"/>
  <c r="K18" i="37"/>
  <c r="G18" i="37"/>
  <c r="B18" i="37"/>
  <c r="C18" i="37" s="1"/>
  <c r="AM17" i="37"/>
  <c r="AF17" i="37"/>
  <c r="Y17" i="37"/>
  <c r="R17" i="37"/>
  <c r="K17" i="37"/>
  <c r="G17" i="37"/>
  <c r="C17" i="37"/>
  <c r="B17" i="37"/>
  <c r="AM16" i="37"/>
  <c r="AF16" i="37"/>
  <c r="Y16" i="37"/>
  <c r="R16" i="37"/>
  <c r="K16" i="37"/>
  <c r="G16" i="37"/>
  <c r="C16" i="37"/>
  <c r="AM15" i="37"/>
  <c r="AF15" i="37"/>
  <c r="Y15" i="37"/>
  <c r="R15" i="37"/>
  <c r="K15" i="37"/>
  <c r="G15" i="37"/>
  <c r="C15" i="37"/>
  <c r="AP12" i="37"/>
  <c r="AI12" i="37"/>
  <c r="AB12" i="37"/>
  <c r="U12" i="37"/>
  <c r="N12" i="37"/>
  <c r="AN11" i="37"/>
  <c r="AQ11" i="37" s="1"/>
  <c r="AG11" i="37"/>
  <c r="AJ11" i="37" s="1"/>
  <c r="Z11" i="37"/>
  <c r="AC11" i="37" s="1"/>
  <c r="S11" i="37"/>
  <c r="V11" i="37" s="1"/>
  <c r="O11" i="37"/>
  <c r="L11" i="37"/>
  <c r="H11" i="37"/>
  <c r="S2" i="37"/>
  <c r="AL65" i="36"/>
  <c r="AE65" i="36"/>
  <c r="X65" i="36"/>
  <c r="Q65" i="36"/>
  <c r="R37" i="36" s="1"/>
  <c r="J65" i="36"/>
  <c r="F65" i="36"/>
  <c r="G37" i="36" s="1"/>
  <c r="C50" i="36"/>
  <c r="C49" i="36"/>
  <c r="C48" i="36"/>
  <c r="C47" i="36"/>
  <c r="C46" i="36"/>
  <c r="AM45" i="36"/>
  <c r="AF45" i="36"/>
  <c r="Y45" i="36"/>
  <c r="R45" i="36"/>
  <c r="K45" i="36"/>
  <c r="G45" i="36"/>
  <c r="C45" i="36"/>
  <c r="C44" i="36"/>
  <c r="AM43" i="36"/>
  <c r="Y43" i="36"/>
  <c r="C43" i="36"/>
  <c r="AM41" i="36"/>
  <c r="AF41" i="36"/>
  <c r="Y41" i="36"/>
  <c r="R41" i="36"/>
  <c r="K41" i="36"/>
  <c r="G41" i="36"/>
  <c r="C41" i="36"/>
  <c r="AM40" i="36"/>
  <c r="AF40" i="36"/>
  <c r="Y40" i="36"/>
  <c r="R40" i="36"/>
  <c r="K40" i="36"/>
  <c r="G40" i="36"/>
  <c r="C40" i="36"/>
  <c r="AM38" i="36"/>
  <c r="AF38" i="36"/>
  <c r="Y38" i="36"/>
  <c r="R38" i="36"/>
  <c r="K38" i="36"/>
  <c r="G38" i="36"/>
  <c r="C38" i="36"/>
  <c r="AN37" i="36"/>
  <c r="AM37" i="36"/>
  <c r="AF37" i="36"/>
  <c r="AF43" i="36" s="1"/>
  <c r="Z37" i="36"/>
  <c r="Y37" i="36"/>
  <c r="K37" i="36"/>
  <c r="C37" i="36"/>
  <c r="AM36" i="36"/>
  <c r="AF36" i="36"/>
  <c r="Y36" i="36"/>
  <c r="R36" i="36"/>
  <c r="K36" i="36"/>
  <c r="G36" i="36"/>
  <c r="C36" i="36"/>
  <c r="AM35" i="36"/>
  <c r="AF35" i="36"/>
  <c r="Y35" i="36"/>
  <c r="R35" i="36"/>
  <c r="K35" i="36"/>
  <c r="G35" i="36"/>
  <c r="C35" i="36"/>
  <c r="AM34" i="36"/>
  <c r="AF34" i="36"/>
  <c r="Y34" i="36"/>
  <c r="R34" i="36"/>
  <c r="K34" i="36"/>
  <c r="G34" i="36"/>
  <c r="C34" i="36"/>
  <c r="AM33" i="36"/>
  <c r="AF33" i="36"/>
  <c r="Y33" i="36"/>
  <c r="R33" i="36"/>
  <c r="K33" i="36"/>
  <c r="G33" i="36"/>
  <c r="C33" i="36"/>
  <c r="AM32" i="36"/>
  <c r="AF32" i="36"/>
  <c r="Y32" i="36"/>
  <c r="R32" i="36"/>
  <c r="K32" i="36"/>
  <c r="G32" i="36"/>
  <c r="C32" i="36"/>
  <c r="AM31" i="36"/>
  <c r="AF31" i="36"/>
  <c r="Y31" i="36"/>
  <c r="R31" i="36"/>
  <c r="K31" i="36"/>
  <c r="G31" i="36"/>
  <c r="C31" i="36"/>
  <c r="AM30" i="36"/>
  <c r="AF30" i="36"/>
  <c r="Y30" i="36"/>
  <c r="R30" i="36"/>
  <c r="K30" i="36"/>
  <c r="G30" i="36"/>
  <c r="C30" i="36"/>
  <c r="AM28" i="36"/>
  <c r="AF28" i="36"/>
  <c r="Y28" i="36"/>
  <c r="R28" i="36"/>
  <c r="K28" i="36"/>
  <c r="G28" i="36"/>
  <c r="C28" i="36"/>
  <c r="AM27" i="36"/>
  <c r="AF27" i="36"/>
  <c r="Y27" i="36"/>
  <c r="R27" i="36"/>
  <c r="K27" i="36"/>
  <c r="G27" i="36"/>
  <c r="C27" i="36"/>
  <c r="AM26" i="36"/>
  <c r="AF26" i="36"/>
  <c r="Y26" i="36"/>
  <c r="R26" i="36"/>
  <c r="K26" i="36"/>
  <c r="G26" i="36"/>
  <c r="C26" i="36"/>
  <c r="AM25" i="36"/>
  <c r="AF25" i="36"/>
  <c r="Y25" i="36"/>
  <c r="R25" i="36"/>
  <c r="K25" i="36"/>
  <c r="G25" i="36"/>
  <c r="C25" i="36"/>
  <c r="AM24" i="36"/>
  <c r="AF24" i="36"/>
  <c r="Y24" i="36"/>
  <c r="R24" i="36"/>
  <c r="K24" i="36"/>
  <c r="G24" i="36"/>
  <c r="C24" i="36"/>
  <c r="AM23" i="36"/>
  <c r="AF23" i="36"/>
  <c r="Y23" i="36"/>
  <c r="R23" i="36"/>
  <c r="K23" i="36"/>
  <c r="G23" i="36"/>
  <c r="C23" i="36"/>
  <c r="AM22" i="36"/>
  <c r="AF22" i="36"/>
  <c r="Y22" i="36"/>
  <c r="R22" i="36"/>
  <c r="K22" i="36"/>
  <c r="G22" i="36"/>
  <c r="C22" i="36"/>
  <c r="AM21" i="36"/>
  <c r="AF21" i="36"/>
  <c r="AC21" i="36"/>
  <c r="Y21" i="36"/>
  <c r="U21" i="36"/>
  <c r="R21" i="36"/>
  <c r="Q21" i="36"/>
  <c r="S21" i="36" s="1"/>
  <c r="K21" i="36"/>
  <c r="J21" i="36"/>
  <c r="L21" i="36" s="1"/>
  <c r="H21" i="36"/>
  <c r="G21" i="36"/>
  <c r="F21" i="36"/>
  <c r="C21" i="36"/>
  <c r="AM20" i="36"/>
  <c r="AF20" i="36"/>
  <c r="Y20" i="36"/>
  <c r="R20" i="36"/>
  <c r="K20" i="36"/>
  <c r="G20" i="36"/>
  <c r="C20" i="36"/>
  <c r="AM19" i="36"/>
  <c r="AF19" i="36"/>
  <c r="Y19" i="36"/>
  <c r="R19" i="36"/>
  <c r="K19" i="36"/>
  <c r="G19" i="36"/>
  <c r="C19" i="36"/>
  <c r="AM18" i="36"/>
  <c r="AF18" i="36"/>
  <c r="Y18" i="36"/>
  <c r="R18" i="36"/>
  <c r="K18" i="36"/>
  <c r="G18" i="36"/>
  <c r="C18" i="36"/>
  <c r="B18" i="36"/>
  <c r="AM17" i="36"/>
  <c r="AF17" i="36"/>
  <c r="Y17" i="36"/>
  <c r="R17" i="36"/>
  <c r="K17" i="36"/>
  <c r="G17" i="36"/>
  <c r="B17" i="36"/>
  <c r="C17" i="36" s="1"/>
  <c r="AM16" i="36"/>
  <c r="AF16" i="36"/>
  <c r="Y16" i="36"/>
  <c r="R16" i="36"/>
  <c r="K16" i="36"/>
  <c r="G16" i="36"/>
  <c r="C16" i="36"/>
  <c r="AM15" i="36"/>
  <c r="AF15" i="36"/>
  <c r="Y15" i="36"/>
  <c r="R15" i="36"/>
  <c r="K15" i="36"/>
  <c r="G15" i="36"/>
  <c r="C15" i="36"/>
  <c r="AP12" i="36"/>
  <c r="AI12" i="36"/>
  <c r="AB12" i="36"/>
  <c r="U12" i="36"/>
  <c r="N12" i="36"/>
  <c r="AQ11" i="36"/>
  <c r="AN11" i="36"/>
  <c r="AG11" i="36"/>
  <c r="AJ11" i="36" s="1"/>
  <c r="AC11" i="36"/>
  <c r="Z11" i="36"/>
  <c r="S11" i="36"/>
  <c r="V11" i="36" s="1"/>
  <c r="O11" i="36"/>
  <c r="L11" i="36"/>
  <c r="H11" i="36"/>
  <c r="AL65" i="35"/>
  <c r="AE65" i="35"/>
  <c r="X65" i="35"/>
  <c r="Q65" i="35"/>
  <c r="J65" i="35"/>
  <c r="K37" i="35" s="1"/>
  <c r="L37" i="35" s="1"/>
  <c r="V37" i="35" s="1"/>
  <c r="F65" i="35"/>
  <c r="G37" i="35" s="1"/>
  <c r="G43" i="35" s="1"/>
  <c r="G46" i="35" s="1"/>
  <c r="C50" i="35"/>
  <c r="C49" i="35"/>
  <c r="C48" i="35"/>
  <c r="C47" i="35"/>
  <c r="Y46" i="35"/>
  <c r="R46" i="35"/>
  <c r="C46" i="35"/>
  <c r="AM45" i="35"/>
  <c r="AF45" i="35"/>
  <c r="Y45" i="35"/>
  <c r="R45" i="35"/>
  <c r="K45" i="35"/>
  <c r="G45" i="35"/>
  <c r="C45" i="35"/>
  <c r="K44" i="35"/>
  <c r="G44" i="35"/>
  <c r="C44" i="35"/>
  <c r="R43" i="35"/>
  <c r="R44" i="35" s="1"/>
  <c r="K43" i="35"/>
  <c r="C43" i="35"/>
  <c r="AM41" i="35"/>
  <c r="AF41" i="35"/>
  <c r="Y41" i="35"/>
  <c r="R41" i="35"/>
  <c r="K41" i="35"/>
  <c r="G41" i="35"/>
  <c r="C41" i="35"/>
  <c r="AM40" i="35"/>
  <c r="AF40" i="35"/>
  <c r="Y40" i="35"/>
  <c r="R40" i="35"/>
  <c r="K40" i="35"/>
  <c r="G40" i="35"/>
  <c r="C40" i="35"/>
  <c r="AM38" i="35"/>
  <c r="AF38" i="35"/>
  <c r="Y38" i="35"/>
  <c r="R38" i="35"/>
  <c r="K38" i="35"/>
  <c r="G38" i="35"/>
  <c r="C38" i="35"/>
  <c r="AQ37" i="35"/>
  <c r="AP37" i="35"/>
  <c r="AM37" i="35"/>
  <c r="AN37" i="35" s="1"/>
  <c r="AF37" i="35"/>
  <c r="AG37" i="35" s="1"/>
  <c r="AC37" i="35"/>
  <c r="Y37" i="35"/>
  <c r="Y43" i="35" s="1"/>
  <c r="Y44" i="35" s="1"/>
  <c r="U37" i="35"/>
  <c r="S37" i="35"/>
  <c r="R37" i="35"/>
  <c r="O37" i="35"/>
  <c r="N37" i="35"/>
  <c r="H37" i="35"/>
  <c r="C37" i="35"/>
  <c r="AM36" i="35"/>
  <c r="AF36" i="35"/>
  <c r="Y36" i="35"/>
  <c r="R36" i="35"/>
  <c r="K36" i="35"/>
  <c r="G36" i="35"/>
  <c r="C36" i="35"/>
  <c r="AM35" i="35"/>
  <c r="AF35" i="35"/>
  <c r="Y35" i="35"/>
  <c r="R35" i="35"/>
  <c r="K35" i="35"/>
  <c r="G35" i="35"/>
  <c r="C35" i="35"/>
  <c r="AM34" i="35"/>
  <c r="AF34" i="35"/>
  <c r="Y34" i="35"/>
  <c r="R34" i="35"/>
  <c r="K34" i="35"/>
  <c r="G34" i="35"/>
  <c r="C34" i="35"/>
  <c r="AM33" i="35"/>
  <c r="AF33" i="35"/>
  <c r="Y33" i="35"/>
  <c r="R33" i="35"/>
  <c r="K33" i="35"/>
  <c r="G33" i="35"/>
  <c r="C33" i="35"/>
  <c r="AM32" i="35"/>
  <c r="AF32" i="35"/>
  <c r="Y32" i="35"/>
  <c r="R32" i="35"/>
  <c r="K32" i="35"/>
  <c r="G32" i="35"/>
  <c r="C32" i="35"/>
  <c r="AM31" i="35"/>
  <c r="AF31" i="35"/>
  <c r="Y31" i="35"/>
  <c r="R31" i="35"/>
  <c r="K31" i="35"/>
  <c r="G31" i="35"/>
  <c r="C31" i="35"/>
  <c r="AM30" i="35"/>
  <c r="AF30" i="35"/>
  <c r="Y30" i="35"/>
  <c r="R30" i="35"/>
  <c r="K30" i="35"/>
  <c r="G30" i="35"/>
  <c r="C30" i="35"/>
  <c r="AM28" i="35"/>
  <c r="AF28" i="35"/>
  <c r="Y28" i="35"/>
  <c r="R28" i="35"/>
  <c r="K28" i="35"/>
  <c r="G28" i="35"/>
  <c r="C28" i="35"/>
  <c r="AM27" i="35"/>
  <c r="AF27" i="35"/>
  <c r="Y27" i="35"/>
  <c r="R27" i="35"/>
  <c r="K27" i="35"/>
  <c r="G27" i="35"/>
  <c r="C27" i="35"/>
  <c r="AM26" i="35"/>
  <c r="AF26" i="35"/>
  <c r="Y26" i="35"/>
  <c r="R26" i="35"/>
  <c r="K26" i="35"/>
  <c r="G26" i="35"/>
  <c r="C26" i="35"/>
  <c r="AM25" i="35"/>
  <c r="AF25" i="35"/>
  <c r="Y25" i="35"/>
  <c r="R25" i="35"/>
  <c r="K25" i="35"/>
  <c r="G25" i="35"/>
  <c r="C25" i="35"/>
  <c r="AM24" i="35"/>
  <c r="AF24" i="35"/>
  <c r="Y24" i="35"/>
  <c r="R24" i="35"/>
  <c r="K24" i="35"/>
  <c r="G24" i="35"/>
  <c r="C24" i="35"/>
  <c r="AM23" i="35"/>
  <c r="AF23" i="35"/>
  <c r="Y23" i="35"/>
  <c r="R23" i="35"/>
  <c r="K23" i="35"/>
  <c r="G23" i="35"/>
  <c r="C23" i="35"/>
  <c r="AM22" i="35"/>
  <c r="AF22" i="35"/>
  <c r="Y22" i="35"/>
  <c r="R22" i="35"/>
  <c r="K22" i="35"/>
  <c r="G22" i="35"/>
  <c r="C22" i="35"/>
  <c r="AM21" i="35"/>
  <c r="AF21" i="35"/>
  <c r="Y21" i="35"/>
  <c r="V21" i="35"/>
  <c r="U21" i="35"/>
  <c r="R21" i="35"/>
  <c r="S21" i="35" s="1"/>
  <c r="AC21" i="35" s="1"/>
  <c r="Q21" i="35"/>
  <c r="K21" i="35"/>
  <c r="L21" i="35" s="1"/>
  <c r="J21" i="35"/>
  <c r="G21" i="35"/>
  <c r="F21" i="35"/>
  <c r="C21" i="35"/>
  <c r="AM20" i="35"/>
  <c r="AF20" i="35"/>
  <c r="Y20" i="35"/>
  <c r="R20" i="35"/>
  <c r="K20" i="35"/>
  <c r="G20" i="35"/>
  <c r="C20" i="35"/>
  <c r="AM19" i="35"/>
  <c r="AF19" i="35"/>
  <c r="Y19" i="35"/>
  <c r="R19" i="35"/>
  <c r="K19" i="35"/>
  <c r="G19" i="35"/>
  <c r="C19" i="35"/>
  <c r="AM18" i="35"/>
  <c r="AF18" i="35"/>
  <c r="Y18" i="35"/>
  <c r="R18" i="35"/>
  <c r="K18" i="35"/>
  <c r="G18" i="35"/>
  <c r="C18" i="35"/>
  <c r="B18" i="35"/>
  <c r="AM17" i="35"/>
  <c r="AF17" i="35"/>
  <c r="Y17" i="35"/>
  <c r="R17" i="35"/>
  <c r="K17" i="35"/>
  <c r="G17" i="35"/>
  <c r="B17" i="35"/>
  <c r="C17" i="35" s="1"/>
  <c r="AM16" i="35"/>
  <c r="AF16" i="35"/>
  <c r="Y16" i="35"/>
  <c r="R16" i="35"/>
  <c r="K16" i="35"/>
  <c r="G16" i="35"/>
  <c r="C16" i="35"/>
  <c r="AM15" i="35"/>
  <c r="AF15" i="35"/>
  <c r="Y15" i="35"/>
  <c r="R15" i="35"/>
  <c r="K15" i="35"/>
  <c r="G15" i="35"/>
  <c r="C15" i="35"/>
  <c r="AP12" i="35"/>
  <c r="AI12" i="35"/>
  <c r="AB12" i="35"/>
  <c r="U12" i="35"/>
  <c r="N12" i="35"/>
  <c r="AN11" i="35"/>
  <c r="AQ11" i="35" s="1"/>
  <c r="AG11" i="35"/>
  <c r="AJ11" i="35" s="1"/>
  <c r="AC11" i="35"/>
  <c r="Z11" i="35"/>
  <c r="V11" i="35"/>
  <c r="S11" i="35"/>
  <c r="L11" i="35"/>
  <c r="O11" i="35" s="1"/>
  <c r="H11" i="35"/>
  <c r="AL65" i="34"/>
  <c r="AE65" i="34"/>
  <c r="AF37" i="34" s="1"/>
  <c r="X65" i="34"/>
  <c r="Q65" i="34"/>
  <c r="J65" i="34"/>
  <c r="F65" i="34"/>
  <c r="G37" i="34" s="1"/>
  <c r="H37" i="34" s="1"/>
  <c r="O37" i="34" s="1"/>
  <c r="C50" i="34"/>
  <c r="C49" i="34"/>
  <c r="C48" i="34"/>
  <c r="C47" i="34"/>
  <c r="R46" i="34"/>
  <c r="C46" i="34"/>
  <c r="AM45" i="34"/>
  <c r="AF45" i="34"/>
  <c r="Y45" i="34"/>
  <c r="R45" i="34"/>
  <c r="K45" i="34"/>
  <c r="G45" i="34"/>
  <c r="C45" i="34"/>
  <c r="C44" i="34"/>
  <c r="G43" i="34"/>
  <c r="C43" i="34"/>
  <c r="AM41" i="34"/>
  <c r="AF41" i="34"/>
  <c r="Y41" i="34"/>
  <c r="R41" i="34"/>
  <c r="K41" i="34"/>
  <c r="G41" i="34"/>
  <c r="C41" i="34"/>
  <c r="AM40" i="34"/>
  <c r="AF40" i="34"/>
  <c r="Y40" i="34"/>
  <c r="R40" i="34"/>
  <c r="K40" i="34"/>
  <c r="G40" i="34"/>
  <c r="C40" i="34"/>
  <c r="AM38" i="34"/>
  <c r="AF38" i="34"/>
  <c r="Y38" i="34"/>
  <c r="R38" i="34"/>
  <c r="K38" i="34"/>
  <c r="G38" i="34"/>
  <c r="C38" i="34"/>
  <c r="AN37" i="34"/>
  <c r="AM37" i="34"/>
  <c r="AM43" i="34" s="1"/>
  <c r="AM44" i="34" s="1"/>
  <c r="Z37" i="34"/>
  <c r="Y37" i="34"/>
  <c r="Y43" i="34" s="1"/>
  <c r="S37" i="34"/>
  <c r="R37" i="34"/>
  <c r="R43" i="34" s="1"/>
  <c r="K37" i="34"/>
  <c r="C37" i="34"/>
  <c r="AM36" i="34"/>
  <c r="AF36" i="34"/>
  <c r="Y36" i="34"/>
  <c r="R36" i="34"/>
  <c r="K36" i="34"/>
  <c r="G36" i="34"/>
  <c r="C36" i="34"/>
  <c r="AM35" i="34"/>
  <c r="AF35" i="34"/>
  <c r="Y35" i="34"/>
  <c r="R35" i="34"/>
  <c r="K35" i="34"/>
  <c r="G35" i="34"/>
  <c r="C35" i="34"/>
  <c r="AM34" i="34"/>
  <c r="AF34" i="34"/>
  <c r="Y34" i="34"/>
  <c r="R34" i="34"/>
  <c r="K34" i="34"/>
  <c r="G34" i="34"/>
  <c r="C34" i="34"/>
  <c r="AM33" i="34"/>
  <c r="AF33" i="34"/>
  <c r="Y33" i="34"/>
  <c r="R33" i="34"/>
  <c r="K33" i="34"/>
  <c r="G33" i="34"/>
  <c r="C33" i="34"/>
  <c r="AM32" i="34"/>
  <c r="AF32" i="34"/>
  <c r="Y32" i="34"/>
  <c r="R32" i="34"/>
  <c r="K32" i="34"/>
  <c r="G32" i="34"/>
  <c r="C32" i="34"/>
  <c r="AM31" i="34"/>
  <c r="AF31" i="34"/>
  <c r="Y31" i="34"/>
  <c r="R31" i="34"/>
  <c r="K31" i="34"/>
  <c r="G31" i="34"/>
  <c r="C31" i="34"/>
  <c r="AM30" i="34"/>
  <c r="AF30" i="34"/>
  <c r="Y30" i="34"/>
  <c r="R30" i="34"/>
  <c r="K30" i="34"/>
  <c r="G30" i="34"/>
  <c r="C30" i="34"/>
  <c r="AM28" i="34"/>
  <c r="AF28" i="34"/>
  <c r="Y28" i="34"/>
  <c r="R28" i="34"/>
  <c r="K28" i="34"/>
  <c r="G28" i="34"/>
  <c r="C28" i="34"/>
  <c r="AM27" i="34"/>
  <c r="AF27" i="34"/>
  <c r="Y27" i="34"/>
  <c r="R27" i="34"/>
  <c r="K27" i="34"/>
  <c r="G27" i="34"/>
  <c r="C27" i="34"/>
  <c r="AM26" i="34"/>
  <c r="AF26" i="34"/>
  <c r="Y26" i="34"/>
  <c r="R26" i="34"/>
  <c r="K26" i="34"/>
  <c r="G26" i="34"/>
  <c r="C26" i="34"/>
  <c r="AM25" i="34"/>
  <c r="AF25" i="34"/>
  <c r="Y25" i="34"/>
  <c r="R25" i="34"/>
  <c r="K25" i="34"/>
  <c r="G25" i="34"/>
  <c r="C25" i="34"/>
  <c r="AM24" i="34"/>
  <c r="AF24" i="34"/>
  <c r="Y24" i="34"/>
  <c r="R24" i="34"/>
  <c r="K24" i="34"/>
  <c r="G24" i="34"/>
  <c r="C24" i="34"/>
  <c r="AM23" i="34"/>
  <c r="AF23" i="34"/>
  <c r="Y23" i="34"/>
  <c r="R23" i="34"/>
  <c r="K23" i="34"/>
  <c r="G23" i="34"/>
  <c r="C23" i="34"/>
  <c r="AM22" i="34"/>
  <c r="AF22" i="34"/>
  <c r="Y22" i="34"/>
  <c r="R22" i="34"/>
  <c r="K22" i="34"/>
  <c r="G22" i="34"/>
  <c r="C22" i="34"/>
  <c r="AM21" i="34"/>
  <c r="AF21" i="34"/>
  <c r="AC21" i="34"/>
  <c r="Y21" i="34"/>
  <c r="R21" i="34"/>
  <c r="S21" i="34" s="1"/>
  <c r="Q21" i="34"/>
  <c r="K21" i="34"/>
  <c r="J21" i="34"/>
  <c r="H21" i="34"/>
  <c r="G21" i="34"/>
  <c r="F21" i="34"/>
  <c r="C21" i="34"/>
  <c r="AM20" i="34"/>
  <c r="AF20" i="34"/>
  <c r="Y20" i="34"/>
  <c r="R20" i="34"/>
  <c r="K20" i="34"/>
  <c r="G20" i="34"/>
  <c r="C20" i="34"/>
  <c r="AM19" i="34"/>
  <c r="AF19" i="34"/>
  <c r="Y19" i="34"/>
  <c r="R19" i="34"/>
  <c r="K19" i="34"/>
  <c r="G19" i="34"/>
  <c r="C19" i="34"/>
  <c r="AM18" i="34"/>
  <c r="AF18" i="34"/>
  <c r="Y18" i="34"/>
  <c r="R18" i="34"/>
  <c r="K18" i="34"/>
  <c r="G18" i="34"/>
  <c r="B18" i="34"/>
  <c r="C18" i="34" s="1"/>
  <c r="AM17" i="34"/>
  <c r="AF17" i="34"/>
  <c r="Y17" i="34"/>
  <c r="R17" i="34"/>
  <c r="K17" i="34"/>
  <c r="G17" i="34"/>
  <c r="C17" i="34"/>
  <c r="B17" i="34"/>
  <c r="AM16" i="34"/>
  <c r="AF16" i="34"/>
  <c r="Y16" i="34"/>
  <c r="R16" i="34"/>
  <c r="K16" i="34"/>
  <c r="G16" i="34"/>
  <c r="C16" i="34"/>
  <c r="AM15" i="34"/>
  <c r="AF15" i="34"/>
  <c r="Y15" i="34"/>
  <c r="R15" i="34"/>
  <c r="K15" i="34"/>
  <c r="G15" i="34"/>
  <c r="C15" i="34"/>
  <c r="AP12" i="34"/>
  <c r="AI12" i="34"/>
  <c r="AB12" i="34"/>
  <c r="U12" i="34"/>
  <c r="N12" i="34"/>
  <c r="AQ11" i="34"/>
  <c r="AN11" i="34"/>
  <c r="AG11" i="34"/>
  <c r="AJ11" i="34" s="1"/>
  <c r="AC11" i="34"/>
  <c r="Z11" i="34"/>
  <c r="S11" i="34"/>
  <c r="V11" i="34" s="1"/>
  <c r="O11" i="34"/>
  <c r="L11" i="34"/>
  <c r="H11" i="34"/>
  <c r="AL65" i="33"/>
  <c r="AE65" i="33"/>
  <c r="X65" i="33"/>
  <c r="Q65" i="33"/>
  <c r="J65" i="33"/>
  <c r="F65" i="33"/>
  <c r="G37" i="33" s="1"/>
  <c r="C50" i="33"/>
  <c r="C49" i="33"/>
  <c r="C48" i="33"/>
  <c r="C47" i="33"/>
  <c r="AF46" i="33"/>
  <c r="Y46" i="33"/>
  <c r="R46" i="33"/>
  <c r="K46" i="33"/>
  <c r="G46" i="33"/>
  <c r="C46" i="33"/>
  <c r="AM45" i="33"/>
  <c r="AF45" i="33"/>
  <c r="Y45" i="33"/>
  <c r="R45" i="33"/>
  <c r="K45" i="33"/>
  <c r="G45" i="33"/>
  <c r="AM44" i="33"/>
  <c r="AF44" i="33"/>
  <c r="K44" i="33"/>
  <c r="G44" i="33"/>
  <c r="C44" i="33"/>
  <c r="AF43" i="33"/>
  <c r="K43" i="33"/>
  <c r="C43" i="33"/>
  <c r="AM41" i="33"/>
  <c r="AF41" i="33"/>
  <c r="Y41" i="33"/>
  <c r="R41" i="33"/>
  <c r="K41" i="33"/>
  <c r="G41" i="33"/>
  <c r="C41" i="33"/>
  <c r="AM40" i="33"/>
  <c r="AF40" i="33"/>
  <c r="Y40" i="33"/>
  <c r="R40" i="33"/>
  <c r="K40" i="33"/>
  <c r="G40" i="33"/>
  <c r="C40" i="33"/>
  <c r="AM38" i="33"/>
  <c r="AF38" i="33"/>
  <c r="Y38" i="33"/>
  <c r="R38" i="33"/>
  <c r="K38" i="33"/>
  <c r="G38" i="33"/>
  <c r="C38" i="33"/>
  <c r="AQ37" i="33"/>
  <c r="AM37" i="33"/>
  <c r="AG37" i="33"/>
  <c r="AF37" i="33"/>
  <c r="Y37" i="33"/>
  <c r="U37" i="33"/>
  <c r="S37" i="33"/>
  <c r="AC37" i="33" s="1"/>
  <c r="R37" i="33"/>
  <c r="R44" i="33" s="1"/>
  <c r="L37" i="33"/>
  <c r="K37" i="33"/>
  <c r="C37" i="33"/>
  <c r="AM36" i="33"/>
  <c r="AF36" i="33"/>
  <c r="Y36" i="33"/>
  <c r="R36" i="33"/>
  <c r="K36" i="33"/>
  <c r="G36" i="33"/>
  <c r="C36" i="33"/>
  <c r="AM35" i="33"/>
  <c r="AF35" i="33"/>
  <c r="Y35" i="33"/>
  <c r="R35" i="33"/>
  <c r="K35" i="33"/>
  <c r="G35" i="33"/>
  <c r="C35" i="33"/>
  <c r="AM34" i="33"/>
  <c r="AF34" i="33"/>
  <c r="Y34" i="33"/>
  <c r="R34" i="33"/>
  <c r="K34" i="33"/>
  <c r="G34" i="33"/>
  <c r="C34" i="33"/>
  <c r="AM33" i="33"/>
  <c r="AF33" i="33"/>
  <c r="Y33" i="33"/>
  <c r="R33" i="33"/>
  <c r="K33" i="33"/>
  <c r="G33" i="33"/>
  <c r="C33" i="33"/>
  <c r="AM32" i="33"/>
  <c r="AF32" i="33"/>
  <c r="Y32" i="33"/>
  <c r="R32" i="33"/>
  <c r="K32" i="33"/>
  <c r="G32" i="33"/>
  <c r="C32" i="33"/>
  <c r="AM31" i="33"/>
  <c r="AF31" i="33"/>
  <c r="Y31" i="33"/>
  <c r="R31" i="33"/>
  <c r="K31" i="33"/>
  <c r="G31" i="33"/>
  <c r="C31" i="33"/>
  <c r="AM30" i="33"/>
  <c r="AF30" i="33"/>
  <c r="Y30" i="33"/>
  <c r="R30" i="33"/>
  <c r="K30" i="33"/>
  <c r="G30" i="33"/>
  <c r="C30" i="33"/>
  <c r="AM28" i="33"/>
  <c r="AF28" i="33"/>
  <c r="Y28" i="33"/>
  <c r="R28" i="33"/>
  <c r="K28" i="33"/>
  <c r="G28" i="33"/>
  <c r="C28" i="33"/>
  <c r="AM27" i="33"/>
  <c r="AF27" i="33"/>
  <c r="Y27" i="33"/>
  <c r="R27" i="33"/>
  <c r="K27" i="33"/>
  <c r="G27" i="33"/>
  <c r="C27" i="33"/>
  <c r="AM26" i="33"/>
  <c r="AF26" i="33"/>
  <c r="Y26" i="33"/>
  <c r="R26" i="33"/>
  <c r="K26" i="33"/>
  <c r="G26" i="33"/>
  <c r="C26" i="33"/>
  <c r="AM25" i="33"/>
  <c r="AF25" i="33"/>
  <c r="Y25" i="33"/>
  <c r="R25" i="33"/>
  <c r="K25" i="33"/>
  <c r="G25" i="33"/>
  <c r="C25" i="33"/>
  <c r="AM24" i="33"/>
  <c r="AF24" i="33"/>
  <c r="Y24" i="33"/>
  <c r="R24" i="33"/>
  <c r="K24" i="33"/>
  <c r="G24" i="33"/>
  <c r="C24" i="33"/>
  <c r="AM23" i="33"/>
  <c r="AF23" i="33"/>
  <c r="Y23" i="33"/>
  <c r="R23" i="33"/>
  <c r="K23" i="33"/>
  <c r="G23" i="33"/>
  <c r="C23" i="33"/>
  <c r="AM22" i="33"/>
  <c r="AF22" i="33"/>
  <c r="Y22" i="33"/>
  <c r="R22" i="33"/>
  <c r="K22" i="33"/>
  <c r="G22" i="33"/>
  <c r="C22" i="33"/>
  <c r="AM21" i="33"/>
  <c r="AF21" i="33"/>
  <c r="Y21" i="33"/>
  <c r="U21" i="33"/>
  <c r="V21" i="33" s="1"/>
  <c r="S21" i="33"/>
  <c r="AC21" i="33" s="1"/>
  <c r="R21" i="33"/>
  <c r="Q21" i="33"/>
  <c r="L21" i="33"/>
  <c r="K21" i="33"/>
  <c r="J21" i="33"/>
  <c r="G21" i="33"/>
  <c r="H21" i="33" s="1"/>
  <c r="F21" i="33"/>
  <c r="C21" i="33"/>
  <c r="AM20" i="33"/>
  <c r="AF20" i="33"/>
  <c r="Y20" i="33"/>
  <c r="R20" i="33"/>
  <c r="K20" i="33"/>
  <c r="G20" i="33"/>
  <c r="C20" i="33"/>
  <c r="AM19" i="33"/>
  <c r="AF19" i="33"/>
  <c r="Y19" i="33"/>
  <c r="R19" i="33"/>
  <c r="K19" i="33"/>
  <c r="G19" i="33"/>
  <c r="C19" i="33"/>
  <c r="AM18" i="33"/>
  <c r="AF18" i="33"/>
  <c r="Y18" i="33"/>
  <c r="R18" i="33"/>
  <c r="K18" i="33"/>
  <c r="G18" i="33"/>
  <c r="B18" i="33"/>
  <c r="C18" i="33" s="1"/>
  <c r="AM17" i="33"/>
  <c r="AF17" i="33"/>
  <c r="Y17" i="33"/>
  <c r="R17" i="33"/>
  <c r="K17" i="33"/>
  <c r="G17" i="33"/>
  <c r="C17" i="33"/>
  <c r="B17" i="33"/>
  <c r="AM16" i="33"/>
  <c r="AF16" i="33"/>
  <c r="Y16" i="33"/>
  <c r="R16" i="33"/>
  <c r="K16" i="33"/>
  <c r="G16" i="33"/>
  <c r="C16" i="33"/>
  <c r="AM15" i="33"/>
  <c r="AF15" i="33"/>
  <c r="Y15" i="33"/>
  <c r="R15" i="33"/>
  <c r="K15" i="33"/>
  <c r="G15" i="33"/>
  <c r="C15" i="33"/>
  <c r="AP12" i="33"/>
  <c r="AI12" i="33"/>
  <c r="AB12" i="33"/>
  <c r="U12" i="33"/>
  <c r="N12" i="33"/>
  <c r="AQ11" i="33"/>
  <c r="AN11" i="33"/>
  <c r="AG11" i="33"/>
  <c r="AJ11" i="33" s="1"/>
  <c r="Z11" i="33"/>
  <c r="AC11" i="33" s="1"/>
  <c r="S11" i="33"/>
  <c r="V11" i="33" s="1"/>
  <c r="O11" i="33"/>
  <c r="L11" i="33"/>
  <c r="H11" i="33"/>
  <c r="AL65" i="32"/>
  <c r="AE65" i="32"/>
  <c r="AF37" i="32" s="1"/>
  <c r="X65" i="32"/>
  <c r="Q65" i="32"/>
  <c r="J65" i="32"/>
  <c r="K37" i="32" s="1"/>
  <c r="F65" i="32"/>
  <c r="C50" i="32"/>
  <c r="C49" i="32"/>
  <c r="C48" i="32"/>
  <c r="C47" i="32"/>
  <c r="AM46" i="32"/>
  <c r="AF46" i="32"/>
  <c r="R46" i="32"/>
  <c r="C46" i="32"/>
  <c r="AM45" i="32"/>
  <c r="AF45" i="32"/>
  <c r="Y45" i="32"/>
  <c r="R45" i="32"/>
  <c r="K45" i="32"/>
  <c r="G45" i="32"/>
  <c r="C45" i="32"/>
  <c r="AF44" i="32"/>
  <c r="R44" i="32"/>
  <c r="C44" i="32"/>
  <c r="AM43" i="32"/>
  <c r="AF43" i="32"/>
  <c r="R43" i="32"/>
  <c r="C43" i="32"/>
  <c r="AM41" i="32"/>
  <c r="AF41" i="32"/>
  <c r="Y41" i="32"/>
  <c r="R41" i="32"/>
  <c r="K41" i="32"/>
  <c r="G41" i="32"/>
  <c r="C41" i="32"/>
  <c r="AM40" i="32"/>
  <c r="AF40" i="32"/>
  <c r="Y40" i="32"/>
  <c r="R40" i="32"/>
  <c r="K40" i="32"/>
  <c r="G40" i="32"/>
  <c r="C40" i="32"/>
  <c r="AM38" i="32"/>
  <c r="AF38" i="32"/>
  <c r="Y38" i="32"/>
  <c r="R38" i="32"/>
  <c r="K38" i="32"/>
  <c r="G38" i="32"/>
  <c r="C38" i="32"/>
  <c r="AM37" i="32"/>
  <c r="AM44" i="32" s="1"/>
  <c r="AG37" i="32"/>
  <c r="AC37" i="32"/>
  <c r="Z37" i="32"/>
  <c r="AJ37" i="32" s="1"/>
  <c r="Y37" i="32"/>
  <c r="S37" i="32"/>
  <c r="R37" i="32"/>
  <c r="G37" i="32"/>
  <c r="C37" i="32"/>
  <c r="AM36" i="32"/>
  <c r="AF36" i="32"/>
  <c r="Y36" i="32"/>
  <c r="R36" i="32"/>
  <c r="K36" i="32"/>
  <c r="G36" i="32"/>
  <c r="C36" i="32"/>
  <c r="AM35" i="32"/>
  <c r="AF35" i="32"/>
  <c r="Y35" i="32"/>
  <c r="R35" i="32"/>
  <c r="K35" i="32"/>
  <c r="G35" i="32"/>
  <c r="C35" i="32"/>
  <c r="AM34" i="32"/>
  <c r="AF34" i="32"/>
  <c r="Y34" i="32"/>
  <c r="R34" i="32"/>
  <c r="K34" i="32"/>
  <c r="G34" i="32"/>
  <c r="C34" i="32"/>
  <c r="AM33" i="32"/>
  <c r="AF33" i="32"/>
  <c r="Y33" i="32"/>
  <c r="R33" i="32"/>
  <c r="K33" i="32"/>
  <c r="G33" i="32"/>
  <c r="C33" i="32"/>
  <c r="AM32" i="32"/>
  <c r="AF32" i="32"/>
  <c r="Y32" i="32"/>
  <c r="R32" i="32"/>
  <c r="K32" i="32"/>
  <c r="G32" i="32"/>
  <c r="C32" i="32"/>
  <c r="AM31" i="32"/>
  <c r="AF31" i="32"/>
  <c r="Y31" i="32"/>
  <c r="R31" i="32"/>
  <c r="K31" i="32"/>
  <c r="G31" i="32"/>
  <c r="C31" i="32"/>
  <c r="AM30" i="32"/>
  <c r="AF30" i="32"/>
  <c r="Y30" i="32"/>
  <c r="R30" i="32"/>
  <c r="K30" i="32"/>
  <c r="G30" i="32"/>
  <c r="C30" i="32"/>
  <c r="AM28" i="32"/>
  <c r="AF28" i="32"/>
  <c r="Y28" i="32"/>
  <c r="R28" i="32"/>
  <c r="K28" i="32"/>
  <c r="G28" i="32"/>
  <c r="C28" i="32"/>
  <c r="AM27" i="32"/>
  <c r="AF27" i="32"/>
  <c r="Y27" i="32"/>
  <c r="R27" i="32"/>
  <c r="K27" i="32"/>
  <c r="G27" i="32"/>
  <c r="C27" i="32"/>
  <c r="AM26" i="32"/>
  <c r="AF26" i="32"/>
  <c r="Y26" i="32"/>
  <c r="R26" i="32"/>
  <c r="K26" i="32"/>
  <c r="G26" i="32"/>
  <c r="C26" i="32"/>
  <c r="AM25" i="32"/>
  <c r="AF25" i="32"/>
  <c r="Y25" i="32"/>
  <c r="R25" i="32"/>
  <c r="K25" i="32"/>
  <c r="G25" i="32"/>
  <c r="C25" i="32"/>
  <c r="AM24" i="32"/>
  <c r="AF24" i="32"/>
  <c r="Y24" i="32"/>
  <c r="R24" i="32"/>
  <c r="K24" i="32"/>
  <c r="G24" i="32"/>
  <c r="C24" i="32"/>
  <c r="AM23" i="32"/>
  <c r="AF23" i="32"/>
  <c r="Y23" i="32"/>
  <c r="R23" i="32"/>
  <c r="K23" i="32"/>
  <c r="G23" i="32"/>
  <c r="C23" i="32"/>
  <c r="AM22" i="32"/>
  <c r="AF22" i="32"/>
  <c r="Y22" i="32"/>
  <c r="R22" i="32"/>
  <c r="K22" i="32"/>
  <c r="G22" i="32"/>
  <c r="C22" i="32"/>
  <c r="AM21" i="32"/>
  <c r="AF21" i="32"/>
  <c r="Y21" i="32"/>
  <c r="S21" i="32"/>
  <c r="R21" i="32"/>
  <c r="Q21" i="32"/>
  <c r="K21" i="32"/>
  <c r="L21" i="32" s="1"/>
  <c r="J21" i="32"/>
  <c r="G21" i="32"/>
  <c r="F21" i="32"/>
  <c r="C21" i="32"/>
  <c r="AM20" i="32"/>
  <c r="AF20" i="32"/>
  <c r="Y20" i="32"/>
  <c r="R20" i="32"/>
  <c r="K20" i="32"/>
  <c r="G20" i="32"/>
  <c r="C20" i="32"/>
  <c r="AM19" i="32"/>
  <c r="AF19" i="32"/>
  <c r="Y19" i="32"/>
  <c r="R19" i="32"/>
  <c r="K19" i="32"/>
  <c r="G19" i="32"/>
  <c r="C19" i="32"/>
  <c r="AM18" i="32"/>
  <c r="AF18" i="32"/>
  <c r="Y18" i="32"/>
  <c r="R18" i="32"/>
  <c r="K18" i="32"/>
  <c r="G18" i="32"/>
  <c r="C18" i="32"/>
  <c r="B18" i="32"/>
  <c r="AM17" i="32"/>
  <c r="AF17" i="32"/>
  <c r="Y17" i="32"/>
  <c r="R17" i="32"/>
  <c r="K17" i="32"/>
  <c r="G17" i="32"/>
  <c r="C17" i="32"/>
  <c r="B17" i="32"/>
  <c r="AM16" i="32"/>
  <c r="AF16" i="32"/>
  <c r="Y16" i="32"/>
  <c r="R16" i="32"/>
  <c r="K16" i="32"/>
  <c r="G16" i="32"/>
  <c r="C16" i="32"/>
  <c r="AM15" i="32"/>
  <c r="AF15" i="32"/>
  <c r="Y15" i="32"/>
  <c r="R15" i="32"/>
  <c r="K15" i="32"/>
  <c r="G15" i="32"/>
  <c r="C15" i="32"/>
  <c r="AP12" i="32"/>
  <c r="AI12" i="32"/>
  <c r="AB12" i="32"/>
  <c r="U12" i="32"/>
  <c r="N12" i="32"/>
  <c r="AN11" i="32"/>
  <c r="AQ11" i="32" s="1"/>
  <c r="AG11" i="32"/>
  <c r="AJ11" i="32" s="1"/>
  <c r="AC11" i="32"/>
  <c r="Z11" i="32"/>
  <c r="V11" i="32"/>
  <c r="S11" i="32"/>
  <c r="L11" i="32"/>
  <c r="O11" i="32" s="1"/>
  <c r="H11" i="32"/>
  <c r="AL65" i="31"/>
  <c r="AM37" i="31" s="1"/>
  <c r="AE65" i="31"/>
  <c r="AF37" i="31" s="1"/>
  <c r="X65" i="31"/>
  <c r="Y37" i="31" s="1"/>
  <c r="Y46" i="31" s="1"/>
  <c r="Q65" i="31"/>
  <c r="J65" i="31"/>
  <c r="F65" i="31"/>
  <c r="G37" i="31" s="1"/>
  <c r="C50" i="31"/>
  <c r="C49" i="31"/>
  <c r="C48" i="31"/>
  <c r="C47" i="31"/>
  <c r="R46" i="31"/>
  <c r="K46" i="31"/>
  <c r="C46" i="31"/>
  <c r="AM45" i="31"/>
  <c r="AF45" i="31"/>
  <c r="Y45" i="31"/>
  <c r="R45" i="31"/>
  <c r="K45" i="31"/>
  <c r="G45" i="31"/>
  <c r="C45" i="31"/>
  <c r="R44" i="31"/>
  <c r="C44" i="31"/>
  <c r="AM43" i="31"/>
  <c r="Y43" i="31"/>
  <c r="G43" i="31"/>
  <c r="C43" i="31"/>
  <c r="AM41" i="31"/>
  <c r="AF41" i="31"/>
  <c r="Y41" i="31"/>
  <c r="R41" i="31"/>
  <c r="K41" i="31"/>
  <c r="G41" i="31"/>
  <c r="C41" i="31"/>
  <c r="AM40" i="31"/>
  <c r="AF40" i="31"/>
  <c r="Y40" i="31"/>
  <c r="R40" i="31"/>
  <c r="K40" i="31"/>
  <c r="G40" i="31"/>
  <c r="C40" i="31"/>
  <c r="AM38" i="31"/>
  <c r="AF38" i="31"/>
  <c r="Y38" i="31"/>
  <c r="R38" i="31"/>
  <c r="K38" i="31"/>
  <c r="G38" i="31"/>
  <c r="C38" i="31"/>
  <c r="AG37" i="31"/>
  <c r="AC37" i="31"/>
  <c r="Z37" i="31"/>
  <c r="AB37" i="31" s="1"/>
  <c r="R37" i="31"/>
  <c r="S37" i="31" s="1"/>
  <c r="L37" i="31"/>
  <c r="V37" i="31" s="1"/>
  <c r="K37" i="31"/>
  <c r="C37" i="31"/>
  <c r="AM36" i="31"/>
  <c r="AF36" i="31"/>
  <c r="Y36" i="31"/>
  <c r="R36" i="31"/>
  <c r="K36" i="31"/>
  <c r="G36" i="31"/>
  <c r="C36" i="31"/>
  <c r="AM35" i="31"/>
  <c r="AF35" i="31"/>
  <c r="Y35" i="31"/>
  <c r="R35" i="31"/>
  <c r="K35" i="31"/>
  <c r="G35" i="31"/>
  <c r="C35" i="31"/>
  <c r="AM34" i="31"/>
  <c r="AF34" i="31"/>
  <c r="Y34" i="31"/>
  <c r="R34" i="31"/>
  <c r="K34" i="31"/>
  <c r="G34" i="31"/>
  <c r="C34" i="31"/>
  <c r="AM33" i="31"/>
  <c r="AF33" i="31"/>
  <c r="Y33" i="31"/>
  <c r="R33" i="31"/>
  <c r="K33" i="31"/>
  <c r="G33" i="31"/>
  <c r="C33" i="31"/>
  <c r="AM32" i="31"/>
  <c r="AF32" i="31"/>
  <c r="Y32" i="31"/>
  <c r="R32" i="31"/>
  <c r="K32" i="31"/>
  <c r="G32" i="31"/>
  <c r="C32" i="31"/>
  <c r="AM31" i="31"/>
  <c r="AF31" i="31"/>
  <c r="Y31" i="31"/>
  <c r="R31" i="31"/>
  <c r="K31" i="31"/>
  <c r="G31" i="31"/>
  <c r="C31" i="31"/>
  <c r="AM30" i="31"/>
  <c r="AF30" i="31"/>
  <c r="Y30" i="31"/>
  <c r="R30" i="31"/>
  <c r="K30" i="31"/>
  <c r="G30" i="31"/>
  <c r="C30" i="31"/>
  <c r="AM28" i="31"/>
  <c r="AF28" i="31"/>
  <c r="Y28" i="31"/>
  <c r="R28" i="31"/>
  <c r="K28" i="31"/>
  <c r="G28" i="31"/>
  <c r="C28" i="31"/>
  <c r="AM27" i="31"/>
  <c r="AF27" i="31"/>
  <c r="Y27" i="31"/>
  <c r="R27" i="31"/>
  <c r="K27" i="31"/>
  <c r="G27" i="31"/>
  <c r="C27" i="31"/>
  <c r="AM26" i="31"/>
  <c r="AF26" i="31"/>
  <c r="Y26" i="31"/>
  <c r="R26" i="31"/>
  <c r="K26" i="31"/>
  <c r="G26" i="31"/>
  <c r="C26" i="31"/>
  <c r="AM25" i="31"/>
  <c r="AF25" i="31"/>
  <c r="Y25" i="31"/>
  <c r="R25" i="31"/>
  <c r="K25" i="31"/>
  <c r="G25" i="31"/>
  <c r="C25" i="31"/>
  <c r="AM24" i="31"/>
  <c r="AF24" i="31"/>
  <c r="Y24" i="31"/>
  <c r="R24" i="31"/>
  <c r="K24" i="31"/>
  <c r="G24" i="31"/>
  <c r="C24" i="31"/>
  <c r="AM23" i="31"/>
  <c r="AF23" i="31"/>
  <c r="Y23" i="31"/>
  <c r="R23" i="31"/>
  <c r="K23" i="31"/>
  <c r="G23" i="31"/>
  <c r="C23" i="31"/>
  <c r="AM22" i="31"/>
  <c r="AF22" i="31"/>
  <c r="Y22" i="31"/>
  <c r="R22" i="31"/>
  <c r="K22" i="31"/>
  <c r="G22" i="31"/>
  <c r="C22" i="31"/>
  <c r="AM21" i="31"/>
  <c r="AF21" i="31"/>
  <c r="Y21" i="31"/>
  <c r="R21" i="31"/>
  <c r="S21" i="31" s="1"/>
  <c r="Q21" i="31"/>
  <c r="K21" i="31"/>
  <c r="J21" i="31"/>
  <c r="L21" i="31" s="1"/>
  <c r="H21" i="31"/>
  <c r="G21" i="31"/>
  <c r="F21" i="31"/>
  <c r="C21" i="31"/>
  <c r="AM20" i="31"/>
  <c r="AF20" i="31"/>
  <c r="Y20" i="31"/>
  <c r="R20" i="31"/>
  <c r="K20" i="31"/>
  <c r="G20" i="31"/>
  <c r="C20" i="31"/>
  <c r="AM19" i="31"/>
  <c r="AF19" i="31"/>
  <c r="Y19" i="31"/>
  <c r="R19" i="31"/>
  <c r="K19" i="31"/>
  <c r="G19" i="31"/>
  <c r="C19" i="31"/>
  <c r="AM18" i="31"/>
  <c r="AF18" i="31"/>
  <c r="Y18" i="31"/>
  <c r="R18" i="31"/>
  <c r="K18" i="31"/>
  <c r="G18" i="31"/>
  <c r="B18" i="31"/>
  <c r="C18" i="31" s="1"/>
  <c r="AM17" i="31"/>
  <c r="AF17" i="31"/>
  <c r="Y17" i="31"/>
  <c r="R17" i="31"/>
  <c r="K17" i="31"/>
  <c r="G17" i="31"/>
  <c r="B17" i="31"/>
  <c r="C17" i="31" s="1"/>
  <c r="AM16" i="31"/>
  <c r="AF16" i="31"/>
  <c r="Y16" i="31"/>
  <c r="R16" i="31"/>
  <c r="K16" i="31"/>
  <c r="G16" i="31"/>
  <c r="C16" i="31"/>
  <c r="AM15" i="31"/>
  <c r="AF15" i="31"/>
  <c r="Y15" i="31"/>
  <c r="R15" i="31"/>
  <c r="K15" i="31"/>
  <c r="G15" i="31"/>
  <c r="C15" i="31"/>
  <c r="AP12" i="31"/>
  <c r="AI12" i="31"/>
  <c r="AB12" i="31"/>
  <c r="U12" i="31"/>
  <c r="N12" i="31"/>
  <c r="AQ11" i="31"/>
  <c r="AN11" i="31"/>
  <c r="AG11" i="31"/>
  <c r="AJ11" i="31" s="1"/>
  <c r="AC11" i="31"/>
  <c r="Z11" i="31"/>
  <c r="S11" i="31"/>
  <c r="V11" i="31" s="1"/>
  <c r="L11" i="31"/>
  <c r="O11" i="31" s="1"/>
  <c r="H11" i="31"/>
  <c r="AL65" i="30"/>
  <c r="AE65" i="30"/>
  <c r="X65" i="30"/>
  <c r="Q65" i="30"/>
  <c r="J65" i="30"/>
  <c r="F65" i="30"/>
  <c r="G37" i="30" s="1"/>
  <c r="C50" i="30"/>
  <c r="C49" i="30"/>
  <c r="C48" i="30"/>
  <c r="C47" i="30"/>
  <c r="R46" i="30"/>
  <c r="C46" i="30"/>
  <c r="AM45" i="30"/>
  <c r="AF45" i="30"/>
  <c r="Y45" i="30"/>
  <c r="R45" i="30"/>
  <c r="K45" i="30"/>
  <c r="G45" i="30"/>
  <c r="C45" i="30"/>
  <c r="AF44" i="30"/>
  <c r="G44" i="30"/>
  <c r="C44" i="30"/>
  <c r="C43" i="30"/>
  <c r="AM41" i="30"/>
  <c r="AF41" i="30"/>
  <c r="Y41" i="30"/>
  <c r="R41" i="30"/>
  <c r="K41" i="30"/>
  <c r="G41" i="30"/>
  <c r="C41" i="30"/>
  <c r="AM40" i="30"/>
  <c r="AF40" i="30"/>
  <c r="Y40" i="30"/>
  <c r="R40" i="30"/>
  <c r="K40" i="30"/>
  <c r="G40" i="30"/>
  <c r="C40" i="30"/>
  <c r="AM38" i="30"/>
  <c r="AF38" i="30"/>
  <c r="Y38" i="30"/>
  <c r="R38" i="30"/>
  <c r="K38" i="30"/>
  <c r="G38" i="30"/>
  <c r="C38" i="30"/>
  <c r="AM37" i="30"/>
  <c r="AF37" i="30"/>
  <c r="AF46" i="30" s="1"/>
  <c r="Y37" i="30"/>
  <c r="S37" i="30"/>
  <c r="AC37" i="30" s="1"/>
  <c r="R37" i="30"/>
  <c r="K37" i="30"/>
  <c r="C37" i="30"/>
  <c r="AM36" i="30"/>
  <c r="AF36" i="30"/>
  <c r="Y36" i="30"/>
  <c r="R36" i="30"/>
  <c r="K36" i="30"/>
  <c r="G36" i="30"/>
  <c r="C36" i="30"/>
  <c r="AM35" i="30"/>
  <c r="AF35" i="30"/>
  <c r="Y35" i="30"/>
  <c r="R35" i="30"/>
  <c r="K35" i="30"/>
  <c r="G35" i="30"/>
  <c r="C35" i="30"/>
  <c r="AM34" i="30"/>
  <c r="AF34" i="30"/>
  <c r="Y34" i="30"/>
  <c r="R34" i="30"/>
  <c r="K34" i="30"/>
  <c r="G34" i="30"/>
  <c r="C34" i="30"/>
  <c r="AM33" i="30"/>
  <c r="AF33" i="30"/>
  <c r="Y33" i="30"/>
  <c r="R33" i="30"/>
  <c r="K33" i="30"/>
  <c r="G33" i="30"/>
  <c r="C33" i="30"/>
  <c r="AM32" i="30"/>
  <c r="AF32" i="30"/>
  <c r="Y32" i="30"/>
  <c r="R32" i="30"/>
  <c r="K32" i="30"/>
  <c r="G32" i="30"/>
  <c r="C32" i="30"/>
  <c r="AM31" i="30"/>
  <c r="AF31" i="30"/>
  <c r="Y31" i="30"/>
  <c r="R31" i="30"/>
  <c r="K31" i="30"/>
  <c r="G31" i="30"/>
  <c r="C31" i="30"/>
  <c r="AM30" i="30"/>
  <c r="AF30" i="30"/>
  <c r="Y30" i="30"/>
  <c r="R30" i="30"/>
  <c r="K30" i="30"/>
  <c r="G30" i="30"/>
  <c r="C30" i="30"/>
  <c r="AM28" i="30"/>
  <c r="AF28" i="30"/>
  <c r="Y28" i="30"/>
  <c r="R28" i="30"/>
  <c r="K28" i="30"/>
  <c r="G28" i="30"/>
  <c r="C28" i="30"/>
  <c r="AM27" i="30"/>
  <c r="AF27" i="30"/>
  <c r="Y27" i="30"/>
  <c r="R27" i="30"/>
  <c r="K27" i="30"/>
  <c r="G27" i="30"/>
  <c r="C27" i="30"/>
  <c r="AM26" i="30"/>
  <c r="AF26" i="30"/>
  <c r="Y26" i="30"/>
  <c r="R26" i="30"/>
  <c r="K26" i="30"/>
  <c r="G26" i="30"/>
  <c r="C26" i="30"/>
  <c r="AM25" i="30"/>
  <c r="AF25" i="30"/>
  <c r="Y25" i="30"/>
  <c r="R25" i="30"/>
  <c r="K25" i="30"/>
  <c r="G25" i="30"/>
  <c r="C25" i="30"/>
  <c r="AM24" i="30"/>
  <c r="AF24" i="30"/>
  <c r="Y24" i="30"/>
  <c r="R24" i="30"/>
  <c r="K24" i="30"/>
  <c r="G24" i="30"/>
  <c r="C24" i="30"/>
  <c r="AM23" i="30"/>
  <c r="AF23" i="30"/>
  <c r="Y23" i="30"/>
  <c r="R23" i="30"/>
  <c r="K23" i="30"/>
  <c r="G23" i="30"/>
  <c r="C23" i="30"/>
  <c r="AM22" i="30"/>
  <c r="AF22" i="30"/>
  <c r="Y22" i="30"/>
  <c r="R22" i="30"/>
  <c r="K22" i="30"/>
  <c r="G22" i="30"/>
  <c r="C22" i="30"/>
  <c r="AM21" i="30"/>
  <c r="AF21" i="30"/>
  <c r="Y21" i="30"/>
  <c r="R21" i="30"/>
  <c r="S21" i="30" s="1"/>
  <c r="Q21" i="30"/>
  <c r="K21" i="30"/>
  <c r="L21" i="30" s="1"/>
  <c r="V21" i="30" s="1"/>
  <c r="J21" i="30"/>
  <c r="H21" i="30"/>
  <c r="G21" i="30"/>
  <c r="F21" i="30"/>
  <c r="C21" i="30"/>
  <c r="AM20" i="30"/>
  <c r="AF20" i="30"/>
  <c r="Y20" i="30"/>
  <c r="R20" i="30"/>
  <c r="K20" i="30"/>
  <c r="G20" i="30"/>
  <c r="C20" i="30"/>
  <c r="AM19" i="30"/>
  <c r="AF19" i="30"/>
  <c r="Y19" i="30"/>
  <c r="R19" i="30"/>
  <c r="K19" i="30"/>
  <c r="G19" i="30"/>
  <c r="C19" i="30"/>
  <c r="AM18" i="30"/>
  <c r="AF18" i="30"/>
  <c r="Y18" i="30"/>
  <c r="R18" i="30"/>
  <c r="K18" i="30"/>
  <c r="G18" i="30"/>
  <c r="B18" i="30"/>
  <c r="C18" i="30" s="1"/>
  <c r="AM17" i="30"/>
  <c r="AF17" i="30"/>
  <c r="Y17" i="30"/>
  <c r="R17" i="30"/>
  <c r="K17" i="30"/>
  <c r="G17" i="30"/>
  <c r="C17" i="30"/>
  <c r="B17" i="30"/>
  <c r="AM16" i="30"/>
  <c r="AF16" i="30"/>
  <c r="Y16" i="30"/>
  <c r="R16" i="30"/>
  <c r="K16" i="30"/>
  <c r="G16" i="30"/>
  <c r="C16" i="30"/>
  <c r="AM15" i="30"/>
  <c r="AF15" i="30"/>
  <c r="Y15" i="30"/>
  <c r="R15" i="30"/>
  <c r="K15" i="30"/>
  <c r="G15" i="30"/>
  <c r="C15" i="30"/>
  <c r="AP12" i="30"/>
  <c r="AI12" i="30"/>
  <c r="AB12" i="30"/>
  <c r="U12" i="30"/>
  <c r="N12" i="30"/>
  <c r="AQ11" i="30"/>
  <c r="AN11" i="30"/>
  <c r="AG11" i="30"/>
  <c r="AJ11" i="30" s="1"/>
  <c r="AC11" i="30"/>
  <c r="Z11" i="30"/>
  <c r="V11" i="30"/>
  <c r="S11" i="30"/>
  <c r="O11" i="30"/>
  <c r="L11" i="30"/>
  <c r="H11" i="30"/>
  <c r="AL65" i="29"/>
  <c r="AM37" i="29" s="1"/>
  <c r="AE65" i="29"/>
  <c r="AF37" i="29" s="1"/>
  <c r="X65" i="29"/>
  <c r="Q65" i="29"/>
  <c r="J65" i="29"/>
  <c r="K37" i="29" s="1"/>
  <c r="F65" i="29"/>
  <c r="G37" i="29" s="1"/>
  <c r="C50" i="29"/>
  <c r="C49" i="29"/>
  <c r="C48" i="29"/>
  <c r="C47" i="29"/>
  <c r="C46" i="29"/>
  <c r="AM45" i="29"/>
  <c r="AF45" i="29"/>
  <c r="Y45" i="29"/>
  <c r="R45" i="29"/>
  <c r="K45" i="29"/>
  <c r="G45" i="29"/>
  <c r="C45" i="29"/>
  <c r="R44" i="29"/>
  <c r="C44" i="29"/>
  <c r="R43" i="29"/>
  <c r="C43" i="29"/>
  <c r="AM41" i="29"/>
  <c r="AF41" i="29"/>
  <c r="Y41" i="29"/>
  <c r="R41" i="29"/>
  <c r="K41" i="29"/>
  <c r="G41" i="29"/>
  <c r="C41" i="29"/>
  <c r="AM40" i="29"/>
  <c r="AF40" i="29"/>
  <c r="Y40" i="29"/>
  <c r="R40" i="29"/>
  <c r="K40" i="29"/>
  <c r="G40" i="29"/>
  <c r="C40" i="29"/>
  <c r="AM38" i="29"/>
  <c r="AF38" i="29"/>
  <c r="Y38" i="29"/>
  <c r="R38" i="29"/>
  <c r="K38" i="29"/>
  <c r="G38" i="29"/>
  <c r="C38" i="29"/>
  <c r="AC37" i="29"/>
  <c r="Y37" i="29"/>
  <c r="S37" i="29"/>
  <c r="R37" i="29"/>
  <c r="R46" i="29" s="1"/>
  <c r="C37" i="29"/>
  <c r="AM36" i="29"/>
  <c r="AF36" i="29"/>
  <c r="Y36" i="29"/>
  <c r="R36" i="29"/>
  <c r="K36" i="29"/>
  <c r="G36" i="29"/>
  <c r="C36" i="29"/>
  <c r="AM35" i="29"/>
  <c r="AF35" i="29"/>
  <c r="Y35" i="29"/>
  <c r="R35" i="29"/>
  <c r="K35" i="29"/>
  <c r="G35" i="29"/>
  <c r="C35" i="29"/>
  <c r="AM34" i="29"/>
  <c r="AF34" i="29"/>
  <c r="Y34" i="29"/>
  <c r="R34" i="29"/>
  <c r="K34" i="29"/>
  <c r="G34" i="29"/>
  <c r="C34" i="29"/>
  <c r="AM33" i="29"/>
  <c r="AF33" i="29"/>
  <c r="Y33" i="29"/>
  <c r="R33" i="29"/>
  <c r="K33" i="29"/>
  <c r="G33" i="29"/>
  <c r="C33" i="29"/>
  <c r="AM32" i="29"/>
  <c r="AF32" i="29"/>
  <c r="Y32" i="29"/>
  <c r="R32" i="29"/>
  <c r="K32" i="29"/>
  <c r="G32" i="29"/>
  <c r="C32" i="29"/>
  <c r="AM31" i="29"/>
  <c r="AF31" i="29"/>
  <c r="Y31" i="29"/>
  <c r="R31" i="29"/>
  <c r="K31" i="29"/>
  <c r="G31" i="29"/>
  <c r="C31" i="29"/>
  <c r="AM30" i="29"/>
  <c r="AF30" i="29"/>
  <c r="Y30" i="29"/>
  <c r="R30" i="29"/>
  <c r="K30" i="29"/>
  <c r="G30" i="29"/>
  <c r="C30" i="29"/>
  <c r="AM28" i="29"/>
  <c r="AF28" i="29"/>
  <c r="Y28" i="29"/>
  <c r="R28" i="29"/>
  <c r="K28" i="29"/>
  <c r="G28" i="29"/>
  <c r="C28" i="29"/>
  <c r="AM27" i="29"/>
  <c r="AF27" i="29"/>
  <c r="Y27" i="29"/>
  <c r="R27" i="29"/>
  <c r="K27" i="29"/>
  <c r="G27" i="29"/>
  <c r="C27" i="29"/>
  <c r="AM26" i="29"/>
  <c r="AF26" i="29"/>
  <c r="Y26" i="29"/>
  <c r="R26" i="29"/>
  <c r="K26" i="29"/>
  <c r="G26" i="29"/>
  <c r="C26" i="29"/>
  <c r="AM25" i="29"/>
  <c r="AF25" i="29"/>
  <c r="Y25" i="29"/>
  <c r="R25" i="29"/>
  <c r="K25" i="29"/>
  <c r="G25" i="29"/>
  <c r="C25" i="29"/>
  <c r="AM24" i="29"/>
  <c r="AF24" i="29"/>
  <c r="Y24" i="29"/>
  <c r="R24" i="29"/>
  <c r="K24" i="29"/>
  <c r="G24" i="29"/>
  <c r="C24" i="29"/>
  <c r="AM23" i="29"/>
  <c r="AF23" i="29"/>
  <c r="Y23" i="29"/>
  <c r="R23" i="29"/>
  <c r="K23" i="29"/>
  <c r="G23" i="29"/>
  <c r="C23" i="29"/>
  <c r="AM22" i="29"/>
  <c r="AF22" i="29"/>
  <c r="Y22" i="29"/>
  <c r="R22" i="29"/>
  <c r="K22" i="29"/>
  <c r="G22" i="29"/>
  <c r="C22" i="29"/>
  <c r="AM21" i="29"/>
  <c r="AF21" i="29"/>
  <c r="Y21" i="29"/>
  <c r="R21" i="29"/>
  <c r="S21" i="29" s="1"/>
  <c r="Q21" i="29"/>
  <c r="O21" i="29"/>
  <c r="N21" i="29"/>
  <c r="K21" i="29"/>
  <c r="L21" i="29" s="1"/>
  <c r="V21" i="29" s="1"/>
  <c r="J21" i="29"/>
  <c r="H21" i="29"/>
  <c r="G21" i="29"/>
  <c r="F21" i="29"/>
  <c r="C21" i="29"/>
  <c r="AM20" i="29"/>
  <c r="AF20" i="29"/>
  <c r="Y20" i="29"/>
  <c r="R20" i="29"/>
  <c r="K20" i="29"/>
  <c r="G20" i="29"/>
  <c r="C20" i="29"/>
  <c r="AM19" i="29"/>
  <c r="AF19" i="29"/>
  <c r="Y19" i="29"/>
  <c r="R19" i="29"/>
  <c r="K19" i="29"/>
  <c r="G19" i="29"/>
  <c r="C19" i="29"/>
  <c r="AM18" i="29"/>
  <c r="AF18" i="29"/>
  <c r="Y18" i="29"/>
  <c r="R18" i="29"/>
  <c r="K18" i="29"/>
  <c r="G18" i="29"/>
  <c r="C18" i="29"/>
  <c r="B18" i="29"/>
  <c r="AM17" i="29"/>
  <c r="AF17" i="29"/>
  <c r="Y17" i="29"/>
  <c r="R17" i="29"/>
  <c r="K17" i="29"/>
  <c r="G17" i="29"/>
  <c r="C17" i="29"/>
  <c r="B17" i="29"/>
  <c r="AM16" i="29"/>
  <c r="AF16" i="29"/>
  <c r="Y16" i="29"/>
  <c r="R16" i="29"/>
  <c r="K16" i="29"/>
  <c r="G16" i="29"/>
  <c r="C16" i="29"/>
  <c r="AM15" i="29"/>
  <c r="AF15" i="29"/>
  <c r="Y15" i="29"/>
  <c r="R15" i="29"/>
  <c r="K15" i="29"/>
  <c r="G15" i="29"/>
  <c r="C15" i="29"/>
  <c r="AP12" i="29"/>
  <c r="AI12" i="29"/>
  <c r="AB12" i="29"/>
  <c r="U12" i="29"/>
  <c r="N12" i="29"/>
  <c r="AQ11" i="29"/>
  <c r="AN11" i="29"/>
  <c r="AG11" i="29"/>
  <c r="AJ11" i="29" s="1"/>
  <c r="Z11" i="29"/>
  <c r="AC11" i="29" s="1"/>
  <c r="V11" i="29"/>
  <c r="S11" i="29"/>
  <c r="L11" i="29"/>
  <c r="O11" i="29" s="1"/>
  <c r="H11" i="29"/>
  <c r="AL65" i="28"/>
  <c r="AE65" i="28"/>
  <c r="X65" i="28"/>
  <c r="Q65" i="28"/>
  <c r="J65" i="28"/>
  <c r="F65" i="28"/>
  <c r="C50" i="28"/>
  <c r="C49" i="28"/>
  <c r="C48" i="28"/>
  <c r="C47" i="28"/>
  <c r="R46" i="28"/>
  <c r="K46" i="28"/>
  <c r="G46" i="28"/>
  <c r="C46" i="28"/>
  <c r="AM45" i="28"/>
  <c r="AF45" i="28"/>
  <c r="Y45" i="28"/>
  <c r="R45" i="28"/>
  <c r="K45" i="28"/>
  <c r="G45" i="28"/>
  <c r="C45" i="28"/>
  <c r="AM44" i="28"/>
  <c r="AF44" i="28"/>
  <c r="R44" i="28"/>
  <c r="K44" i="28"/>
  <c r="C44" i="28"/>
  <c r="R43" i="28"/>
  <c r="K43" i="28"/>
  <c r="C43" i="28"/>
  <c r="AM41" i="28"/>
  <c r="AF41" i="28"/>
  <c r="Y41" i="28"/>
  <c r="R41" i="28"/>
  <c r="K41" i="28"/>
  <c r="G41" i="28"/>
  <c r="C41" i="28"/>
  <c r="AM40" i="28"/>
  <c r="AF40" i="28"/>
  <c r="Y40" i="28"/>
  <c r="R40" i="28"/>
  <c r="K40" i="28"/>
  <c r="G40" i="28"/>
  <c r="C40" i="28"/>
  <c r="AM38" i="28"/>
  <c r="AF38" i="28"/>
  <c r="Y38" i="28"/>
  <c r="R38" i="28"/>
  <c r="K38" i="28"/>
  <c r="G38" i="28"/>
  <c r="C38" i="28"/>
  <c r="AM37" i="28"/>
  <c r="AM43" i="28" s="1"/>
  <c r="AF37" i="28"/>
  <c r="AC37" i="28"/>
  <c r="Y37" i="28"/>
  <c r="S37" i="28"/>
  <c r="R37" i="28"/>
  <c r="L37" i="28"/>
  <c r="K37" i="28"/>
  <c r="G37" i="28"/>
  <c r="C37" i="28"/>
  <c r="AM36" i="28"/>
  <c r="AF36" i="28"/>
  <c r="Y36" i="28"/>
  <c r="R36" i="28"/>
  <c r="K36" i="28"/>
  <c r="G36" i="28"/>
  <c r="C36" i="28"/>
  <c r="AM35" i="28"/>
  <c r="AF35" i="28"/>
  <c r="Y35" i="28"/>
  <c r="R35" i="28"/>
  <c r="K35" i="28"/>
  <c r="G35" i="28"/>
  <c r="C35" i="28"/>
  <c r="AM34" i="28"/>
  <c r="AF34" i="28"/>
  <c r="Y34" i="28"/>
  <c r="R34" i="28"/>
  <c r="K34" i="28"/>
  <c r="G34" i="28"/>
  <c r="C34" i="28"/>
  <c r="AM33" i="28"/>
  <c r="AF33" i="28"/>
  <c r="Y33" i="28"/>
  <c r="R33" i="28"/>
  <c r="K33" i="28"/>
  <c r="G33" i="28"/>
  <c r="C33" i="28"/>
  <c r="AM32" i="28"/>
  <c r="AF32" i="28"/>
  <c r="Y32" i="28"/>
  <c r="R32" i="28"/>
  <c r="K32" i="28"/>
  <c r="G32" i="28"/>
  <c r="C32" i="28"/>
  <c r="AM31" i="28"/>
  <c r="AF31" i="28"/>
  <c r="Y31" i="28"/>
  <c r="R31" i="28"/>
  <c r="K31" i="28"/>
  <c r="G31" i="28"/>
  <c r="C31" i="28"/>
  <c r="AM30" i="28"/>
  <c r="AF30" i="28"/>
  <c r="Y30" i="28"/>
  <c r="R30" i="28"/>
  <c r="K30" i="28"/>
  <c r="G30" i="28"/>
  <c r="C30" i="28"/>
  <c r="AM28" i="28"/>
  <c r="AF28" i="28"/>
  <c r="Y28" i="28"/>
  <c r="R28" i="28"/>
  <c r="K28" i="28"/>
  <c r="G28" i="28"/>
  <c r="C28" i="28"/>
  <c r="AM27" i="28"/>
  <c r="AF27" i="28"/>
  <c r="Y27" i="28"/>
  <c r="R27" i="28"/>
  <c r="K27" i="28"/>
  <c r="G27" i="28"/>
  <c r="C27" i="28"/>
  <c r="AM26" i="28"/>
  <c r="AF26" i="28"/>
  <c r="Y26" i="28"/>
  <c r="R26" i="28"/>
  <c r="K26" i="28"/>
  <c r="G26" i="28"/>
  <c r="C26" i="28"/>
  <c r="AM25" i="28"/>
  <c r="AF25" i="28"/>
  <c r="Y25" i="28"/>
  <c r="R25" i="28"/>
  <c r="K25" i="28"/>
  <c r="G25" i="28"/>
  <c r="C25" i="28"/>
  <c r="AM24" i="28"/>
  <c r="AF24" i="28"/>
  <c r="Y24" i="28"/>
  <c r="R24" i="28"/>
  <c r="K24" i="28"/>
  <c r="G24" i="28"/>
  <c r="C24" i="28"/>
  <c r="AM23" i="28"/>
  <c r="AF23" i="28"/>
  <c r="Y23" i="28"/>
  <c r="R23" i="28"/>
  <c r="K23" i="28"/>
  <c r="G23" i="28"/>
  <c r="C23" i="28"/>
  <c r="AM22" i="28"/>
  <c r="AF22" i="28"/>
  <c r="Y22" i="28"/>
  <c r="R22" i="28"/>
  <c r="K22" i="28"/>
  <c r="G22" i="28"/>
  <c r="C22" i="28"/>
  <c r="AM21" i="28"/>
  <c r="AF21" i="28"/>
  <c r="Y21" i="28"/>
  <c r="R21" i="28"/>
  <c r="S21" i="28" s="1"/>
  <c r="Q21" i="28"/>
  <c r="K21" i="28"/>
  <c r="J21" i="28"/>
  <c r="G21" i="28"/>
  <c r="F21" i="28"/>
  <c r="H21" i="28" s="1"/>
  <c r="C21" i="28"/>
  <c r="AM20" i="28"/>
  <c r="AF20" i="28"/>
  <c r="Y20" i="28"/>
  <c r="R20" i="28"/>
  <c r="K20" i="28"/>
  <c r="G20" i="28"/>
  <c r="C20" i="28"/>
  <c r="AM19" i="28"/>
  <c r="AF19" i="28"/>
  <c r="Y19" i="28"/>
  <c r="R19" i="28"/>
  <c r="K19" i="28"/>
  <c r="G19" i="28"/>
  <c r="C19" i="28"/>
  <c r="AM18" i="28"/>
  <c r="AF18" i="28"/>
  <c r="Y18" i="28"/>
  <c r="R18" i="28"/>
  <c r="K18" i="28"/>
  <c r="G18" i="28"/>
  <c r="B18" i="28"/>
  <c r="C18" i="28" s="1"/>
  <c r="AM17" i="28"/>
  <c r="AF17" i="28"/>
  <c r="Y17" i="28"/>
  <c r="R17" i="28"/>
  <c r="K17" i="28"/>
  <c r="G17" i="28"/>
  <c r="C17" i="28"/>
  <c r="B17" i="28"/>
  <c r="AM16" i="28"/>
  <c r="AF16" i="28"/>
  <c r="Y16" i="28"/>
  <c r="R16" i="28"/>
  <c r="K16" i="28"/>
  <c r="G16" i="28"/>
  <c r="C16" i="28"/>
  <c r="AM15" i="28"/>
  <c r="AF15" i="28"/>
  <c r="Y15" i="28"/>
  <c r="R15" i="28"/>
  <c r="K15" i="28"/>
  <c r="G15" i="28"/>
  <c r="C15" i="28"/>
  <c r="AP12" i="28"/>
  <c r="AI12" i="28"/>
  <c r="AB12" i="28"/>
  <c r="U12" i="28"/>
  <c r="N12" i="28"/>
  <c r="AQ11" i="28"/>
  <c r="AN11" i="28"/>
  <c r="AJ11" i="28"/>
  <c r="AG11" i="28"/>
  <c r="AC11" i="28"/>
  <c r="Z11" i="28"/>
  <c r="V11" i="28"/>
  <c r="S11" i="28"/>
  <c r="L11" i="28"/>
  <c r="O11" i="28" s="1"/>
  <c r="H11" i="28"/>
  <c r="AL65" i="27"/>
  <c r="AE65" i="27"/>
  <c r="AF37" i="27" s="1"/>
  <c r="X65" i="27"/>
  <c r="Y37" i="27" s="1"/>
  <c r="Z37" i="27" s="1"/>
  <c r="AB37" i="27" s="1"/>
  <c r="Q65" i="27"/>
  <c r="J65" i="27"/>
  <c r="F65" i="27"/>
  <c r="C50" i="27"/>
  <c r="C49" i="27"/>
  <c r="C48" i="27"/>
  <c r="C47" i="27"/>
  <c r="Y46" i="27"/>
  <c r="C46" i="27"/>
  <c r="AM45" i="27"/>
  <c r="AF45" i="27"/>
  <c r="Y45" i="27"/>
  <c r="R45" i="27"/>
  <c r="K45" i="27"/>
  <c r="G45" i="27"/>
  <c r="C45" i="27"/>
  <c r="Y44" i="27"/>
  <c r="C44" i="27"/>
  <c r="Y43" i="27"/>
  <c r="K43" i="27"/>
  <c r="C43" i="27"/>
  <c r="AM41" i="27"/>
  <c r="AF41" i="27"/>
  <c r="Y41" i="27"/>
  <c r="R41" i="27"/>
  <c r="K41" i="27"/>
  <c r="G41" i="27"/>
  <c r="C41" i="27"/>
  <c r="AM40" i="27"/>
  <c r="AF40" i="27"/>
  <c r="Y40" i="27"/>
  <c r="R40" i="27"/>
  <c r="K40" i="27"/>
  <c r="G40" i="27"/>
  <c r="C40" i="27"/>
  <c r="AM38" i="27"/>
  <c r="AF38" i="27"/>
  <c r="Y38" i="27"/>
  <c r="R38" i="27"/>
  <c r="K38" i="27"/>
  <c r="G38" i="27"/>
  <c r="C38" i="27"/>
  <c r="AM37" i="27"/>
  <c r="AJ37" i="27"/>
  <c r="AC37" i="27"/>
  <c r="S37" i="27"/>
  <c r="R37" i="27"/>
  <c r="R46" i="27" s="1"/>
  <c r="K37" i="27"/>
  <c r="H37" i="27"/>
  <c r="O37" i="27" s="1"/>
  <c r="G37" i="27"/>
  <c r="G44" i="27" s="1"/>
  <c r="C37" i="27"/>
  <c r="AM36" i="27"/>
  <c r="AF36" i="27"/>
  <c r="Y36" i="27"/>
  <c r="R36" i="27"/>
  <c r="K36" i="27"/>
  <c r="G36" i="27"/>
  <c r="C36" i="27"/>
  <c r="AM35" i="27"/>
  <c r="AF35" i="27"/>
  <c r="Y35" i="27"/>
  <c r="R35" i="27"/>
  <c r="K35" i="27"/>
  <c r="G35" i="27"/>
  <c r="C35" i="27"/>
  <c r="AM34" i="27"/>
  <c r="AF34" i="27"/>
  <c r="Y34" i="27"/>
  <c r="R34" i="27"/>
  <c r="K34" i="27"/>
  <c r="G34" i="27"/>
  <c r="C34" i="27"/>
  <c r="AM33" i="27"/>
  <c r="AF33" i="27"/>
  <c r="Y33" i="27"/>
  <c r="R33" i="27"/>
  <c r="K33" i="27"/>
  <c r="G33" i="27"/>
  <c r="C33" i="27"/>
  <c r="AM32" i="27"/>
  <c r="AF32" i="27"/>
  <c r="Y32" i="27"/>
  <c r="R32" i="27"/>
  <c r="K32" i="27"/>
  <c r="G32" i="27"/>
  <c r="C32" i="27"/>
  <c r="AM31" i="27"/>
  <c r="AF31" i="27"/>
  <c r="Y31" i="27"/>
  <c r="R31" i="27"/>
  <c r="K31" i="27"/>
  <c r="G31" i="27"/>
  <c r="C31" i="27"/>
  <c r="AM30" i="27"/>
  <c r="AF30" i="27"/>
  <c r="Y30" i="27"/>
  <c r="R30" i="27"/>
  <c r="K30" i="27"/>
  <c r="G30" i="27"/>
  <c r="C30" i="27"/>
  <c r="AM28" i="27"/>
  <c r="AF28" i="27"/>
  <c r="Y28" i="27"/>
  <c r="R28" i="27"/>
  <c r="K28" i="27"/>
  <c r="G28" i="27"/>
  <c r="C28" i="27"/>
  <c r="AM27" i="27"/>
  <c r="AF27" i="27"/>
  <c r="Y27" i="27"/>
  <c r="R27" i="27"/>
  <c r="K27" i="27"/>
  <c r="G27" i="27"/>
  <c r="C27" i="27"/>
  <c r="AM26" i="27"/>
  <c r="AF26" i="27"/>
  <c r="Y26" i="27"/>
  <c r="R26" i="27"/>
  <c r="K26" i="27"/>
  <c r="G26" i="27"/>
  <c r="C26" i="27"/>
  <c r="AM25" i="27"/>
  <c r="AF25" i="27"/>
  <c r="Y25" i="27"/>
  <c r="R25" i="27"/>
  <c r="K25" i="27"/>
  <c r="G25" i="27"/>
  <c r="C25" i="27"/>
  <c r="AM24" i="27"/>
  <c r="AF24" i="27"/>
  <c r="Y24" i="27"/>
  <c r="R24" i="27"/>
  <c r="K24" i="27"/>
  <c r="G24" i="27"/>
  <c r="C24" i="27"/>
  <c r="AM23" i="27"/>
  <c r="AF23" i="27"/>
  <c r="Y23" i="27"/>
  <c r="R23" i="27"/>
  <c r="K23" i="27"/>
  <c r="G23" i="27"/>
  <c r="C23" i="27"/>
  <c r="AM22" i="27"/>
  <c r="AF22" i="27"/>
  <c r="Y22" i="27"/>
  <c r="R22" i="27"/>
  <c r="K22" i="27"/>
  <c r="G22" i="27"/>
  <c r="C22" i="27"/>
  <c r="AM21" i="27"/>
  <c r="AF21" i="27"/>
  <c r="Y21" i="27"/>
  <c r="U21" i="27"/>
  <c r="S21" i="27"/>
  <c r="R21" i="27"/>
  <c r="Q21" i="27"/>
  <c r="K21" i="27"/>
  <c r="L21" i="27" s="1"/>
  <c r="V21" i="27" s="1"/>
  <c r="J21" i="27"/>
  <c r="G21" i="27"/>
  <c r="F21" i="27"/>
  <c r="C21" i="27"/>
  <c r="AM20" i="27"/>
  <c r="AF20" i="27"/>
  <c r="Y20" i="27"/>
  <c r="R20" i="27"/>
  <c r="K20" i="27"/>
  <c r="G20" i="27"/>
  <c r="C20" i="27"/>
  <c r="AM19" i="27"/>
  <c r="AF19" i="27"/>
  <c r="Y19" i="27"/>
  <c r="R19" i="27"/>
  <c r="K19" i="27"/>
  <c r="G19" i="27"/>
  <c r="C19" i="27"/>
  <c r="AM18" i="27"/>
  <c r="AF18" i="27"/>
  <c r="Y18" i="27"/>
  <c r="R18" i="27"/>
  <c r="K18" i="27"/>
  <c r="G18" i="27"/>
  <c r="B18" i="27"/>
  <c r="C18" i="27" s="1"/>
  <c r="AM17" i="27"/>
  <c r="AF17" i="27"/>
  <c r="Y17" i="27"/>
  <c r="R17" i="27"/>
  <c r="K17" i="27"/>
  <c r="G17" i="27"/>
  <c r="B17" i="27"/>
  <c r="C17" i="27" s="1"/>
  <c r="AM16" i="27"/>
  <c r="AF16" i="27"/>
  <c r="Y16" i="27"/>
  <c r="R16" i="27"/>
  <c r="K16" i="27"/>
  <c r="G16" i="27"/>
  <c r="C16" i="27"/>
  <c r="AM15" i="27"/>
  <c r="AF15" i="27"/>
  <c r="Y15" i="27"/>
  <c r="R15" i="27"/>
  <c r="K15" i="27"/>
  <c r="G15" i="27"/>
  <c r="C15" i="27"/>
  <c r="AP12" i="27"/>
  <c r="AI12" i="27"/>
  <c r="AB12" i="27"/>
  <c r="U12" i="27"/>
  <c r="N12" i="27"/>
  <c r="AN11" i="27"/>
  <c r="AQ11" i="27" s="1"/>
  <c r="AG11" i="27"/>
  <c r="AJ11" i="27" s="1"/>
  <c r="AC11" i="27"/>
  <c r="Z11" i="27"/>
  <c r="V11" i="27"/>
  <c r="S11" i="27"/>
  <c r="L11" i="27"/>
  <c r="O11" i="27" s="1"/>
  <c r="H11" i="27"/>
  <c r="AL65" i="26"/>
  <c r="AM37" i="26" s="1"/>
  <c r="AE65" i="26"/>
  <c r="X65" i="26"/>
  <c r="Q65" i="26"/>
  <c r="R37" i="26" s="1"/>
  <c r="J65" i="26"/>
  <c r="F65" i="26"/>
  <c r="G37" i="26" s="1"/>
  <c r="C50" i="26"/>
  <c r="C49" i="26"/>
  <c r="C48" i="26"/>
  <c r="C47" i="26"/>
  <c r="AM46" i="26"/>
  <c r="R46" i="26"/>
  <c r="C46" i="26"/>
  <c r="AM45" i="26"/>
  <c r="AF45" i="26"/>
  <c r="Y45" i="26"/>
  <c r="R45" i="26"/>
  <c r="K45" i="26"/>
  <c r="G45" i="26"/>
  <c r="C45" i="26"/>
  <c r="AF44" i="26"/>
  <c r="C44" i="26"/>
  <c r="AF43" i="26"/>
  <c r="G43" i="26"/>
  <c r="C43" i="26"/>
  <c r="AM41" i="26"/>
  <c r="AF41" i="26"/>
  <c r="Y41" i="26"/>
  <c r="R41" i="26"/>
  <c r="K41" i="26"/>
  <c r="G41" i="26"/>
  <c r="C41" i="26"/>
  <c r="AM40" i="26"/>
  <c r="AF40" i="26"/>
  <c r="Y40" i="26"/>
  <c r="R40" i="26"/>
  <c r="K40" i="26"/>
  <c r="G40" i="26"/>
  <c r="C40" i="26"/>
  <c r="AM38" i="26"/>
  <c r="AF38" i="26"/>
  <c r="Y38" i="26"/>
  <c r="R38" i="26"/>
  <c r="K38" i="26"/>
  <c r="G38" i="26"/>
  <c r="C38" i="26"/>
  <c r="AF37" i="26"/>
  <c r="AG37" i="26" s="1"/>
  <c r="Y37" i="26"/>
  <c r="K37" i="26"/>
  <c r="K43" i="26" s="1"/>
  <c r="C37" i="26"/>
  <c r="AM36" i="26"/>
  <c r="AF36" i="26"/>
  <c r="Y36" i="26"/>
  <c r="R36" i="26"/>
  <c r="K36" i="26"/>
  <c r="G36" i="26"/>
  <c r="C36" i="26"/>
  <c r="AM35" i="26"/>
  <c r="AF35" i="26"/>
  <c r="Y35" i="26"/>
  <c r="R35" i="26"/>
  <c r="K35" i="26"/>
  <c r="G35" i="26"/>
  <c r="C35" i="26"/>
  <c r="AM34" i="26"/>
  <c r="AF34" i="26"/>
  <c r="Y34" i="26"/>
  <c r="R34" i="26"/>
  <c r="K34" i="26"/>
  <c r="G34" i="26"/>
  <c r="C34" i="26"/>
  <c r="AM33" i="26"/>
  <c r="AF33" i="26"/>
  <c r="Y33" i="26"/>
  <c r="R33" i="26"/>
  <c r="K33" i="26"/>
  <c r="G33" i="26"/>
  <c r="C33" i="26"/>
  <c r="AM32" i="26"/>
  <c r="AF32" i="26"/>
  <c r="Y32" i="26"/>
  <c r="R32" i="26"/>
  <c r="K32" i="26"/>
  <c r="G32" i="26"/>
  <c r="C32" i="26"/>
  <c r="AM31" i="26"/>
  <c r="AF31" i="26"/>
  <c r="Y31" i="26"/>
  <c r="R31" i="26"/>
  <c r="K31" i="26"/>
  <c r="G31" i="26"/>
  <c r="C31" i="26"/>
  <c r="AM30" i="26"/>
  <c r="AF30" i="26"/>
  <c r="Y30" i="26"/>
  <c r="R30" i="26"/>
  <c r="K30" i="26"/>
  <c r="G30" i="26"/>
  <c r="C30" i="26"/>
  <c r="AM28" i="26"/>
  <c r="AF28" i="26"/>
  <c r="Y28" i="26"/>
  <c r="R28" i="26"/>
  <c r="K28" i="26"/>
  <c r="G28" i="26"/>
  <c r="C28" i="26"/>
  <c r="AM27" i="26"/>
  <c r="AF27" i="26"/>
  <c r="Y27" i="26"/>
  <c r="R27" i="26"/>
  <c r="K27" i="26"/>
  <c r="G27" i="26"/>
  <c r="C27" i="26"/>
  <c r="AM26" i="26"/>
  <c r="AF26" i="26"/>
  <c r="Y26" i="26"/>
  <c r="R26" i="26"/>
  <c r="K26" i="26"/>
  <c r="G26" i="26"/>
  <c r="C26" i="26"/>
  <c r="AM25" i="26"/>
  <c r="AF25" i="26"/>
  <c r="Y25" i="26"/>
  <c r="R25" i="26"/>
  <c r="K25" i="26"/>
  <c r="G25" i="26"/>
  <c r="C25" i="26"/>
  <c r="AM24" i="26"/>
  <c r="AF24" i="26"/>
  <c r="Y24" i="26"/>
  <c r="R24" i="26"/>
  <c r="K24" i="26"/>
  <c r="G24" i="26"/>
  <c r="C24" i="26"/>
  <c r="AM23" i="26"/>
  <c r="AF23" i="26"/>
  <c r="Y23" i="26"/>
  <c r="R23" i="26"/>
  <c r="K23" i="26"/>
  <c r="G23" i="26"/>
  <c r="C23" i="26"/>
  <c r="AM22" i="26"/>
  <c r="AF22" i="26"/>
  <c r="Y22" i="26"/>
  <c r="R22" i="26"/>
  <c r="K22" i="26"/>
  <c r="G22" i="26"/>
  <c r="C22" i="26"/>
  <c r="AM21" i="26"/>
  <c r="AF21" i="26"/>
  <c r="Y21" i="26"/>
  <c r="U21" i="26"/>
  <c r="R21" i="26"/>
  <c r="S21" i="26" s="1"/>
  <c r="Q21" i="26"/>
  <c r="K21" i="26"/>
  <c r="J21" i="26"/>
  <c r="L21" i="26" s="1"/>
  <c r="G21" i="26"/>
  <c r="H21" i="26" s="1"/>
  <c r="F21" i="26"/>
  <c r="C21" i="26"/>
  <c r="AM20" i="26"/>
  <c r="AF20" i="26"/>
  <c r="Y20" i="26"/>
  <c r="R20" i="26"/>
  <c r="K20" i="26"/>
  <c r="G20" i="26"/>
  <c r="C20" i="26"/>
  <c r="AM19" i="26"/>
  <c r="AF19" i="26"/>
  <c r="Y19" i="26"/>
  <c r="R19" i="26"/>
  <c r="K19" i="26"/>
  <c r="G19" i="26"/>
  <c r="C19" i="26"/>
  <c r="AM18" i="26"/>
  <c r="AF18" i="26"/>
  <c r="Y18" i="26"/>
  <c r="R18" i="26"/>
  <c r="K18" i="26"/>
  <c r="G18" i="26"/>
  <c r="B18" i="26"/>
  <c r="C18" i="26" s="1"/>
  <c r="AM17" i="26"/>
  <c r="AF17" i="26"/>
  <c r="Y17" i="26"/>
  <c r="R17" i="26"/>
  <c r="K17" i="26"/>
  <c r="G17" i="26"/>
  <c r="C17" i="26"/>
  <c r="B17" i="26"/>
  <c r="AM16" i="26"/>
  <c r="AF16" i="26"/>
  <c r="Y16" i="26"/>
  <c r="R16" i="26"/>
  <c r="K16" i="26"/>
  <c r="G16" i="26"/>
  <c r="C16" i="26"/>
  <c r="AM15" i="26"/>
  <c r="AF15" i="26"/>
  <c r="Y15" i="26"/>
  <c r="R15" i="26"/>
  <c r="K15" i="26"/>
  <c r="G15" i="26"/>
  <c r="C15" i="26"/>
  <c r="AP12" i="26"/>
  <c r="AI12" i="26"/>
  <c r="AB12" i="26"/>
  <c r="U12" i="26"/>
  <c r="N12" i="26"/>
  <c r="AQ11" i="26"/>
  <c r="AN11" i="26"/>
  <c r="AG11" i="26"/>
  <c r="AJ11" i="26" s="1"/>
  <c r="Z11" i="26"/>
  <c r="AC11" i="26" s="1"/>
  <c r="S11" i="26"/>
  <c r="V11" i="26" s="1"/>
  <c r="O11" i="26"/>
  <c r="L11" i="26"/>
  <c r="H11" i="26"/>
  <c r="AL65" i="25"/>
  <c r="AE65" i="25"/>
  <c r="X65" i="25"/>
  <c r="Q65" i="25"/>
  <c r="J65" i="25"/>
  <c r="F65" i="25"/>
  <c r="C50" i="25"/>
  <c r="C49" i="25"/>
  <c r="C48" i="25"/>
  <c r="C47" i="25"/>
  <c r="C46" i="25"/>
  <c r="AM45" i="25"/>
  <c r="AF45" i="25"/>
  <c r="Y45" i="25"/>
  <c r="R45" i="25"/>
  <c r="K45" i="25"/>
  <c r="G45" i="25"/>
  <c r="C45" i="25"/>
  <c r="C44" i="25"/>
  <c r="C43" i="25"/>
  <c r="AM41" i="25"/>
  <c r="AF41" i="25"/>
  <c r="Y41" i="25"/>
  <c r="R41" i="25"/>
  <c r="K41" i="25"/>
  <c r="G41" i="25"/>
  <c r="C41" i="25"/>
  <c r="AM40" i="25"/>
  <c r="AF40" i="25"/>
  <c r="Y40" i="25"/>
  <c r="R40" i="25"/>
  <c r="K40" i="25"/>
  <c r="G40" i="25"/>
  <c r="C40" i="25"/>
  <c r="AM38" i="25"/>
  <c r="AF38" i="25"/>
  <c r="Y38" i="25"/>
  <c r="R38" i="25"/>
  <c r="K38" i="25"/>
  <c r="G38" i="25"/>
  <c r="C38" i="25"/>
  <c r="AF37" i="25"/>
  <c r="AG37" i="25" s="1"/>
  <c r="C37" i="25"/>
  <c r="AM36" i="25"/>
  <c r="AF36" i="25"/>
  <c r="Y36" i="25"/>
  <c r="R36" i="25"/>
  <c r="K36" i="25"/>
  <c r="G36" i="25"/>
  <c r="C36" i="25"/>
  <c r="AM35" i="25"/>
  <c r="AF35" i="25"/>
  <c r="Y35" i="25"/>
  <c r="R35" i="25"/>
  <c r="K35" i="25"/>
  <c r="G35" i="25"/>
  <c r="C35" i="25"/>
  <c r="AM34" i="25"/>
  <c r="AF34" i="25"/>
  <c r="Y34" i="25"/>
  <c r="R34" i="25"/>
  <c r="K34" i="25"/>
  <c r="G34" i="25"/>
  <c r="C34" i="25"/>
  <c r="C33" i="25"/>
  <c r="C32" i="25"/>
  <c r="AM31" i="25"/>
  <c r="AF31" i="25"/>
  <c r="Y31" i="25"/>
  <c r="R31" i="25"/>
  <c r="K31" i="25"/>
  <c r="G31" i="25"/>
  <c r="C31" i="25"/>
  <c r="AM30" i="25"/>
  <c r="AF30" i="25"/>
  <c r="Y30" i="25"/>
  <c r="R30" i="25"/>
  <c r="K30" i="25"/>
  <c r="G30" i="25"/>
  <c r="C30" i="25"/>
  <c r="AM28" i="25"/>
  <c r="AF28" i="25"/>
  <c r="Y28" i="25"/>
  <c r="R28" i="25"/>
  <c r="K28" i="25"/>
  <c r="G28" i="25"/>
  <c r="C28" i="25"/>
  <c r="AM27" i="25"/>
  <c r="AF27" i="25"/>
  <c r="Y27" i="25"/>
  <c r="R27" i="25"/>
  <c r="K27" i="25"/>
  <c r="G27" i="25"/>
  <c r="C27" i="25"/>
  <c r="AM26" i="25"/>
  <c r="AF26" i="25"/>
  <c r="Y26" i="25"/>
  <c r="R26" i="25"/>
  <c r="K26" i="25"/>
  <c r="G26" i="25"/>
  <c r="C26" i="25"/>
  <c r="AM25" i="25"/>
  <c r="AF25" i="25"/>
  <c r="Y25" i="25"/>
  <c r="R25" i="25"/>
  <c r="K25" i="25"/>
  <c r="G25" i="25"/>
  <c r="C25" i="25"/>
  <c r="AM24" i="25"/>
  <c r="AF24" i="25"/>
  <c r="Y24" i="25"/>
  <c r="R24" i="25"/>
  <c r="K24" i="25"/>
  <c r="G24" i="25"/>
  <c r="C24" i="25"/>
  <c r="AM23" i="25"/>
  <c r="AF23" i="25"/>
  <c r="Y23" i="25"/>
  <c r="R23" i="25"/>
  <c r="K23" i="25"/>
  <c r="G23" i="25"/>
  <c r="C23" i="25"/>
  <c r="AM22" i="25"/>
  <c r="AF22" i="25"/>
  <c r="Y22" i="25"/>
  <c r="R22" i="25"/>
  <c r="K22" i="25"/>
  <c r="G22" i="25"/>
  <c r="C22" i="25"/>
  <c r="AM21" i="25"/>
  <c r="AF21" i="25"/>
  <c r="Y21" i="25"/>
  <c r="U21" i="25"/>
  <c r="R21" i="25"/>
  <c r="S21" i="25" s="1"/>
  <c r="Q21" i="25"/>
  <c r="L21" i="25"/>
  <c r="K21" i="25"/>
  <c r="J21" i="25"/>
  <c r="G21" i="25"/>
  <c r="F21" i="25"/>
  <c r="C21" i="25"/>
  <c r="C20" i="25"/>
  <c r="AM19" i="25"/>
  <c r="AF19" i="25"/>
  <c r="Y19" i="25"/>
  <c r="R19" i="25"/>
  <c r="K19" i="25"/>
  <c r="G19" i="25"/>
  <c r="C19" i="25"/>
  <c r="AM18" i="25"/>
  <c r="AF18" i="25"/>
  <c r="Y18" i="25"/>
  <c r="R18" i="25"/>
  <c r="K18" i="25"/>
  <c r="G18" i="25"/>
  <c r="B18" i="25"/>
  <c r="C18" i="25" s="1"/>
  <c r="AM17" i="25"/>
  <c r="AF17" i="25"/>
  <c r="Y17" i="25"/>
  <c r="R17" i="25"/>
  <c r="K17" i="25"/>
  <c r="G17" i="25"/>
  <c r="B17" i="25"/>
  <c r="C17" i="25" s="1"/>
  <c r="AM16" i="25"/>
  <c r="AF16" i="25"/>
  <c r="Y16" i="25"/>
  <c r="R16" i="25"/>
  <c r="K16" i="25"/>
  <c r="G16" i="25"/>
  <c r="C16" i="25"/>
  <c r="AM15" i="25"/>
  <c r="AF15" i="25"/>
  <c r="Y15" i="25"/>
  <c r="R15" i="25"/>
  <c r="K15" i="25"/>
  <c r="G15" i="25"/>
  <c r="C15" i="25"/>
  <c r="AP12" i="25"/>
  <c r="AI12" i="25"/>
  <c r="AB12" i="25"/>
  <c r="U12" i="25"/>
  <c r="N12" i="25"/>
  <c r="AQ11" i="25"/>
  <c r="AN11" i="25"/>
  <c r="AJ11" i="25"/>
  <c r="AG11" i="25"/>
  <c r="AC11" i="25"/>
  <c r="Z11" i="25"/>
  <c r="V11" i="25"/>
  <c r="S11" i="25"/>
  <c r="O11" i="25"/>
  <c r="L11" i="25"/>
  <c r="H11" i="25"/>
  <c r="F9" i="25"/>
  <c r="AF44" i="25" s="1"/>
  <c r="AL63" i="24"/>
  <c r="AM42" i="24" s="1"/>
  <c r="AE63" i="24"/>
  <c r="AF38" i="24" s="1"/>
  <c r="X63" i="24"/>
  <c r="Y39" i="24" s="1"/>
  <c r="Q63" i="24"/>
  <c r="J63" i="24"/>
  <c r="K42" i="24" s="1"/>
  <c r="F63" i="24"/>
  <c r="G35" i="24" s="1"/>
  <c r="J59" i="24"/>
  <c r="J53" i="24"/>
  <c r="Q53" i="24" s="1"/>
  <c r="F53" i="24"/>
  <c r="F59" i="24" s="1"/>
  <c r="AP48" i="24"/>
  <c r="AQ48" i="24" s="1"/>
  <c r="AN48" i="24"/>
  <c r="AM48" i="24"/>
  <c r="AL48" i="24"/>
  <c r="AF48" i="24"/>
  <c r="AG48" i="24" s="1"/>
  <c r="AI48" i="24" s="1"/>
  <c r="AE48" i="24"/>
  <c r="AB48" i="24"/>
  <c r="Z48" i="24"/>
  <c r="Y48" i="24"/>
  <c r="X48" i="24"/>
  <c r="R48" i="24"/>
  <c r="S48" i="24" s="1"/>
  <c r="AC48" i="24" s="1"/>
  <c r="Q48" i="24"/>
  <c r="K48" i="24"/>
  <c r="J48" i="24"/>
  <c r="G48" i="24"/>
  <c r="H48" i="24" s="1"/>
  <c r="F48" i="24"/>
  <c r="C48" i="24"/>
  <c r="AN47" i="24"/>
  <c r="AM47" i="24"/>
  <c r="AL47" i="24"/>
  <c r="AF47" i="24"/>
  <c r="AG47" i="24" s="1"/>
  <c r="AE47" i="24"/>
  <c r="Y47" i="24"/>
  <c r="X47" i="24"/>
  <c r="R47" i="24"/>
  <c r="S47" i="24" s="1"/>
  <c r="Q47" i="24"/>
  <c r="L47" i="24"/>
  <c r="K47" i="24"/>
  <c r="J47" i="24"/>
  <c r="G47" i="24"/>
  <c r="F47" i="24"/>
  <c r="H47" i="24" s="1"/>
  <c r="C47" i="24"/>
  <c r="AM46" i="24"/>
  <c r="AL46" i="24"/>
  <c r="AN46" i="24" s="1"/>
  <c r="AF46" i="24"/>
  <c r="AE46" i="24"/>
  <c r="Z46" i="24"/>
  <c r="Y46" i="24"/>
  <c r="X46" i="24"/>
  <c r="R46" i="24"/>
  <c r="S46" i="24" s="1"/>
  <c r="Q46" i="24"/>
  <c r="L46" i="24"/>
  <c r="K46" i="24"/>
  <c r="J46" i="24"/>
  <c r="G46" i="24"/>
  <c r="F46" i="24"/>
  <c r="H46" i="24" s="1"/>
  <c r="C46" i="24"/>
  <c r="AM45" i="24"/>
  <c r="AN45" i="24" s="1"/>
  <c r="AP45" i="24" s="1"/>
  <c r="AL45" i="24"/>
  <c r="AF45" i="24"/>
  <c r="AE45" i="24"/>
  <c r="AG45" i="24" s="1"/>
  <c r="Z45" i="24"/>
  <c r="AB45" i="24" s="1"/>
  <c r="Y45" i="24"/>
  <c r="X45" i="24"/>
  <c r="R45" i="24"/>
  <c r="Q45" i="24"/>
  <c r="S45" i="24" s="1"/>
  <c r="K45" i="24"/>
  <c r="J45" i="24"/>
  <c r="L45" i="24" s="1"/>
  <c r="G45" i="24"/>
  <c r="F45" i="24"/>
  <c r="H45" i="24" s="1"/>
  <c r="C45" i="24"/>
  <c r="AM44" i="24"/>
  <c r="AN44" i="24" s="1"/>
  <c r="AL44" i="24"/>
  <c r="AF44" i="24"/>
  <c r="AG44" i="24" s="1"/>
  <c r="AE44" i="24"/>
  <c r="Z44" i="24"/>
  <c r="Y44" i="24"/>
  <c r="X44" i="24"/>
  <c r="X35" i="24" s="1"/>
  <c r="S44" i="24"/>
  <c r="R44" i="24"/>
  <c r="Q44" i="24"/>
  <c r="K44" i="24"/>
  <c r="J44" i="24"/>
  <c r="L44" i="24" s="1"/>
  <c r="G44" i="24"/>
  <c r="H44" i="24" s="1"/>
  <c r="F44" i="24"/>
  <c r="F35" i="24" s="1"/>
  <c r="C44" i="24"/>
  <c r="AM43" i="24"/>
  <c r="AF43" i="24"/>
  <c r="Y43" i="24"/>
  <c r="R43" i="24"/>
  <c r="K43" i="24"/>
  <c r="G43" i="24"/>
  <c r="C43" i="24"/>
  <c r="AF42" i="24"/>
  <c r="Y42" i="24"/>
  <c r="R42" i="24"/>
  <c r="G42" i="24"/>
  <c r="C42" i="24"/>
  <c r="AM41" i="24"/>
  <c r="AF41" i="24"/>
  <c r="Y41" i="24"/>
  <c r="R41" i="24"/>
  <c r="K41" i="24"/>
  <c r="G41" i="24"/>
  <c r="C41" i="24"/>
  <c r="AF39" i="24"/>
  <c r="R39" i="24"/>
  <c r="K39" i="24"/>
  <c r="G39" i="24"/>
  <c r="C39" i="24"/>
  <c r="Y38" i="24"/>
  <c r="R38" i="24"/>
  <c r="K38" i="24"/>
  <c r="G38" i="24"/>
  <c r="C38" i="24"/>
  <c r="AM36" i="24"/>
  <c r="AF36" i="24"/>
  <c r="Y36" i="24"/>
  <c r="R36" i="24"/>
  <c r="K36" i="24"/>
  <c r="G36" i="24"/>
  <c r="C36" i="24"/>
  <c r="AM35" i="24"/>
  <c r="AN35" i="24" s="1"/>
  <c r="AP35" i="24" s="1"/>
  <c r="AQ35" i="24" s="1"/>
  <c r="AL35" i="24"/>
  <c r="AG35" i="24"/>
  <c r="AF35" i="24"/>
  <c r="AE35" i="24"/>
  <c r="Y35" i="24"/>
  <c r="Z35" i="24" s="1"/>
  <c r="S35" i="24"/>
  <c r="R35" i="24"/>
  <c r="Q35" i="24"/>
  <c r="K35" i="24"/>
  <c r="C35" i="24"/>
  <c r="AM34" i="24"/>
  <c r="AF34" i="24"/>
  <c r="R34" i="24"/>
  <c r="K34" i="24"/>
  <c r="G34" i="24"/>
  <c r="C34" i="24"/>
  <c r="AM33" i="24"/>
  <c r="AF33" i="24"/>
  <c r="Y33" i="24"/>
  <c r="R33" i="24"/>
  <c r="K33" i="24"/>
  <c r="G33" i="24"/>
  <c r="C33" i="24"/>
  <c r="AM32" i="24"/>
  <c r="AF32" i="24"/>
  <c r="Y32" i="24"/>
  <c r="R32" i="24"/>
  <c r="K32" i="24"/>
  <c r="G32" i="24"/>
  <c r="C32" i="24"/>
  <c r="AM31" i="24"/>
  <c r="AF31" i="24"/>
  <c r="Y31" i="24"/>
  <c r="R31" i="24"/>
  <c r="K31" i="24"/>
  <c r="G31" i="24"/>
  <c r="C31" i="24"/>
  <c r="AM30" i="24"/>
  <c r="AF30" i="24"/>
  <c r="Y30" i="24"/>
  <c r="R30" i="24"/>
  <c r="K30" i="24"/>
  <c r="G30" i="24"/>
  <c r="C30" i="24"/>
  <c r="AM28" i="24"/>
  <c r="AF28" i="24"/>
  <c r="Y28" i="24"/>
  <c r="R28" i="24"/>
  <c r="K28" i="24"/>
  <c r="G28" i="24"/>
  <c r="C28" i="24"/>
  <c r="AM27" i="24"/>
  <c r="AF27" i="24"/>
  <c r="Y27" i="24"/>
  <c r="R27" i="24"/>
  <c r="K27" i="24"/>
  <c r="G27" i="24"/>
  <c r="C27" i="24"/>
  <c r="AM26" i="24"/>
  <c r="AF26" i="24"/>
  <c r="Y26" i="24"/>
  <c r="R26" i="24"/>
  <c r="K26" i="24"/>
  <c r="G26" i="24"/>
  <c r="C26" i="24"/>
  <c r="AM25" i="24"/>
  <c r="AF25" i="24"/>
  <c r="Y25" i="24"/>
  <c r="R25" i="24"/>
  <c r="K25" i="24"/>
  <c r="G25" i="24"/>
  <c r="C25" i="24"/>
  <c r="AM24" i="24"/>
  <c r="AF24" i="24"/>
  <c r="Y24" i="24"/>
  <c r="R24" i="24"/>
  <c r="K24" i="24"/>
  <c r="G24" i="24"/>
  <c r="C24" i="24"/>
  <c r="AM23" i="24"/>
  <c r="AF23" i="24"/>
  <c r="Y23" i="24"/>
  <c r="R23" i="24"/>
  <c r="K23" i="24"/>
  <c r="G23" i="24"/>
  <c r="C23" i="24"/>
  <c r="AM22" i="24"/>
  <c r="AF22" i="24"/>
  <c r="Y22" i="24"/>
  <c r="R22" i="24"/>
  <c r="K22" i="24"/>
  <c r="G22" i="24"/>
  <c r="C22" i="24"/>
  <c r="AM21" i="24"/>
  <c r="AF21" i="24"/>
  <c r="Y21" i="24"/>
  <c r="R21" i="24"/>
  <c r="Q21" i="24"/>
  <c r="L21" i="24"/>
  <c r="K21" i="24"/>
  <c r="J21" i="24"/>
  <c r="H21" i="24"/>
  <c r="G21" i="24"/>
  <c r="F21" i="24"/>
  <c r="C21" i="24"/>
  <c r="AM20" i="24"/>
  <c r="AF20" i="24"/>
  <c r="Y20" i="24"/>
  <c r="R20" i="24"/>
  <c r="K20" i="24"/>
  <c r="G20" i="24"/>
  <c r="C20" i="24"/>
  <c r="AM19" i="24"/>
  <c r="AF19" i="24"/>
  <c r="Y19" i="24"/>
  <c r="R19" i="24"/>
  <c r="K19" i="24"/>
  <c r="G19" i="24"/>
  <c r="C19" i="24"/>
  <c r="AM18" i="24"/>
  <c r="AF18" i="24"/>
  <c r="Y18" i="24"/>
  <c r="R18" i="24"/>
  <c r="K18" i="24"/>
  <c r="G18" i="24"/>
  <c r="B18" i="24"/>
  <c r="C18" i="24" s="1"/>
  <c r="AM17" i="24"/>
  <c r="AF17" i="24"/>
  <c r="Y17" i="24"/>
  <c r="R17" i="24"/>
  <c r="K17" i="24"/>
  <c r="G17" i="24"/>
  <c r="C17" i="24"/>
  <c r="B17" i="24"/>
  <c r="AM16" i="24"/>
  <c r="AF16" i="24"/>
  <c r="Y16" i="24"/>
  <c r="R16" i="24"/>
  <c r="K16" i="24"/>
  <c r="G16" i="24"/>
  <c r="C16" i="24"/>
  <c r="AM15" i="24"/>
  <c r="AF15" i="24"/>
  <c r="Y15" i="24"/>
  <c r="R15" i="24"/>
  <c r="K15" i="24"/>
  <c r="G15" i="24"/>
  <c r="C15" i="24"/>
  <c r="AP12" i="24"/>
  <c r="AI12" i="24"/>
  <c r="AB12" i="24"/>
  <c r="U12" i="24"/>
  <c r="N12" i="24"/>
  <c r="AN11" i="24"/>
  <c r="AQ11" i="24" s="1"/>
  <c r="AJ11" i="24"/>
  <c r="AG11" i="24"/>
  <c r="AC11" i="24"/>
  <c r="Z11" i="24"/>
  <c r="S11" i="24"/>
  <c r="V11" i="24" s="1"/>
  <c r="L11" i="24"/>
  <c r="O11" i="24" s="1"/>
  <c r="H11" i="24"/>
  <c r="S2" i="24"/>
  <c r="AL63" i="23"/>
  <c r="AE63" i="23"/>
  <c r="X63" i="23"/>
  <c r="Q63" i="23"/>
  <c r="J63" i="23"/>
  <c r="F63" i="23"/>
  <c r="AE59" i="23"/>
  <c r="X59" i="23"/>
  <c r="Q59" i="23"/>
  <c r="F59" i="23"/>
  <c r="AE53" i="23"/>
  <c r="J53" i="23"/>
  <c r="Q53" i="23" s="1"/>
  <c r="X53" i="23" s="1"/>
  <c r="F53" i="23"/>
  <c r="AL48" i="23"/>
  <c r="AE48" i="23"/>
  <c r="X48" i="23"/>
  <c r="Q48" i="23"/>
  <c r="J48" i="23"/>
  <c r="G48" i="23"/>
  <c r="H48" i="23" s="1"/>
  <c r="F48" i="23"/>
  <c r="C48" i="23"/>
  <c r="AM47" i="23"/>
  <c r="AL47" i="23"/>
  <c r="AE47" i="23"/>
  <c r="X47" i="23"/>
  <c r="Q47" i="23"/>
  <c r="K47" i="23"/>
  <c r="L47" i="23" s="1"/>
  <c r="J47" i="23"/>
  <c r="F47" i="23"/>
  <c r="C47" i="23"/>
  <c r="AN46" i="23"/>
  <c r="AM46" i="23"/>
  <c r="AL46" i="23"/>
  <c r="AF46" i="23"/>
  <c r="AE46" i="23"/>
  <c r="AE35" i="23" s="1"/>
  <c r="AG35" i="23" s="1"/>
  <c r="Z46" i="23"/>
  <c r="Y46" i="23"/>
  <c r="X46" i="23"/>
  <c r="S46" i="23"/>
  <c r="R46" i="23"/>
  <c r="Q46" i="23"/>
  <c r="N46" i="23"/>
  <c r="L46" i="23"/>
  <c r="K46" i="23"/>
  <c r="J46" i="23"/>
  <c r="H46" i="23"/>
  <c r="G46" i="23"/>
  <c r="F46" i="23"/>
  <c r="C46" i="23"/>
  <c r="AM45" i="23"/>
  <c r="AL45" i="23"/>
  <c r="AF45" i="23"/>
  <c r="AG45" i="23" s="1"/>
  <c r="AE45" i="23"/>
  <c r="Z45" i="23"/>
  <c r="Y45" i="23"/>
  <c r="X45" i="23"/>
  <c r="S45" i="23"/>
  <c r="R45" i="23"/>
  <c r="Q45" i="23"/>
  <c r="Q35" i="23" s="1"/>
  <c r="K45" i="23"/>
  <c r="L45" i="23" s="1"/>
  <c r="J45" i="23"/>
  <c r="H45" i="23"/>
  <c r="G45" i="23"/>
  <c r="F45" i="23"/>
  <c r="C45" i="23"/>
  <c r="AN44" i="23"/>
  <c r="AP44" i="23" s="1"/>
  <c r="AM44" i="23"/>
  <c r="AL44" i="23"/>
  <c r="AL35" i="23" s="1"/>
  <c r="AF44" i="23"/>
  <c r="AG44" i="23" s="1"/>
  <c r="AE44" i="23"/>
  <c r="Y44" i="23"/>
  <c r="X44" i="23"/>
  <c r="X35" i="23" s="1"/>
  <c r="R44" i="23"/>
  <c r="S44" i="23" s="1"/>
  <c r="Q44" i="23"/>
  <c r="K44" i="23"/>
  <c r="J44" i="23"/>
  <c r="G44" i="23"/>
  <c r="F44" i="23"/>
  <c r="H44" i="23" s="1"/>
  <c r="C44" i="23"/>
  <c r="AM43" i="23"/>
  <c r="AF43" i="23"/>
  <c r="Y43" i="23"/>
  <c r="R43" i="23"/>
  <c r="K43" i="23"/>
  <c r="G43" i="23"/>
  <c r="C43" i="23"/>
  <c r="AM42" i="23"/>
  <c r="AF42" i="23"/>
  <c r="Y42" i="23"/>
  <c r="R42" i="23"/>
  <c r="G42" i="23"/>
  <c r="C42" i="23"/>
  <c r="AM41" i="23"/>
  <c r="Y41" i="23"/>
  <c r="R41" i="23"/>
  <c r="K41" i="23"/>
  <c r="C41" i="23"/>
  <c r="AM39" i="23"/>
  <c r="AF39" i="23"/>
  <c r="R39" i="23"/>
  <c r="C39" i="23"/>
  <c r="AM38" i="23"/>
  <c r="AF38" i="23"/>
  <c r="R38" i="23"/>
  <c r="C38" i="23"/>
  <c r="AM36" i="23"/>
  <c r="AF36" i="23"/>
  <c r="Y36" i="23"/>
  <c r="R36" i="23"/>
  <c r="K36" i="23"/>
  <c r="G36" i="23"/>
  <c r="C36" i="23"/>
  <c r="AM35" i="23"/>
  <c r="AF35" i="23"/>
  <c r="R35" i="23"/>
  <c r="S35" i="23" s="1"/>
  <c r="G35" i="23"/>
  <c r="F35" i="23"/>
  <c r="C35" i="23"/>
  <c r="AM34" i="23"/>
  <c r="Y34" i="23"/>
  <c r="R34" i="23"/>
  <c r="G34" i="23"/>
  <c r="C34" i="23"/>
  <c r="AM33" i="23"/>
  <c r="AF33" i="23"/>
  <c r="Y33" i="23"/>
  <c r="R33" i="23"/>
  <c r="K33" i="23"/>
  <c r="G33" i="23"/>
  <c r="C33" i="23"/>
  <c r="AM32" i="23"/>
  <c r="AF32" i="23"/>
  <c r="Y32" i="23"/>
  <c r="R32" i="23"/>
  <c r="K32" i="23"/>
  <c r="G32" i="23"/>
  <c r="C32" i="23"/>
  <c r="AM31" i="23"/>
  <c r="AF31" i="23"/>
  <c r="Y31" i="23"/>
  <c r="R31" i="23"/>
  <c r="K31" i="23"/>
  <c r="G31" i="23"/>
  <c r="C31" i="23"/>
  <c r="AM30" i="23"/>
  <c r="AF30" i="23"/>
  <c r="Y30" i="23"/>
  <c r="R30" i="23"/>
  <c r="K30" i="23"/>
  <c r="G30" i="23"/>
  <c r="C30" i="23"/>
  <c r="AM28" i="23"/>
  <c r="AF28" i="23"/>
  <c r="Y28" i="23"/>
  <c r="R28" i="23"/>
  <c r="K28" i="23"/>
  <c r="G28" i="23"/>
  <c r="C28" i="23"/>
  <c r="AM27" i="23"/>
  <c r="AF27" i="23"/>
  <c r="Y27" i="23"/>
  <c r="R27" i="23"/>
  <c r="K27" i="23"/>
  <c r="G27" i="23"/>
  <c r="C27" i="23"/>
  <c r="AM26" i="23"/>
  <c r="AF26" i="23"/>
  <c r="Y26" i="23"/>
  <c r="R26" i="23"/>
  <c r="K26" i="23"/>
  <c r="G26" i="23"/>
  <c r="C26" i="23"/>
  <c r="AM25" i="23"/>
  <c r="AF25" i="23"/>
  <c r="Y25" i="23"/>
  <c r="R25" i="23"/>
  <c r="K25" i="23"/>
  <c r="G25" i="23"/>
  <c r="C25" i="23"/>
  <c r="AM24" i="23"/>
  <c r="AF24" i="23"/>
  <c r="Y24" i="23"/>
  <c r="R24" i="23"/>
  <c r="K24" i="23"/>
  <c r="G24" i="23"/>
  <c r="C24" i="23"/>
  <c r="AM23" i="23"/>
  <c r="AF23" i="23"/>
  <c r="Y23" i="23"/>
  <c r="R23" i="23"/>
  <c r="K23" i="23"/>
  <c r="G23" i="23"/>
  <c r="C23" i="23"/>
  <c r="AM22" i="23"/>
  <c r="AF22" i="23"/>
  <c r="Y22" i="23"/>
  <c r="R22" i="23"/>
  <c r="K22" i="23"/>
  <c r="G22" i="23"/>
  <c r="C22" i="23"/>
  <c r="AM21" i="23"/>
  <c r="AF21" i="23"/>
  <c r="Y21" i="23"/>
  <c r="R21" i="23"/>
  <c r="S21" i="23" s="1"/>
  <c r="Q21" i="23"/>
  <c r="K21" i="23"/>
  <c r="J21" i="23"/>
  <c r="H21" i="23"/>
  <c r="G21" i="23"/>
  <c r="F21" i="23"/>
  <c r="C21" i="23"/>
  <c r="AM20" i="23"/>
  <c r="AF20" i="23"/>
  <c r="Y20" i="23"/>
  <c r="R20" i="23"/>
  <c r="K20" i="23"/>
  <c r="G20" i="23"/>
  <c r="C20" i="23"/>
  <c r="AM19" i="23"/>
  <c r="AF19" i="23"/>
  <c r="Y19" i="23"/>
  <c r="R19" i="23"/>
  <c r="K19" i="23"/>
  <c r="G19" i="23"/>
  <c r="C19" i="23"/>
  <c r="AM18" i="23"/>
  <c r="AF18" i="23"/>
  <c r="Y18" i="23"/>
  <c r="R18" i="23"/>
  <c r="K18" i="23"/>
  <c r="G18" i="23"/>
  <c r="B18" i="23"/>
  <c r="C18" i="23" s="1"/>
  <c r="AM17" i="23"/>
  <c r="AF17" i="23"/>
  <c r="Y17" i="23"/>
  <c r="R17" i="23"/>
  <c r="K17" i="23"/>
  <c r="G17" i="23"/>
  <c r="C17" i="23"/>
  <c r="B17" i="23"/>
  <c r="AM16" i="23"/>
  <c r="AF16" i="23"/>
  <c r="Y16" i="23"/>
  <c r="R16" i="23"/>
  <c r="K16" i="23"/>
  <c r="G16" i="23"/>
  <c r="C16" i="23"/>
  <c r="AM15" i="23"/>
  <c r="AF15" i="23"/>
  <c r="Y15" i="23"/>
  <c r="R15" i="23"/>
  <c r="K15" i="23"/>
  <c r="G15" i="23"/>
  <c r="C15" i="23"/>
  <c r="AP12" i="23"/>
  <c r="AI12" i="23"/>
  <c r="AB12" i="23"/>
  <c r="U12" i="23"/>
  <c r="N12" i="23"/>
  <c r="AN11" i="23"/>
  <c r="AQ11" i="23" s="1"/>
  <c r="AJ11" i="23"/>
  <c r="AG11" i="23"/>
  <c r="AC11" i="23"/>
  <c r="Z11" i="23"/>
  <c r="V11" i="23"/>
  <c r="S11" i="23"/>
  <c r="O11" i="23"/>
  <c r="L11" i="23"/>
  <c r="H11" i="23"/>
  <c r="S2" i="23"/>
  <c r="R48" i="23" s="1"/>
  <c r="S48" i="23" s="1"/>
  <c r="AL63" i="22"/>
  <c r="AM39" i="22" s="1"/>
  <c r="AE63" i="22"/>
  <c r="AF38" i="22" s="1"/>
  <c r="X63" i="22"/>
  <c r="Y34" i="22" s="1"/>
  <c r="Q63" i="22"/>
  <c r="R42" i="22" s="1"/>
  <c r="J63" i="22"/>
  <c r="F63" i="22"/>
  <c r="F59" i="22"/>
  <c r="J53" i="22"/>
  <c r="Q53" i="22" s="1"/>
  <c r="F53" i="22"/>
  <c r="AL48" i="22"/>
  <c r="AE48" i="22"/>
  <c r="X48" i="22"/>
  <c r="Q48" i="22"/>
  <c r="J48" i="22"/>
  <c r="F48" i="22"/>
  <c r="C48" i="22"/>
  <c r="AM47" i="22"/>
  <c r="AN47" i="22" s="1"/>
  <c r="AL47" i="22"/>
  <c r="AE47" i="22"/>
  <c r="X47" i="22"/>
  <c r="Q47" i="22"/>
  <c r="J47" i="22"/>
  <c r="F47" i="22"/>
  <c r="C47" i="22"/>
  <c r="AM46" i="22"/>
  <c r="AL46" i="22"/>
  <c r="AN46" i="22" s="1"/>
  <c r="AP46" i="22" s="1"/>
  <c r="AF46" i="22"/>
  <c r="AG46" i="22" s="1"/>
  <c r="AE46" i="22"/>
  <c r="Y46" i="22"/>
  <c r="X46" i="22"/>
  <c r="S46" i="22"/>
  <c r="R46" i="22"/>
  <c r="Q46" i="22"/>
  <c r="L46" i="22"/>
  <c r="K46" i="22"/>
  <c r="J46" i="22"/>
  <c r="G46" i="22"/>
  <c r="F46" i="22"/>
  <c r="C46" i="22"/>
  <c r="AN45" i="22"/>
  <c r="AM45" i="22"/>
  <c r="AL45" i="22"/>
  <c r="AF45" i="22"/>
  <c r="AE45" i="22"/>
  <c r="Y45" i="22"/>
  <c r="X45" i="22"/>
  <c r="Z45" i="22" s="1"/>
  <c r="R45" i="22"/>
  <c r="S45" i="22" s="1"/>
  <c r="Q45" i="22"/>
  <c r="L45" i="22"/>
  <c r="K45" i="22"/>
  <c r="J45" i="22"/>
  <c r="G45" i="22"/>
  <c r="F45" i="22"/>
  <c r="C45" i="22"/>
  <c r="AM44" i="22"/>
  <c r="AL44" i="22"/>
  <c r="AN44" i="22" s="1"/>
  <c r="AF44" i="22"/>
  <c r="AG44" i="22" s="1"/>
  <c r="AE44" i="22"/>
  <c r="Z44" i="22"/>
  <c r="Y44" i="22"/>
  <c r="X44" i="22"/>
  <c r="R44" i="22"/>
  <c r="Q44" i="22"/>
  <c r="K44" i="22"/>
  <c r="J44" i="22"/>
  <c r="H44" i="22"/>
  <c r="G44" i="22"/>
  <c r="F44" i="22"/>
  <c r="C44" i="22"/>
  <c r="AM43" i="22"/>
  <c r="AF43" i="22"/>
  <c r="Y43" i="22"/>
  <c r="R43" i="22"/>
  <c r="K43" i="22"/>
  <c r="G43" i="22"/>
  <c r="C43" i="22"/>
  <c r="AM42" i="22"/>
  <c r="AF42" i="22"/>
  <c r="Y42" i="22"/>
  <c r="G42" i="22"/>
  <c r="C42" i="22"/>
  <c r="AM41" i="22"/>
  <c r="Y41" i="22"/>
  <c r="G41" i="22"/>
  <c r="C41" i="22"/>
  <c r="AF39" i="22"/>
  <c r="Y39" i="22"/>
  <c r="R39" i="22"/>
  <c r="G39" i="22"/>
  <c r="C39" i="22"/>
  <c r="AM38" i="22"/>
  <c r="Y38" i="22"/>
  <c r="R38" i="22"/>
  <c r="G38" i="22"/>
  <c r="C38" i="22"/>
  <c r="AM36" i="22"/>
  <c r="AF36" i="22"/>
  <c r="Y36" i="22"/>
  <c r="R36" i="22"/>
  <c r="K36" i="22"/>
  <c r="G36" i="22"/>
  <c r="C36" i="22"/>
  <c r="AM35" i="22"/>
  <c r="Y35" i="22"/>
  <c r="Z35" i="22" s="1"/>
  <c r="X35" i="22"/>
  <c r="K35" i="22"/>
  <c r="G35" i="22"/>
  <c r="C35" i="22"/>
  <c r="R34" i="22"/>
  <c r="G34" i="22"/>
  <c r="C34" i="22"/>
  <c r="AM33" i="22"/>
  <c r="AF33" i="22"/>
  <c r="Y33" i="22"/>
  <c r="R33" i="22"/>
  <c r="K33" i="22"/>
  <c r="G33" i="22"/>
  <c r="C33" i="22"/>
  <c r="AM32" i="22"/>
  <c r="AF32" i="22"/>
  <c r="Y32" i="22"/>
  <c r="R32" i="22"/>
  <c r="K32" i="22"/>
  <c r="G32" i="22"/>
  <c r="C32" i="22"/>
  <c r="AM31" i="22"/>
  <c r="AF31" i="22"/>
  <c r="Y31" i="22"/>
  <c r="R31" i="22"/>
  <c r="K31" i="22"/>
  <c r="G31" i="22"/>
  <c r="C31" i="22"/>
  <c r="AM30" i="22"/>
  <c r="AF30" i="22"/>
  <c r="Y30" i="22"/>
  <c r="R30" i="22"/>
  <c r="K30" i="22"/>
  <c r="G30" i="22"/>
  <c r="C30" i="22"/>
  <c r="AM28" i="22"/>
  <c r="AF28" i="22"/>
  <c r="Y28" i="22"/>
  <c r="R28" i="22"/>
  <c r="K28" i="22"/>
  <c r="G28" i="22"/>
  <c r="C28" i="22"/>
  <c r="AM27" i="22"/>
  <c r="AF27" i="22"/>
  <c r="Y27" i="22"/>
  <c r="R27" i="22"/>
  <c r="K27" i="22"/>
  <c r="G27" i="22"/>
  <c r="C27" i="22"/>
  <c r="AM26" i="22"/>
  <c r="AF26" i="22"/>
  <c r="Y26" i="22"/>
  <c r="R26" i="22"/>
  <c r="K26" i="22"/>
  <c r="G26" i="22"/>
  <c r="C26" i="22"/>
  <c r="AM25" i="22"/>
  <c r="AF25" i="22"/>
  <c r="Y25" i="22"/>
  <c r="R25" i="22"/>
  <c r="K25" i="22"/>
  <c r="G25" i="22"/>
  <c r="C25" i="22"/>
  <c r="AM24" i="22"/>
  <c r="AF24" i="22"/>
  <c r="Y24" i="22"/>
  <c r="R24" i="22"/>
  <c r="K24" i="22"/>
  <c r="G24" i="22"/>
  <c r="C24" i="22"/>
  <c r="AM23" i="22"/>
  <c r="AF23" i="22"/>
  <c r="Y23" i="22"/>
  <c r="R23" i="22"/>
  <c r="K23" i="22"/>
  <c r="G23" i="22"/>
  <c r="C23" i="22"/>
  <c r="AM22" i="22"/>
  <c r="AF22" i="22"/>
  <c r="Y22" i="22"/>
  <c r="R22" i="22"/>
  <c r="K22" i="22"/>
  <c r="G22" i="22"/>
  <c r="C22" i="22"/>
  <c r="AM21" i="22"/>
  <c r="AF21" i="22"/>
  <c r="AC21" i="22"/>
  <c r="Y21" i="22"/>
  <c r="S21" i="22"/>
  <c r="R21" i="22"/>
  <c r="Q21" i="22"/>
  <c r="K21" i="22"/>
  <c r="J21" i="22"/>
  <c r="L21" i="22" s="1"/>
  <c r="H21" i="22"/>
  <c r="G21" i="22"/>
  <c r="F21" i="22"/>
  <c r="C21" i="22"/>
  <c r="AM20" i="22"/>
  <c r="AF20" i="22"/>
  <c r="Y20" i="22"/>
  <c r="R20" i="22"/>
  <c r="K20" i="22"/>
  <c r="G20" i="22"/>
  <c r="C20" i="22"/>
  <c r="AM19" i="22"/>
  <c r="AF19" i="22"/>
  <c r="Y19" i="22"/>
  <c r="R19" i="22"/>
  <c r="K19" i="22"/>
  <c r="G19" i="22"/>
  <c r="C19" i="22"/>
  <c r="AM18" i="22"/>
  <c r="AF18" i="22"/>
  <c r="Y18" i="22"/>
  <c r="R18" i="22"/>
  <c r="K18" i="22"/>
  <c r="G18" i="22"/>
  <c r="B18" i="22"/>
  <c r="C18" i="22" s="1"/>
  <c r="AM17" i="22"/>
  <c r="AF17" i="22"/>
  <c r="Y17" i="22"/>
  <c r="R17" i="22"/>
  <c r="K17" i="22"/>
  <c r="G17" i="22"/>
  <c r="C17" i="22"/>
  <c r="B17" i="22"/>
  <c r="AM16" i="22"/>
  <c r="AF16" i="22"/>
  <c r="Y16" i="22"/>
  <c r="R16" i="22"/>
  <c r="K16" i="22"/>
  <c r="G16" i="22"/>
  <c r="C16" i="22"/>
  <c r="AM15" i="22"/>
  <c r="AF15" i="22"/>
  <c r="Y15" i="22"/>
  <c r="R15" i="22"/>
  <c r="K15" i="22"/>
  <c r="G15" i="22"/>
  <c r="C15" i="22"/>
  <c r="AP12" i="22"/>
  <c r="AI12" i="22"/>
  <c r="AB12" i="22"/>
  <c r="U12" i="22"/>
  <c r="N12" i="22"/>
  <c r="AN11" i="22"/>
  <c r="AQ11" i="22" s="1"/>
  <c r="AJ11" i="22"/>
  <c r="AG11" i="22"/>
  <c r="AC11" i="22"/>
  <c r="Z11" i="22"/>
  <c r="S11" i="22"/>
  <c r="V11" i="22" s="1"/>
  <c r="O11" i="22"/>
  <c r="L11" i="22"/>
  <c r="H11" i="22"/>
  <c r="S2" i="22"/>
  <c r="R48" i="22" s="1"/>
  <c r="S48" i="22" s="1"/>
  <c r="AL63" i="21"/>
  <c r="AM34" i="21" s="1"/>
  <c r="AE63" i="21"/>
  <c r="X63" i="21"/>
  <c r="Y42" i="21" s="1"/>
  <c r="Q63" i="21"/>
  <c r="J63" i="21"/>
  <c r="F63" i="21"/>
  <c r="AL59" i="21"/>
  <c r="Q59" i="21"/>
  <c r="AL53" i="21"/>
  <c r="AE53" i="21"/>
  <c r="AE59" i="21" s="1"/>
  <c r="X53" i="21"/>
  <c r="X59" i="21" s="1"/>
  <c r="Q53" i="21"/>
  <c r="J53" i="21"/>
  <c r="J59" i="21" s="1"/>
  <c r="F53" i="21"/>
  <c r="F59" i="21" s="1"/>
  <c r="AM48" i="21"/>
  <c r="AL48" i="21"/>
  <c r="AF48" i="21"/>
  <c r="AE48" i="21"/>
  <c r="Y48" i="21"/>
  <c r="Z48" i="21" s="1"/>
  <c r="X48" i="21"/>
  <c r="R48" i="21"/>
  <c r="S48" i="21" s="1"/>
  <c r="Q48" i="21"/>
  <c r="N48" i="21"/>
  <c r="O48" i="21" s="1"/>
  <c r="L48" i="21"/>
  <c r="K48" i="21"/>
  <c r="J48" i="21"/>
  <c r="G48" i="21"/>
  <c r="H48" i="21" s="1"/>
  <c r="F48" i="21"/>
  <c r="C48" i="21"/>
  <c r="AM47" i="21"/>
  <c r="AL47" i="21"/>
  <c r="AI47" i="21"/>
  <c r="AJ47" i="21" s="1"/>
  <c r="AG47" i="21"/>
  <c r="AF47" i="21"/>
  <c r="AE47" i="21"/>
  <c r="Y47" i="21"/>
  <c r="Z47" i="21" s="1"/>
  <c r="X47" i="21"/>
  <c r="R47" i="21"/>
  <c r="S47" i="21" s="1"/>
  <c r="Q47" i="21"/>
  <c r="L47" i="21"/>
  <c r="K47" i="21"/>
  <c r="J47" i="21"/>
  <c r="F47" i="21"/>
  <c r="C47" i="21"/>
  <c r="AM46" i="21"/>
  <c r="AN46" i="21" s="1"/>
  <c r="AP46" i="21" s="1"/>
  <c r="AL46" i="21"/>
  <c r="AF46" i="21"/>
  <c r="AG46" i="21" s="1"/>
  <c r="AE46" i="21"/>
  <c r="Y46" i="21"/>
  <c r="Z46" i="21" s="1"/>
  <c r="X46" i="21"/>
  <c r="V46" i="21"/>
  <c r="U46" i="21"/>
  <c r="S46" i="21"/>
  <c r="R46" i="21"/>
  <c r="Q46" i="21"/>
  <c r="L46" i="21"/>
  <c r="K46" i="21"/>
  <c r="J46" i="21"/>
  <c r="G46" i="21"/>
  <c r="H46" i="21" s="1"/>
  <c r="F46" i="21"/>
  <c r="C46" i="21"/>
  <c r="AP45" i="21"/>
  <c r="AM45" i="21"/>
  <c r="AN45" i="21" s="1"/>
  <c r="AL45" i="21"/>
  <c r="AF45" i="21"/>
  <c r="AG45" i="21" s="1"/>
  <c r="AE45" i="21"/>
  <c r="Y45" i="21"/>
  <c r="Z45" i="21" s="1"/>
  <c r="X45" i="21"/>
  <c r="R45" i="21"/>
  <c r="Q45" i="21"/>
  <c r="S45" i="21" s="1"/>
  <c r="K45" i="21"/>
  <c r="J45" i="21"/>
  <c r="J35" i="21" s="1"/>
  <c r="L35" i="21" s="1"/>
  <c r="H45" i="21"/>
  <c r="G45" i="21"/>
  <c r="F45" i="21"/>
  <c r="C45" i="21"/>
  <c r="AN44" i="21"/>
  <c r="AM44" i="21"/>
  <c r="AL44" i="21"/>
  <c r="AF44" i="21"/>
  <c r="AG44" i="21" s="1"/>
  <c r="AE44" i="21"/>
  <c r="Y44" i="21"/>
  <c r="Z44" i="21" s="1"/>
  <c r="X44" i="21"/>
  <c r="R44" i="21"/>
  <c r="Q44" i="21"/>
  <c r="Q35" i="21" s="1"/>
  <c r="L44" i="21"/>
  <c r="K44" i="21"/>
  <c r="J44" i="21"/>
  <c r="G44" i="21"/>
  <c r="H44" i="21" s="1"/>
  <c r="F44" i="21"/>
  <c r="C44" i="21"/>
  <c r="AM43" i="21"/>
  <c r="AF43" i="21"/>
  <c r="Y43" i="21"/>
  <c r="R43" i="21"/>
  <c r="K43" i="21"/>
  <c r="G43" i="21"/>
  <c r="C43" i="21"/>
  <c r="AM42" i="21"/>
  <c r="R42" i="21"/>
  <c r="G42" i="21"/>
  <c r="C42" i="21"/>
  <c r="AM41" i="21"/>
  <c r="Y41" i="21"/>
  <c r="R41" i="21"/>
  <c r="K41" i="21"/>
  <c r="G41" i="21"/>
  <c r="C41" i="21"/>
  <c r="AM39" i="21"/>
  <c r="Y39" i="21"/>
  <c r="R39" i="21"/>
  <c r="G39" i="21"/>
  <c r="C39" i="21"/>
  <c r="AM38" i="21"/>
  <c r="AF38" i="21"/>
  <c r="Y38" i="21"/>
  <c r="R38" i="21"/>
  <c r="K38" i="21"/>
  <c r="G38" i="21"/>
  <c r="C38" i="21"/>
  <c r="AM36" i="21"/>
  <c r="AF36" i="21"/>
  <c r="Y36" i="21"/>
  <c r="R36" i="21"/>
  <c r="K36" i="21"/>
  <c r="G36" i="21"/>
  <c r="C36" i="21"/>
  <c r="AM35" i="21"/>
  <c r="AE35" i="21"/>
  <c r="Y35" i="21"/>
  <c r="S35" i="21"/>
  <c r="R35" i="21"/>
  <c r="K35" i="21"/>
  <c r="G35" i="21"/>
  <c r="C35" i="21"/>
  <c r="AF34" i="21"/>
  <c r="Y34" i="21"/>
  <c r="R34" i="21"/>
  <c r="G34" i="21"/>
  <c r="C34" i="21"/>
  <c r="AM33" i="21"/>
  <c r="AF33" i="21"/>
  <c r="Y33" i="21"/>
  <c r="R33" i="21"/>
  <c r="K33" i="21"/>
  <c r="G33" i="21"/>
  <c r="C33" i="21"/>
  <c r="AM32" i="21"/>
  <c r="AF32" i="21"/>
  <c r="Y32" i="21"/>
  <c r="R32" i="21"/>
  <c r="K32" i="21"/>
  <c r="G32" i="21"/>
  <c r="C32" i="21"/>
  <c r="AM31" i="21"/>
  <c r="AF31" i="21"/>
  <c r="Y31" i="21"/>
  <c r="R31" i="21"/>
  <c r="K31" i="21"/>
  <c r="G31" i="21"/>
  <c r="C31" i="21"/>
  <c r="AM30" i="21"/>
  <c r="AF30" i="21"/>
  <c r="Y30" i="21"/>
  <c r="R30" i="21"/>
  <c r="K30" i="21"/>
  <c r="G30" i="21"/>
  <c r="C30" i="21"/>
  <c r="AM28" i="21"/>
  <c r="AF28" i="21"/>
  <c r="Y28" i="21"/>
  <c r="R28" i="21"/>
  <c r="K28" i="21"/>
  <c r="G28" i="21"/>
  <c r="C28" i="21"/>
  <c r="AM27" i="21"/>
  <c r="AF27" i="21"/>
  <c r="Y27" i="21"/>
  <c r="R27" i="21"/>
  <c r="K27" i="21"/>
  <c r="G27" i="21"/>
  <c r="C27" i="21"/>
  <c r="AM26" i="21"/>
  <c r="AF26" i="21"/>
  <c r="Y26" i="21"/>
  <c r="R26" i="21"/>
  <c r="K26" i="21"/>
  <c r="G26" i="21"/>
  <c r="C26" i="21"/>
  <c r="AM25" i="21"/>
  <c r="AF25" i="21"/>
  <c r="Y25" i="21"/>
  <c r="R25" i="21"/>
  <c r="K25" i="21"/>
  <c r="G25" i="21"/>
  <c r="C25" i="21"/>
  <c r="AM24" i="21"/>
  <c r="AF24" i="21"/>
  <c r="Y24" i="21"/>
  <c r="R24" i="21"/>
  <c r="K24" i="21"/>
  <c r="G24" i="21"/>
  <c r="C24" i="21"/>
  <c r="AM23" i="21"/>
  <c r="AF23" i="21"/>
  <c r="Y23" i="21"/>
  <c r="R23" i="21"/>
  <c r="K23" i="21"/>
  <c r="G23" i="21"/>
  <c r="C23" i="21"/>
  <c r="AM22" i="21"/>
  <c r="AF22" i="21"/>
  <c r="Y22" i="21"/>
  <c r="R22" i="21"/>
  <c r="K22" i="21"/>
  <c r="G22" i="21"/>
  <c r="C22" i="21"/>
  <c r="AM21" i="21"/>
  <c r="AF21" i="21"/>
  <c r="Y21" i="21"/>
  <c r="R21" i="21"/>
  <c r="S21" i="21" s="1"/>
  <c r="Q21" i="21"/>
  <c r="K21" i="21"/>
  <c r="L21" i="21" s="1"/>
  <c r="J21" i="21"/>
  <c r="H21" i="21"/>
  <c r="G21" i="21"/>
  <c r="F21" i="21"/>
  <c r="C21" i="21"/>
  <c r="AM20" i="21"/>
  <c r="AF20" i="21"/>
  <c r="Y20" i="21"/>
  <c r="R20" i="21"/>
  <c r="K20" i="21"/>
  <c r="G20" i="21"/>
  <c r="C20" i="21"/>
  <c r="AM19" i="21"/>
  <c r="AF19" i="21"/>
  <c r="Y19" i="21"/>
  <c r="R19" i="21"/>
  <c r="K19" i="21"/>
  <c r="G19" i="21"/>
  <c r="C19" i="21"/>
  <c r="AM18" i="21"/>
  <c r="AF18" i="21"/>
  <c r="Y18" i="21"/>
  <c r="R18" i="21"/>
  <c r="K18" i="21"/>
  <c r="G18" i="21"/>
  <c r="B18" i="21"/>
  <c r="C18" i="21" s="1"/>
  <c r="AM17" i="21"/>
  <c r="AF17" i="21"/>
  <c r="Y17" i="21"/>
  <c r="R17" i="21"/>
  <c r="K17" i="21"/>
  <c r="G17" i="21"/>
  <c r="C17" i="21"/>
  <c r="B17" i="21"/>
  <c r="AM16" i="21"/>
  <c r="AF16" i="21"/>
  <c r="Y16" i="21"/>
  <c r="R16" i="21"/>
  <c r="K16" i="21"/>
  <c r="G16" i="21"/>
  <c r="C16" i="21"/>
  <c r="AM15" i="21"/>
  <c r="AF15" i="21"/>
  <c r="Y15" i="21"/>
  <c r="R15" i="21"/>
  <c r="K15" i="21"/>
  <c r="G15" i="21"/>
  <c r="C15" i="21"/>
  <c r="AP12" i="21"/>
  <c r="AI12" i="21"/>
  <c r="AB12" i="21"/>
  <c r="U12" i="21"/>
  <c r="N12" i="21"/>
  <c r="AQ11" i="21"/>
  <c r="AN11" i="21"/>
  <c r="AJ11" i="21"/>
  <c r="AG11" i="21"/>
  <c r="Z11" i="21"/>
  <c r="AC11" i="21" s="1"/>
  <c r="S11" i="21"/>
  <c r="V11" i="21" s="1"/>
  <c r="L11" i="21"/>
  <c r="O11" i="21" s="1"/>
  <c r="H11" i="21"/>
  <c r="S2" i="21"/>
  <c r="G47" i="21" s="1"/>
  <c r="H47" i="21" s="1"/>
  <c r="AL63" i="20"/>
  <c r="AM34" i="20" s="1"/>
  <c r="AE63" i="20"/>
  <c r="X63" i="20"/>
  <c r="Y41" i="20" s="1"/>
  <c r="Q63" i="20"/>
  <c r="J63" i="20"/>
  <c r="K39" i="20" s="1"/>
  <c r="F63" i="20"/>
  <c r="X59" i="20"/>
  <c r="AL53" i="20"/>
  <c r="AL59" i="20" s="1"/>
  <c r="AE53" i="20"/>
  <c r="AE59" i="20" s="1"/>
  <c r="X53" i="20"/>
  <c r="Q53" i="20"/>
  <c r="Q59" i="20" s="1"/>
  <c r="J53" i="20"/>
  <c r="J59" i="20" s="1"/>
  <c r="F53" i="20"/>
  <c r="F59" i="20" s="1"/>
  <c r="AL48" i="20"/>
  <c r="AE48" i="20"/>
  <c r="X48" i="20"/>
  <c r="S48" i="20"/>
  <c r="R48" i="20"/>
  <c r="Q48" i="20"/>
  <c r="J48" i="20"/>
  <c r="F48" i="20"/>
  <c r="C48" i="20"/>
  <c r="AM47" i="20"/>
  <c r="AN47" i="20" s="1"/>
  <c r="AL47" i="20"/>
  <c r="AE47" i="20"/>
  <c r="X47" i="20"/>
  <c r="R47" i="20"/>
  <c r="S47" i="20" s="1"/>
  <c r="Q47" i="20"/>
  <c r="J47" i="20"/>
  <c r="F47" i="20"/>
  <c r="C47" i="20"/>
  <c r="AN46" i="20"/>
  <c r="AM46" i="20"/>
  <c r="AL46" i="20"/>
  <c r="AF46" i="20"/>
  <c r="AE46" i="20"/>
  <c r="Y46" i="20"/>
  <c r="Z46" i="20" s="1"/>
  <c r="X46" i="20"/>
  <c r="R46" i="20"/>
  <c r="S46" i="20" s="1"/>
  <c r="U46" i="20" s="1"/>
  <c r="Q46" i="20"/>
  <c r="Q35" i="20" s="1"/>
  <c r="K46" i="20"/>
  <c r="L46" i="20" s="1"/>
  <c r="J46" i="20"/>
  <c r="H46" i="20"/>
  <c r="G46" i="20"/>
  <c r="F46" i="20"/>
  <c r="C46" i="20"/>
  <c r="AM45" i="20"/>
  <c r="AN45" i="20" s="1"/>
  <c r="AP45" i="20" s="1"/>
  <c r="AL45" i="20"/>
  <c r="AF45" i="20"/>
  <c r="AE45" i="20"/>
  <c r="AG45" i="20" s="1"/>
  <c r="Y45" i="20"/>
  <c r="Z45" i="20" s="1"/>
  <c r="X45" i="20"/>
  <c r="V45" i="20"/>
  <c r="U45" i="20"/>
  <c r="S45" i="20"/>
  <c r="R45" i="20"/>
  <c r="Q45" i="20"/>
  <c r="K45" i="20"/>
  <c r="L45" i="20" s="1"/>
  <c r="N45" i="20" s="1"/>
  <c r="J45" i="20"/>
  <c r="G45" i="20"/>
  <c r="F45" i="20"/>
  <c r="H45" i="20" s="1"/>
  <c r="C45" i="20"/>
  <c r="AM44" i="20"/>
  <c r="AN44" i="20" s="1"/>
  <c r="AL44" i="20"/>
  <c r="AF44" i="20"/>
  <c r="AE44" i="20"/>
  <c r="Y44" i="20"/>
  <c r="X44" i="20"/>
  <c r="X35" i="20" s="1"/>
  <c r="Z35" i="20" s="1"/>
  <c r="R44" i="20"/>
  <c r="S44" i="20" s="1"/>
  <c r="Q44" i="20"/>
  <c r="K44" i="20"/>
  <c r="L44" i="20" s="1"/>
  <c r="N44" i="20" s="1"/>
  <c r="J44" i="20"/>
  <c r="G44" i="20"/>
  <c r="F44" i="20"/>
  <c r="H44" i="20" s="1"/>
  <c r="C44" i="20"/>
  <c r="AM43" i="20"/>
  <c r="AF43" i="20"/>
  <c r="Y43" i="20"/>
  <c r="R43" i="20"/>
  <c r="K43" i="20"/>
  <c r="G43" i="20"/>
  <c r="C43" i="20"/>
  <c r="AM42" i="20"/>
  <c r="AF42" i="20"/>
  <c r="Y42" i="20"/>
  <c r="R42" i="20"/>
  <c r="K42" i="20"/>
  <c r="G42" i="20"/>
  <c r="C42" i="20"/>
  <c r="AM41" i="20"/>
  <c r="AF41" i="20"/>
  <c r="R41" i="20"/>
  <c r="K41" i="20"/>
  <c r="C41" i="20"/>
  <c r="AM39" i="20"/>
  <c r="AF39" i="20"/>
  <c r="Y39" i="20"/>
  <c r="R39" i="20"/>
  <c r="G39" i="20"/>
  <c r="C39" i="20"/>
  <c r="AF38" i="20"/>
  <c r="Y38" i="20"/>
  <c r="R38" i="20"/>
  <c r="K38" i="20"/>
  <c r="G38" i="20"/>
  <c r="C38" i="20"/>
  <c r="AM36" i="20"/>
  <c r="AF36" i="20"/>
  <c r="Y36" i="20"/>
  <c r="R36" i="20"/>
  <c r="K36" i="20"/>
  <c r="G36" i="20"/>
  <c r="C36" i="20"/>
  <c r="AM35" i="20"/>
  <c r="AN35" i="20" s="1"/>
  <c r="AL35" i="20"/>
  <c r="AF35" i="20"/>
  <c r="Y35" i="20"/>
  <c r="S35" i="20"/>
  <c r="R35" i="20"/>
  <c r="K35" i="20"/>
  <c r="L35" i="20" s="1"/>
  <c r="J35" i="20"/>
  <c r="G35" i="20"/>
  <c r="H35" i="20" s="1"/>
  <c r="F35" i="20"/>
  <c r="C35" i="20"/>
  <c r="AF34" i="20"/>
  <c r="R34" i="20"/>
  <c r="K34" i="20"/>
  <c r="C34" i="20"/>
  <c r="AM33" i="20"/>
  <c r="AF33" i="20"/>
  <c r="Y33" i="20"/>
  <c r="R33" i="20"/>
  <c r="K33" i="20"/>
  <c r="G33" i="20"/>
  <c r="C33" i="20"/>
  <c r="AM32" i="20"/>
  <c r="AF32" i="20"/>
  <c r="Y32" i="20"/>
  <c r="R32" i="20"/>
  <c r="K32" i="20"/>
  <c r="G32" i="20"/>
  <c r="C32" i="20"/>
  <c r="AM31" i="20"/>
  <c r="AF31" i="20"/>
  <c r="Y31" i="20"/>
  <c r="R31" i="20"/>
  <c r="K31" i="20"/>
  <c r="G31" i="20"/>
  <c r="C31" i="20"/>
  <c r="AM30" i="20"/>
  <c r="AF30" i="20"/>
  <c r="Y30" i="20"/>
  <c r="R30" i="20"/>
  <c r="K30" i="20"/>
  <c r="G30" i="20"/>
  <c r="C30" i="20"/>
  <c r="AM28" i="20"/>
  <c r="AF28" i="20"/>
  <c r="Y28" i="20"/>
  <c r="R28" i="20"/>
  <c r="K28" i="20"/>
  <c r="G28" i="20"/>
  <c r="C28" i="20"/>
  <c r="AM27" i="20"/>
  <c r="AF27" i="20"/>
  <c r="Y27" i="20"/>
  <c r="R27" i="20"/>
  <c r="K27" i="20"/>
  <c r="G27" i="20"/>
  <c r="C27" i="20"/>
  <c r="AM26" i="20"/>
  <c r="AF26" i="20"/>
  <c r="Y26" i="20"/>
  <c r="R26" i="20"/>
  <c r="K26" i="20"/>
  <c r="G26" i="20"/>
  <c r="C26" i="20"/>
  <c r="AM25" i="20"/>
  <c r="AF25" i="20"/>
  <c r="Y25" i="20"/>
  <c r="R25" i="20"/>
  <c r="K25" i="20"/>
  <c r="G25" i="20"/>
  <c r="C25" i="20"/>
  <c r="AM24" i="20"/>
  <c r="AF24" i="20"/>
  <c r="Y24" i="20"/>
  <c r="R24" i="20"/>
  <c r="K24" i="20"/>
  <c r="G24" i="20"/>
  <c r="C24" i="20"/>
  <c r="AM23" i="20"/>
  <c r="AF23" i="20"/>
  <c r="Y23" i="20"/>
  <c r="R23" i="20"/>
  <c r="K23" i="20"/>
  <c r="G23" i="20"/>
  <c r="C23" i="20"/>
  <c r="AM22" i="20"/>
  <c r="AF22" i="20"/>
  <c r="Y22" i="20"/>
  <c r="R22" i="20"/>
  <c r="K22" i="20"/>
  <c r="G22" i="20"/>
  <c r="C22" i="20"/>
  <c r="AM21" i="20"/>
  <c r="AF21" i="20"/>
  <c r="Y21" i="20"/>
  <c r="R21" i="20"/>
  <c r="S21" i="20" s="1"/>
  <c r="Q21" i="20"/>
  <c r="K21" i="20"/>
  <c r="J21" i="20"/>
  <c r="L21" i="20" s="1"/>
  <c r="G21" i="20"/>
  <c r="F21" i="20"/>
  <c r="C21" i="20"/>
  <c r="AM20" i="20"/>
  <c r="AF20" i="20"/>
  <c r="Y20" i="20"/>
  <c r="R20" i="20"/>
  <c r="K20" i="20"/>
  <c r="G20" i="20"/>
  <c r="C20" i="20"/>
  <c r="AM19" i="20"/>
  <c r="AF19" i="20"/>
  <c r="Y19" i="20"/>
  <c r="R19" i="20"/>
  <c r="K19" i="20"/>
  <c r="G19" i="20"/>
  <c r="C19" i="20"/>
  <c r="AM18" i="20"/>
  <c r="AF18" i="20"/>
  <c r="Y18" i="20"/>
  <c r="R18" i="20"/>
  <c r="K18" i="20"/>
  <c r="G18" i="20"/>
  <c r="C18" i="20"/>
  <c r="B18" i="20"/>
  <c r="AM17" i="20"/>
  <c r="AF17" i="20"/>
  <c r="Y17" i="20"/>
  <c r="R17" i="20"/>
  <c r="K17" i="20"/>
  <c r="G17" i="20"/>
  <c r="B17" i="20"/>
  <c r="C17" i="20" s="1"/>
  <c r="AM16" i="20"/>
  <c r="AF16" i="20"/>
  <c r="Y16" i="20"/>
  <c r="R16" i="20"/>
  <c r="K16" i="20"/>
  <c r="G16" i="20"/>
  <c r="C16" i="20"/>
  <c r="AM15" i="20"/>
  <c r="AF15" i="20"/>
  <c r="Y15" i="20"/>
  <c r="R15" i="20"/>
  <c r="K15" i="20"/>
  <c r="G15" i="20"/>
  <c r="C15" i="20"/>
  <c r="AP12" i="20"/>
  <c r="AI12" i="20"/>
  <c r="AB12" i="20"/>
  <c r="U12" i="20"/>
  <c r="N12" i="20"/>
  <c r="AQ11" i="20"/>
  <c r="AN11" i="20"/>
  <c r="AJ11" i="20"/>
  <c r="AG11" i="20"/>
  <c r="AC11" i="20"/>
  <c r="Z11" i="20"/>
  <c r="V11" i="20"/>
  <c r="S11" i="20"/>
  <c r="L11" i="20"/>
  <c r="O11" i="20" s="1"/>
  <c r="H11" i="20"/>
  <c r="S2" i="20"/>
  <c r="G47" i="20" s="1"/>
  <c r="H47" i="20" s="1"/>
  <c r="AL63" i="19"/>
  <c r="AM35" i="19" s="1"/>
  <c r="AE63" i="19"/>
  <c r="AF41" i="19" s="1"/>
  <c r="X63" i="19"/>
  <c r="Y42" i="19" s="1"/>
  <c r="Q63" i="19"/>
  <c r="J63" i="19"/>
  <c r="K42" i="19" s="1"/>
  <c r="F63" i="19"/>
  <c r="AL59" i="19"/>
  <c r="Q59" i="19"/>
  <c r="AL53" i="19"/>
  <c r="AE53" i="19"/>
  <c r="AE59" i="19" s="1"/>
  <c r="X53" i="19"/>
  <c r="X59" i="19" s="1"/>
  <c r="Q53" i="19"/>
  <c r="J53" i="19"/>
  <c r="J59" i="19" s="1"/>
  <c r="F53" i="19"/>
  <c r="F59" i="19" s="1"/>
  <c r="AM48" i="19"/>
  <c r="AN48" i="19" s="1"/>
  <c r="AL48" i="19"/>
  <c r="AF48" i="19"/>
  <c r="AE48" i="19"/>
  <c r="Y48" i="19"/>
  <c r="Z48" i="19" s="1"/>
  <c r="X48" i="19"/>
  <c r="Q48" i="19"/>
  <c r="K48" i="19"/>
  <c r="L48" i="19" s="1"/>
  <c r="J48" i="19"/>
  <c r="G48" i="19"/>
  <c r="F48" i="19"/>
  <c r="H48" i="19" s="1"/>
  <c r="C48" i="19"/>
  <c r="AM47" i="19"/>
  <c r="AN47" i="19" s="1"/>
  <c r="AL47" i="19"/>
  <c r="AG47" i="19"/>
  <c r="AF47" i="19"/>
  <c r="AE47" i="19"/>
  <c r="X47" i="19"/>
  <c r="S47" i="19"/>
  <c r="R47" i="19"/>
  <c r="Q47" i="19"/>
  <c r="K47" i="19"/>
  <c r="L47" i="19" s="1"/>
  <c r="J47" i="19"/>
  <c r="F47" i="19"/>
  <c r="C47" i="19"/>
  <c r="AN46" i="19"/>
  <c r="AP46" i="19" s="1"/>
  <c r="AQ46" i="19" s="1"/>
  <c r="AM46" i="19"/>
  <c r="AL46" i="19"/>
  <c r="AF46" i="19"/>
  <c r="AG46" i="19" s="1"/>
  <c r="AE46" i="19"/>
  <c r="Y46" i="19"/>
  <c r="X46" i="19"/>
  <c r="R46" i="19"/>
  <c r="S46" i="19" s="1"/>
  <c r="Q46" i="19"/>
  <c r="K46" i="19"/>
  <c r="L46" i="19" s="1"/>
  <c r="N46" i="19" s="1"/>
  <c r="J46" i="19"/>
  <c r="G46" i="19"/>
  <c r="F46" i="19"/>
  <c r="H46" i="19" s="1"/>
  <c r="C46" i="19"/>
  <c r="AM45" i="19"/>
  <c r="AN45" i="19" s="1"/>
  <c r="AL45" i="19"/>
  <c r="AF45" i="19"/>
  <c r="AE45" i="19"/>
  <c r="AG45" i="19" s="1"/>
  <c r="Y45" i="19"/>
  <c r="Z45" i="19" s="1"/>
  <c r="X45" i="19"/>
  <c r="R45" i="19"/>
  <c r="S45" i="19" s="1"/>
  <c r="Q45" i="19"/>
  <c r="Q35" i="19" s="1"/>
  <c r="K45" i="19"/>
  <c r="L45" i="19" s="1"/>
  <c r="J45" i="19"/>
  <c r="H45" i="19"/>
  <c r="G45" i="19"/>
  <c r="F45" i="19"/>
  <c r="C45" i="19"/>
  <c r="AN44" i="19"/>
  <c r="AP44" i="19" s="1"/>
  <c r="AM44" i="19"/>
  <c r="AL44" i="19"/>
  <c r="AL35" i="19" s="1"/>
  <c r="AF44" i="19"/>
  <c r="AG44" i="19" s="1"/>
  <c r="AE44" i="19"/>
  <c r="Z44" i="19"/>
  <c r="Y44" i="19"/>
  <c r="X44" i="19"/>
  <c r="R44" i="19"/>
  <c r="S44" i="19" s="1"/>
  <c r="Q44" i="19"/>
  <c r="K44" i="19"/>
  <c r="J44" i="19"/>
  <c r="G44" i="19"/>
  <c r="H44" i="19" s="1"/>
  <c r="F44" i="19"/>
  <c r="C44" i="19"/>
  <c r="AM43" i="19"/>
  <c r="AF43" i="19"/>
  <c r="Y43" i="19"/>
  <c r="R43" i="19"/>
  <c r="K43" i="19"/>
  <c r="G43" i="19"/>
  <c r="C43" i="19"/>
  <c r="AM42" i="19"/>
  <c r="AF42" i="19"/>
  <c r="R42" i="19"/>
  <c r="G42" i="19"/>
  <c r="C42" i="19"/>
  <c r="AM41" i="19"/>
  <c r="Y41" i="19"/>
  <c r="R41" i="19"/>
  <c r="K41" i="19"/>
  <c r="G41" i="19"/>
  <c r="C41" i="19"/>
  <c r="AM39" i="19"/>
  <c r="AF39" i="19"/>
  <c r="Y39" i="19"/>
  <c r="R39" i="19"/>
  <c r="G39" i="19"/>
  <c r="C39" i="19"/>
  <c r="AM38" i="19"/>
  <c r="AF38" i="19"/>
  <c r="R38" i="19"/>
  <c r="K38" i="19"/>
  <c r="G38" i="19"/>
  <c r="C38" i="19"/>
  <c r="AM36" i="19"/>
  <c r="AF36" i="19"/>
  <c r="Y36" i="19"/>
  <c r="R36" i="19"/>
  <c r="K36" i="19"/>
  <c r="G36" i="19"/>
  <c r="C36" i="19"/>
  <c r="AF35" i="19"/>
  <c r="Y35" i="19"/>
  <c r="R35" i="19"/>
  <c r="K35" i="19"/>
  <c r="G35" i="19"/>
  <c r="C35" i="19"/>
  <c r="AF34" i="19"/>
  <c r="Y34" i="19"/>
  <c r="R34" i="19"/>
  <c r="K34" i="19"/>
  <c r="G34" i="19"/>
  <c r="C34" i="19"/>
  <c r="AM33" i="19"/>
  <c r="AF33" i="19"/>
  <c r="Y33" i="19"/>
  <c r="R33" i="19"/>
  <c r="K33" i="19"/>
  <c r="G33" i="19"/>
  <c r="C33" i="19"/>
  <c r="AM32" i="19"/>
  <c r="AF32" i="19"/>
  <c r="Y32" i="19"/>
  <c r="R32" i="19"/>
  <c r="K32" i="19"/>
  <c r="G32" i="19"/>
  <c r="C32" i="19"/>
  <c r="AM31" i="19"/>
  <c r="AF31" i="19"/>
  <c r="Y31" i="19"/>
  <c r="R31" i="19"/>
  <c r="K31" i="19"/>
  <c r="G31" i="19"/>
  <c r="C31" i="19"/>
  <c r="AM30" i="19"/>
  <c r="AF30" i="19"/>
  <c r="Y30" i="19"/>
  <c r="R30" i="19"/>
  <c r="K30" i="19"/>
  <c r="G30" i="19"/>
  <c r="C30" i="19"/>
  <c r="AM28" i="19"/>
  <c r="AF28" i="19"/>
  <c r="Y28" i="19"/>
  <c r="R28" i="19"/>
  <c r="K28" i="19"/>
  <c r="G28" i="19"/>
  <c r="C28" i="19"/>
  <c r="AM27" i="19"/>
  <c r="AF27" i="19"/>
  <c r="Y27" i="19"/>
  <c r="R27" i="19"/>
  <c r="K27" i="19"/>
  <c r="G27" i="19"/>
  <c r="C27" i="19"/>
  <c r="AM26" i="19"/>
  <c r="AF26" i="19"/>
  <c r="Y26" i="19"/>
  <c r="R26" i="19"/>
  <c r="K26" i="19"/>
  <c r="G26" i="19"/>
  <c r="C26" i="19"/>
  <c r="AM25" i="19"/>
  <c r="AF25" i="19"/>
  <c r="Y25" i="19"/>
  <c r="R25" i="19"/>
  <c r="K25" i="19"/>
  <c r="G25" i="19"/>
  <c r="C25" i="19"/>
  <c r="AM24" i="19"/>
  <c r="AF24" i="19"/>
  <c r="Y24" i="19"/>
  <c r="R24" i="19"/>
  <c r="K24" i="19"/>
  <c r="G24" i="19"/>
  <c r="C24" i="19"/>
  <c r="AM23" i="19"/>
  <c r="AF23" i="19"/>
  <c r="Y23" i="19"/>
  <c r="R23" i="19"/>
  <c r="K23" i="19"/>
  <c r="G23" i="19"/>
  <c r="C23" i="19"/>
  <c r="AM22" i="19"/>
  <c r="AF22" i="19"/>
  <c r="Y22" i="19"/>
  <c r="R22" i="19"/>
  <c r="K22" i="19"/>
  <c r="G22" i="19"/>
  <c r="C22" i="19"/>
  <c r="AM21" i="19"/>
  <c r="AF21" i="19"/>
  <c r="AC21" i="19"/>
  <c r="Y21" i="19"/>
  <c r="R21" i="19"/>
  <c r="S21" i="19" s="1"/>
  <c r="Q21" i="19"/>
  <c r="K21" i="19"/>
  <c r="J21" i="19"/>
  <c r="G21" i="19"/>
  <c r="F21" i="19"/>
  <c r="H21" i="19" s="1"/>
  <c r="C21" i="19"/>
  <c r="AM20" i="19"/>
  <c r="AF20" i="19"/>
  <c r="Y20" i="19"/>
  <c r="R20" i="19"/>
  <c r="K20" i="19"/>
  <c r="G20" i="19"/>
  <c r="C20" i="19"/>
  <c r="AM19" i="19"/>
  <c r="AF19" i="19"/>
  <c r="Y19" i="19"/>
  <c r="R19" i="19"/>
  <c r="K19" i="19"/>
  <c r="G19" i="19"/>
  <c r="C19" i="19"/>
  <c r="AM18" i="19"/>
  <c r="AF18" i="19"/>
  <c r="Y18" i="19"/>
  <c r="R18" i="19"/>
  <c r="K18" i="19"/>
  <c r="G18" i="19"/>
  <c r="B18" i="19"/>
  <c r="C18" i="19" s="1"/>
  <c r="AM17" i="19"/>
  <c r="AF17" i="19"/>
  <c r="Y17" i="19"/>
  <c r="R17" i="19"/>
  <c r="K17" i="19"/>
  <c r="G17" i="19"/>
  <c r="C17" i="19"/>
  <c r="B17" i="19"/>
  <c r="AM16" i="19"/>
  <c r="AF16" i="19"/>
  <c r="Y16" i="19"/>
  <c r="R16" i="19"/>
  <c r="K16" i="19"/>
  <c r="G16" i="19"/>
  <c r="C16" i="19"/>
  <c r="AM15" i="19"/>
  <c r="AF15" i="19"/>
  <c r="Y15" i="19"/>
  <c r="R15" i="19"/>
  <c r="K15" i="19"/>
  <c r="G15" i="19"/>
  <c r="C15" i="19"/>
  <c r="AP12" i="19"/>
  <c r="AI12" i="19"/>
  <c r="AB12" i="19"/>
  <c r="U12" i="19"/>
  <c r="N12" i="19"/>
  <c r="AQ11" i="19"/>
  <c r="AN11" i="19"/>
  <c r="AJ11" i="19"/>
  <c r="AG11" i="19"/>
  <c r="AC11" i="19"/>
  <c r="Z11" i="19"/>
  <c r="S11" i="19"/>
  <c r="V11" i="19" s="1"/>
  <c r="O11" i="19"/>
  <c r="L11" i="19"/>
  <c r="H11" i="19"/>
  <c r="S2" i="19"/>
  <c r="R48" i="19" s="1"/>
  <c r="S48" i="19" s="1"/>
  <c r="AL63" i="18"/>
  <c r="AE63" i="18"/>
  <c r="X63" i="18"/>
  <c r="Q63" i="18"/>
  <c r="J63" i="18"/>
  <c r="F63" i="18"/>
  <c r="X59" i="18"/>
  <c r="F59" i="18"/>
  <c r="AL53" i="18"/>
  <c r="AL59" i="18" s="1"/>
  <c r="AE53" i="18"/>
  <c r="X53" i="18"/>
  <c r="Q53" i="18"/>
  <c r="Q59" i="18" s="1"/>
  <c r="J53" i="18"/>
  <c r="J59" i="18" s="1"/>
  <c r="F53" i="18"/>
  <c r="AL48" i="18"/>
  <c r="AE48" i="18"/>
  <c r="X48" i="18"/>
  <c r="Q48" i="18"/>
  <c r="J48" i="18"/>
  <c r="F48" i="18"/>
  <c r="C48" i="18"/>
  <c r="AL47" i="18"/>
  <c r="AE47" i="18"/>
  <c r="X47" i="18"/>
  <c r="Q47" i="18"/>
  <c r="J47" i="18"/>
  <c r="F47" i="18"/>
  <c r="C47" i="18"/>
  <c r="AN46" i="18"/>
  <c r="AP46" i="18" s="1"/>
  <c r="AM46" i="18"/>
  <c r="AL46" i="18"/>
  <c r="AG46" i="18"/>
  <c r="AF46" i="18"/>
  <c r="AE46" i="18"/>
  <c r="Y46" i="18"/>
  <c r="X46" i="18"/>
  <c r="Z46" i="18" s="1"/>
  <c r="R46" i="18"/>
  <c r="Q46" i="18"/>
  <c r="Q35" i="18" s="1"/>
  <c r="K46" i="18"/>
  <c r="L46" i="18" s="1"/>
  <c r="J46" i="18"/>
  <c r="H46" i="18"/>
  <c r="G46" i="18"/>
  <c r="F46" i="18"/>
  <c r="C46" i="18"/>
  <c r="AP45" i="18"/>
  <c r="AN45" i="18"/>
  <c r="AM45" i="18"/>
  <c r="AL45" i="18"/>
  <c r="AG45" i="18"/>
  <c r="AF45" i="18"/>
  <c r="AE45" i="18"/>
  <c r="Y45" i="18"/>
  <c r="X45" i="18"/>
  <c r="X35" i="18" s="1"/>
  <c r="S45" i="18"/>
  <c r="R45" i="18"/>
  <c r="Q45" i="18"/>
  <c r="K45" i="18"/>
  <c r="L45" i="18" s="1"/>
  <c r="J45" i="18"/>
  <c r="G45" i="18"/>
  <c r="F45" i="18"/>
  <c r="H45" i="18" s="1"/>
  <c r="C45" i="18"/>
  <c r="AM44" i="18"/>
  <c r="AN44" i="18" s="1"/>
  <c r="AL44" i="18"/>
  <c r="AF44" i="18"/>
  <c r="AE44" i="18"/>
  <c r="Y44" i="18"/>
  <c r="Z44" i="18" s="1"/>
  <c r="X44" i="18"/>
  <c r="R44" i="18"/>
  <c r="S44" i="18" s="1"/>
  <c r="Q44" i="18"/>
  <c r="K44" i="18"/>
  <c r="L44" i="18" s="1"/>
  <c r="J44" i="18"/>
  <c r="J35" i="18" s="1"/>
  <c r="G44" i="18"/>
  <c r="H44" i="18" s="1"/>
  <c r="F44" i="18"/>
  <c r="C44" i="18"/>
  <c r="AM43" i="18"/>
  <c r="AF43" i="18"/>
  <c r="Y43" i="18"/>
  <c r="R43" i="18"/>
  <c r="K43" i="18"/>
  <c r="G43" i="18"/>
  <c r="C43" i="18"/>
  <c r="AM42" i="18"/>
  <c r="AF42" i="18"/>
  <c r="Y42" i="18"/>
  <c r="R42" i="18"/>
  <c r="C42" i="18"/>
  <c r="AM41" i="18"/>
  <c r="AF41" i="18"/>
  <c r="R41" i="18"/>
  <c r="C41" i="18"/>
  <c r="AM39" i="18"/>
  <c r="AF39" i="18"/>
  <c r="R39" i="18"/>
  <c r="K39" i="18"/>
  <c r="C39" i="18"/>
  <c r="AM38" i="18"/>
  <c r="AF38" i="18"/>
  <c r="Y38" i="18"/>
  <c r="R38" i="18"/>
  <c r="C38" i="18"/>
  <c r="AM36" i="18"/>
  <c r="AF36" i="18"/>
  <c r="Y36" i="18"/>
  <c r="R36" i="18"/>
  <c r="K36" i="18"/>
  <c r="G36" i="18"/>
  <c r="C36" i="18"/>
  <c r="AM35" i="18"/>
  <c r="AN35" i="18" s="1"/>
  <c r="AP35" i="18" s="1"/>
  <c r="AL35" i="18"/>
  <c r="AG35" i="18"/>
  <c r="AF35" i="18"/>
  <c r="AE35" i="18"/>
  <c r="R35" i="18"/>
  <c r="H35" i="18"/>
  <c r="G35" i="18"/>
  <c r="F35" i="18"/>
  <c r="C35" i="18"/>
  <c r="AM34" i="18"/>
  <c r="AF34" i="18"/>
  <c r="R34" i="18"/>
  <c r="G34" i="18"/>
  <c r="C34" i="18"/>
  <c r="AM33" i="18"/>
  <c r="AF33" i="18"/>
  <c r="Y33" i="18"/>
  <c r="R33" i="18"/>
  <c r="K33" i="18"/>
  <c r="G33" i="18"/>
  <c r="C33" i="18"/>
  <c r="AM32" i="18"/>
  <c r="AF32" i="18"/>
  <c r="Y32" i="18"/>
  <c r="R32" i="18"/>
  <c r="K32" i="18"/>
  <c r="G32" i="18"/>
  <c r="C32" i="18"/>
  <c r="AM31" i="18"/>
  <c r="AF31" i="18"/>
  <c r="Y31" i="18"/>
  <c r="R31" i="18"/>
  <c r="K31" i="18"/>
  <c r="G31" i="18"/>
  <c r="C31" i="18"/>
  <c r="AM30" i="18"/>
  <c r="AF30" i="18"/>
  <c r="Y30" i="18"/>
  <c r="R30" i="18"/>
  <c r="K30" i="18"/>
  <c r="G30" i="18"/>
  <c r="C30" i="18"/>
  <c r="AM28" i="18"/>
  <c r="AF28" i="18"/>
  <c r="Y28" i="18"/>
  <c r="R28" i="18"/>
  <c r="K28" i="18"/>
  <c r="G28" i="18"/>
  <c r="C28" i="18"/>
  <c r="AM27" i="18"/>
  <c r="AF27" i="18"/>
  <c r="Y27" i="18"/>
  <c r="R27" i="18"/>
  <c r="K27" i="18"/>
  <c r="G27" i="18"/>
  <c r="C27" i="18"/>
  <c r="AM26" i="18"/>
  <c r="AF26" i="18"/>
  <c r="Y26" i="18"/>
  <c r="R26" i="18"/>
  <c r="K26" i="18"/>
  <c r="G26" i="18"/>
  <c r="C26" i="18"/>
  <c r="AM25" i="18"/>
  <c r="AF25" i="18"/>
  <c r="Y25" i="18"/>
  <c r="R25" i="18"/>
  <c r="K25" i="18"/>
  <c r="G25" i="18"/>
  <c r="C25" i="18"/>
  <c r="AM24" i="18"/>
  <c r="AF24" i="18"/>
  <c r="Y24" i="18"/>
  <c r="R24" i="18"/>
  <c r="K24" i="18"/>
  <c r="G24" i="18"/>
  <c r="C24" i="18"/>
  <c r="AM23" i="18"/>
  <c r="AF23" i="18"/>
  <c r="Y23" i="18"/>
  <c r="R23" i="18"/>
  <c r="K23" i="18"/>
  <c r="G23" i="18"/>
  <c r="C23" i="18"/>
  <c r="AM22" i="18"/>
  <c r="AF22" i="18"/>
  <c r="Y22" i="18"/>
  <c r="R22" i="18"/>
  <c r="K22" i="18"/>
  <c r="G22" i="18"/>
  <c r="C22" i="18"/>
  <c r="AM21" i="18"/>
  <c r="AF21" i="18"/>
  <c r="Y21" i="18"/>
  <c r="R21" i="18"/>
  <c r="S21" i="18" s="1"/>
  <c r="Q21" i="18"/>
  <c r="L21" i="18"/>
  <c r="V21" i="18" s="1"/>
  <c r="K21" i="18"/>
  <c r="J21" i="18"/>
  <c r="G21" i="18"/>
  <c r="H21" i="18" s="1"/>
  <c r="F21" i="18"/>
  <c r="C21" i="18"/>
  <c r="AM20" i="18"/>
  <c r="AF20" i="18"/>
  <c r="Y20" i="18"/>
  <c r="R20" i="18"/>
  <c r="K20" i="18"/>
  <c r="G20" i="18"/>
  <c r="C20" i="18"/>
  <c r="AM19" i="18"/>
  <c r="AF19" i="18"/>
  <c r="Y19" i="18"/>
  <c r="R19" i="18"/>
  <c r="K19" i="18"/>
  <c r="G19" i="18"/>
  <c r="C19" i="18"/>
  <c r="AM18" i="18"/>
  <c r="AF18" i="18"/>
  <c r="Y18" i="18"/>
  <c r="R18" i="18"/>
  <c r="K18" i="18"/>
  <c r="G18" i="18"/>
  <c r="C18" i="18"/>
  <c r="B18" i="18"/>
  <c r="AM17" i="18"/>
  <c r="AF17" i="18"/>
  <c r="Y17" i="18"/>
  <c r="R17" i="18"/>
  <c r="K17" i="18"/>
  <c r="G17" i="18"/>
  <c r="C17" i="18"/>
  <c r="B17" i="18"/>
  <c r="AM16" i="18"/>
  <c r="AF16" i="18"/>
  <c r="Y16" i="18"/>
  <c r="R16" i="18"/>
  <c r="K16" i="18"/>
  <c r="G16" i="18"/>
  <c r="C16" i="18"/>
  <c r="AM15" i="18"/>
  <c r="AF15" i="18"/>
  <c r="Y15" i="18"/>
  <c r="R15" i="18"/>
  <c r="K15" i="18"/>
  <c r="G15" i="18"/>
  <c r="C15" i="18"/>
  <c r="AP12" i="18"/>
  <c r="AI12" i="18"/>
  <c r="AB12" i="18"/>
  <c r="U12" i="18"/>
  <c r="N12" i="18"/>
  <c r="AN11" i="18"/>
  <c r="AQ11" i="18" s="1"/>
  <c r="AJ11" i="18"/>
  <c r="AG11" i="18"/>
  <c r="AC11" i="18"/>
  <c r="Z11" i="18"/>
  <c r="S11" i="18"/>
  <c r="V11" i="18" s="1"/>
  <c r="L11" i="18"/>
  <c r="O11" i="18" s="1"/>
  <c r="H11" i="18"/>
  <c r="S2" i="18"/>
  <c r="AL63" i="17"/>
  <c r="AE63" i="17"/>
  <c r="AF42" i="17" s="1"/>
  <c r="X63" i="17"/>
  <c r="Q63" i="17"/>
  <c r="R39" i="17" s="1"/>
  <c r="J63" i="17"/>
  <c r="K41" i="17" s="1"/>
  <c r="F63" i="17"/>
  <c r="J59" i="17"/>
  <c r="AL53" i="17"/>
  <c r="AL59" i="17" s="1"/>
  <c r="AE53" i="17"/>
  <c r="X53" i="17"/>
  <c r="Q53" i="17"/>
  <c r="Q59" i="17" s="1"/>
  <c r="J53" i="17"/>
  <c r="F53" i="17"/>
  <c r="AL48" i="17"/>
  <c r="AE48" i="17"/>
  <c r="X48" i="17"/>
  <c r="Q48" i="17"/>
  <c r="K48" i="17"/>
  <c r="L48" i="17" s="1"/>
  <c r="J48" i="17"/>
  <c r="F48" i="17"/>
  <c r="C48" i="17"/>
  <c r="AL47" i="17"/>
  <c r="AE47" i="17"/>
  <c r="X47" i="17"/>
  <c r="Q47" i="17"/>
  <c r="J47" i="17"/>
  <c r="F47" i="17"/>
  <c r="C47" i="17"/>
  <c r="AM46" i="17"/>
  <c r="AN46" i="17" s="1"/>
  <c r="AP46" i="17" s="1"/>
  <c r="AL46" i="17"/>
  <c r="AF46" i="17"/>
  <c r="AG46" i="17" s="1"/>
  <c r="AE46" i="17"/>
  <c r="Y46" i="17"/>
  <c r="Z46" i="17" s="1"/>
  <c r="X46" i="17"/>
  <c r="R46" i="17"/>
  <c r="Q46" i="17"/>
  <c r="S46" i="17" s="1"/>
  <c r="N46" i="17"/>
  <c r="K46" i="17"/>
  <c r="L46" i="17" s="1"/>
  <c r="J46" i="17"/>
  <c r="G46" i="17"/>
  <c r="H46" i="17" s="1"/>
  <c r="O46" i="17" s="1"/>
  <c r="F46" i="17"/>
  <c r="C46" i="17"/>
  <c r="AM45" i="17"/>
  <c r="AL45" i="17"/>
  <c r="AF45" i="17"/>
  <c r="AG45" i="17" s="1"/>
  <c r="AE45" i="17"/>
  <c r="Y45" i="17"/>
  <c r="Z45" i="17" s="1"/>
  <c r="X45" i="17"/>
  <c r="R45" i="17"/>
  <c r="S45" i="17" s="1"/>
  <c r="Q45" i="17"/>
  <c r="K45" i="17"/>
  <c r="J45" i="17"/>
  <c r="J35" i="17" s="1"/>
  <c r="L35" i="17" s="1"/>
  <c r="G45" i="17"/>
  <c r="H45" i="17" s="1"/>
  <c r="F45" i="17"/>
  <c r="C45" i="17"/>
  <c r="AM44" i="17"/>
  <c r="AL44" i="17"/>
  <c r="AF44" i="17"/>
  <c r="AG44" i="17" s="1"/>
  <c r="AE44" i="17"/>
  <c r="Y44" i="17"/>
  <c r="Z44" i="17" s="1"/>
  <c r="X44" i="17"/>
  <c r="R44" i="17"/>
  <c r="Q44" i="17"/>
  <c r="Q35" i="17" s="1"/>
  <c r="L44" i="17"/>
  <c r="K44" i="17"/>
  <c r="J44" i="17"/>
  <c r="H44" i="17"/>
  <c r="G44" i="17"/>
  <c r="F44" i="17"/>
  <c r="C44" i="17"/>
  <c r="AM43" i="17"/>
  <c r="AF43" i="17"/>
  <c r="Y43" i="17"/>
  <c r="R43" i="17"/>
  <c r="K43" i="17"/>
  <c r="G43" i="17"/>
  <c r="C43" i="17"/>
  <c r="Y42" i="17"/>
  <c r="R42" i="17"/>
  <c r="C42" i="17"/>
  <c r="AF41" i="17"/>
  <c r="Y41" i="17"/>
  <c r="R41" i="17"/>
  <c r="G41" i="17"/>
  <c r="C41" i="17"/>
  <c r="Y39" i="17"/>
  <c r="K39" i="17"/>
  <c r="C39" i="17"/>
  <c r="Y38" i="17"/>
  <c r="R38" i="17"/>
  <c r="G38" i="17"/>
  <c r="C38" i="17"/>
  <c r="AM36" i="17"/>
  <c r="AF36" i="17"/>
  <c r="Y36" i="17"/>
  <c r="R36" i="17"/>
  <c r="K36" i="17"/>
  <c r="G36" i="17"/>
  <c r="C36" i="17"/>
  <c r="AF35" i="17"/>
  <c r="AE35" i="17"/>
  <c r="Y35" i="17"/>
  <c r="X35" i="17"/>
  <c r="Z35" i="17" s="1"/>
  <c r="R35" i="17"/>
  <c r="K35" i="17"/>
  <c r="H35" i="17"/>
  <c r="G35" i="17"/>
  <c r="F35" i="17"/>
  <c r="C35" i="17"/>
  <c r="AF34" i="17"/>
  <c r="Y34" i="17"/>
  <c r="R34" i="17"/>
  <c r="K34" i="17"/>
  <c r="C34" i="17"/>
  <c r="AM33" i="17"/>
  <c r="AF33" i="17"/>
  <c r="Y33" i="17"/>
  <c r="R33" i="17"/>
  <c r="K33" i="17"/>
  <c r="G33" i="17"/>
  <c r="C33" i="17"/>
  <c r="AM32" i="17"/>
  <c r="AF32" i="17"/>
  <c r="Y32" i="17"/>
  <c r="R32" i="17"/>
  <c r="K32" i="17"/>
  <c r="G32" i="17"/>
  <c r="C32" i="17"/>
  <c r="AM31" i="17"/>
  <c r="AF31" i="17"/>
  <c r="Y31" i="17"/>
  <c r="R31" i="17"/>
  <c r="K31" i="17"/>
  <c r="G31" i="17"/>
  <c r="C31" i="17"/>
  <c r="AM30" i="17"/>
  <c r="AF30" i="17"/>
  <c r="Y30" i="17"/>
  <c r="R30" i="17"/>
  <c r="K30" i="17"/>
  <c r="G30" i="17"/>
  <c r="C30" i="17"/>
  <c r="AM28" i="17"/>
  <c r="AF28" i="17"/>
  <c r="Y28" i="17"/>
  <c r="R28" i="17"/>
  <c r="K28" i="17"/>
  <c r="G28" i="17"/>
  <c r="C28" i="17"/>
  <c r="AM27" i="17"/>
  <c r="AF27" i="17"/>
  <c r="Y27" i="17"/>
  <c r="R27" i="17"/>
  <c r="K27" i="17"/>
  <c r="G27" i="17"/>
  <c r="C27" i="17"/>
  <c r="AM26" i="17"/>
  <c r="AF26" i="17"/>
  <c r="Y26" i="17"/>
  <c r="R26" i="17"/>
  <c r="K26" i="17"/>
  <c r="G26" i="17"/>
  <c r="C26" i="17"/>
  <c r="AM25" i="17"/>
  <c r="AF25" i="17"/>
  <c r="Y25" i="17"/>
  <c r="R25" i="17"/>
  <c r="K25" i="17"/>
  <c r="G25" i="17"/>
  <c r="C25" i="17"/>
  <c r="AM24" i="17"/>
  <c r="AF24" i="17"/>
  <c r="Y24" i="17"/>
  <c r="R24" i="17"/>
  <c r="K24" i="17"/>
  <c r="G24" i="17"/>
  <c r="C24" i="17"/>
  <c r="AM23" i="17"/>
  <c r="AF23" i="17"/>
  <c r="Y23" i="17"/>
  <c r="R23" i="17"/>
  <c r="K23" i="17"/>
  <c r="G23" i="17"/>
  <c r="C23" i="17"/>
  <c r="AM22" i="17"/>
  <c r="AF22" i="17"/>
  <c r="Y22" i="17"/>
  <c r="R22" i="17"/>
  <c r="K22" i="17"/>
  <c r="G22" i="17"/>
  <c r="C22" i="17"/>
  <c r="AM21" i="17"/>
  <c r="AF21" i="17"/>
  <c r="Y21" i="17"/>
  <c r="V21" i="17"/>
  <c r="R21" i="17"/>
  <c r="S21" i="17" s="1"/>
  <c r="Q21" i="17"/>
  <c r="K21" i="17"/>
  <c r="L21" i="17" s="1"/>
  <c r="J21" i="17"/>
  <c r="G21" i="17"/>
  <c r="H21" i="17" s="1"/>
  <c r="F21" i="17"/>
  <c r="C21" i="17"/>
  <c r="AM20" i="17"/>
  <c r="AF20" i="17"/>
  <c r="Y20" i="17"/>
  <c r="R20" i="17"/>
  <c r="K20" i="17"/>
  <c r="G20" i="17"/>
  <c r="C20" i="17"/>
  <c r="AM19" i="17"/>
  <c r="AF19" i="17"/>
  <c r="Y19" i="17"/>
  <c r="R19" i="17"/>
  <c r="K19" i="17"/>
  <c r="G19" i="17"/>
  <c r="C19" i="17"/>
  <c r="AM18" i="17"/>
  <c r="AF18" i="17"/>
  <c r="Y18" i="17"/>
  <c r="R18" i="17"/>
  <c r="K18" i="17"/>
  <c r="G18" i="17"/>
  <c r="B18" i="17"/>
  <c r="C18" i="17" s="1"/>
  <c r="AM17" i="17"/>
  <c r="AF17" i="17"/>
  <c r="Y17" i="17"/>
  <c r="R17" i="17"/>
  <c r="K17" i="17"/>
  <c r="G17" i="17"/>
  <c r="B17" i="17"/>
  <c r="C17" i="17" s="1"/>
  <c r="AM16" i="17"/>
  <c r="AF16" i="17"/>
  <c r="Y16" i="17"/>
  <c r="R16" i="17"/>
  <c r="K16" i="17"/>
  <c r="G16" i="17"/>
  <c r="C16" i="17"/>
  <c r="AM15" i="17"/>
  <c r="AF15" i="17"/>
  <c r="Y15" i="17"/>
  <c r="R15" i="17"/>
  <c r="K15" i="17"/>
  <c r="G15" i="17"/>
  <c r="C15" i="17"/>
  <c r="AP12" i="17"/>
  <c r="AI12" i="17"/>
  <c r="AB12" i="17"/>
  <c r="U12" i="17"/>
  <c r="N12" i="17"/>
  <c r="AN11" i="17"/>
  <c r="AQ11" i="17" s="1"/>
  <c r="AJ11" i="17"/>
  <c r="AG11" i="17"/>
  <c r="Z11" i="17"/>
  <c r="AC11" i="17" s="1"/>
  <c r="S11" i="17"/>
  <c r="V11" i="17" s="1"/>
  <c r="L11" i="17"/>
  <c r="O11" i="17" s="1"/>
  <c r="H11" i="17"/>
  <c r="S2" i="17"/>
  <c r="Y47" i="17" s="1"/>
  <c r="Z47" i="17" s="1"/>
  <c r="AL63" i="16"/>
  <c r="AE63" i="16"/>
  <c r="X63" i="16"/>
  <c r="Q63" i="16"/>
  <c r="R42" i="16" s="1"/>
  <c r="J63" i="16"/>
  <c r="F63" i="16"/>
  <c r="AE59" i="16"/>
  <c r="J59" i="16"/>
  <c r="AL53" i="16"/>
  <c r="AL59" i="16" s="1"/>
  <c r="AE53" i="16"/>
  <c r="X53" i="16"/>
  <c r="X59" i="16" s="1"/>
  <c r="Q53" i="16"/>
  <c r="Q59" i="16" s="1"/>
  <c r="J53" i="16"/>
  <c r="F53" i="16"/>
  <c r="F59" i="16" s="1"/>
  <c r="AL48" i="16"/>
  <c r="AE48" i="16"/>
  <c r="X48" i="16"/>
  <c r="Q48" i="16"/>
  <c r="J48" i="16"/>
  <c r="F48" i="16"/>
  <c r="C48" i="16"/>
  <c r="AL47" i="16"/>
  <c r="AE47" i="16"/>
  <c r="X47" i="16"/>
  <c r="Q47" i="16"/>
  <c r="J47" i="16"/>
  <c r="F47" i="16"/>
  <c r="C47" i="16"/>
  <c r="AP46" i="16"/>
  <c r="AM46" i="16"/>
  <c r="AN46" i="16" s="1"/>
  <c r="AL46" i="16"/>
  <c r="AF46" i="16"/>
  <c r="AE46" i="16"/>
  <c r="AG46" i="16" s="1"/>
  <c r="Z46" i="16"/>
  <c r="Y46" i="16"/>
  <c r="X46" i="16"/>
  <c r="R46" i="16"/>
  <c r="Q46" i="16"/>
  <c r="S46" i="16" s="1"/>
  <c r="K46" i="16"/>
  <c r="J46" i="16"/>
  <c r="L46" i="16" s="1"/>
  <c r="G46" i="16"/>
  <c r="F46" i="16"/>
  <c r="C46" i="16"/>
  <c r="AM45" i="16"/>
  <c r="AN45" i="16" s="1"/>
  <c r="AP45" i="16" s="1"/>
  <c r="AL45" i="16"/>
  <c r="AF45" i="16"/>
  <c r="AG45" i="16" s="1"/>
  <c r="AE45" i="16"/>
  <c r="Z45" i="16"/>
  <c r="Y45" i="16"/>
  <c r="X45" i="16"/>
  <c r="S45" i="16"/>
  <c r="R45" i="16"/>
  <c r="Q45" i="16"/>
  <c r="Q35" i="16" s="1"/>
  <c r="K45" i="16"/>
  <c r="J45" i="16"/>
  <c r="J35" i="16" s="1"/>
  <c r="G45" i="16"/>
  <c r="H45" i="16" s="1"/>
  <c r="F45" i="16"/>
  <c r="C45" i="16"/>
  <c r="AN44" i="16"/>
  <c r="AM44" i="16"/>
  <c r="AL44" i="16"/>
  <c r="AF44" i="16"/>
  <c r="AE44" i="16"/>
  <c r="Y44" i="16"/>
  <c r="X44" i="16"/>
  <c r="R44" i="16"/>
  <c r="S44" i="16" s="1"/>
  <c r="Q44" i="16"/>
  <c r="L44" i="16"/>
  <c r="K44" i="16"/>
  <c r="J44" i="16"/>
  <c r="G44" i="16"/>
  <c r="H44" i="16" s="1"/>
  <c r="F44" i="16"/>
  <c r="C44" i="16"/>
  <c r="AM43" i="16"/>
  <c r="AF43" i="16"/>
  <c r="Y43" i="16"/>
  <c r="R43" i="16"/>
  <c r="K43" i="16"/>
  <c r="G43" i="16"/>
  <c r="C43" i="16"/>
  <c r="AM42" i="16"/>
  <c r="AF42" i="16"/>
  <c r="Y42" i="16"/>
  <c r="K42" i="16"/>
  <c r="C42" i="16"/>
  <c r="AM41" i="16"/>
  <c r="AF41" i="16"/>
  <c r="R41" i="16"/>
  <c r="K41" i="16"/>
  <c r="C41" i="16"/>
  <c r="AM39" i="16"/>
  <c r="Y39" i="16"/>
  <c r="R39" i="16"/>
  <c r="K39" i="16"/>
  <c r="C39" i="16"/>
  <c r="AM38" i="16"/>
  <c r="Y38" i="16"/>
  <c r="R38" i="16"/>
  <c r="K38" i="16"/>
  <c r="C38" i="16"/>
  <c r="AM36" i="16"/>
  <c r="AF36" i="16"/>
  <c r="Y36" i="16"/>
  <c r="R36" i="16"/>
  <c r="K36" i="16"/>
  <c r="G36" i="16"/>
  <c r="C36" i="16"/>
  <c r="AM35" i="16"/>
  <c r="AL35" i="16"/>
  <c r="AN35" i="16" s="1"/>
  <c r="AF35" i="16"/>
  <c r="R35" i="16"/>
  <c r="S35" i="16" s="1"/>
  <c r="L35" i="16"/>
  <c r="K35" i="16"/>
  <c r="C35" i="16"/>
  <c r="AM34" i="16"/>
  <c r="Y34" i="16"/>
  <c r="R34" i="16"/>
  <c r="K34" i="16"/>
  <c r="C34" i="16"/>
  <c r="AM33" i="16"/>
  <c r="AF33" i="16"/>
  <c r="Y33" i="16"/>
  <c r="R33" i="16"/>
  <c r="K33" i="16"/>
  <c r="G33" i="16"/>
  <c r="C33" i="16"/>
  <c r="AM32" i="16"/>
  <c r="AF32" i="16"/>
  <c r="Y32" i="16"/>
  <c r="R32" i="16"/>
  <c r="K32" i="16"/>
  <c r="G32" i="16"/>
  <c r="C32" i="16"/>
  <c r="AM31" i="16"/>
  <c r="AF31" i="16"/>
  <c r="Y31" i="16"/>
  <c r="R31" i="16"/>
  <c r="K31" i="16"/>
  <c r="G31" i="16"/>
  <c r="C31" i="16"/>
  <c r="AM30" i="16"/>
  <c r="AF30" i="16"/>
  <c r="Y30" i="16"/>
  <c r="R30" i="16"/>
  <c r="K30" i="16"/>
  <c r="G30" i="16"/>
  <c r="C30" i="16"/>
  <c r="AM28" i="16"/>
  <c r="AF28" i="16"/>
  <c r="Y28" i="16"/>
  <c r="R28" i="16"/>
  <c r="K28" i="16"/>
  <c r="G28" i="16"/>
  <c r="C28" i="16"/>
  <c r="AM27" i="16"/>
  <c r="AF27" i="16"/>
  <c r="Y27" i="16"/>
  <c r="R27" i="16"/>
  <c r="K27" i="16"/>
  <c r="G27" i="16"/>
  <c r="C27" i="16"/>
  <c r="AM26" i="16"/>
  <c r="AF26" i="16"/>
  <c r="Y26" i="16"/>
  <c r="R26" i="16"/>
  <c r="K26" i="16"/>
  <c r="G26" i="16"/>
  <c r="C26" i="16"/>
  <c r="AM25" i="16"/>
  <c r="AF25" i="16"/>
  <c r="Y25" i="16"/>
  <c r="R25" i="16"/>
  <c r="K25" i="16"/>
  <c r="G25" i="16"/>
  <c r="C25" i="16"/>
  <c r="AM24" i="16"/>
  <c r="AF24" i="16"/>
  <c r="Y24" i="16"/>
  <c r="R24" i="16"/>
  <c r="K24" i="16"/>
  <c r="G24" i="16"/>
  <c r="C24" i="16"/>
  <c r="AM23" i="16"/>
  <c r="AF23" i="16"/>
  <c r="Y23" i="16"/>
  <c r="R23" i="16"/>
  <c r="K23" i="16"/>
  <c r="G23" i="16"/>
  <c r="C23" i="16"/>
  <c r="AM22" i="16"/>
  <c r="AF22" i="16"/>
  <c r="Y22" i="16"/>
  <c r="R22" i="16"/>
  <c r="K22" i="16"/>
  <c r="G22" i="16"/>
  <c r="C22" i="16"/>
  <c r="AM21" i="16"/>
  <c r="AF21" i="16"/>
  <c r="Y21" i="16"/>
  <c r="R21" i="16"/>
  <c r="S21" i="16" s="1"/>
  <c r="Q21" i="16"/>
  <c r="L21" i="16"/>
  <c r="K21" i="16"/>
  <c r="J21" i="16"/>
  <c r="G21" i="16"/>
  <c r="H21" i="16" s="1"/>
  <c r="F21" i="16"/>
  <c r="C21" i="16"/>
  <c r="AM20" i="16"/>
  <c r="AF20" i="16"/>
  <c r="Y20" i="16"/>
  <c r="R20" i="16"/>
  <c r="K20" i="16"/>
  <c r="G20" i="16"/>
  <c r="C20" i="16"/>
  <c r="AM19" i="16"/>
  <c r="AF19" i="16"/>
  <c r="Y19" i="16"/>
  <c r="R19" i="16"/>
  <c r="K19" i="16"/>
  <c r="G19" i="16"/>
  <c r="C19" i="16"/>
  <c r="AM18" i="16"/>
  <c r="AF18" i="16"/>
  <c r="Y18" i="16"/>
  <c r="R18" i="16"/>
  <c r="K18" i="16"/>
  <c r="G18" i="16"/>
  <c r="B18" i="16"/>
  <c r="C18" i="16" s="1"/>
  <c r="AM17" i="16"/>
  <c r="AF17" i="16"/>
  <c r="Y17" i="16"/>
  <c r="R17" i="16"/>
  <c r="K17" i="16"/>
  <c r="G17" i="16"/>
  <c r="C17" i="16"/>
  <c r="B17" i="16"/>
  <c r="AM16" i="16"/>
  <c r="AF16" i="16"/>
  <c r="Y16" i="16"/>
  <c r="R16" i="16"/>
  <c r="K16" i="16"/>
  <c r="G16" i="16"/>
  <c r="C16" i="16"/>
  <c r="AM15" i="16"/>
  <c r="AF15" i="16"/>
  <c r="Y15" i="16"/>
  <c r="R15" i="16"/>
  <c r="K15" i="16"/>
  <c r="G15" i="16"/>
  <c r="C15" i="16"/>
  <c r="AP12" i="16"/>
  <c r="AI12" i="16"/>
  <c r="AB12" i="16"/>
  <c r="U12" i="16"/>
  <c r="N12" i="16"/>
  <c r="AN11" i="16"/>
  <c r="AQ11" i="16" s="1"/>
  <c r="AJ11" i="16"/>
  <c r="AG11" i="16"/>
  <c r="Z11" i="16"/>
  <c r="AC11" i="16" s="1"/>
  <c r="S11" i="16"/>
  <c r="V11" i="16" s="1"/>
  <c r="L11" i="16"/>
  <c r="O11" i="16" s="1"/>
  <c r="H11" i="16"/>
  <c r="S2" i="16"/>
  <c r="AL63" i="15"/>
  <c r="AE63" i="15"/>
  <c r="X63" i="15"/>
  <c r="Q63" i="15"/>
  <c r="J63" i="15"/>
  <c r="K38" i="15" s="1"/>
  <c r="F63" i="15"/>
  <c r="G42" i="15" s="1"/>
  <c r="AL59" i="15"/>
  <c r="AE59" i="15"/>
  <c r="AL53" i="15"/>
  <c r="AE53" i="15"/>
  <c r="X53" i="15"/>
  <c r="Q53" i="15"/>
  <c r="Q59" i="15" s="1"/>
  <c r="J53" i="15"/>
  <c r="J59" i="15" s="1"/>
  <c r="F53" i="15"/>
  <c r="F59" i="15" s="1"/>
  <c r="AL48" i="15"/>
  <c r="AE48" i="15"/>
  <c r="X48" i="15"/>
  <c r="Q48" i="15"/>
  <c r="J48" i="15"/>
  <c r="F48" i="15"/>
  <c r="C48" i="15"/>
  <c r="AL47" i="15"/>
  <c r="AE47" i="15"/>
  <c r="X47" i="15"/>
  <c r="R47" i="15"/>
  <c r="S47" i="15" s="1"/>
  <c r="Q47" i="15"/>
  <c r="K47" i="15"/>
  <c r="L47" i="15" s="1"/>
  <c r="J47" i="15"/>
  <c r="F47" i="15"/>
  <c r="C47" i="15"/>
  <c r="AM46" i="15"/>
  <c r="AN46" i="15" s="1"/>
  <c r="AL46" i="15"/>
  <c r="AG46" i="15"/>
  <c r="AF46" i="15"/>
  <c r="AE46" i="15"/>
  <c r="Z46" i="15"/>
  <c r="Y46" i="15"/>
  <c r="X46" i="15"/>
  <c r="U46" i="15"/>
  <c r="V46" i="15" s="1"/>
  <c r="S46" i="15"/>
  <c r="R46" i="15"/>
  <c r="Q46" i="15"/>
  <c r="N46" i="15"/>
  <c r="K46" i="15"/>
  <c r="L46" i="15" s="1"/>
  <c r="J46" i="15"/>
  <c r="H46" i="15"/>
  <c r="O46" i="15" s="1"/>
  <c r="G46" i="15"/>
  <c r="F46" i="15"/>
  <c r="C46" i="15"/>
  <c r="AQ45" i="15"/>
  <c r="AP45" i="15"/>
  <c r="AM45" i="15"/>
  <c r="AN45" i="15" s="1"/>
  <c r="AL45" i="15"/>
  <c r="AG45" i="15"/>
  <c r="AF45" i="15"/>
  <c r="AE45" i="15"/>
  <c r="Y45" i="15"/>
  <c r="Z45" i="15" s="1"/>
  <c r="X45" i="15"/>
  <c r="R45" i="15"/>
  <c r="S45" i="15" s="1"/>
  <c r="Q45" i="15"/>
  <c r="Q35" i="15" s="1"/>
  <c r="Q37" i="37" s="1"/>
  <c r="K45" i="15"/>
  <c r="L45" i="15" s="1"/>
  <c r="J45" i="15"/>
  <c r="G45" i="15"/>
  <c r="F45" i="15"/>
  <c r="F35" i="15" s="1"/>
  <c r="F37" i="37" s="1"/>
  <c r="C45" i="15"/>
  <c r="AN44" i="15"/>
  <c r="AP44" i="15" s="1"/>
  <c r="AM44" i="15"/>
  <c r="AL44" i="15"/>
  <c r="AG44" i="15"/>
  <c r="AF44" i="15"/>
  <c r="AE44" i="15"/>
  <c r="AE35" i="15" s="1"/>
  <c r="AE37" i="37" s="1"/>
  <c r="AG37" i="37" s="1"/>
  <c r="Y44" i="15"/>
  <c r="Z44" i="15" s="1"/>
  <c r="X44" i="15"/>
  <c r="R44" i="15"/>
  <c r="S44" i="15" s="1"/>
  <c r="Q44" i="15"/>
  <c r="N44" i="15"/>
  <c r="K44" i="15"/>
  <c r="L44" i="15" s="1"/>
  <c r="J44" i="15"/>
  <c r="H44" i="15"/>
  <c r="G44" i="15"/>
  <c r="F44" i="15"/>
  <c r="C44" i="15"/>
  <c r="AM43" i="15"/>
  <c r="AF43" i="15"/>
  <c r="Y43" i="15"/>
  <c r="R43" i="15"/>
  <c r="K43" i="15"/>
  <c r="G43" i="15"/>
  <c r="C43" i="15"/>
  <c r="AM42" i="15"/>
  <c r="AF42" i="15"/>
  <c r="K42" i="15"/>
  <c r="C42" i="15"/>
  <c r="AM41" i="15"/>
  <c r="K41" i="15"/>
  <c r="G41" i="15"/>
  <c r="C41" i="15"/>
  <c r="AM39" i="15"/>
  <c r="K39" i="15"/>
  <c r="G39" i="15"/>
  <c r="C39" i="15"/>
  <c r="AM38" i="15"/>
  <c r="AF38" i="15"/>
  <c r="R38" i="15"/>
  <c r="G38" i="15"/>
  <c r="C38" i="15"/>
  <c r="AM36" i="15"/>
  <c r="AF36" i="15"/>
  <c r="Y36" i="15"/>
  <c r="R36" i="15"/>
  <c r="K36" i="15"/>
  <c r="G36" i="15"/>
  <c r="C36" i="15"/>
  <c r="AN35" i="15"/>
  <c r="AM35" i="15"/>
  <c r="AL35" i="15"/>
  <c r="AL37" i="37" s="1"/>
  <c r="Y35" i="15"/>
  <c r="X35" i="15"/>
  <c r="X37" i="37" s="1"/>
  <c r="L35" i="15"/>
  <c r="K35" i="15"/>
  <c r="J35" i="15"/>
  <c r="J37" i="37" s="1"/>
  <c r="C35" i="15"/>
  <c r="AM34" i="15"/>
  <c r="K34" i="15"/>
  <c r="C34" i="15"/>
  <c r="AM33" i="15"/>
  <c r="AF33" i="15"/>
  <c r="Y33" i="15"/>
  <c r="R33" i="15"/>
  <c r="K33" i="15"/>
  <c r="G33" i="15"/>
  <c r="C33" i="15"/>
  <c r="AM32" i="15"/>
  <c r="AF32" i="15"/>
  <c r="Y32" i="15"/>
  <c r="R32" i="15"/>
  <c r="K32" i="15"/>
  <c r="G32" i="15"/>
  <c r="C32" i="15"/>
  <c r="AM31" i="15"/>
  <c r="AF31" i="15"/>
  <c r="Y31" i="15"/>
  <c r="R31" i="15"/>
  <c r="K31" i="15"/>
  <c r="G31" i="15"/>
  <c r="C31" i="15"/>
  <c r="AM30" i="15"/>
  <c r="AF30" i="15"/>
  <c r="Y30" i="15"/>
  <c r="R30" i="15"/>
  <c r="K30" i="15"/>
  <c r="G30" i="15"/>
  <c r="C30" i="15"/>
  <c r="AM28" i="15"/>
  <c r="AF28" i="15"/>
  <c r="Y28" i="15"/>
  <c r="R28" i="15"/>
  <c r="K28" i="15"/>
  <c r="G28" i="15"/>
  <c r="C28" i="15"/>
  <c r="AM27" i="15"/>
  <c r="AF27" i="15"/>
  <c r="Y27" i="15"/>
  <c r="R27" i="15"/>
  <c r="K27" i="15"/>
  <c r="G27" i="15"/>
  <c r="C27" i="15"/>
  <c r="AM26" i="15"/>
  <c r="AF26" i="15"/>
  <c r="Y26" i="15"/>
  <c r="R26" i="15"/>
  <c r="K26" i="15"/>
  <c r="G26" i="15"/>
  <c r="C26" i="15"/>
  <c r="AM25" i="15"/>
  <c r="AF25" i="15"/>
  <c r="Y25" i="15"/>
  <c r="R25" i="15"/>
  <c r="K25" i="15"/>
  <c r="G25" i="15"/>
  <c r="C25" i="15"/>
  <c r="AM24" i="15"/>
  <c r="AF24" i="15"/>
  <c r="Y24" i="15"/>
  <c r="R24" i="15"/>
  <c r="K24" i="15"/>
  <c r="G24" i="15"/>
  <c r="C24" i="15"/>
  <c r="AM23" i="15"/>
  <c r="AF23" i="15"/>
  <c r="Y23" i="15"/>
  <c r="R23" i="15"/>
  <c r="K23" i="15"/>
  <c r="G23" i="15"/>
  <c r="C23" i="15"/>
  <c r="AM22" i="15"/>
  <c r="AF22" i="15"/>
  <c r="Y22" i="15"/>
  <c r="R22" i="15"/>
  <c r="K22" i="15"/>
  <c r="G22" i="15"/>
  <c r="C22" i="15"/>
  <c r="AM21" i="15"/>
  <c r="AF21" i="15"/>
  <c r="Y21" i="15"/>
  <c r="S21" i="15"/>
  <c r="U21" i="15" s="1"/>
  <c r="R21" i="15"/>
  <c r="Q21" i="15"/>
  <c r="L21" i="15"/>
  <c r="K21" i="15"/>
  <c r="J21" i="15"/>
  <c r="G21" i="15"/>
  <c r="H21" i="15" s="1"/>
  <c r="F21" i="15"/>
  <c r="C21" i="15"/>
  <c r="AM20" i="15"/>
  <c r="AF20" i="15"/>
  <c r="Y20" i="15"/>
  <c r="R20" i="15"/>
  <c r="K20" i="15"/>
  <c r="G20" i="15"/>
  <c r="C20" i="15"/>
  <c r="AM19" i="15"/>
  <c r="AF19" i="15"/>
  <c r="Y19" i="15"/>
  <c r="R19" i="15"/>
  <c r="K19" i="15"/>
  <c r="G19" i="15"/>
  <c r="C19" i="15"/>
  <c r="AM18" i="15"/>
  <c r="AF18" i="15"/>
  <c r="Y18" i="15"/>
  <c r="R18" i="15"/>
  <c r="K18" i="15"/>
  <c r="G18" i="15"/>
  <c r="B18" i="15"/>
  <c r="C18" i="15" s="1"/>
  <c r="AM17" i="15"/>
  <c r="AF17" i="15"/>
  <c r="Y17" i="15"/>
  <c r="R17" i="15"/>
  <c r="K17" i="15"/>
  <c r="G17" i="15"/>
  <c r="C17" i="15"/>
  <c r="B17" i="15"/>
  <c r="AM16" i="15"/>
  <c r="AF16" i="15"/>
  <c r="Y16" i="15"/>
  <c r="R16" i="15"/>
  <c r="K16" i="15"/>
  <c r="G16" i="15"/>
  <c r="C16" i="15"/>
  <c r="AM15" i="15"/>
  <c r="AF15" i="15"/>
  <c r="Y15" i="15"/>
  <c r="R15" i="15"/>
  <c r="K15" i="15"/>
  <c r="G15" i="15"/>
  <c r="C15" i="15"/>
  <c r="AP12" i="15"/>
  <c r="AI12" i="15"/>
  <c r="AB12" i="15"/>
  <c r="U12" i="15"/>
  <c r="N12" i="15"/>
  <c r="AQ11" i="15"/>
  <c r="AN11" i="15"/>
  <c r="AG11" i="15"/>
  <c r="AJ11" i="15" s="1"/>
  <c r="AC11" i="15"/>
  <c r="Z11" i="15"/>
  <c r="S11" i="15"/>
  <c r="V11" i="15" s="1"/>
  <c r="L11" i="15"/>
  <c r="O11" i="15" s="1"/>
  <c r="H11" i="15"/>
  <c r="S2" i="15"/>
  <c r="G48" i="15" s="1"/>
  <c r="H48" i="15" s="1"/>
  <c r="AL63" i="14"/>
  <c r="AM35" i="14" s="1"/>
  <c r="AN35" i="14" s="1"/>
  <c r="AE63" i="14"/>
  <c r="AF39" i="14" s="1"/>
  <c r="X63" i="14"/>
  <c r="Y41" i="14" s="1"/>
  <c r="Q63" i="14"/>
  <c r="J63" i="14"/>
  <c r="K42" i="14" s="1"/>
  <c r="F63" i="14"/>
  <c r="G35" i="14" s="1"/>
  <c r="H35" i="14" s="1"/>
  <c r="AL59" i="14"/>
  <c r="AL53" i="14"/>
  <c r="AE53" i="14"/>
  <c r="X53" i="14"/>
  <c r="X59" i="14" s="1"/>
  <c r="Q53" i="14"/>
  <c r="J53" i="14"/>
  <c r="F53" i="14"/>
  <c r="F59" i="14" s="1"/>
  <c r="AL48" i="14"/>
  <c r="AE48" i="14"/>
  <c r="Y48" i="14"/>
  <c r="Z48" i="14" s="1"/>
  <c r="X48" i="14"/>
  <c r="R48" i="14"/>
  <c r="S48" i="14" s="1"/>
  <c r="Q48" i="14"/>
  <c r="K48" i="14"/>
  <c r="L48" i="14" s="1"/>
  <c r="J48" i="14"/>
  <c r="G48" i="14"/>
  <c r="H48" i="14" s="1"/>
  <c r="F48" i="14"/>
  <c r="C48" i="14"/>
  <c r="AL47" i="14"/>
  <c r="AF47" i="14"/>
  <c r="AG47" i="14" s="1"/>
  <c r="AE47" i="14"/>
  <c r="X47" i="14"/>
  <c r="Q47" i="14"/>
  <c r="K47" i="14"/>
  <c r="L47" i="14" s="1"/>
  <c r="J47" i="14"/>
  <c r="F47" i="14"/>
  <c r="C47" i="14"/>
  <c r="AM46" i="14"/>
  <c r="AL46" i="14"/>
  <c r="AL35" i="14" s="1"/>
  <c r="AF46" i="14"/>
  <c r="AG46" i="14" s="1"/>
  <c r="AE46" i="14"/>
  <c r="Z46" i="14"/>
  <c r="Y46" i="14"/>
  <c r="X46" i="14"/>
  <c r="S46" i="14"/>
  <c r="R46" i="14"/>
  <c r="Q46" i="14"/>
  <c r="K46" i="14"/>
  <c r="J46" i="14"/>
  <c r="H46" i="14"/>
  <c r="G46" i="14"/>
  <c r="F46" i="14"/>
  <c r="C46" i="14"/>
  <c r="AM45" i="14"/>
  <c r="AN45" i="14" s="1"/>
  <c r="AL45" i="14"/>
  <c r="AF45" i="14"/>
  <c r="AE45" i="14"/>
  <c r="AE35" i="14" s="1"/>
  <c r="Y45" i="14"/>
  <c r="Z45" i="14" s="1"/>
  <c r="X45" i="14"/>
  <c r="R45" i="14"/>
  <c r="Q45" i="14"/>
  <c r="L45" i="14"/>
  <c r="K45" i="14"/>
  <c r="J45" i="14"/>
  <c r="G45" i="14"/>
  <c r="F45" i="14"/>
  <c r="F35" i="14" s="1"/>
  <c r="C45" i="14"/>
  <c r="AP44" i="14"/>
  <c r="AM44" i="14"/>
  <c r="AN44" i="14" s="1"/>
  <c r="AL44" i="14"/>
  <c r="AF44" i="14"/>
  <c r="AG44" i="14" s="1"/>
  <c r="AE44" i="14"/>
  <c r="Y44" i="14"/>
  <c r="X44" i="14"/>
  <c r="X35" i="14" s="1"/>
  <c r="R44" i="14"/>
  <c r="Q44" i="14"/>
  <c r="Q35" i="14" s="1"/>
  <c r="K44" i="14"/>
  <c r="L44" i="14" s="1"/>
  <c r="J44" i="14"/>
  <c r="G44" i="14"/>
  <c r="H44" i="14" s="1"/>
  <c r="F44" i="14"/>
  <c r="C44" i="14"/>
  <c r="AM43" i="14"/>
  <c r="AF43" i="14"/>
  <c r="Y43" i="14"/>
  <c r="R43" i="14"/>
  <c r="K43" i="14"/>
  <c r="G43" i="14"/>
  <c r="C43" i="14"/>
  <c r="AF42" i="14"/>
  <c r="Y42" i="14"/>
  <c r="R42" i="14"/>
  <c r="C42" i="14"/>
  <c r="AF41" i="14"/>
  <c r="R41" i="14"/>
  <c r="K41" i="14"/>
  <c r="C41" i="14"/>
  <c r="AM39" i="14"/>
  <c r="Y39" i="14"/>
  <c r="R39" i="14"/>
  <c r="K39" i="14"/>
  <c r="C39" i="14"/>
  <c r="AF38" i="14"/>
  <c r="Y38" i="14"/>
  <c r="R38" i="14"/>
  <c r="K38" i="14"/>
  <c r="C38" i="14"/>
  <c r="AM36" i="14"/>
  <c r="AF36" i="14"/>
  <c r="Y36" i="14"/>
  <c r="R36" i="14"/>
  <c r="K36" i="14"/>
  <c r="G36" i="14"/>
  <c r="C36" i="14"/>
  <c r="AF35" i="14"/>
  <c r="Y35" i="14"/>
  <c r="R35" i="14"/>
  <c r="K35" i="14"/>
  <c r="L35" i="14" s="1"/>
  <c r="J35" i="14"/>
  <c r="C35" i="14"/>
  <c r="AM34" i="14"/>
  <c r="AF34" i="14"/>
  <c r="Y34" i="14"/>
  <c r="R34" i="14"/>
  <c r="K34" i="14"/>
  <c r="G34" i="14"/>
  <c r="C34" i="14"/>
  <c r="AM33" i="14"/>
  <c r="AF33" i="14"/>
  <c r="Y33" i="14"/>
  <c r="R33" i="14"/>
  <c r="K33" i="14"/>
  <c r="G33" i="14"/>
  <c r="C33" i="14"/>
  <c r="AM32" i="14"/>
  <c r="AF32" i="14"/>
  <c r="Y32" i="14"/>
  <c r="R32" i="14"/>
  <c r="K32" i="14"/>
  <c r="G32" i="14"/>
  <c r="C32" i="14"/>
  <c r="AM31" i="14"/>
  <c r="AF31" i="14"/>
  <c r="Y31" i="14"/>
  <c r="R31" i="14"/>
  <c r="K31" i="14"/>
  <c r="G31" i="14"/>
  <c r="C31" i="14"/>
  <c r="AM30" i="14"/>
  <c r="AF30" i="14"/>
  <c r="Y30" i="14"/>
  <c r="R30" i="14"/>
  <c r="K30" i="14"/>
  <c r="G30" i="14"/>
  <c r="C30" i="14"/>
  <c r="AM28" i="14"/>
  <c r="AF28" i="14"/>
  <c r="Y28" i="14"/>
  <c r="R28" i="14"/>
  <c r="K28" i="14"/>
  <c r="G28" i="14"/>
  <c r="C28" i="14"/>
  <c r="AM27" i="14"/>
  <c r="AF27" i="14"/>
  <c r="Y27" i="14"/>
  <c r="R27" i="14"/>
  <c r="K27" i="14"/>
  <c r="G27" i="14"/>
  <c r="C27" i="14"/>
  <c r="AM26" i="14"/>
  <c r="AF26" i="14"/>
  <c r="Y26" i="14"/>
  <c r="R26" i="14"/>
  <c r="K26" i="14"/>
  <c r="G26" i="14"/>
  <c r="C26" i="14"/>
  <c r="AM25" i="14"/>
  <c r="AF25" i="14"/>
  <c r="Y25" i="14"/>
  <c r="R25" i="14"/>
  <c r="K25" i="14"/>
  <c r="G25" i="14"/>
  <c r="C25" i="14"/>
  <c r="AM24" i="14"/>
  <c r="AF24" i="14"/>
  <c r="Y24" i="14"/>
  <c r="R24" i="14"/>
  <c r="K24" i="14"/>
  <c r="G24" i="14"/>
  <c r="C24" i="14"/>
  <c r="AM23" i="14"/>
  <c r="AF23" i="14"/>
  <c r="Y23" i="14"/>
  <c r="R23" i="14"/>
  <c r="K23" i="14"/>
  <c r="G23" i="14"/>
  <c r="C23" i="14"/>
  <c r="AM22" i="14"/>
  <c r="AF22" i="14"/>
  <c r="Y22" i="14"/>
  <c r="R22" i="14"/>
  <c r="K22" i="14"/>
  <c r="G22" i="14"/>
  <c r="C22" i="14"/>
  <c r="AM21" i="14"/>
  <c r="AF21" i="14"/>
  <c r="Y21" i="14"/>
  <c r="R21" i="14"/>
  <c r="S21" i="14" s="1"/>
  <c r="AC21" i="14" s="1"/>
  <c r="Q21" i="14"/>
  <c r="K21" i="14"/>
  <c r="L21" i="14" s="1"/>
  <c r="J21" i="14"/>
  <c r="H21" i="14"/>
  <c r="G21" i="14"/>
  <c r="F21" i="14"/>
  <c r="C21" i="14"/>
  <c r="AM20" i="14"/>
  <c r="AF20" i="14"/>
  <c r="Y20" i="14"/>
  <c r="R20" i="14"/>
  <c r="K20" i="14"/>
  <c r="G20" i="14"/>
  <c r="C20" i="14"/>
  <c r="AM19" i="14"/>
  <c r="AF19" i="14"/>
  <c r="Y19" i="14"/>
  <c r="R19" i="14"/>
  <c r="K19" i="14"/>
  <c r="G19" i="14"/>
  <c r="C19" i="14"/>
  <c r="AM18" i="14"/>
  <c r="AF18" i="14"/>
  <c r="Y18" i="14"/>
  <c r="R18" i="14"/>
  <c r="K18" i="14"/>
  <c r="G18" i="14"/>
  <c r="B18" i="14"/>
  <c r="C18" i="14" s="1"/>
  <c r="AM17" i="14"/>
  <c r="AF17" i="14"/>
  <c r="Y17" i="14"/>
  <c r="R17" i="14"/>
  <c r="K17" i="14"/>
  <c r="G17" i="14"/>
  <c r="B17" i="14"/>
  <c r="C17" i="14" s="1"/>
  <c r="AM16" i="14"/>
  <c r="AF16" i="14"/>
  <c r="Y16" i="14"/>
  <c r="R16" i="14"/>
  <c r="K16" i="14"/>
  <c r="G16" i="14"/>
  <c r="C16" i="14"/>
  <c r="AM15" i="14"/>
  <c r="AF15" i="14"/>
  <c r="Y15" i="14"/>
  <c r="R15" i="14"/>
  <c r="K15" i="14"/>
  <c r="G15" i="14"/>
  <c r="C15" i="14"/>
  <c r="AP12" i="14"/>
  <c r="AI12" i="14"/>
  <c r="AB12" i="14"/>
  <c r="U12" i="14"/>
  <c r="N12" i="14"/>
  <c r="AN11" i="14"/>
  <c r="AQ11" i="14" s="1"/>
  <c r="AJ11" i="14"/>
  <c r="AG11" i="14"/>
  <c r="Z11" i="14"/>
  <c r="AC11" i="14" s="1"/>
  <c r="S11" i="14"/>
  <c r="V11" i="14" s="1"/>
  <c r="O11" i="14"/>
  <c r="L11" i="14"/>
  <c r="H11" i="14"/>
  <c r="S2" i="14"/>
  <c r="AL63" i="13"/>
  <c r="AM35" i="13" s="1"/>
  <c r="AE63" i="13"/>
  <c r="AF42" i="13" s="1"/>
  <c r="X63" i="13"/>
  <c r="Y34" i="13" s="1"/>
  <c r="Q63" i="13"/>
  <c r="R38" i="13" s="1"/>
  <c r="J63" i="13"/>
  <c r="F63" i="13"/>
  <c r="G34" i="13" s="1"/>
  <c r="X59" i="13"/>
  <c r="F59" i="13"/>
  <c r="AL53" i="13"/>
  <c r="AE53" i="13"/>
  <c r="AE59" i="13" s="1"/>
  <c r="X53" i="13"/>
  <c r="Q53" i="13"/>
  <c r="Q59" i="13" s="1"/>
  <c r="J53" i="13"/>
  <c r="J59" i="13" s="1"/>
  <c r="F53" i="13"/>
  <c r="AL48" i="13"/>
  <c r="AF48" i="13"/>
  <c r="AG48" i="13" s="1"/>
  <c r="AE48" i="13"/>
  <c r="Z48" i="13"/>
  <c r="Y48" i="13"/>
  <c r="X48" i="13"/>
  <c r="Q48" i="13"/>
  <c r="L48" i="13"/>
  <c r="K48" i="13"/>
  <c r="J48" i="13"/>
  <c r="G48" i="13"/>
  <c r="F48" i="13"/>
  <c r="H48" i="13" s="1"/>
  <c r="C48" i="13"/>
  <c r="AM47" i="13"/>
  <c r="AL47" i="13"/>
  <c r="AE47" i="13"/>
  <c r="X47" i="13"/>
  <c r="S47" i="13"/>
  <c r="R47" i="13"/>
  <c r="Q47" i="13"/>
  <c r="L47" i="13"/>
  <c r="K47" i="13"/>
  <c r="J47" i="13"/>
  <c r="G47" i="13"/>
  <c r="H47" i="13" s="1"/>
  <c r="F47" i="13"/>
  <c r="C47" i="13"/>
  <c r="AN46" i="13"/>
  <c r="AM46" i="13"/>
  <c r="AL46" i="13"/>
  <c r="AG46" i="13"/>
  <c r="AF46" i="13"/>
  <c r="AE46" i="13"/>
  <c r="Y46" i="13"/>
  <c r="Z46" i="13" s="1"/>
  <c r="X46" i="13"/>
  <c r="U46" i="13"/>
  <c r="R46" i="13"/>
  <c r="S46" i="13" s="1"/>
  <c r="Q46" i="13"/>
  <c r="L46" i="13"/>
  <c r="V46" i="13" s="1"/>
  <c r="K46" i="13"/>
  <c r="J46" i="13"/>
  <c r="G46" i="13"/>
  <c r="F46" i="13"/>
  <c r="H46" i="13" s="1"/>
  <c r="C46" i="13"/>
  <c r="AN45" i="13"/>
  <c r="AM45" i="13"/>
  <c r="AL45" i="13"/>
  <c r="AF45" i="13"/>
  <c r="AE45" i="13"/>
  <c r="AB45" i="13"/>
  <c r="Z45" i="13"/>
  <c r="Y45" i="13"/>
  <c r="X45" i="13"/>
  <c r="S45" i="13"/>
  <c r="R45" i="13"/>
  <c r="Q45" i="13"/>
  <c r="K45" i="13"/>
  <c r="L45" i="13" s="1"/>
  <c r="J45" i="13"/>
  <c r="H45" i="13"/>
  <c r="G45" i="13"/>
  <c r="F45" i="13"/>
  <c r="C45" i="13"/>
  <c r="AM44" i="13"/>
  <c r="AN44" i="13" s="1"/>
  <c r="AL44" i="13"/>
  <c r="AG44" i="13"/>
  <c r="AF44" i="13"/>
  <c r="AE44" i="13"/>
  <c r="Z44" i="13"/>
  <c r="Y44" i="13"/>
  <c r="X44" i="13"/>
  <c r="S44" i="13"/>
  <c r="R44" i="13"/>
  <c r="Q44" i="13"/>
  <c r="K44" i="13"/>
  <c r="J44" i="13"/>
  <c r="G44" i="13"/>
  <c r="F44" i="13"/>
  <c r="F35" i="13" s="1"/>
  <c r="C44" i="13"/>
  <c r="AM43" i="13"/>
  <c r="AF43" i="13"/>
  <c r="Y43" i="13"/>
  <c r="R43" i="13"/>
  <c r="K43" i="13"/>
  <c r="G43" i="13"/>
  <c r="C43" i="13"/>
  <c r="AM42" i="13"/>
  <c r="Y42" i="13"/>
  <c r="R42" i="13"/>
  <c r="K42" i="13"/>
  <c r="G42" i="13"/>
  <c r="C42" i="13"/>
  <c r="AM41" i="13"/>
  <c r="R41" i="13"/>
  <c r="K41" i="13"/>
  <c r="G41" i="13"/>
  <c r="C41" i="13"/>
  <c r="AM39" i="13"/>
  <c r="Y39" i="13"/>
  <c r="R39" i="13"/>
  <c r="K39" i="13"/>
  <c r="G39" i="13"/>
  <c r="C39" i="13"/>
  <c r="AM38" i="13"/>
  <c r="Y38" i="13"/>
  <c r="K38" i="13"/>
  <c r="G38" i="13"/>
  <c r="C38" i="13"/>
  <c r="AM36" i="13"/>
  <c r="AF36" i="13"/>
  <c r="Y36" i="13"/>
  <c r="R36" i="13"/>
  <c r="K36" i="13"/>
  <c r="G36" i="13"/>
  <c r="C36" i="13"/>
  <c r="AL35" i="13"/>
  <c r="AN35" i="13" s="1"/>
  <c r="AF35" i="13"/>
  <c r="Y35" i="13"/>
  <c r="Q35" i="13"/>
  <c r="K35" i="13"/>
  <c r="J35" i="13"/>
  <c r="G35" i="13"/>
  <c r="H35" i="13" s="1"/>
  <c r="C35" i="13"/>
  <c r="AM34" i="13"/>
  <c r="AF34" i="13"/>
  <c r="R34" i="13"/>
  <c r="K34" i="13"/>
  <c r="C34" i="13"/>
  <c r="AM33" i="13"/>
  <c r="AF33" i="13"/>
  <c r="Y33" i="13"/>
  <c r="R33" i="13"/>
  <c r="K33" i="13"/>
  <c r="G33" i="13"/>
  <c r="C33" i="13"/>
  <c r="AM32" i="13"/>
  <c r="AF32" i="13"/>
  <c r="Y32" i="13"/>
  <c r="R32" i="13"/>
  <c r="K32" i="13"/>
  <c r="G32" i="13"/>
  <c r="C32" i="13"/>
  <c r="AM31" i="13"/>
  <c r="AF31" i="13"/>
  <c r="Y31" i="13"/>
  <c r="R31" i="13"/>
  <c r="K31" i="13"/>
  <c r="G31" i="13"/>
  <c r="C31" i="13"/>
  <c r="AM30" i="13"/>
  <c r="AF30" i="13"/>
  <c r="Y30" i="13"/>
  <c r="R30" i="13"/>
  <c r="K30" i="13"/>
  <c r="G30" i="13"/>
  <c r="C30" i="13"/>
  <c r="AM28" i="13"/>
  <c r="AF28" i="13"/>
  <c r="Y28" i="13"/>
  <c r="R28" i="13"/>
  <c r="K28" i="13"/>
  <c r="G28" i="13"/>
  <c r="C28" i="13"/>
  <c r="AM27" i="13"/>
  <c r="AF27" i="13"/>
  <c r="Y27" i="13"/>
  <c r="R27" i="13"/>
  <c r="K27" i="13"/>
  <c r="G27" i="13"/>
  <c r="C27" i="13"/>
  <c r="AM26" i="13"/>
  <c r="AF26" i="13"/>
  <c r="Y26" i="13"/>
  <c r="R26" i="13"/>
  <c r="K26" i="13"/>
  <c r="G26" i="13"/>
  <c r="C26" i="13"/>
  <c r="AM25" i="13"/>
  <c r="AF25" i="13"/>
  <c r="Y25" i="13"/>
  <c r="R25" i="13"/>
  <c r="K25" i="13"/>
  <c r="G25" i="13"/>
  <c r="C25" i="13"/>
  <c r="AM24" i="13"/>
  <c r="AF24" i="13"/>
  <c r="Y24" i="13"/>
  <c r="R24" i="13"/>
  <c r="K24" i="13"/>
  <c r="G24" i="13"/>
  <c r="C24" i="13"/>
  <c r="AM23" i="13"/>
  <c r="AF23" i="13"/>
  <c r="Y23" i="13"/>
  <c r="R23" i="13"/>
  <c r="K23" i="13"/>
  <c r="G23" i="13"/>
  <c r="C23" i="13"/>
  <c r="AM22" i="13"/>
  <c r="AF22" i="13"/>
  <c r="Y22" i="13"/>
  <c r="R22" i="13"/>
  <c r="K22" i="13"/>
  <c r="G22" i="13"/>
  <c r="C22" i="13"/>
  <c r="AM21" i="13"/>
  <c r="AF21" i="13"/>
  <c r="AC21" i="13"/>
  <c r="Y21" i="13"/>
  <c r="R21" i="13"/>
  <c r="S21" i="13" s="1"/>
  <c r="Q21" i="13"/>
  <c r="N21" i="13"/>
  <c r="K21" i="13"/>
  <c r="L21" i="13" s="1"/>
  <c r="J21" i="13"/>
  <c r="H21" i="13"/>
  <c r="O21" i="13" s="1"/>
  <c r="G21" i="13"/>
  <c r="F21" i="13"/>
  <c r="C21" i="13"/>
  <c r="AM20" i="13"/>
  <c r="AF20" i="13"/>
  <c r="Y20" i="13"/>
  <c r="R20" i="13"/>
  <c r="K20" i="13"/>
  <c r="G20" i="13"/>
  <c r="C20" i="13"/>
  <c r="AM19" i="13"/>
  <c r="AF19" i="13"/>
  <c r="Y19" i="13"/>
  <c r="R19" i="13"/>
  <c r="K19" i="13"/>
  <c r="G19" i="13"/>
  <c r="C19" i="13"/>
  <c r="AM18" i="13"/>
  <c r="AF18" i="13"/>
  <c r="Y18" i="13"/>
  <c r="R18" i="13"/>
  <c r="K18" i="13"/>
  <c r="G18" i="13"/>
  <c r="C18" i="13"/>
  <c r="B18" i="13"/>
  <c r="AM17" i="13"/>
  <c r="AF17" i="13"/>
  <c r="Y17" i="13"/>
  <c r="R17" i="13"/>
  <c r="K17" i="13"/>
  <c r="G17" i="13"/>
  <c r="B17" i="13"/>
  <c r="C17" i="13" s="1"/>
  <c r="AM16" i="13"/>
  <c r="AF16" i="13"/>
  <c r="Y16" i="13"/>
  <c r="R16" i="13"/>
  <c r="K16" i="13"/>
  <c r="G16" i="13"/>
  <c r="C16" i="13"/>
  <c r="AM15" i="13"/>
  <c r="AF15" i="13"/>
  <c r="Y15" i="13"/>
  <c r="R15" i="13"/>
  <c r="K15" i="13"/>
  <c r="G15" i="13"/>
  <c r="C15" i="13"/>
  <c r="AP12" i="13"/>
  <c r="AI12" i="13"/>
  <c r="AB12" i="13"/>
  <c r="U12" i="13"/>
  <c r="N12" i="13"/>
  <c r="AQ11" i="13"/>
  <c r="AN11" i="13"/>
  <c r="AJ11" i="13"/>
  <c r="AG11" i="13"/>
  <c r="Z11" i="13"/>
  <c r="AC11" i="13" s="1"/>
  <c r="S11" i="13"/>
  <c r="V11" i="13" s="1"/>
  <c r="O11" i="13"/>
  <c r="L11" i="13"/>
  <c r="H11" i="13"/>
  <c r="S2" i="13"/>
  <c r="AL63" i="12"/>
  <c r="AM39" i="12" s="1"/>
  <c r="AE63" i="12"/>
  <c r="AF42" i="12" s="1"/>
  <c r="X63" i="12"/>
  <c r="Q63" i="12"/>
  <c r="J63" i="12"/>
  <c r="F63" i="12"/>
  <c r="AE59" i="12"/>
  <c r="X59" i="12"/>
  <c r="AL53" i="12"/>
  <c r="AL59" i="12" s="1"/>
  <c r="AE53" i="12"/>
  <c r="X53" i="12"/>
  <c r="Q53" i="12"/>
  <c r="Q59" i="12" s="1"/>
  <c r="J53" i="12"/>
  <c r="F53" i="12"/>
  <c r="F59" i="12" s="1"/>
  <c r="AL48" i="12"/>
  <c r="AE48" i="12"/>
  <c r="X48" i="12"/>
  <c r="Q48" i="12"/>
  <c r="J48" i="12"/>
  <c r="F48" i="12"/>
  <c r="C48" i="12"/>
  <c r="AL47" i="12"/>
  <c r="AE47" i="12"/>
  <c r="X47" i="12"/>
  <c r="Q47" i="12"/>
  <c r="J47" i="12"/>
  <c r="F47" i="12"/>
  <c r="C47" i="12"/>
  <c r="AP46" i="12"/>
  <c r="AN46" i="12"/>
  <c r="AM46" i="12"/>
  <c r="AL46" i="12"/>
  <c r="AG46" i="12"/>
  <c r="AQ46" i="12" s="1"/>
  <c r="AF46" i="12"/>
  <c r="AE46" i="12"/>
  <c r="Z46" i="12"/>
  <c r="Y46" i="12"/>
  <c r="X46" i="12"/>
  <c r="S46" i="12"/>
  <c r="R46" i="12"/>
  <c r="Q46" i="12"/>
  <c r="K46" i="12"/>
  <c r="J46" i="12"/>
  <c r="G46" i="12"/>
  <c r="H46" i="12" s="1"/>
  <c r="F46" i="12"/>
  <c r="C46" i="12"/>
  <c r="AM45" i="12"/>
  <c r="AL45" i="12"/>
  <c r="AN45" i="12" s="1"/>
  <c r="AF45" i="12"/>
  <c r="AG45" i="12" s="1"/>
  <c r="AE45" i="12"/>
  <c r="Y45" i="12"/>
  <c r="Z45" i="12" s="1"/>
  <c r="X45" i="12"/>
  <c r="R45" i="12"/>
  <c r="Q45" i="12"/>
  <c r="K45" i="12"/>
  <c r="J45" i="12"/>
  <c r="H45" i="12"/>
  <c r="G45" i="12"/>
  <c r="F45" i="12"/>
  <c r="C45" i="12"/>
  <c r="AP44" i="12"/>
  <c r="AM44" i="12"/>
  <c r="AL44" i="12"/>
  <c r="AN44" i="12" s="1"/>
  <c r="AF44" i="12"/>
  <c r="AG44" i="12" s="1"/>
  <c r="AE44" i="12"/>
  <c r="Y44" i="12"/>
  <c r="Z44" i="12" s="1"/>
  <c r="X44" i="12"/>
  <c r="X35" i="12" s="1"/>
  <c r="R44" i="12"/>
  <c r="Q44" i="12"/>
  <c r="Q35" i="12" s="1"/>
  <c r="K44" i="12"/>
  <c r="L44" i="12" s="1"/>
  <c r="J44" i="12"/>
  <c r="G44" i="12"/>
  <c r="H44" i="12" s="1"/>
  <c r="F44" i="12"/>
  <c r="C44" i="12"/>
  <c r="AM43" i="12"/>
  <c r="AF43" i="12"/>
  <c r="Y43" i="12"/>
  <c r="R43" i="12"/>
  <c r="K43" i="12"/>
  <c r="G43" i="12"/>
  <c r="C43" i="12"/>
  <c r="AM42" i="12"/>
  <c r="Y42" i="12"/>
  <c r="R42" i="12"/>
  <c r="K42" i="12"/>
  <c r="C42" i="12"/>
  <c r="AM41" i="12"/>
  <c r="AF41" i="12"/>
  <c r="Y41" i="12"/>
  <c r="R41" i="12"/>
  <c r="K41" i="12"/>
  <c r="C41" i="12"/>
  <c r="Y39" i="12"/>
  <c r="R39" i="12"/>
  <c r="K39" i="12"/>
  <c r="G39" i="12"/>
  <c r="C39" i="12"/>
  <c r="AF38" i="12"/>
  <c r="Y38" i="12"/>
  <c r="R38" i="12"/>
  <c r="K38" i="12"/>
  <c r="G38" i="12"/>
  <c r="C38" i="12"/>
  <c r="AM36" i="12"/>
  <c r="AF36" i="12"/>
  <c r="Y36" i="12"/>
  <c r="R36" i="12"/>
  <c r="K36" i="12"/>
  <c r="G36" i="12"/>
  <c r="C36" i="12"/>
  <c r="AM35" i="12"/>
  <c r="AF35" i="12"/>
  <c r="AG35" i="12" s="1"/>
  <c r="AE35" i="12"/>
  <c r="Z35" i="12"/>
  <c r="Y35" i="12"/>
  <c r="R35" i="12"/>
  <c r="S35" i="12" s="1"/>
  <c r="K35" i="12"/>
  <c r="L35" i="12" s="1"/>
  <c r="J35" i="12"/>
  <c r="G35" i="12"/>
  <c r="C35" i="12"/>
  <c r="AM34" i="12"/>
  <c r="AF34" i="12"/>
  <c r="Y34" i="12"/>
  <c r="R34" i="12"/>
  <c r="K34" i="12"/>
  <c r="G34" i="12"/>
  <c r="C34" i="12"/>
  <c r="AM33" i="12"/>
  <c r="AF33" i="12"/>
  <c r="Y33" i="12"/>
  <c r="R33" i="12"/>
  <c r="K33" i="12"/>
  <c r="G33" i="12"/>
  <c r="C33" i="12"/>
  <c r="AM32" i="12"/>
  <c r="AF32" i="12"/>
  <c r="Y32" i="12"/>
  <c r="R32" i="12"/>
  <c r="K32" i="12"/>
  <c r="G32" i="12"/>
  <c r="C32" i="12"/>
  <c r="AM31" i="12"/>
  <c r="AF31" i="12"/>
  <c r="Y31" i="12"/>
  <c r="R31" i="12"/>
  <c r="K31" i="12"/>
  <c r="G31" i="12"/>
  <c r="C31" i="12"/>
  <c r="AM30" i="12"/>
  <c r="AF30" i="12"/>
  <c r="Y30" i="12"/>
  <c r="R30" i="12"/>
  <c r="K30" i="12"/>
  <c r="G30" i="12"/>
  <c r="C30" i="12"/>
  <c r="AM28" i="12"/>
  <c r="AF28" i="12"/>
  <c r="Y28" i="12"/>
  <c r="R28" i="12"/>
  <c r="K28" i="12"/>
  <c r="G28" i="12"/>
  <c r="C28" i="12"/>
  <c r="AM27" i="12"/>
  <c r="AF27" i="12"/>
  <c r="Y27" i="12"/>
  <c r="R27" i="12"/>
  <c r="K27" i="12"/>
  <c r="G27" i="12"/>
  <c r="C27" i="12"/>
  <c r="AM26" i="12"/>
  <c r="AF26" i="12"/>
  <c r="Y26" i="12"/>
  <c r="R26" i="12"/>
  <c r="K26" i="12"/>
  <c r="G26" i="12"/>
  <c r="C26" i="12"/>
  <c r="AM25" i="12"/>
  <c r="AF25" i="12"/>
  <c r="Y25" i="12"/>
  <c r="R25" i="12"/>
  <c r="K25" i="12"/>
  <c r="G25" i="12"/>
  <c r="C25" i="12"/>
  <c r="AM24" i="12"/>
  <c r="AF24" i="12"/>
  <c r="Y24" i="12"/>
  <c r="R24" i="12"/>
  <c r="K24" i="12"/>
  <c r="G24" i="12"/>
  <c r="C24" i="12"/>
  <c r="AM23" i="12"/>
  <c r="AF23" i="12"/>
  <c r="Y23" i="12"/>
  <c r="R23" i="12"/>
  <c r="K23" i="12"/>
  <c r="G23" i="12"/>
  <c r="C23" i="12"/>
  <c r="AM22" i="12"/>
  <c r="AF22" i="12"/>
  <c r="Y22" i="12"/>
  <c r="R22" i="12"/>
  <c r="K22" i="12"/>
  <c r="G22" i="12"/>
  <c r="C22" i="12"/>
  <c r="AM21" i="12"/>
  <c r="AF21" i="12"/>
  <c r="Y21" i="12"/>
  <c r="V21" i="12"/>
  <c r="S21" i="12"/>
  <c r="AC21" i="12" s="1"/>
  <c r="R21" i="12"/>
  <c r="Q21" i="12"/>
  <c r="K21" i="12"/>
  <c r="J21" i="12"/>
  <c r="L21" i="12" s="1"/>
  <c r="N21" i="12" s="1"/>
  <c r="G21" i="12"/>
  <c r="H21" i="12" s="1"/>
  <c r="F21" i="12"/>
  <c r="C21" i="12"/>
  <c r="AM20" i="12"/>
  <c r="AF20" i="12"/>
  <c r="Y20" i="12"/>
  <c r="R20" i="12"/>
  <c r="K20" i="12"/>
  <c r="G20" i="12"/>
  <c r="C20" i="12"/>
  <c r="AM19" i="12"/>
  <c r="AF19" i="12"/>
  <c r="Y19" i="12"/>
  <c r="R19" i="12"/>
  <c r="K19" i="12"/>
  <c r="G19" i="12"/>
  <c r="C19" i="12"/>
  <c r="AM18" i="12"/>
  <c r="AF18" i="12"/>
  <c r="Y18" i="12"/>
  <c r="R18" i="12"/>
  <c r="K18" i="12"/>
  <c r="G18" i="12"/>
  <c r="C18" i="12"/>
  <c r="B18" i="12"/>
  <c r="AM17" i="12"/>
  <c r="AF17" i="12"/>
  <c r="Y17" i="12"/>
  <c r="R17" i="12"/>
  <c r="K17" i="12"/>
  <c r="G17" i="12"/>
  <c r="B17" i="12"/>
  <c r="C17" i="12" s="1"/>
  <c r="AM16" i="12"/>
  <c r="AF16" i="12"/>
  <c r="Y16" i="12"/>
  <c r="R16" i="12"/>
  <c r="K16" i="12"/>
  <c r="G16" i="12"/>
  <c r="C16" i="12"/>
  <c r="AM15" i="12"/>
  <c r="AF15" i="12"/>
  <c r="Y15" i="12"/>
  <c r="R15" i="12"/>
  <c r="Q15" i="12"/>
  <c r="K15" i="12"/>
  <c r="G15" i="12"/>
  <c r="C15" i="12"/>
  <c r="AP12" i="12"/>
  <c r="AI12" i="12"/>
  <c r="AB12" i="12"/>
  <c r="U12" i="12"/>
  <c r="N12" i="12"/>
  <c r="AN11" i="12"/>
  <c r="AQ11" i="12" s="1"/>
  <c r="AG11" i="12"/>
  <c r="AJ11" i="12" s="1"/>
  <c r="AC11" i="12"/>
  <c r="Z11" i="12"/>
  <c r="V11" i="12"/>
  <c r="S11" i="12"/>
  <c r="L11" i="12"/>
  <c r="O11" i="12" s="1"/>
  <c r="H11" i="12"/>
  <c r="S2" i="12"/>
  <c r="AL63" i="11"/>
  <c r="AE63" i="11"/>
  <c r="X63" i="11"/>
  <c r="Q63" i="11"/>
  <c r="R35" i="11" s="1"/>
  <c r="J63" i="11"/>
  <c r="F63" i="11"/>
  <c r="AE59" i="11"/>
  <c r="X59" i="11"/>
  <c r="J59" i="11"/>
  <c r="AL53" i="11"/>
  <c r="AL59" i="11" s="1"/>
  <c r="AE53" i="11"/>
  <c r="X53" i="11"/>
  <c r="Q53" i="11"/>
  <c r="J53" i="11"/>
  <c r="F53" i="11"/>
  <c r="F59" i="11" s="1"/>
  <c r="AL48" i="11"/>
  <c r="AE48" i="11"/>
  <c r="X48" i="11"/>
  <c r="Q48" i="11"/>
  <c r="K48" i="11"/>
  <c r="L48" i="11" s="1"/>
  <c r="J48" i="11"/>
  <c r="F48" i="11"/>
  <c r="C48" i="11"/>
  <c r="AL47" i="11"/>
  <c r="AE47" i="11"/>
  <c r="Z47" i="11"/>
  <c r="Y47" i="11"/>
  <c r="X47" i="11"/>
  <c r="Q47" i="11"/>
  <c r="J47" i="11"/>
  <c r="F47" i="11"/>
  <c r="C47" i="11"/>
  <c r="AP46" i="11"/>
  <c r="AQ46" i="11" s="1"/>
  <c r="AN46" i="11"/>
  <c r="AM46" i="11"/>
  <c r="AL46" i="11"/>
  <c r="AL35" i="11" s="1"/>
  <c r="AF46" i="11"/>
  <c r="AG46" i="11" s="1"/>
  <c r="AE46" i="11"/>
  <c r="Y46" i="11"/>
  <c r="X46" i="11"/>
  <c r="X35" i="11" s="1"/>
  <c r="Z35" i="11" s="1"/>
  <c r="R46" i="11"/>
  <c r="Q46" i="11"/>
  <c r="S46" i="11" s="1"/>
  <c r="K46" i="11"/>
  <c r="J46" i="11"/>
  <c r="L46" i="11" s="1"/>
  <c r="N46" i="11" s="1"/>
  <c r="G46" i="11"/>
  <c r="H46" i="11" s="1"/>
  <c r="F46" i="11"/>
  <c r="C46" i="11"/>
  <c r="AN45" i="11"/>
  <c r="AM45" i="11"/>
  <c r="AL45" i="11"/>
  <c r="AF45" i="11"/>
  <c r="AE45" i="11"/>
  <c r="AB45" i="11"/>
  <c r="AC45" i="11" s="1"/>
  <c r="Z45" i="11"/>
  <c r="Y45" i="11"/>
  <c r="X45" i="11"/>
  <c r="R45" i="11"/>
  <c r="Q45" i="11"/>
  <c r="S45" i="11" s="1"/>
  <c r="L45" i="11"/>
  <c r="K45" i="11"/>
  <c r="J45" i="11"/>
  <c r="J35" i="11" s="1"/>
  <c r="G45" i="11"/>
  <c r="H45" i="11" s="1"/>
  <c r="F45" i="11"/>
  <c r="C45" i="11"/>
  <c r="AM44" i="11"/>
  <c r="AL44" i="11"/>
  <c r="AN44" i="11" s="1"/>
  <c r="AF44" i="11"/>
  <c r="AE44" i="11"/>
  <c r="Z44" i="11"/>
  <c r="AB44" i="11" s="1"/>
  <c r="Y44" i="11"/>
  <c r="X44" i="11"/>
  <c r="R44" i="11"/>
  <c r="Q44" i="11"/>
  <c r="S44" i="11" s="1"/>
  <c r="U44" i="11" s="1"/>
  <c r="L44" i="11"/>
  <c r="K44" i="11"/>
  <c r="J44" i="11"/>
  <c r="G44" i="11"/>
  <c r="F44" i="11"/>
  <c r="F35" i="11" s="1"/>
  <c r="C44" i="11"/>
  <c r="AM43" i="11"/>
  <c r="AF43" i="11"/>
  <c r="Y43" i="11"/>
  <c r="R43" i="11"/>
  <c r="K43" i="11"/>
  <c r="G43" i="11"/>
  <c r="C43" i="11"/>
  <c r="Y42" i="11"/>
  <c r="R42" i="11"/>
  <c r="K42" i="11"/>
  <c r="C42" i="11"/>
  <c r="AM41" i="11"/>
  <c r="AF41" i="11"/>
  <c r="Y41" i="11"/>
  <c r="R41" i="11"/>
  <c r="K41" i="11"/>
  <c r="C41" i="11"/>
  <c r="AM39" i="11"/>
  <c r="Y39" i="11"/>
  <c r="R39" i="11"/>
  <c r="G39" i="11"/>
  <c r="C39" i="11"/>
  <c r="Y38" i="11"/>
  <c r="R38" i="11"/>
  <c r="G38" i="11"/>
  <c r="C38" i="11"/>
  <c r="AM36" i="11"/>
  <c r="AF36" i="11"/>
  <c r="Y36" i="11"/>
  <c r="R36" i="11"/>
  <c r="K36" i="11"/>
  <c r="G36" i="11"/>
  <c r="C36" i="11"/>
  <c r="AF35" i="11"/>
  <c r="AB35" i="11"/>
  <c r="Y35" i="11"/>
  <c r="Q35" i="11"/>
  <c r="S35" i="11" s="1"/>
  <c r="K35" i="11"/>
  <c r="C35" i="11"/>
  <c r="AM34" i="11"/>
  <c r="AF34" i="11"/>
  <c r="Y34" i="11"/>
  <c r="R34" i="11"/>
  <c r="G34" i="11"/>
  <c r="C34" i="11"/>
  <c r="AM33" i="11"/>
  <c r="AF33" i="11"/>
  <c r="Y33" i="11"/>
  <c r="R33" i="11"/>
  <c r="K33" i="11"/>
  <c r="G33" i="11"/>
  <c r="C33" i="11"/>
  <c r="AM32" i="11"/>
  <c r="AF32" i="11"/>
  <c r="Y32" i="11"/>
  <c r="R32" i="11"/>
  <c r="K32" i="11"/>
  <c r="G32" i="11"/>
  <c r="C32" i="11"/>
  <c r="AM31" i="11"/>
  <c r="AF31" i="11"/>
  <c r="Y31" i="11"/>
  <c r="R31" i="11"/>
  <c r="K31" i="11"/>
  <c r="G31" i="11"/>
  <c r="C31" i="11"/>
  <c r="AM30" i="11"/>
  <c r="AF30" i="11"/>
  <c r="Y30" i="11"/>
  <c r="R30" i="11"/>
  <c r="K30" i="11"/>
  <c r="G30" i="11"/>
  <c r="C30" i="11"/>
  <c r="AM28" i="11"/>
  <c r="AF28" i="11"/>
  <c r="Y28" i="11"/>
  <c r="R28" i="11"/>
  <c r="K28" i="11"/>
  <c r="G28" i="11"/>
  <c r="C28" i="11"/>
  <c r="AM27" i="11"/>
  <c r="AF27" i="11"/>
  <c r="Y27" i="11"/>
  <c r="R27" i="11"/>
  <c r="K27" i="11"/>
  <c r="G27" i="11"/>
  <c r="C27" i="11"/>
  <c r="AM26" i="11"/>
  <c r="AF26" i="11"/>
  <c r="Y26" i="11"/>
  <c r="R26" i="11"/>
  <c r="K26" i="11"/>
  <c r="G26" i="11"/>
  <c r="C26" i="11"/>
  <c r="AM25" i="11"/>
  <c r="AF25" i="11"/>
  <c r="Y25" i="11"/>
  <c r="R25" i="11"/>
  <c r="K25" i="11"/>
  <c r="G25" i="11"/>
  <c r="C25" i="11"/>
  <c r="AM24" i="11"/>
  <c r="AF24" i="11"/>
  <c r="Y24" i="11"/>
  <c r="R24" i="11"/>
  <c r="K24" i="11"/>
  <c r="G24" i="11"/>
  <c r="C24" i="11"/>
  <c r="AM23" i="11"/>
  <c r="AF23" i="11"/>
  <c r="Y23" i="11"/>
  <c r="R23" i="11"/>
  <c r="K23" i="11"/>
  <c r="G23" i="11"/>
  <c r="C23" i="11"/>
  <c r="AM22" i="11"/>
  <c r="AF22" i="11"/>
  <c r="Y22" i="11"/>
  <c r="R22" i="11"/>
  <c r="K22" i="11"/>
  <c r="G22" i="11"/>
  <c r="C22" i="11"/>
  <c r="AM21" i="11"/>
  <c r="AF21" i="11"/>
  <c r="Y21" i="11"/>
  <c r="S21" i="11"/>
  <c r="R21" i="11"/>
  <c r="Q21" i="11"/>
  <c r="L21" i="11"/>
  <c r="K21" i="11"/>
  <c r="J21" i="11"/>
  <c r="G21" i="11"/>
  <c r="F21" i="11"/>
  <c r="C21" i="11"/>
  <c r="AM20" i="11"/>
  <c r="AF20" i="11"/>
  <c r="Y20" i="11"/>
  <c r="R20" i="11"/>
  <c r="K20" i="11"/>
  <c r="G20" i="11"/>
  <c r="C20" i="11"/>
  <c r="AM19" i="11"/>
  <c r="AF19" i="11"/>
  <c r="Y19" i="11"/>
  <c r="R19" i="11"/>
  <c r="K19" i="11"/>
  <c r="G19" i="11"/>
  <c r="C19" i="11"/>
  <c r="AM18" i="11"/>
  <c r="AF18" i="11"/>
  <c r="Y18" i="11"/>
  <c r="R18" i="11"/>
  <c r="K18" i="11"/>
  <c r="G18" i="11"/>
  <c r="C18" i="11"/>
  <c r="B18" i="11"/>
  <c r="AM17" i="11"/>
  <c r="AF17" i="11"/>
  <c r="Y17" i="11"/>
  <c r="R17" i="11"/>
  <c r="K17" i="11"/>
  <c r="G17" i="11"/>
  <c r="C17" i="11"/>
  <c r="B17" i="11"/>
  <c r="AM16" i="11"/>
  <c r="AF16" i="11"/>
  <c r="Y16" i="11"/>
  <c r="R16" i="11"/>
  <c r="K16" i="11"/>
  <c r="G16" i="11"/>
  <c r="C16" i="11"/>
  <c r="AM15" i="11"/>
  <c r="AF15" i="11"/>
  <c r="Y15" i="11"/>
  <c r="R15" i="11"/>
  <c r="K15" i="11"/>
  <c r="G15" i="11"/>
  <c r="C15" i="11"/>
  <c r="AL15" i="11" s="1"/>
  <c r="AN15" i="11" s="1"/>
  <c r="AP12" i="11"/>
  <c r="AI12" i="11"/>
  <c r="AB12" i="11"/>
  <c r="U12" i="11"/>
  <c r="N12" i="11"/>
  <c r="AQ11" i="11"/>
  <c r="AN11" i="11"/>
  <c r="AG11" i="11"/>
  <c r="AJ11" i="11" s="1"/>
  <c r="Z11" i="11"/>
  <c r="AC11" i="11" s="1"/>
  <c r="V11" i="11"/>
  <c r="S11" i="11"/>
  <c r="O11" i="11"/>
  <c r="L11" i="11"/>
  <c r="H11" i="11"/>
  <c r="S2" i="11"/>
  <c r="AM48" i="11" s="1"/>
  <c r="AN48" i="11" s="1"/>
  <c r="AL63" i="10"/>
  <c r="AM38" i="10" s="1"/>
  <c r="AE63" i="10"/>
  <c r="X63" i="10"/>
  <c r="Q63" i="10"/>
  <c r="R42" i="10" s="1"/>
  <c r="J63" i="10"/>
  <c r="K38" i="10" s="1"/>
  <c r="F63" i="10"/>
  <c r="G38" i="10" s="1"/>
  <c r="AL53" i="10"/>
  <c r="AL59" i="10" s="1"/>
  <c r="AE53" i="10"/>
  <c r="X53" i="10"/>
  <c r="X59" i="10" s="1"/>
  <c r="Q53" i="10"/>
  <c r="Q59" i="10" s="1"/>
  <c r="J53" i="10"/>
  <c r="F53" i="10"/>
  <c r="F59" i="10" s="1"/>
  <c r="AL48" i="10"/>
  <c r="AE48" i="10"/>
  <c r="X48" i="10"/>
  <c r="Q48" i="10"/>
  <c r="J48" i="10"/>
  <c r="F48" i="10"/>
  <c r="C48" i="10"/>
  <c r="AM47" i="10"/>
  <c r="AN47" i="10" s="1"/>
  <c r="AL47" i="10"/>
  <c r="AE47" i="10"/>
  <c r="X47" i="10"/>
  <c r="Q47" i="10"/>
  <c r="J47" i="10"/>
  <c r="F47" i="10"/>
  <c r="C47" i="10"/>
  <c r="AM46" i="10"/>
  <c r="AN46" i="10" s="1"/>
  <c r="AP46" i="10" s="1"/>
  <c r="AL46" i="10"/>
  <c r="AG46" i="10"/>
  <c r="AF46" i="10"/>
  <c r="AE46" i="10"/>
  <c r="Y46" i="10"/>
  <c r="Z46" i="10" s="1"/>
  <c r="X46" i="10"/>
  <c r="R46" i="10"/>
  <c r="S46" i="10" s="1"/>
  <c r="Q46" i="10"/>
  <c r="L46" i="10"/>
  <c r="K46" i="10"/>
  <c r="J46" i="10"/>
  <c r="G46" i="10"/>
  <c r="F46" i="10"/>
  <c r="H46" i="10" s="1"/>
  <c r="C46" i="10"/>
  <c r="AM45" i="10"/>
  <c r="AN45" i="10" s="1"/>
  <c r="AP45" i="10" s="1"/>
  <c r="AL45" i="10"/>
  <c r="AL35" i="10" s="1"/>
  <c r="AN35" i="10" s="1"/>
  <c r="AG45" i="10"/>
  <c r="AF45" i="10"/>
  <c r="AE45" i="10"/>
  <c r="Y45" i="10"/>
  <c r="Z45" i="10" s="1"/>
  <c r="X45" i="10"/>
  <c r="R45" i="10"/>
  <c r="S45" i="10" s="1"/>
  <c r="Q45" i="10"/>
  <c r="K45" i="10"/>
  <c r="L45" i="10" s="1"/>
  <c r="J45" i="10"/>
  <c r="G45" i="10"/>
  <c r="H45" i="10" s="1"/>
  <c r="F45" i="10"/>
  <c r="C45" i="10"/>
  <c r="AM44" i="10"/>
  <c r="AN44" i="10" s="1"/>
  <c r="AL44" i="10"/>
  <c r="AF44" i="10"/>
  <c r="AE44" i="10"/>
  <c r="Y44" i="10"/>
  <c r="X44" i="10"/>
  <c r="S44" i="10"/>
  <c r="U44" i="10" s="1"/>
  <c r="R44" i="10"/>
  <c r="Q44" i="10"/>
  <c r="L44" i="10"/>
  <c r="N44" i="10" s="1"/>
  <c r="K44" i="10"/>
  <c r="J44" i="10"/>
  <c r="H44" i="10"/>
  <c r="G44" i="10"/>
  <c r="F44" i="10"/>
  <c r="C44" i="10"/>
  <c r="AM43" i="10"/>
  <c r="AF43" i="10"/>
  <c r="Y43" i="10"/>
  <c r="R43" i="10"/>
  <c r="K43" i="10"/>
  <c r="G43" i="10"/>
  <c r="C43" i="10"/>
  <c r="AM42" i="10"/>
  <c r="AF42" i="10"/>
  <c r="Y42" i="10"/>
  <c r="C42" i="10"/>
  <c r="AM41" i="10"/>
  <c r="AF41" i="10"/>
  <c r="Y41" i="10"/>
  <c r="R41" i="10"/>
  <c r="C41" i="10"/>
  <c r="AM39" i="10"/>
  <c r="AF39" i="10"/>
  <c r="Y39" i="10"/>
  <c r="R39" i="10"/>
  <c r="C39" i="10"/>
  <c r="AF38" i="10"/>
  <c r="Y38" i="10"/>
  <c r="R38" i="10"/>
  <c r="C38" i="10"/>
  <c r="AM36" i="10"/>
  <c r="AF36" i="10"/>
  <c r="Y36" i="10"/>
  <c r="R36" i="10"/>
  <c r="K36" i="10"/>
  <c r="G36" i="10"/>
  <c r="C36" i="10"/>
  <c r="AM35" i="10"/>
  <c r="AF35" i="10"/>
  <c r="Y35" i="10"/>
  <c r="R35" i="10"/>
  <c r="Q35" i="10"/>
  <c r="S35" i="10" s="1"/>
  <c r="K35" i="10"/>
  <c r="G35" i="10"/>
  <c r="H35" i="10" s="1"/>
  <c r="F35" i="10"/>
  <c r="C35" i="10"/>
  <c r="AM34" i="10"/>
  <c r="AF34" i="10"/>
  <c r="Y34" i="10"/>
  <c r="R34" i="10"/>
  <c r="G34" i="10"/>
  <c r="C34" i="10"/>
  <c r="AM33" i="10"/>
  <c r="AF33" i="10"/>
  <c r="Y33" i="10"/>
  <c r="R33" i="10"/>
  <c r="K33" i="10"/>
  <c r="G33" i="10"/>
  <c r="C33" i="10"/>
  <c r="AM32" i="10"/>
  <c r="AF32" i="10"/>
  <c r="N13" i="3" s="1"/>
  <c r="Y32" i="10"/>
  <c r="R32" i="10"/>
  <c r="K32" i="10"/>
  <c r="G32" i="10"/>
  <c r="C32" i="10"/>
  <c r="AM31" i="10"/>
  <c r="AF31" i="10"/>
  <c r="Y31" i="10"/>
  <c r="R31" i="10"/>
  <c r="K31" i="10"/>
  <c r="G31" i="10"/>
  <c r="C31" i="10"/>
  <c r="AM30" i="10"/>
  <c r="AF30" i="10"/>
  <c r="Y30" i="10"/>
  <c r="R30" i="10"/>
  <c r="K30" i="10"/>
  <c r="G30" i="10"/>
  <c r="D11" i="3" s="1"/>
  <c r="C30" i="10"/>
  <c r="AM28" i="10"/>
  <c r="AF28" i="10"/>
  <c r="Y28" i="10"/>
  <c r="R28" i="10"/>
  <c r="K28" i="10"/>
  <c r="G28" i="10"/>
  <c r="C28" i="10"/>
  <c r="AM27" i="10"/>
  <c r="AF27" i="10"/>
  <c r="Y27" i="10"/>
  <c r="R27" i="10"/>
  <c r="K27" i="10"/>
  <c r="G27" i="10"/>
  <c r="C27" i="10"/>
  <c r="AM26" i="10"/>
  <c r="AF26" i="10"/>
  <c r="Y26" i="10"/>
  <c r="R26" i="10"/>
  <c r="K26" i="10"/>
  <c r="G26" i="10"/>
  <c r="C26" i="10"/>
  <c r="AM25" i="10"/>
  <c r="AF25" i="10"/>
  <c r="Y25" i="10"/>
  <c r="R25" i="10"/>
  <c r="K25" i="10"/>
  <c r="G25" i="10"/>
  <c r="C25" i="10"/>
  <c r="AM24" i="10"/>
  <c r="AF24" i="10"/>
  <c r="Y24" i="10"/>
  <c r="R24" i="10"/>
  <c r="K24" i="10"/>
  <c r="G24" i="10"/>
  <c r="C24" i="10"/>
  <c r="AM23" i="10"/>
  <c r="AF23" i="10"/>
  <c r="Y23" i="10"/>
  <c r="R23" i="10"/>
  <c r="K23" i="10"/>
  <c r="G23" i="10"/>
  <c r="C23" i="10"/>
  <c r="AM22" i="10"/>
  <c r="AF22" i="10"/>
  <c r="Y22" i="10"/>
  <c r="R22" i="10"/>
  <c r="K22" i="10"/>
  <c r="G22" i="10"/>
  <c r="C22" i="10"/>
  <c r="AM21" i="10"/>
  <c r="AF21" i="10"/>
  <c r="AC21" i="10"/>
  <c r="Y21" i="10"/>
  <c r="S21" i="10"/>
  <c r="U21" i="10" s="1"/>
  <c r="R21" i="10"/>
  <c r="Q21" i="10"/>
  <c r="L21" i="10"/>
  <c r="V21" i="10" s="1"/>
  <c r="K21" i="10"/>
  <c r="J21" i="10"/>
  <c r="H21" i="10"/>
  <c r="G21" i="10"/>
  <c r="F21" i="10"/>
  <c r="C21" i="10"/>
  <c r="AM20" i="10"/>
  <c r="AF20" i="10"/>
  <c r="Y20" i="10"/>
  <c r="R20" i="10"/>
  <c r="K20" i="10"/>
  <c r="G20" i="10"/>
  <c r="C20" i="10"/>
  <c r="AM19" i="10"/>
  <c r="AF19" i="10"/>
  <c r="Y19" i="10"/>
  <c r="R19" i="10"/>
  <c r="K19" i="10"/>
  <c r="G19" i="10"/>
  <c r="C19" i="10"/>
  <c r="AM18" i="10"/>
  <c r="AF18" i="10"/>
  <c r="Y18" i="10"/>
  <c r="R18" i="10"/>
  <c r="K18" i="10"/>
  <c r="G18" i="10"/>
  <c r="B18" i="10"/>
  <c r="C18" i="10" s="1"/>
  <c r="AM17" i="10"/>
  <c r="AF17" i="10"/>
  <c r="Y17" i="10"/>
  <c r="R17" i="10"/>
  <c r="K17" i="10"/>
  <c r="G17" i="10"/>
  <c r="B17" i="10"/>
  <c r="C17" i="10" s="1"/>
  <c r="AM16" i="10"/>
  <c r="AF16" i="10"/>
  <c r="Y16" i="10"/>
  <c r="R16" i="10"/>
  <c r="K16" i="10"/>
  <c r="G16" i="10"/>
  <c r="C16" i="10"/>
  <c r="AM15" i="10"/>
  <c r="AF15" i="10"/>
  <c r="Z15" i="10"/>
  <c r="Y15" i="10"/>
  <c r="X15" i="10"/>
  <c r="R15" i="10"/>
  <c r="K15" i="10"/>
  <c r="G15" i="10"/>
  <c r="F15" i="10"/>
  <c r="H15" i="10" s="1"/>
  <c r="C15" i="10"/>
  <c r="AP12" i="10"/>
  <c r="AI12" i="10"/>
  <c r="AB12" i="10"/>
  <c r="U12" i="10"/>
  <c r="N12" i="10"/>
  <c r="AN11" i="10"/>
  <c r="AQ11" i="10" s="1"/>
  <c r="AJ11" i="10"/>
  <c r="AG11" i="10"/>
  <c r="Z11" i="10"/>
  <c r="AC11" i="10" s="1"/>
  <c r="S11" i="10"/>
  <c r="V11" i="10" s="1"/>
  <c r="O11" i="10"/>
  <c r="L11" i="10"/>
  <c r="H11" i="10"/>
  <c r="S2" i="10"/>
  <c r="K48" i="10" s="1"/>
  <c r="L48" i="10" s="1"/>
  <c r="AL63" i="9"/>
  <c r="AM41" i="9" s="1"/>
  <c r="AE63" i="9"/>
  <c r="AF35" i="9" s="1"/>
  <c r="X63" i="9"/>
  <c r="Y41" i="9" s="1"/>
  <c r="Q63" i="9"/>
  <c r="R42" i="9" s="1"/>
  <c r="J63" i="9"/>
  <c r="K38" i="9" s="1"/>
  <c r="F63" i="9"/>
  <c r="AE59" i="9"/>
  <c r="J59" i="9"/>
  <c r="F59" i="9"/>
  <c r="AL53" i="9"/>
  <c r="AE53" i="9"/>
  <c r="X53" i="9"/>
  <c r="Q53" i="9"/>
  <c r="Q59" i="9" s="1"/>
  <c r="J53" i="9"/>
  <c r="F53" i="9"/>
  <c r="AM48" i="9"/>
  <c r="AL48" i="9"/>
  <c r="AN48" i="9" s="1"/>
  <c r="AP48" i="9" s="1"/>
  <c r="AG48" i="9"/>
  <c r="AQ48" i="9" s="1"/>
  <c r="AF48" i="9"/>
  <c r="AE48" i="9"/>
  <c r="Y48" i="9"/>
  <c r="X48" i="9"/>
  <c r="R48" i="9"/>
  <c r="S48" i="9" s="1"/>
  <c r="Q48" i="9"/>
  <c r="N48" i="9"/>
  <c r="L48" i="9"/>
  <c r="V48" i="9" s="1"/>
  <c r="K48" i="9"/>
  <c r="J48" i="9"/>
  <c r="H48" i="9"/>
  <c r="O48" i="9" s="1"/>
  <c r="G48" i="9"/>
  <c r="F48" i="9"/>
  <c r="C48" i="9"/>
  <c r="AN47" i="9"/>
  <c r="AM47" i="9"/>
  <c r="AL47" i="9"/>
  <c r="AF47" i="9"/>
  <c r="AG47" i="9" s="1"/>
  <c r="AE47" i="9"/>
  <c r="Z47" i="9"/>
  <c r="AB47" i="9" s="1"/>
  <c r="Y47" i="9"/>
  <c r="X47" i="9"/>
  <c r="S47" i="9"/>
  <c r="R47" i="9"/>
  <c r="Q47" i="9"/>
  <c r="K47" i="9"/>
  <c r="L47" i="9" s="1"/>
  <c r="J47" i="9"/>
  <c r="H47" i="9"/>
  <c r="G47" i="9"/>
  <c r="F47" i="9"/>
  <c r="C47" i="9"/>
  <c r="AM46" i="9"/>
  <c r="AL46" i="9"/>
  <c r="AL35" i="9" s="1"/>
  <c r="AF46" i="9"/>
  <c r="AG46" i="9" s="1"/>
  <c r="AI46" i="9" s="1"/>
  <c r="AJ46" i="9" s="1"/>
  <c r="AE46" i="9"/>
  <c r="Z46" i="9"/>
  <c r="Y46" i="9"/>
  <c r="X46" i="9"/>
  <c r="S46" i="9"/>
  <c r="R46" i="9"/>
  <c r="Q46" i="9"/>
  <c r="K46" i="9"/>
  <c r="J46" i="9"/>
  <c r="G46" i="9"/>
  <c r="F46" i="9"/>
  <c r="H46" i="9" s="1"/>
  <c r="C46" i="9"/>
  <c r="AN45" i="9"/>
  <c r="AP45" i="9" s="1"/>
  <c r="AQ45" i="9" s="1"/>
  <c r="AM45" i="9"/>
  <c r="AL45" i="9"/>
  <c r="AG45" i="9"/>
  <c r="AF45" i="9"/>
  <c r="AE45" i="9"/>
  <c r="Y45" i="9"/>
  <c r="Z45" i="9" s="1"/>
  <c r="X45" i="9"/>
  <c r="V45" i="9"/>
  <c r="U45" i="9"/>
  <c r="R45" i="9"/>
  <c r="S45" i="9" s="1"/>
  <c r="Q45" i="9"/>
  <c r="L45" i="9"/>
  <c r="N45" i="9" s="1"/>
  <c r="K45" i="9"/>
  <c r="J45" i="9"/>
  <c r="H45" i="9"/>
  <c r="G45" i="9"/>
  <c r="F45" i="9"/>
  <c r="C45" i="9"/>
  <c r="AP44" i="9"/>
  <c r="AQ44" i="9" s="1"/>
  <c r="AN44" i="9"/>
  <c r="AM44" i="9"/>
  <c r="AL44" i="9"/>
  <c r="AG44" i="9"/>
  <c r="AF44" i="9"/>
  <c r="AE44" i="9"/>
  <c r="AE35" i="9" s="1"/>
  <c r="Y44" i="9"/>
  <c r="Z44" i="9" s="1"/>
  <c r="X44" i="9"/>
  <c r="S44" i="9"/>
  <c r="U44" i="9" s="1"/>
  <c r="R44" i="9"/>
  <c r="Q44" i="9"/>
  <c r="Q35" i="9" s="1"/>
  <c r="L44" i="9"/>
  <c r="K44" i="9"/>
  <c r="J44" i="9"/>
  <c r="H44" i="9"/>
  <c r="G44" i="9"/>
  <c r="F44" i="9"/>
  <c r="C44" i="9"/>
  <c r="AM43" i="9"/>
  <c r="AF43" i="9"/>
  <c r="Y43" i="9"/>
  <c r="R43" i="9"/>
  <c r="K43" i="9"/>
  <c r="G43" i="9"/>
  <c r="C43" i="9"/>
  <c r="AF42" i="9"/>
  <c r="Y42" i="9"/>
  <c r="K42" i="9"/>
  <c r="G42" i="9"/>
  <c r="C42" i="9"/>
  <c r="AF41" i="9"/>
  <c r="R41" i="9"/>
  <c r="K41" i="9"/>
  <c r="G41" i="9"/>
  <c r="C41" i="9"/>
  <c r="AF39" i="9"/>
  <c r="K39" i="9"/>
  <c r="G39" i="9"/>
  <c r="C39" i="9"/>
  <c r="AF38" i="9"/>
  <c r="R38" i="9"/>
  <c r="G38" i="9"/>
  <c r="C38" i="9"/>
  <c r="AM36" i="9"/>
  <c r="AF36" i="9"/>
  <c r="Y36" i="9"/>
  <c r="R36" i="9"/>
  <c r="K36" i="9"/>
  <c r="G36" i="9"/>
  <c r="C36" i="9"/>
  <c r="AQ35" i="9"/>
  <c r="AN35" i="9"/>
  <c r="AP35" i="9" s="1"/>
  <c r="AM35" i="9"/>
  <c r="AG35" i="9"/>
  <c r="X35" i="9"/>
  <c r="U35" i="9"/>
  <c r="R35" i="9"/>
  <c r="S35" i="9" s="1"/>
  <c r="L35" i="9"/>
  <c r="N35" i="9" s="1"/>
  <c r="K35" i="9"/>
  <c r="J35" i="9"/>
  <c r="H35" i="9"/>
  <c r="G35" i="9"/>
  <c r="F35" i="9"/>
  <c r="C35" i="9"/>
  <c r="AF34" i="9"/>
  <c r="Y34" i="9"/>
  <c r="R34" i="9"/>
  <c r="K34" i="9"/>
  <c r="G34" i="9"/>
  <c r="C34" i="9"/>
  <c r="AM33" i="9"/>
  <c r="AF33" i="9"/>
  <c r="Y33" i="9"/>
  <c r="R33" i="9"/>
  <c r="K33" i="9"/>
  <c r="G33" i="9"/>
  <c r="C33" i="9"/>
  <c r="AM32" i="9"/>
  <c r="AF32" i="9"/>
  <c r="Y32" i="9"/>
  <c r="R32" i="9"/>
  <c r="K32" i="9"/>
  <c r="G32" i="9"/>
  <c r="C32" i="9"/>
  <c r="AM31" i="9"/>
  <c r="AF31" i="9"/>
  <c r="Y31" i="9"/>
  <c r="R31" i="9"/>
  <c r="K31" i="9"/>
  <c r="G31" i="9"/>
  <c r="C31" i="9"/>
  <c r="AM30" i="9"/>
  <c r="AF30" i="9"/>
  <c r="Y30" i="9"/>
  <c r="R30" i="9"/>
  <c r="K30" i="9"/>
  <c r="G30" i="9"/>
  <c r="C30" i="9"/>
  <c r="AM28" i="9"/>
  <c r="AF28" i="9"/>
  <c r="Y28" i="9"/>
  <c r="R28" i="9"/>
  <c r="K28" i="9"/>
  <c r="G28" i="9"/>
  <c r="C28" i="9"/>
  <c r="AM27" i="9"/>
  <c r="AF27" i="9"/>
  <c r="Y27" i="9"/>
  <c r="R27" i="9"/>
  <c r="K27" i="9"/>
  <c r="G27" i="9"/>
  <c r="C27" i="9"/>
  <c r="AM26" i="9"/>
  <c r="AF26" i="9"/>
  <c r="Y26" i="9"/>
  <c r="R26" i="9"/>
  <c r="K26" i="9"/>
  <c r="G26" i="9"/>
  <c r="C26" i="9"/>
  <c r="AM25" i="9"/>
  <c r="AF25" i="9"/>
  <c r="Y25" i="9"/>
  <c r="R25" i="9"/>
  <c r="K25" i="9"/>
  <c r="G25" i="9"/>
  <c r="C25" i="9"/>
  <c r="AM24" i="9"/>
  <c r="AF24" i="9"/>
  <c r="Y24" i="9"/>
  <c r="R24" i="9"/>
  <c r="K24" i="9"/>
  <c r="G24" i="9"/>
  <c r="C24" i="9"/>
  <c r="AM23" i="9"/>
  <c r="AF23" i="9"/>
  <c r="Y23" i="9"/>
  <c r="R23" i="9"/>
  <c r="K23" i="9"/>
  <c r="G23" i="9"/>
  <c r="C23" i="9"/>
  <c r="AM22" i="9"/>
  <c r="AF22" i="9"/>
  <c r="Y22" i="9"/>
  <c r="R22" i="9"/>
  <c r="K22" i="9"/>
  <c r="G22" i="9"/>
  <c r="C22" i="9"/>
  <c r="AM21" i="9"/>
  <c r="AF21" i="9"/>
  <c r="Y21" i="9"/>
  <c r="V21" i="9"/>
  <c r="S21" i="9"/>
  <c r="U21" i="9" s="1"/>
  <c r="R21" i="9"/>
  <c r="Q21" i="9"/>
  <c r="L21" i="9"/>
  <c r="K21" i="9"/>
  <c r="J21" i="9"/>
  <c r="H21" i="9"/>
  <c r="G21" i="9"/>
  <c r="F21" i="9"/>
  <c r="C21" i="9"/>
  <c r="AM20" i="9"/>
  <c r="AF20" i="9"/>
  <c r="Y20" i="9"/>
  <c r="R20" i="9"/>
  <c r="K20" i="9"/>
  <c r="G20" i="9"/>
  <c r="C20" i="9"/>
  <c r="AM19" i="9"/>
  <c r="AF19" i="9"/>
  <c r="Y19" i="9"/>
  <c r="R19" i="9"/>
  <c r="K19" i="9"/>
  <c r="G19" i="9"/>
  <c r="C19" i="9"/>
  <c r="AM18" i="9"/>
  <c r="AF18" i="9"/>
  <c r="Y18" i="9"/>
  <c r="R18" i="9"/>
  <c r="K18" i="9"/>
  <c r="G18" i="9"/>
  <c r="C18" i="9"/>
  <c r="B18" i="9"/>
  <c r="AM17" i="9"/>
  <c r="AF17" i="9"/>
  <c r="Y17" i="9"/>
  <c r="R17" i="9"/>
  <c r="K17" i="9"/>
  <c r="G17" i="9"/>
  <c r="C17" i="9"/>
  <c r="B17" i="9"/>
  <c r="AM16" i="9"/>
  <c r="AF16" i="9"/>
  <c r="Y16" i="9"/>
  <c r="R16" i="9"/>
  <c r="K16" i="9"/>
  <c r="G16" i="9"/>
  <c r="C16" i="9"/>
  <c r="AM15" i="9"/>
  <c r="AF15" i="9"/>
  <c r="AE15" i="9"/>
  <c r="AG15" i="9" s="1"/>
  <c r="Y15" i="9"/>
  <c r="R15" i="9"/>
  <c r="K15" i="9"/>
  <c r="G15" i="9"/>
  <c r="H15" i="9" s="1"/>
  <c r="C15" i="9"/>
  <c r="F15" i="9" s="1"/>
  <c r="AP12" i="9"/>
  <c r="AI12" i="9"/>
  <c r="AB12" i="9"/>
  <c r="U12" i="9"/>
  <c r="N12" i="9"/>
  <c r="AQ11" i="9"/>
  <c r="AN11" i="9"/>
  <c r="AJ11" i="9"/>
  <c r="AG11" i="9"/>
  <c r="AC11" i="9"/>
  <c r="Z11" i="9"/>
  <c r="S11" i="9"/>
  <c r="V11" i="9" s="1"/>
  <c r="L11" i="9"/>
  <c r="O11" i="9" s="1"/>
  <c r="H11" i="9"/>
  <c r="J353" i="8"/>
  <c r="I353" i="8"/>
  <c r="H353" i="8"/>
  <c r="G353" i="8"/>
  <c r="F353" i="8"/>
  <c r="J338" i="8"/>
  <c r="I338" i="8"/>
  <c r="H338" i="8"/>
  <c r="G338" i="8"/>
  <c r="F338" i="8"/>
  <c r="J325" i="8"/>
  <c r="I325" i="8"/>
  <c r="H325" i="8"/>
  <c r="G325" i="8"/>
  <c r="F325" i="8"/>
  <c r="J305" i="8"/>
  <c r="I305" i="8"/>
  <c r="H305" i="8"/>
  <c r="G305" i="8"/>
  <c r="F305" i="8"/>
  <c r="B303" i="8"/>
  <c r="B302" i="8"/>
  <c r="B301" i="8"/>
  <c r="B300" i="8"/>
  <c r="B299" i="8"/>
  <c r="B298" i="8"/>
  <c r="B297" i="8"/>
  <c r="B296" i="8"/>
  <c r="B295" i="8"/>
  <c r="B294" i="8"/>
  <c r="B293" i="8"/>
  <c r="J292" i="8"/>
  <c r="I292" i="8"/>
  <c r="H292" i="8"/>
  <c r="G292" i="8"/>
  <c r="F292" i="8"/>
  <c r="B287" i="8"/>
  <c r="B286" i="8"/>
  <c r="B285" i="8"/>
  <c r="B284" i="8"/>
  <c r="B283" i="8"/>
  <c r="B282" i="8"/>
  <c r="B281" i="8"/>
  <c r="B280" i="8"/>
  <c r="J279" i="8"/>
  <c r="I279" i="8"/>
  <c r="H279" i="8"/>
  <c r="G279" i="8"/>
  <c r="F279" i="8"/>
  <c r="B277" i="8"/>
  <c r="B276" i="8"/>
  <c r="B275" i="8"/>
  <c r="B274" i="8"/>
  <c r="B273" i="8"/>
  <c r="B272" i="8"/>
  <c r="B271" i="8"/>
  <c r="B270" i="8"/>
  <c r="B269" i="8"/>
  <c r="B268" i="8"/>
  <c r="B267" i="8"/>
  <c r="J266" i="8"/>
  <c r="I266" i="8"/>
  <c r="H266" i="8"/>
  <c r="G266" i="8"/>
  <c r="F266" i="8"/>
  <c r="B262" i="8"/>
  <c r="B261" i="8"/>
  <c r="B260" i="8"/>
  <c r="B259" i="8"/>
  <c r="B258" i="8"/>
  <c r="B257" i="8"/>
  <c r="B256" i="8"/>
  <c r="J255" i="8"/>
  <c r="I255" i="8"/>
  <c r="H255" i="8"/>
  <c r="G255" i="8"/>
  <c r="F255" i="8"/>
  <c r="B253" i="8"/>
  <c r="B252" i="8"/>
  <c r="B251" i="8"/>
  <c r="B250" i="8"/>
  <c r="B249" i="8"/>
  <c r="B248" i="8"/>
  <c r="B247" i="8"/>
  <c r="B246" i="8"/>
  <c r="B245" i="8"/>
  <c r="B244" i="8"/>
  <c r="B243" i="8"/>
  <c r="J242" i="8"/>
  <c r="I242" i="8"/>
  <c r="H242" i="8"/>
  <c r="G242" i="8"/>
  <c r="F242" i="8"/>
  <c r="B239" i="8"/>
  <c r="B238" i="8"/>
  <c r="B237" i="8"/>
  <c r="B236" i="8"/>
  <c r="B235" i="8"/>
  <c r="B234" i="8"/>
  <c r="B233" i="8"/>
  <c r="B232" i="8"/>
  <c r="B231" i="8"/>
  <c r="B230" i="8"/>
  <c r="B229" i="8"/>
  <c r="J228" i="8"/>
  <c r="I228" i="8"/>
  <c r="H228" i="8"/>
  <c r="G228" i="8"/>
  <c r="F228" i="8"/>
  <c r="B226" i="8"/>
  <c r="B225" i="8"/>
  <c r="B224" i="8"/>
  <c r="B223" i="8"/>
  <c r="B222" i="8"/>
  <c r="B221" i="8"/>
  <c r="B220" i="8"/>
  <c r="B219" i="8"/>
  <c r="B218" i="8"/>
  <c r="B217" i="8"/>
  <c r="B216" i="8"/>
  <c r="J215" i="8"/>
  <c r="I215" i="8"/>
  <c r="H215" i="8"/>
  <c r="G215" i="8"/>
  <c r="F215" i="8"/>
  <c r="B213" i="8"/>
  <c r="B212" i="8"/>
  <c r="B211" i="8"/>
  <c r="B210" i="8"/>
  <c r="B209" i="8"/>
  <c r="B208" i="8"/>
  <c r="B207" i="8"/>
  <c r="B205" i="8"/>
  <c r="B203" i="8"/>
  <c r="B202" i="8"/>
  <c r="B201" i="8"/>
  <c r="J200" i="8"/>
  <c r="I200" i="8"/>
  <c r="H200" i="8"/>
  <c r="G200" i="8"/>
  <c r="F200" i="8"/>
  <c r="B198" i="8"/>
  <c r="B197" i="8"/>
  <c r="B196" i="8"/>
  <c r="B195" i="8"/>
  <c r="B194" i="8"/>
  <c r="B193" i="8"/>
  <c r="B192" i="8"/>
  <c r="B190" i="8"/>
  <c r="B188" i="8"/>
  <c r="B187" i="8"/>
  <c r="B186" i="8"/>
  <c r="J185" i="8"/>
  <c r="I185" i="8"/>
  <c r="H185" i="8"/>
  <c r="G185" i="8"/>
  <c r="F185" i="8"/>
  <c r="B183" i="8"/>
  <c r="B182" i="8"/>
  <c r="B181" i="8"/>
  <c r="B180" i="8"/>
  <c r="B179" i="8"/>
  <c r="B178" i="8"/>
  <c r="B177" i="8"/>
  <c r="B176" i="8"/>
  <c r="B175" i="8"/>
  <c r="B174" i="8"/>
  <c r="B173" i="8"/>
  <c r="J172" i="8"/>
  <c r="I172" i="8"/>
  <c r="H172" i="8"/>
  <c r="G172" i="8"/>
  <c r="F172" i="8"/>
  <c r="B169" i="8"/>
  <c r="B168" i="8"/>
  <c r="B167" i="8"/>
  <c r="B166" i="8"/>
  <c r="B165" i="8"/>
  <c r="B164" i="8"/>
  <c r="B163" i="8"/>
  <c r="B162" i="8"/>
  <c r="B161" i="8"/>
  <c r="B160" i="8"/>
  <c r="B159" i="8"/>
  <c r="J158" i="8"/>
  <c r="I158" i="8"/>
  <c r="H158" i="8"/>
  <c r="G158" i="8"/>
  <c r="F158" i="8"/>
  <c r="B155" i="8"/>
  <c r="B154" i="8"/>
  <c r="B153" i="8"/>
  <c r="B152" i="8"/>
  <c r="B151" i="8"/>
  <c r="B150" i="8"/>
  <c r="B149" i="8"/>
  <c r="B148" i="8"/>
  <c r="B147" i="8"/>
  <c r="B146" i="8"/>
  <c r="B145" i="8"/>
  <c r="J144" i="8"/>
  <c r="I144" i="8"/>
  <c r="H144" i="8"/>
  <c r="G144" i="8"/>
  <c r="F144" i="8"/>
  <c r="C142" i="8"/>
  <c r="B142" i="8" s="1"/>
  <c r="C141" i="8"/>
  <c r="B141" i="8"/>
  <c r="C140" i="8"/>
  <c r="B140" i="8"/>
  <c r="C139" i="8"/>
  <c r="B139" i="8"/>
  <c r="C138" i="8"/>
  <c r="B138" i="8"/>
  <c r="C137" i="8"/>
  <c r="B137" i="8"/>
  <c r="C136" i="8"/>
  <c r="B136" i="8" s="1"/>
  <c r="C135" i="8"/>
  <c r="B135" i="8"/>
  <c r="C134" i="8"/>
  <c r="B134" i="8"/>
  <c r="C133" i="8"/>
  <c r="B133" i="8" s="1"/>
  <c r="C132" i="8"/>
  <c r="B132" i="8"/>
  <c r="C131" i="8"/>
  <c r="B131" i="8"/>
  <c r="C130" i="8"/>
  <c r="B130" i="8" s="1"/>
  <c r="C129" i="8"/>
  <c r="B129" i="8"/>
  <c r="J128" i="8"/>
  <c r="I128" i="8"/>
  <c r="H128" i="8"/>
  <c r="G128" i="8"/>
  <c r="F128" i="8"/>
  <c r="C126" i="8"/>
  <c r="B126" i="8" s="1"/>
  <c r="C125" i="8"/>
  <c r="B125" i="8" s="1"/>
  <c r="C124" i="8"/>
  <c r="B124" i="8"/>
  <c r="C123" i="8"/>
  <c r="B123" i="8" s="1"/>
  <c r="C122" i="8"/>
  <c r="B122" i="8" s="1"/>
  <c r="C121" i="8"/>
  <c r="B121" i="8" s="1"/>
  <c r="C120" i="8"/>
  <c r="B120" i="8" s="1"/>
  <c r="C119" i="8"/>
  <c r="B119" i="8" s="1"/>
  <c r="C118" i="8"/>
  <c r="B118" i="8"/>
  <c r="C117" i="8"/>
  <c r="B117" i="8" s="1"/>
  <c r="C116" i="8"/>
  <c r="B116" i="8" s="1"/>
  <c r="J115" i="8"/>
  <c r="I115" i="8"/>
  <c r="H115" i="8"/>
  <c r="G115" i="8"/>
  <c r="F115" i="8"/>
  <c r="B113" i="8"/>
  <c r="B112" i="8"/>
  <c r="B111" i="8"/>
  <c r="B110" i="8"/>
  <c r="B109" i="8"/>
  <c r="B108" i="8"/>
  <c r="B107" i="8"/>
  <c r="B106" i="8"/>
  <c r="B105" i="8"/>
  <c r="B104" i="8"/>
  <c r="B103" i="8"/>
  <c r="J102" i="8"/>
  <c r="I102" i="8"/>
  <c r="H102" i="8"/>
  <c r="G102" i="8"/>
  <c r="F102" i="8"/>
  <c r="B100" i="8"/>
  <c r="B99" i="8"/>
  <c r="B98" i="8"/>
  <c r="B97" i="8"/>
  <c r="B96" i="8"/>
  <c r="B95" i="8"/>
  <c r="B94" i="8"/>
  <c r="B93" i="8"/>
  <c r="B92" i="8"/>
  <c r="B91" i="8"/>
  <c r="B90" i="8"/>
  <c r="J89" i="8"/>
  <c r="I89" i="8"/>
  <c r="H89" i="8"/>
  <c r="G89" i="8"/>
  <c r="F89" i="8"/>
  <c r="B86" i="8"/>
  <c r="B85" i="8"/>
  <c r="B84" i="8"/>
  <c r="B83" i="8"/>
  <c r="B82" i="8"/>
  <c r="B81" i="8"/>
  <c r="B80" i="8"/>
  <c r="B79" i="8"/>
  <c r="B78" i="8"/>
  <c r="B77" i="8"/>
  <c r="B71" i="8"/>
  <c r="B70" i="8"/>
  <c r="B69" i="8"/>
  <c r="B68" i="8"/>
  <c r="B67" i="8"/>
  <c r="B66" i="8"/>
  <c r="B65" i="8"/>
  <c r="B64" i="8"/>
  <c r="J63" i="8"/>
  <c r="I63" i="8"/>
  <c r="H63" i="8"/>
  <c r="G63" i="8"/>
  <c r="F63" i="8"/>
  <c r="B60" i="8"/>
  <c r="B59" i="8"/>
  <c r="B58" i="8"/>
  <c r="B57" i="8"/>
  <c r="B56" i="8"/>
  <c r="B55" i="8"/>
  <c r="B54" i="8"/>
  <c r="B53" i="8"/>
  <c r="B52" i="8"/>
  <c r="B51" i="8"/>
  <c r="J50" i="8"/>
  <c r="I50" i="8"/>
  <c r="H50" i="8"/>
  <c r="G50" i="8"/>
  <c r="F50" i="8"/>
  <c r="B47" i="8"/>
  <c r="B46" i="8"/>
  <c r="B45" i="8"/>
  <c r="B44" i="8"/>
  <c r="B43" i="8"/>
  <c r="B42" i="8"/>
  <c r="B41" i="8"/>
  <c r="B40" i="8"/>
  <c r="B39" i="8"/>
  <c r="B38" i="8"/>
  <c r="B37" i="8"/>
  <c r="J36" i="8"/>
  <c r="I36" i="8"/>
  <c r="H36" i="8"/>
  <c r="G36" i="8"/>
  <c r="F36" i="8"/>
  <c r="B31" i="8"/>
  <c r="B30" i="8"/>
  <c r="B29" i="8"/>
  <c r="B28" i="8"/>
  <c r="B27" i="8"/>
  <c r="B26" i="8"/>
  <c r="B25" i="8"/>
  <c r="B24" i="8"/>
  <c r="B23" i="8"/>
  <c r="B22" i="8"/>
  <c r="B21" i="8"/>
  <c r="J20" i="8"/>
  <c r="I20" i="8"/>
  <c r="H20" i="8"/>
  <c r="G20" i="8"/>
  <c r="F20" i="8"/>
  <c r="B18" i="8"/>
  <c r="B17" i="8"/>
  <c r="B16" i="8"/>
  <c r="B15" i="8"/>
  <c r="B14" i="8"/>
  <c r="B13" i="8"/>
  <c r="B12" i="8"/>
  <c r="B11" i="8"/>
  <c r="B10" i="8"/>
  <c r="B9" i="8"/>
  <c r="B8" i="8"/>
  <c r="J7" i="8"/>
  <c r="I7" i="8"/>
  <c r="H7" i="8"/>
  <c r="G7" i="8"/>
  <c r="F7" i="8"/>
  <c r="D541" i="7"/>
  <c r="D540" i="7"/>
  <c r="D539" i="7"/>
  <c r="D538" i="7"/>
  <c r="A534" i="7"/>
  <c r="A533" i="7"/>
  <c r="A532" i="7"/>
  <c r="A531" i="7"/>
  <c r="A530" i="7"/>
  <c r="A529" i="7"/>
  <c r="D527" i="7"/>
  <c r="D524" i="7"/>
  <c r="D523" i="7"/>
  <c r="D518" i="7"/>
  <c r="D517" i="7"/>
  <c r="D515" i="7"/>
  <c r="D514" i="7"/>
  <c r="D513" i="7"/>
  <c r="D512" i="7"/>
  <c r="D511" i="7"/>
  <c r="A498" i="7"/>
  <c r="A497" i="7"/>
  <c r="A496" i="7"/>
  <c r="A495" i="7"/>
  <c r="A494" i="7"/>
  <c r="A493" i="7"/>
  <c r="D491" i="7"/>
  <c r="D490" i="7"/>
  <c r="D489" i="7"/>
  <c r="D488" i="7"/>
  <c r="D487" i="7"/>
  <c r="D486" i="7"/>
  <c r="D483" i="7"/>
  <c r="D482" i="7"/>
  <c r="D481" i="7"/>
  <c r="D480" i="7"/>
  <c r="D479" i="7"/>
  <c r="D476" i="7"/>
  <c r="D475" i="7"/>
  <c r="D474" i="7"/>
  <c r="D473" i="7"/>
  <c r="D472" i="7"/>
  <c r="D471" i="7"/>
  <c r="D470" i="7"/>
  <c r="D469" i="7"/>
  <c r="D468" i="7"/>
  <c r="A456" i="7"/>
  <c r="A455" i="7"/>
  <c r="A454" i="7"/>
  <c r="A453" i="7"/>
  <c r="A452" i="7"/>
  <c r="A451" i="7"/>
  <c r="D446" i="7"/>
  <c r="A430" i="7"/>
  <c r="A429" i="7"/>
  <c r="A428" i="7"/>
  <c r="A427" i="7"/>
  <c r="A426" i="7"/>
  <c r="A425" i="7"/>
  <c r="D423" i="7"/>
  <c r="A407" i="7"/>
  <c r="A406" i="7"/>
  <c r="A405" i="7"/>
  <c r="A404" i="7"/>
  <c r="A403" i="7"/>
  <c r="A402" i="7"/>
  <c r="D400" i="7"/>
  <c r="A384" i="7"/>
  <c r="A383" i="7"/>
  <c r="A382" i="7"/>
  <c r="A381" i="7"/>
  <c r="A380" i="7"/>
  <c r="A379" i="7"/>
  <c r="D377" i="7"/>
  <c r="A361" i="7"/>
  <c r="A360" i="7"/>
  <c r="A359" i="7"/>
  <c r="A358" i="7"/>
  <c r="A357" i="7"/>
  <c r="A356" i="7"/>
  <c r="D354" i="7"/>
  <c r="D353" i="7"/>
  <c r="D351" i="7"/>
  <c r="D347" i="7"/>
  <c r="D346" i="7"/>
  <c r="D345" i="7"/>
  <c r="D344" i="7"/>
  <c r="D343" i="7"/>
  <c r="D342" i="7"/>
  <c r="D341" i="7"/>
  <c r="D340" i="7"/>
  <c r="D339" i="7"/>
  <c r="A323" i="7"/>
  <c r="A322" i="7"/>
  <c r="A321" i="7"/>
  <c r="A320" i="7"/>
  <c r="A319" i="7"/>
  <c r="A318" i="7"/>
  <c r="D316" i="7"/>
  <c r="D315" i="7"/>
  <c r="D313" i="7"/>
  <c r="D309" i="7"/>
  <c r="D308" i="7"/>
  <c r="D307" i="7"/>
  <c r="D306" i="7"/>
  <c r="D305" i="7"/>
  <c r="D304" i="7"/>
  <c r="D303" i="7"/>
  <c r="D302" i="7"/>
  <c r="A286" i="7"/>
  <c r="A285" i="7"/>
  <c r="A284" i="7"/>
  <c r="A283" i="7"/>
  <c r="A282" i="7"/>
  <c r="A281" i="7"/>
  <c r="D279" i="7"/>
  <c r="D278" i="7"/>
  <c r="D277" i="7"/>
  <c r="D276" i="7"/>
  <c r="D275" i="7"/>
  <c r="D274" i="7"/>
  <c r="D273" i="7"/>
  <c r="A257" i="7"/>
  <c r="A256" i="7"/>
  <c r="A255" i="7"/>
  <c r="A254" i="7"/>
  <c r="A253" i="7"/>
  <c r="A252" i="7"/>
  <c r="D250" i="7"/>
  <c r="D249" i="7"/>
  <c r="D247" i="7"/>
  <c r="D243" i="7"/>
  <c r="D242" i="7"/>
  <c r="D241" i="7"/>
  <c r="D240" i="7"/>
  <c r="D239" i="7"/>
  <c r="D238" i="7"/>
  <c r="D237" i="7"/>
  <c r="D236" i="7"/>
  <c r="A220" i="7"/>
  <c r="A219" i="7"/>
  <c r="A218" i="7"/>
  <c r="A217" i="7"/>
  <c r="A216" i="7"/>
  <c r="A215" i="7"/>
  <c r="D213" i="7"/>
  <c r="D212" i="7"/>
  <c r="D211" i="7"/>
  <c r="D210" i="7"/>
  <c r="D206" i="7"/>
  <c r="D205" i="7"/>
  <c r="D204" i="7"/>
  <c r="D203" i="7"/>
  <c r="D202" i="7"/>
  <c r="D201" i="7"/>
  <c r="D200" i="7"/>
  <c r="D199" i="7"/>
  <c r="D198" i="7"/>
  <c r="A179" i="7"/>
  <c r="A178" i="7"/>
  <c r="A177" i="7"/>
  <c r="A176" i="7"/>
  <c r="A175" i="7"/>
  <c r="A174" i="7"/>
  <c r="D168" i="7"/>
  <c r="D167" i="7"/>
  <c r="D166" i="7"/>
  <c r="D165" i="7"/>
  <c r="D161" i="7"/>
  <c r="D160" i="7"/>
  <c r="D159" i="7"/>
  <c r="D158" i="7"/>
  <c r="D157" i="7"/>
  <c r="D156" i="7"/>
  <c r="D155" i="7"/>
  <c r="D154" i="7"/>
  <c r="D153" i="7"/>
  <c r="D152" i="7"/>
  <c r="D151" i="7"/>
  <c r="D150" i="7"/>
  <c r="A131" i="7"/>
  <c r="A130" i="7"/>
  <c r="A129" i="7"/>
  <c r="A128" i="7"/>
  <c r="A127" i="7"/>
  <c r="A126" i="7"/>
  <c r="D120" i="7"/>
  <c r="D119" i="7"/>
  <c r="D117" i="7"/>
  <c r="D113" i="7"/>
  <c r="D112" i="7"/>
  <c r="D111" i="7"/>
  <c r="D110" i="7"/>
  <c r="D109" i="7"/>
  <c r="D108" i="7"/>
  <c r="D107" i="7"/>
  <c r="D106" i="7"/>
  <c r="D105" i="7"/>
  <c r="D104" i="7"/>
  <c r="D103" i="7"/>
  <c r="D102" i="7"/>
  <c r="A83" i="7"/>
  <c r="A82" i="7"/>
  <c r="A81" i="7"/>
  <c r="A80" i="7"/>
  <c r="A79" i="7"/>
  <c r="A78" i="7"/>
  <c r="D76" i="7"/>
  <c r="D75" i="7"/>
  <c r="D73" i="7"/>
  <c r="D69" i="7"/>
  <c r="D68" i="7"/>
  <c r="D67" i="7"/>
  <c r="D66" i="7"/>
  <c r="D65" i="7"/>
  <c r="D64" i="7"/>
  <c r="D63" i="7"/>
  <c r="D62" i="7"/>
  <c r="D61" i="7"/>
  <c r="D60" i="7"/>
  <c r="A44" i="7"/>
  <c r="A43" i="7"/>
  <c r="A42" i="7"/>
  <c r="A41" i="7"/>
  <c r="A40" i="7"/>
  <c r="A39" i="7"/>
  <c r="D37" i="7"/>
  <c r="D36" i="7"/>
  <c r="D35" i="7"/>
  <c r="D30" i="7"/>
  <c r="D29" i="7"/>
  <c r="D28" i="7"/>
  <c r="D27" i="7"/>
  <c r="D26" i="7"/>
  <c r="D25" i="7"/>
  <c r="D24" i="7"/>
  <c r="D23" i="7"/>
  <c r="D22" i="7"/>
  <c r="D541" i="6"/>
  <c r="D540" i="6"/>
  <c r="D539" i="6"/>
  <c r="D538" i="6"/>
  <c r="A534" i="6"/>
  <c r="A533" i="6"/>
  <c r="A532" i="6"/>
  <c r="A531" i="6"/>
  <c r="A530" i="6"/>
  <c r="A529" i="6"/>
  <c r="D527" i="6"/>
  <c r="D524" i="6"/>
  <c r="D523" i="6"/>
  <c r="D518" i="6"/>
  <c r="D517" i="6"/>
  <c r="D515" i="6"/>
  <c r="D514" i="6"/>
  <c r="D513" i="6"/>
  <c r="D512" i="6"/>
  <c r="D511" i="6"/>
  <c r="A498" i="6"/>
  <c r="A497" i="6"/>
  <c r="A496" i="6"/>
  <c r="A495" i="6"/>
  <c r="A494" i="6"/>
  <c r="A493" i="6"/>
  <c r="D491" i="6"/>
  <c r="D490" i="6"/>
  <c r="D489" i="6"/>
  <c r="D488" i="6"/>
  <c r="D487" i="6"/>
  <c r="D486" i="6"/>
  <c r="D483" i="6"/>
  <c r="D482" i="6"/>
  <c r="D481" i="6"/>
  <c r="D480" i="6"/>
  <c r="D479" i="6"/>
  <c r="D476" i="6"/>
  <c r="D475" i="6"/>
  <c r="D474" i="6"/>
  <c r="D473" i="6"/>
  <c r="D472" i="6"/>
  <c r="D471" i="6"/>
  <c r="D470" i="6"/>
  <c r="D469" i="6"/>
  <c r="D468" i="6"/>
  <c r="A456" i="6"/>
  <c r="A455" i="6"/>
  <c r="A454" i="6"/>
  <c r="A453" i="6"/>
  <c r="A452" i="6"/>
  <c r="A451" i="6"/>
  <c r="D446" i="6"/>
  <c r="A430" i="6"/>
  <c r="A429" i="6"/>
  <c r="A428" i="6"/>
  <c r="A427" i="6"/>
  <c r="A426" i="6"/>
  <c r="A425" i="6"/>
  <c r="D423" i="6"/>
  <c r="D400" i="6"/>
  <c r="A384" i="6"/>
  <c r="A383" i="6"/>
  <c r="A382" i="6"/>
  <c r="A381" i="6"/>
  <c r="A380" i="6"/>
  <c r="A379" i="6"/>
  <c r="D377" i="6"/>
  <c r="A361" i="6"/>
  <c r="A360" i="6"/>
  <c r="A359" i="6"/>
  <c r="A358" i="6"/>
  <c r="A357" i="6"/>
  <c r="A356" i="6"/>
  <c r="D354" i="6"/>
  <c r="D353" i="6"/>
  <c r="D351" i="6"/>
  <c r="D347" i="6"/>
  <c r="D346" i="6"/>
  <c r="D345" i="6"/>
  <c r="D344" i="6"/>
  <c r="D343" i="6"/>
  <c r="D342" i="6"/>
  <c r="D341" i="6"/>
  <c r="D340" i="6"/>
  <c r="D339" i="6"/>
  <c r="A323" i="6"/>
  <c r="A322" i="6"/>
  <c r="A321" i="6"/>
  <c r="A320" i="6"/>
  <c r="A319" i="6"/>
  <c r="A318" i="6"/>
  <c r="D316" i="6"/>
  <c r="D315" i="6"/>
  <c r="D313" i="6"/>
  <c r="D309" i="6"/>
  <c r="D308" i="6"/>
  <c r="D307" i="6"/>
  <c r="D306" i="6"/>
  <c r="D305" i="6"/>
  <c r="D304" i="6"/>
  <c r="D303" i="6"/>
  <c r="D302" i="6"/>
  <c r="A286" i="6"/>
  <c r="A285" i="6"/>
  <c r="A284" i="6"/>
  <c r="A283" i="6"/>
  <c r="A282" i="6"/>
  <c r="A281" i="6"/>
  <c r="D279" i="6"/>
  <c r="D278" i="6"/>
  <c r="D277" i="6"/>
  <c r="D276" i="6"/>
  <c r="D275" i="6"/>
  <c r="D274" i="6"/>
  <c r="D273" i="6"/>
  <c r="A257" i="6"/>
  <c r="A256" i="6"/>
  <c r="A255" i="6"/>
  <c r="A254" i="6"/>
  <c r="A253" i="6"/>
  <c r="A252" i="6"/>
  <c r="D250" i="6"/>
  <c r="D249" i="6"/>
  <c r="D247" i="6"/>
  <c r="D243" i="6"/>
  <c r="D242" i="6"/>
  <c r="D241" i="6"/>
  <c r="D240" i="6"/>
  <c r="D239" i="6"/>
  <c r="D238" i="6"/>
  <c r="D237" i="6"/>
  <c r="D236" i="6"/>
  <c r="A220" i="6"/>
  <c r="A219" i="6"/>
  <c r="A218" i="6"/>
  <c r="A217" i="6"/>
  <c r="A216" i="6"/>
  <c r="A215" i="6"/>
  <c r="D213" i="6"/>
  <c r="D212" i="6"/>
  <c r="D211" i="6"/>
  <c r="D210" i="6"/>
  <c r="D206" i="6"/>
  <c r="D205" i="6"/>
  <c r="D204" i="6"/>
  <c r="D203" i="6"/>
  <c r="D202" i="6"/>
  <c r="D201" i="6"/>
  <c r="D200" i="6"/>
  <c r="D199" i="6"/>
  <c r="D198" i="6"/>
  <c r="A179" i="6"/>
  <c r="A178" i="6"/>
  <c r="A177" i="6"/>
  <c r="A176" i="6"/>
  <c r="A175" i="6"/>
  <c r="A174" i="6"/>
  <c r="D168" i="6"/>
  <c r="D167" i="6"/>
  <c r="D166" i="6"/>
  <c r="D165" i="6"/>
  <c r="D161" i="6"/>
  <c r="D160" i="6"/>
  <c r="D159" i="6"/>
  <c r="D158" i="6"/>
  <c r="D157" i="6"/>
  <c r="D156" i="6"/>
  <c r="D155" i="6"/>
  <c r="D154" i="6"/>
  <c r="D153" i="6"/>
  <c r="D152" i="6"/>
  <c r="D151" i="6"/>
  <c r="D150" i="6"/>
  <c r="A131" i="6"/>
  <c r="A130" i="6"/>
  <c r="A129" i="6"/>
  <c r="A128" i="6"/>
  <c r="A127" i="6"/>
  <c r="A126" i="6"/>
  <c r="D120" i="6"/>
  <c r="D119" i="6"/>
  <c r="D117" i="6"/>
  <c r="D113" i="6"/>
  <c r="D112" i="6"/>
  <c r="D111" i="6"/>
  <c r="D110" i="6"/>
  <c r="D109" i="6"/>
  <c r="D108" i="6"/>
  <c r="D107" i="6"/>
  <c r="D106" i="6"/>
  <c r="D105" i="6"/>
  <c r="D104" i="6"/>
  <c r="D103" i="6"/>
  <c r="D102" i="6"/>
  <c r="A83" i="6"/>
  <c r="A82" i="6"/>
  <c r="A81" i="6"/>
  <c r="A80" i="6"/>
  <c r="A79" i="6"/>
  <c r="A78" i="6"/>
  <c r="D76" i="6"/>
  <c r="D75" i="6"/>
  <c r="D73" i="6"/>
  <c r="D69" i="6"/>
  <c r="D68" i="6"/>
  <c r="D67" i="6"/>
  <c r="D66" i="6"/>
  <c r="D65" i="6"/>
  <c r="D64" i="6"/>
  <c r="D63" i="6"/>
  <c r="D62" i="6"/>
  <c r="D61" i="6"/>
  <c r="D60" i="6"/>
  <c r="A44" i="6"/>
  <c r="A43" i="6"/>
  <c r="A42" i="6"/>
  <c r="A41" i="6"/>
  <c r="A40" i="6"/>
  <c r="A39" i="6"/>
  <c r="D37" i="6"/>
  <c r="D36" i="6"/>
  <c r="D35" i="6"/>
  <c r="D30" i="6"/>
  <c r="D29" i="6"/>
  <c r="D28" i="6"/>
  <c r="D27" i="6"/>
  <c r="D26" i="6"/>
  <c r="D25" i="6"/>
  <c r="D24" i="6"/>
  <c r="D23" i="6"/>
  <c r="D22" i="6"/>
  <c r="D540" i="5"/>
  <c r="D539" i="5"/>
  <c r="D538" i="5"/>
  <c r="D537" i="5"/>
  <c r="A533" i="5"/>
  <c r="A532" i="5"/>
  <c r="A531" i="5"/>
  <c r="A530" i="5"/>
  <c r="A529" i="5"/>
  <c r="A528" i="5"/>
  <c r="D526" i="5"/>
  <c r="D523" i="5"/>
  <c r="D522" i="5"/>
  <c r="D517" i="5"/>
  <c r="D516" i="5"/>
  <c r="D514" i="5"/>
  <c r="D513" i="5"/>
  <c r="D512" i="5"/>
  <c r="D511" i="5"/>
  <c r="D510" i="5"/>
  <c r="A498" i="5"/>
  <c r="A497" i="5"/>
  <c r="A496" i="5"/>
  <c r="A495" i="5"/>
  <c r="A494" i="5"/>
  <c r="A493" i="5"/>
  <c r="D491" i="5"/>
  <c r="D490" i="5"/>
  <c r="D489" i="5"/>
  <c r="D488" i="5"/>
  <c r="D487" i="5"/>
  <c r="D486" i="5"/>
  <c r="D483" i="5"/>
  <c r="D482" i="5"/>
  <c r="D481" i="5"/>
  <c r="D480" i="5"/>
  <c r="D479" i="5"/>
  <c r="D476" i="5"/>
  <c r="D475" i="5"/>
  <c r="D474" i="5"/>
  <c r="D473" i="5"/>
  <c r="D472" i="5"/>
  <c r="D471" i="5"/>
  <c r="D470" i="5"/>
  <c r="D469" i="5"/>
  <c r="D468" i="5"/>
  <c r="A456" i="5"/>
  <c r="A455" i="5"/>
  <c r="A454" i="5"/>
  <c r="A453" i="5"/>
  <c r="A452" i="5"/>
  <c r="A451" i="5"/>
  <c r="D446" i="5"/>
  <c r="A430" i="5"/>
  <c r="A429" i="5"/>
  <c r="A428" i="5"/>
  <c r="A427" i="5"/>
  <c r="A426" i="5"/>
  <c r="A425" i="5"/>
  <c r="D423" i="5"/>
  <c r="A407" i="5"/>
  <c r="A406" i="5"/>
  <c r="A405" i="5"/>
  <c r="A404" i="5"/>
  <c r="A403" i="5"/>
  <c r="A402" i="5"/>
  <c r="D400" i="5"/>
  <c r="A384" i="5"/>
  <c r="A383" i="5"/>
  <c r="A382" i="5"/>
  <c r="A381" i="5"/>
  <c r="A380" i="5"/>
  <c r="A379" i="5"/>
  <c r="D377" i="5"/>
  <c r="A361" i="5"/>
  <c r="A360" i="5"/>
  <c r="A359" i="5"/>
  <c r="A358" i="5"/>
  <c r="A357" i="5"/>
  <c r="A356" i="5"/>
  <c r="D354" i="5"/>
  <c r="D353" i="5"/>
  <c r="D351" i="5"/>
  <c r="D347" i="5"/>
  <c r="D346" i="5"/>
  <c r="D345" i="5"/>
  <c r="D344" i="5"/>
  <c r="D343" i="5"/>
  <c r="D342" i="5"/>
  <c r="D341" i="5"/>
  <c r="D340" i="5"/>
  <c r="D339" i="5"/>
  <c r="A323" i="5"/>
  <c r="A322" i="5"/>
  <c r="A321" i="5"/>
  <c r="A320" i="5"/>
  <c r="A319" i="5"/>
  <c r="A318" i="5"/>
  <c r="D316" i="5"/>
  <c r="D315" i="5"/>
  <c r="D313" i="5"/>
  <c r="D309" i="5"/>
  <c r="D308" i="5"/>
  <c r="D307" i="5"/>
  <c r="D306" i="5"/>
  <c r="D305" i="5"/>
  <c r="D304" i="5"/>
  <c r="D303" i="5"/>
  <c r="D302" i="5"/>
  <c r="A286" i="5"/>
  <c r="A285" i="5"/>
  <c r="A284" i="5"/>
  <c r="A283" i="5"/>
  <c r="A282" i="5"/>
  <c r="A281" i="5"/>
  <c r="D279" i="5"/>
  <c r="D278" i="5"/>
  <c r="D277" i="5"/>
  <c r="D276" i="5"/>
  <c r="D275" i="5"/>
  <c r="D274" i="5"/>
  <c r="D273" i="5"/>
  <c r="A257" i="5"/>
  <c r="A256" i="5"/>
  <c r="A255" i="5"/>
  <c r="A254" i="5"/>
  <c r="A253" i="5"/>
  <c r="A252" i="5"/>
  <c r="D250" i="5"/>
  <c r="D249" i="5"/>
  <c r="D247" i="5"/>
  <c r="D243" i="5"/>
  <c r="D242" i="5"/>
  <c r="D241" i="5"/>
  <c r="D240" i="5"/>
  <c r="D239" i="5"/>
  <c r="D238" i="5"/>
  <c r="D237" i="5"/>
  <c r="D236" i="5"/>
  <c r="A220" i="5"/>
  <c r="A219" i="5"/>
  <c r="A218" i="5"/>
  <c r="A217" i="5"/>
  <c r="A216" i="5"/>
  <c r="A215" i="5"/>
  <c r="D213" i="5"/>
  <c r="D212" i="5"/>
  <c r="D211" i="5"/>
  <c r="D210" i="5"/>
  <c r="D206" i="5"/>
  <c r="D205" i="5"/>
  <c r="D204" i="5"/>
  <c r="D203" i="5"/>
  <c r="D202" i="5"/>
  <c r="D201" i="5"/>
  <c r="D200" i="5"/>
  <c r="D199" i="5"/>
  <c r="D198" i="5"/>
  <c r="A179" i="5"/>
  <c r="A178" i="5"/>
  <c r="A177" i="5"/>
  <c r="A176" i="5"/>
  <c r="A175" i="5"/>
  <c r="A174" i="5"/>
  <c r="D168" i="5"/>
  <c r="D167" i="5"/>
  <c r="D166" i="5"/>
  <c r="D165" i="5"/>
  <c r="D161" i="5"/>
  <c r="D160" i="5"/>
  <c r="D159" i="5"/>
  <c r="D158" i="5"/>
  <c r="D157" i="5"/>
  <c r="D156" i="5"/>
  <c r="D155" i="5"/>
  <c r="D154" i="5"/>
  <c r="D153" i="5"/>
  <c r="D152" i="5"/>
  <c r="D151" i="5"/>
  <c r="D150" i="5"/>
  <c r="A131" i="5"/>
  <c r="A130" i="5"/>
  <c r="A129" i="5"/>
  <c r="A128" i="5"/>
  <c r="A127" i="5"/>
  <c r="A126" i="5"/>
  <c r="D120" i="5"/>
  <c r="D119" i="5"/>
  <c r="D117" i="5"/>
  <c r="D113" i="5"/>
  <c r="D112" i="5"/>
  <c r="D111" i="5"/>
  <c r="D110" i="5"/>
  <c r="D109" i="5"/>
  <c r="D108" i="5"/>
  <c r="D107" i="5"/>
  <c r="D106" i="5"/>
  <c r="D105" i="5"/>
  <c r="D104" i="5"/>
  <c r="D103" i="5"/>
  <c r="D102" i="5"/>
  <c r="A83" i="5"/>
  <c r="A82" i="5"/>
  <c r="A81" i="5"/>
  <c r="A80" i="5"/>
  <c r="A79" i="5"/>
  <c r="A78" i="5"/>
  <c r="D76" i="5"/>
  <c r="D75" i="5"/>
  <c r="D74" i="5"/>
  <c r="D73" i="5"/>
  <c r="D69" i="5"/>
  <c r="D68" i="5"/>
  <c r="D67" i="5"/>
  <c r="D66" i="5"/>
  <c r="D65" i="5"/>
  <c r="D64" i="5"/>
  <c r="D63" i="5"/>
  <c r="D62" i="5"/>
  <c r="D61" i="5"/>
  <c r="D60" i="5"/>
  <c r="A44" i="5"/>
  <c r="A43" i="5"/>
  <c r="A42" i="5"/>
  <c r="A41" i="5"/>
  <c r="A40" i="5"/>
  <c r="A39" i="5"/>
  <c r="D37" i="5"/>
  <c r="D36" i="5"/>
  <c r="D35" i="5"/>
  <c r="D30" i="5"/>
  <c r="D29" i="5"/>
  <c r="D28" i="5"/>
  <c r="D27" i="5"/>
  <c r="D26" i="5"/>
  <c r="D25" i="5"/>
  <c r="D24" i="5"/>
  <c r="D23" i="5"/>
  <c r="D22" i="5"/>
  <c r="D575" i="4"/>
  <c r="D574" i="4"/>
  <c r="D573" i="4"/>
  <c r="D572" i="4"/>
  <c r="A568" i="4"/>
  <c r="A567" i="4"/>
  <c r="A566" i="4"/>
  <c r="A565" i="4"/>
  <c r="A564" i="4"/>
  <c r="A563" i="4"/>
  <c r="D561" i="4"/>
  <c r="D558" i="4"/>
  <c r="D557" i="4"/>
  <c r="D552" i="4"/>
  <c r="D551" i="4"/>
  <c r="D549" i="4"/>
  <c r="D548" i="4"/>
  <c r="D547" i="4"/>
  <c r="D546" i="4"/>
  <c r="D545" i="4"/>
  <c r="A532" i="4"/>
  <c r="A531" i="4"/>
  <c r="A530" i="4"/>
  <c r="A529" i="4"/>
  <c r="A528" i="4"/>
  <c r="A527" i="4"/>
  <c r="D525" i="4"/>
  <c r="D524" i="4"/>
  <c r="D523" i="4"/>
  <c r="D522" i="4"/>
  <c r="D521" i="4"/>
  <c r="D520" i="4"/>
  <c r="D517" i="4"/>
  <c r="D516" i="4"/>
  <c r="D515" i="4"/>
  <c r="D514" i="4"/>
  <c r="D513" i="4"/>
  <c r="D510" i="4"/>
  <c r="D509" i="4"/>
  <c r="D508" i="4"/>
  <c r="D507" i="4"/>
  <c r="D506" i="4"/>
  <c r="D505" i="4"/>
  <c r="D504" i="4"/>
  <c r="D503" i="4"/>
  <c r="D502" i="4"/>
  <c r="A490" i="4"/>
  <c r="A489" i="4"/>
  <c r="A488" i="4"/>
  <c r="A487" i="4"/>
  <c r="A486" i="4"/>
  <c r="A485" i="4"/>
  <c r="D480" i="4"/>
  <c r="D479" i="4"/>
  <c r="A463" i="4"/>
  <c r="A462" i="4"/>
  <c r="A461" i="4"/>
  <c r="A460" i="4"/>
  <c r="A459" i="4"/>
  <c r="A458" i="4"/>
  <c r="D456" i="4"/>
  <c r="D455" i="4"/>
  <c r="A439" i="4"/>
  <c r="A438" i="4"/>
  <c r="A437" i="4"/>
  <c r="A436" i="4"/>
  <c r="A435" i="4"/>
  <c r="A434" i="4"/>
  <c r="D432" i="4"/>
  <c r="D431" i="4"/>
  <c r="A415" i="4"/>
  <c r="A414" i="4"/>
  <c r="A413" i="4"/>
  <c r="A412" i="4"/>
  <c r="A411" i="4"/>
  <c r="A410" i="4"/>
  <c r="D393" i="4"/>
  <c r="A377" i="4"/>
  <c r="A376" i="4"/>
  <c r="A375" i="4"/>
  <c r="A374" i="4"/>
  <c r="A373" i="4"/>
  <c r="A372" i="4"/>
  <c r="D370" i="4"/>
  <c r="D369" i="4"/>
  <c r="D367" i="4"/>
  <c r="D363" i="4"/>
  <c r="D362" i="4"/>
  <c r="D361" i="4"/>
  <c r="D360" i="4"/>
  <c r="D359" i="4"/>
  <c r="D358" i="4"/>
  <c r="D357" i="4"/>
  <c r="D356" i="4"/>
  <c r="D355" i="4"/>
  <c r="D354" i="4"/>
  <c r="A338" i="4"/>
  <c r="A337" i="4"/>
  <c r="A336" i="4"/>
  <c r="A335" i="4"/>
  <c r="A334" i="4"/>
  <c r="A333" i="4"/>
  <c r="D331" i="4"/>
  <c r="D330" i="4"/>
  <c r="D328" i="4"/>
  <c r="D324" i="4"/>
  <c r="D323" i="4"/>
  <c r="D322" i="4"/>
  <c r="D321" i="4"/>
  <c r="D320" i="4"/>
  <c r="D319" i="4"/>
  <c r="D318" i="4"/>
  <c r="D317" i="4"/>
  <c r="D316" i="4"/>
  <c r="D315" i="4"/>
  <c r="A299" i="4"/>
  <c r="A298" i="4"/>
  <c r="A297" i="4"/>
  <c r="A296" i="4"/>
  <c r="A295" i="4"/>
  <c r="A294" i="4"/>
  <c r="D292" i="4"/>
  <c r="D291" i="4"/>
  <c r="D290" i="4"/>
  <c r="D289" i="4"/>
  <c r="D288" i="4"/>
  <c r="D287" i="4"/>
  <c r="D286" i="4"/>
  <c r="D285" i="4"/>
  <c r="D284" i="4"/>
  <c r="D283" i="4"/>
  <c r="D282" i="4"/>
  <c r="D281" i="4"/>
  <c r="D280" i="4"/>
  <c r="A264" i="4"/>
  <c r="A263" i="4"/>
  <c r="A262" i="4"/>
  <c r="A261" i="4"/>
  <c r="A260" i="4"/>
  <c r="A259" i="4"/>
  <c r="D257" i="4"/>
  <c r="D256" i="4"/>
  <c r="D254" i="4"/>
  <c r="D250" i="4"/>
  <c r="D249" i="4"/>
  <c r="D248" i="4"/>
  <c r="D247" i="4"/>
  <c r="D246" i="4"/>
  <c r="D245" i="4"/>
  <c r="D244" i="4"/>
  <c r="D243" i="4"/>
  <c r="D242" i="4"/>
  <c r="A226" i="4"/>
  <c r="A225" i="4"/>
  <c r="A224" i="4"/>
  <c r="A223" i="4"/>
  <c r="A222" i="4"/>
  <c r="A221" i="4"/>
  <c r="D219" i="4"/>
  <c r="D218" i="4"/>
  <c r="D217" i="4"/>
  <c r="D216" i="4"/>
  <c r="D212" i="4"/>
  <c r="D211" i="4"/>
  <c r="D210" i="4"/>
  <c r="D209" i="4"/>
  <c r="D208" i="4"/>
  <c r="D207" i="4"/>
  <c r="D206" i="4"/>
  <c r="D205" i="4"/>
  <c r="D204" i="4"/>
  <c r="D203" i="4"/>
  <c r="A184" i="4"/>
  <c r="A183" i="4"/>
  <c r="A182" i="4"/>
  <c r="A181" i="4"/>
  <c r="A180" i="4"/>
  <c r="A179" i="4"/>
  <c r="D173" i="4"/>
  <c r="D172" i="4"/>
  <c r="D171" i="4"/>
  <c r="D170" i="4"/>
  <c r="D166" i="4"/>
  <c r="D165" i="4"/>
  <c r="D164" i="4"/>
  <c r="D163" i="4"/>
  <c r="D162" i="4"/>
  <c r="D161" i="4"/>
  <c r="D160" i="4"/>
  <c r="D159" i="4"/>
  <c r="D158" i="4"/>
  <c r="D157" i="4"/>
  <c r="D156" i="4"/>
  <c r="D155" i="4"/>
  <c r="D154" i="4"/>
  <c r="A135" i="4"/>
  <c r="A134" i="4"/>
  <c r="A133" i="4"/>
  <c r="A132" i="4"/>
  <c r="A131" i="4"/>
  <c r="A130" i="4"/>
  <c r="D124" i="4"/>
  <c r="D123" i="4"/>
  <c r="D121" i="4"/>
  <c r="D117" i="4"/>
  <c r="D116" i="4"/>
  <c r="D115" i="4"/>
  <c r="D114" i="4"/>
  <c r="D113" i="4"/>
  <c r="D112" i="4"/>
  <c r="D111" i="4"/>
  <c r="D110" i="4"/>
  <c r="D109" i="4"/>
  <c r="D108" i="4"/>
  <c r="D107" i="4"/>
  <c r="D106" i="4"/>
  <c r="D105" i="4"/>
  <c r="D104" i="4"/>
  <c r="A85" i="4"/>
  <c r="A84" i="4"/>
  <c r="A83" i="4"/>
  <c r="A82" i="4"/>
  <c r="A81" i="4"/>
  <c r="A80" i="4"/>
  <c r="D78" i="4"/>
  <c r="D77" i="4"/>
  <c r="D75" i="4"/>
  <c r="D71" i="4"/>
  <c r="D70" i="4"/>
  <c r="D69" i="4"/>
  <c r="D68" i="4"/>
  <c r="D67" i="4"/>
  <c r="D66" i="4"/>
  <c r="D65" i="4"/>
  <c r="D64" i="4"/>
  <c r="D63" i="4"/>
  <c r="D62" i="4"/>
  <c r="D61" i="4"/>
  <c r="A45" i="4"/>
  <c r="A44" i="4"/>
  <c r="A43" i="4"/>
  <c r="A42" i="4"/>
  <c r="A41" i="4"/>
  <c r="A40" i="4"/>
  <c r="D38" i="4"/>
  <c r="D37" i="4"/>
  <c r="D36" i="4"/>
  <c r="D31" i="4"/>
  <c r="D30" i="4"/>
  <c r="D29" i="4"/>
  <c r="D28" i="4"/>
  <c r="D27" i="4"/>
  <c r="D26" i="4"/>
  <c r="D25" i="4"/>
  <c r="D24" i="4"/>
  <c r="D23" i="4"/>
  <c r="D22" i="4"/>
  <c r="U55" i="3"/>
  <c r="S55" i="3"/>
  <c r="T54" i="3" s="1"/>
  <c r="U54" i="3" s="1"/>
  <c r="N55" i="3"/>
  <c r="L55" i="3"/>
  <c r="AC54" i="3"/>
  <c r="AB54" i="3"/>
  <c r="AA54" i="3"/>
  <c r="Z54" i="3"/>
  <c r="X54" i="3"/>
  <c r="T53" i="3"/>
  <c r="U53" i="3" s="1"/>
  <c r="S53" i="3"/>
  <c r="W54" i="3" s="1"/>
  <c r="I53" i="3"/>
  <c r="H53" i="3"/>
  <c r="G53" i="3"/>
  <c r="F53" i="3"/>
  <c r="E53" i="3"/>
  <c r="AI52" i="3"/>
  <c r="AC52" i="3"/>
  <c r="AB52" i="3"/>
  <c r="W52" i="3"/>
  <c r="V52" i="3"/>
  <c r="U52" i="3"/>
  <c r="T52" i="3"/>
  <c r="S52" i="3"/>
  <c r="O52" i="3"/>
  <c r="N52" i="3"/>
  <c r="N54" i="3" s="1"/>
  <c r="S54" i="3" s="1"/>
  <c r="L52" i="3"/>
  <c r="X51" i="3"/>
  <c r="V51" i="3"/>
  <c r="T51" i="3"/>
  <c r="U51" i="3" s="1"/>
  <c r="U50" i="3"/>
  <c r="R50" i="3"/>
  <c r="N50" i="3"/>
  <c r="L50" i="3"/>
  <c r="S50" i="3" s="1"/>
  <c r="T49" i="3" s="1"/>
  <c r="U49" i="3" s="1"/>
  <c r="AC49" i="3"/>
  <c r="AB49" i="3"/>
  <c r="X49" i="3"/>
  <c r="AA49" i="3" s="1"/>
  <c r="V48" i="3"/>
  <c r="U48" i="3"/>
  <c r="T48" i="3"/>
  <c r="S48" i="3"/>
  <c r="AC47" i="3"/>
  <c r="AB47" i="3"/>
  <c r="X47" i="3"/>
  <c r="W47" i="3"/>
  <c r="W48" i="3" s="1"/>
  <c r="X48" i="3" s="1"/>
  <c r="V47" i="3"/>
  <c r="T47" i="3"/>
  <c r="U47" i="3" s="1"/>
  <c r="R47" i="3"/>
  <c r="Q47" i="3"/>
  <c r="X46" i="3"/>
  <c r="U46" i="3"/>
  <c r="T46" i="3"/>
  <c r="U45" i="3"/>
  <c r="R45" i="3"/>
  <c r="S45" i="3" s="1"/>
  <c r="T44" i="3" s="1"/>
  <c r="U44" i="3" s="1"/>
  <c r="N45" i="3"/>
  <c r="L45" i="3"/>
  <c r="AC44" i="3"/>
  <c r="AB44" i="3"/>
  <c r="X44" i="3"/>
  <c r="AA44" i="3" s="1"/>
  <c r="W44" i="3"/>
  <c r="Z44" i="3" s="1"/>
  <c r="N44" i="3"/>
  <c r="S44" i="3" s="1"/>
  <c r="V43" i="3"/>
  <c r="S43" i="3"/>
  <c r="I43" i="3"/>
  <c r="H43" i="3"/>
  <c r="T43" i="3" s="1"/>
  <c r="G43" i="3"/>
  <c r="F43" i="3"/>
  <c r="E43" i="3"/>
  <c r="AC42" i="3"/>
  <c r="AB42" i="3"/>
  <c r="W42" i="3"/>
  <c r="X42" i="3" s="1"/>
  <c r="T42" i="3"/>
  <c r="U42" i="3" s="1"/>
  <c r="R42" i="3"/>
  <c r="V42" i="3" s="1"/>
  <c r="O42" i="3"/>
  <c r="O47" i="3" s="1"/>
  <c r="N42" i="3"/>
  <c r="N47" i="3" s="1"/>
  <c r="N49" i="3" s="1"/>
  <c r="S49" i="3" s="1"/>
  <c r="L42" i="3"/>
  <c r="L47" i="3" s="1"/>
  <c r="AI47" i="3" s="1"/>
  <c r="X41" i="3"/>
  <c r="U41" i="3"/>
  <c r="T41" i="3"/>
  <c r="U40" i="3"/>
  <c r="R40" i="3"/>
  <c r="N40" i="3"/>
  <c r="L40" i="3"/>
  <c r="S40" i="3" s="1"/>
  <c r="AC39" i="3" s="1"/>
  <c r="AA39" i="3"/>
  <c r="X39" i="3"/>
  <c r="T39" i="3"/>
  <c r="U39" i="3" s="1"/>
  <c r="N39" i="3"/>
  <c r="S39" i="3" s="1"/>
  <c r="W38" i="3"/>
  <c r="X38" i="3" s="1"/>
  <c r="V38" i="3"/>
  <c r="AC37" i="3" s="1"/>
  <c r="S38" i="3"/>
  <c r="I38" i="3"/>
  <c r="H38" i="3"/>
  <c r="T38" i="3" s="1"/>
  <c r="U38" i="3" s="1"/>
  <c r="G38" i="3"/>
  <c r="F38" i="3"/>
  <c r="E38" i="3"/>
  <c r="X37" i="3"/>
  <c r="W37" i="3"/>
  <c r="V37" i="3"/>
  <c r="T37" i="3"/>
  <c r="U37" i="3" s="1"/>
  <c r="O37" i="3"/>
  <c r="N37" i="3"/>
  <c r="L37" i="3"/>
  <c r="S37" i="3" s="1"/>
  <c r="X36" i="3"/>
  <c r="U36" i="3"/>
  <c r="T36" i="3"/>
  <c r="S32" i="3"/>
  <c r="R32" i="3"/>
  <c r="V32" i="3" s="1"/>
  <c r="N32" i="3"/>
  <c r="N34" i="3" s="1"/>
  <c r="S34" i="3" s="1"/>
  <c r="L32" i="3"/>
  <c r="AI32" i="3" s="1"/>
  <c r="AI27" i="3"/>
  <c r="V27" i="3"/>
  <c r="R27" i="3"/>
  <c r="Q27" i="3"/>
  <c r="O27" i="3"/>
  <c r="N27" i="3"/>
  <c r="N29" i="3" s="1"/>
  <c r="S29" i="3" s="1"/>
  <c r="L27" i="3"/>
  <c r="AI23" i="3"/>
  <c r="R22" i="3"/>
  <c r="V22" i="3" s="1"/>
  <c r="M22" i="3"/>
  <c r="AI22" i="3" s="1"/>
  <c r="L22" i="3"/>
  <c r="R17" i="3"/>
  <c r="V17" i="3" s="1"/>
  <c r="N15" i="3"/>
  <c r="I15" i="3"/>
  <c r="H15" i="3"/>
  <c r="G15" i="3"/>
  <c r="F15" i="3"/>
  <c r="E15" i="3"/>
  <c r="I14" i="3"/>
  <c r="H14" i="3"/>
  <c r="G14" i="3"/>
  <c r="F14" i="3"/>
  <c r="E14" i="3"/>
  <c r="V13" i="3"/>
  <c r="AC12" i="3" s="1"/>
  <c r="O13" i="3"/>
  <c r="L13" i="3"/>
  <c r="X14" i="3" s="1"/>
  <c r="AA14" i="3" s="1"/>
  <c r="G13" i="3"/>
  <c r="E13" i="3"/>
  <c r="AI12" i="3"/>
  <c r="O12" i="3"/>
  <c r="N12" i="3"/>
  <c r="N14" i="3" s="1"/>
  <c r="S14" i="3" s="1"/>
  <c r="L12" i="3"/>
  <c r="L17" i="3" s="1"/>
  <c r="AI17" i="3" s="1"/>
  <c r="I12" i="3"/>
  <c r="H12" i="3"/>
  <c r="T12" i="3" s="1"/>
  <c r="U12" i="3" s="1"/>
  <c r="G12" i="3"/>
  <c r="F12" i="3"/>
  <c r="E12" i="3"/>
  <c r="I11" i="3"/>
  <c r="H11" i="3"/>
  <c r="G11" i="3"/>
  <c r="H13" i="3" s="1"/>
  <c r="F11" i="3"/>
  <c r="E11" i="3"/>
  <c r="F13" i="3" s="1"/>
  <c r="AI7" i="3"/>
  <c r="V7" i="3"/>
  <c r="V12" i="3" s="1"/>
  <c r="R7" i="3"/>
  <c r="R12" i="3" s="1"/>
  <c r="L7" i="3"/>
  <c r="D596" i="2"/>
  <c r="D595" i="2"/>
  <c r="D594" i="2"/>
  <c r="D593" i="2"/>
  <c r="A588" i="2"/>
  <c r="A587" i="2"/>
  <c r="A584" i="2"/>
  <c r="A583" i="2"/>
  <c r="D581" i="2"/>
  <c r="D578" i="2"/>
  <c r="D577" i="2"/>
  <c r="D572" i="2"/>
  <c r="D571" i="2"/>
  <c r="D569" i="2"/>
  <c r="D568" i="2"/>
  <c r="D567" i="2"/>
  <c r="D566" i="2"/>
  <c r="D565" i="2"/>
  <c r="A552" i="2"/>
  <c r="A550" i="2"/>
  <c r="A547" i="2"/>
  <c r="A546" i="2"/>
  <c r="D544" i="2"/>
  <c r="D543" i="2"/>
  <c r="D542" i="2"/>
  <c r="D541" i="2"/>
  <c r="D540" i="2"/>
  <c r="D539" i="2"/>
  <c r="D536" i="2"/>
  <c r="D535" i="2"/>
  <c r="D534" i="2"/>
  <c r="D533" i="2"/>
  <c r="D532" i="2"/>
  <c r="D529" i="2"/>
  <c r="D528" i="2"/>
  <c r="D527" i="2"/>
  <c r="D526" i="2"/>
  <c r="D525" i="2"/>
  <c r="D524" i="2"/>
  <c r="D523" i="2"/>
  <c r="D522" i="2"/>
  <c r="D521" i="2"/>
  <c r="A509" i="2"/>
  <c r="A508" i="2"/>
  <c r="A507" i="2"/>
  <c r="A504" i="2"/>
  <c r="D498" i="2"/>
  <c r="D497" i="2"/>
  <c r="A481" i="2"/>
  <c r="A479" i="2"/>
  <c r="A476" i="2"/>
  <c r="A475" i="2"/>
  <c r="D473" i="2"/>
  <c r="D472" i="2"/>
  <c r="A456" i="2"/>
  <c r="A455" i="2"/>
  <c r="A451" i="2"/>
  <c r="D448" i="2"/>
  <c r="D447" i="2"/>
  <c r="A431" i="2"/>
  <c r="A429" i="2"/>
  <c r="A426" i="2"/>
  <c r="A425" i="2"/>
  <c r="D415" i="2"/>
  <c r="A399" i="2"/>
  <c r="A398" i="2"/>
  <c r="A397" i="2"/>
  <c r="A394" i="2"/>
  <c r="A393" i="2"/>
  <c r="D391" i="2"/>
  <c r="D390" i="2"/>
  <c r="D388" i="2"/>
  <c r="D389" i="2" s="1"/>
  <c r="D384" i="2"/>
  <c r="D383" i="2"/>
  <c r="D382" i="2"/>
  <c r="D381" i="2"/>
  <c r="D380" i="2"/>
  <c r="D379" i="2"/>
  <c r="D378" i="2"/>
  <c r="D377" i="2"/>
  <c r="D376" i="2"/>
  <c r="D375" i="2"/>
  <c r="D374" i="2"/>
  <c r="D373" i="2"/>
  <c r="D372" i="2"/>
  <c r="A356" i="2"/>
  <c r="A354" i="2"/>
  <c r="A350" i="2"/>
  <c r="D348" i="2"/>
  <c r="D347" i="2"/>
  <c r="D345" i="2"/>
  <c r="D314" i="7" s="1"/>
  <c r="D341" i="2"/>
  <c r="D340" i="2"/>
  <c r="D339" i="2"/>
  <c r="D338" i="2"/>
  <c r="D337" i="2"/>
  <c r="D336" i="2"/>
  <c r="D335" i="2"/>
  <c r="D334" i="2"/>
  <c r="D333" i="2"/>
  <c r="D332" i="2"/>
  <c r="D331" i="2"/>
  <c r="A315" i="2"/>
  <c r="A313" i="2"/>
  <c r="A310" i="2"/>
  <c r="A309" i="2"/>
  <c r="D307" i="2"/>
  <c r="D306" i="2"/>
  <c r="D305" i="2"/>
  <c r="D304" i="2"/>
  <c r="D303" i="2"/>
  <c r="D302" i="2"/>
  <c r="D301" i="2"/>
  <c r="D300" i="2"/>
  <c r="D299" i="2"/>
  <c r="D298" i="2"/>
  <c r="D297" i="2"/>
  <c r="D296" i="2"/>
  <c r="D295" i="2"/>
  <c r="A279" i="2"/>
  <c r="A277" i="2"/>
  <c r="A273" i="2"/>
  <c r="D271" i="2"/>
  <c r="D270" i="2"/>
  <c r="D269" i="2"/>
  <c r="D268" i="2"/>
  <c r="D248" i="6" s="1"/>
  <c r="D264" i="2"/>
  <c r="D263" i="2"/>
  <c r="D262" i="2"/>
  <c r="D261" i="2"/>
  <c r="D260" i="2"/>
  <c r="D259" i="2"/>
  <c r="D258" i="2"/>
  <c r="D257" i="2"/>
  <c r="D256" i="2"/>
  <c r="D255" i="2"/>
  <c r="D254" i="2"/>
  <c r="A238" i="2"/>
  <c r="A236" i="2"/>
  <c r="A233" i="2"/>
  <c r="A232" i="2"/>
  <c r="D230" i="2"/>
  <c r="D229" i="2"/>
  <c r="D227" i="2"/>
  <c r="D228" i="2" s="1"/>
  <c r="D223" i="2"/>
  <c r="D222" i="2"/>
  <c r="D221" i="2"/>
  <c r="D220" i="2"/>
  <c r="D219" i="2"/>
  <c r="D218" i="2"/>
  <c r="D217" i="2"/>
  <c r="D216" i="2"/>
  <c r="D215" i="2"/>
  <c r="D214" i="2"/>
  <c r="D213" i="2"/>
  <c r="D212" i="2"/>
  <c r="A191" i="2"/>
  <c r="A188" i="2"/>
  <c r="A187" i="2"/>
  <c r="D181" i="2"/>
  <c r="D180" i="2"/>
  <c r="D179" i="2"/>
  <c r="D178" i="2"/>
  <c r="D174" i="2"/>
  <c r="D173" i="2"/>
  <c r="D172" i="2"/>
  <c r="D171" i="2"/>
  <c r="D170" i="2"/>
  <c r="D169" i="2"/>
  <c r="D168" i="2"/>
  <c r="D167" i="2"/>
  <c r="D166" i="2"/>
  <c r="D165" i="2"/>
  <c r="D164" i="2"/>
  <c r="D163" i="2"/>
  <c r="D162" i="2"/>
  <c r="D161" i="2"/>
  <c r="A142" i="2"/>
  <c r="A140" i="2"/>
  <c r="A137" i="2"/>
  <c r="A136" i="2"/>
  <c r="D130" i="2"/>
  <c r="D129" i="2"/>
  <c r="D128" i="2"/>
  <c r="D127" i="2"/>
  <c r="D122" i="4" s="1"/>
  <c r="D123" i="2"/>
  <c r="D122" i="2"/>
  <c r="D121" i="2"/>
  <c r="D120" i="2"/>
  <c r="D119" i="2"/>
  <c r="D118" i="2"/>
  <c r="D117" i="2"/>
  <c r="D116" i="2"/>
  <c r="D115" i="2"/>
  <c r="D114" i="2"/>
  <c r="D113" i="2"/>
  <c r="D112" i="2"/>
  <c r="D111" i="2"/>
  <c r="D110" i="2"/>
  <c r="A86" i="2"/>
  <c r="A85" i="2"/>
  <c r="D83" i="2"/>
  <c r="D82" i="2"/>
  <c r="D81" i="2"/>
  <c r="D80" i="2"/>
  <c r="D74" i="6" s="1"/>
  <c r="D76" i="2"/>
  <c r="D75" i="2"/>
  <c r="D74" i="2"/>
  <c r="D73" i="2"/>
  <c r="D72" i="2"/>
  <c r="D71" i="2"/>
  <c r="D70" i="2"/>
  <c r="D69" i="2"/>
  <c r="D68" i="2"/>
  <c r="D67" i="2"/>
  <c r="D66" i="2"/>
  <c r="D65" i="2"/>
  <c r="D64" i="2"/>
  <c r="A48" i="2"/>
  <c r="A91" i="2" s="1"/>
  <c r="A47" i="2"/>
  <c r="A314" i="2" s="1"/>
  <c r="A46" i="2"/>
  <c r="A454" i="2" s="1"/>
  <c r="A43" i="2"/>
  <c r="A351" i="2" s="1"/>
  <c r="A42" i="2"/>
  <c r="A503" i="2" s="1"/>
  <c r="D40" i="2"/>
  <c r="D39" i="2"/>
  <c r="D38" i="2"/>
  <c r="D33" i="2"/>
  <c r="D32" i="2"/>
  <c r="D31" i="2"/>
  <c r="D30" i="2"/>
  <c r="D29" i="2"/>
  <c r="D28" i="2"/>
  <c r="D27" i="2"/>
  <c r="D26" i="2"/>
  <c r="D25" i="2"/>
  <c r="D24" i="2"/>
  <c r="D23" i="2"/>
  <c r="B93" i="1"/>
  <c r="B92" i="1"/>
  <c r="B83" i="1"/>
  <c r="B82" i="1"/>
  <c r="B79" i="1"/>
  <c r="B74" i="1"/>
  <c r="B73" i="1"/>
  <c r="B72" i="1"/>
  <c r="A70" i="1"/>
  <c r="B69" i="1"/>
  <c r="B68" i="1"/>
  <c r="B67" i="1"/>
  <c r="G64" i="1"/>
  <c r="G79" i="1" s="1"/>
  <c r="C64" i="1"/>
  <c r="C79" i="1" s="1"/>
  <c r="G7" i="1"/>
  <c r="F7" i="1"/>
  <c r="F64" i="1" s="1"/>
  <c r="F79" i="1" s="1"/>
  <c r="E7" i="1"/>
  <c r="E64" i="1" s="1"/>
  <c r="E79" i="1" s="1"/>
  <c r="D7" i="1"/>
  <c r="D64" i="1" s="1"/>
  <c r="D79" i="1" s="1"/>
  <c r="C7" i="1"/>
  <c r="B7" i="1"/>
  <c r="G4" i="1"/>
  <c r="F4" i="1"/>
  <c r="E4" i="1"/>
  <c r="D4" i="1"/>
  <c r="C4" i="1"/>
  <c r="B4" i="1"/>
  <c r="T13" i="3" l="1"/>
  <c r="U13" i="3"/>
  <c r="X41" i="11"/>
  <c r="Q28" i="9"/>
  <c r="AB12" i="3"/>
  <c r="AE16" i="9"/>
  <c r="AG16" i="9" s="1"/>
  <c r="AL16" i="9"/>
  <c r="AN16" i="9" s="1"/>
  <c r="Q16" i="9"/>
  <c r="S16" i="9" s="1"/>
  <c r="J16" i="9"/>
  <c r="L16" i="9" s="1"/>
  <c r="Q25" i="9"/>
  <c r="AE25" i="9"/>
  <c r="J25" i="9"/>
  <c r="L25" i="9" s="1"/>
  <c r="F25" i="9"/>
  <c r="H25" i="9" s="1"/>
  <c r="O25" i="9" s="1"/>
  <c r="AL25" i="9"/>
  <c r="J42" i="9"/>
  <c r="L42" i="9" s="1"/>
  <c r="F16" i="10"/>
  <c r="AE26" i="10"/>
  <c r="AG26" i="10" s="1"/>
  <c r="AE41" i="12"/>
  <c r="X41" i="12"/>
  <c r="AL41" i="12"/>
  <c r="Q41" i="12"/>
  <c r="S41" i="12" s="1"/>
  <c r="J41" i="12"/>
  <c r="F41" i="12"/>
  <c r="X43" i="10"/>
  <c r="F43" i="10"/>
  <c r="H43" i="10" s="1"/>
  <c r="AE43" i="10"/>
  <c r="J43" i="10"/>
  <c r="L43" i="10" s="1"/>
  <c r="AL43" i="10"/>
  <c r="AN43" i="10" s="1"/>
  <c r="Q43" i="10"/>
  <c r="S43" i="10" s="1"/>
  <c r="AB46" i="10"/>
  <c r="F17" i="13"/>
  <c r="H17" i="13" s="1"/>
  <c r="O17" i="13" s="1"/>
  <c r="AE17" i="13"/>
  <c r="AG17" i="13" s="1"/>
  <c r="J17" i="13"/>
  <c r="L17" i="13" s="1"/>
  <c r="X17" i="13"/>
  <c r="Z17" i="13" s="1"/>
  <c r="AL17" i="13"/>
  <c r="AN17" i="13" s="1"/>
  <c r="AP17" i="13" s="1"/>
  <c r="Q17" i="13"/>
  <c r="AE30" i="13"/>
  <c r="AB14" i="3"/>
  <c r="AL17" i="9"/>
  <c r="A430" i="2"/>
  <c r="Z37" i="3"/>
  <c r="AI42" i="3"/>
  <c r="D76" i="4"/>
  <c r="D74" i="7"/>
  <c r="AE43" i="12"/>
  <c r="AN17" i="9"/>
  <c r="AP17" i="9" s="1"/>
  <c r="F22" i="9"/>
  <c r="H22" i="9" s="1"/>
  <c r="O22" i="9" s="1"/>
  <c r="AL41" i="9"/>
  <c r="AI45" i="9"/>
  <c r="AB46" i="9"/>
  <c r="AC46" i="9" s="1"/>
  <c r="AC48" i="9"/>
  <c r="U48" i="9"/>
  <c r="AL32" i="10"/>
  <c r="AN32" i="10" s="1"/>
  <c r="Q36" i="10"/>
  <c r="S36" i="10" s="1"/>
  <c r="J32" i="11"/>
  <c r="L32" i="11" s="1"/>
  <c r="X32" i="11"/>
  <c r="Q32" i="11"/>
  <c r="AL32" i="11"/>
  <c r="AN32" i="11" s="1"/>
  <c r="AP32" i="11" s="1"/>
  <c r="F32" i="11"/>
  <c r="AE32" i="11"/>
  <c r="AG32" i="11" s="1"/>
  <c r="AC35" i="11"/>
  <c r="AL41" i="11"/>
  <c r="D352" i="7"/>
  <c r="D352" i="5"/>
  <c r="D368" i="4"/>
  <c r="F16" i="9"/>
  <c r="H16" i="9" s="1"/>
  <c r="O16" i="9" s="1"/>
  <c r="F34" i="9"/>
  <c r="H34" i="9" s="1"/>
  <c r="AB37" i="3"/>
  <c r="X16" i="10"/>
  <c r="Z16" i="10" s="1"/>
  <c r="AE39" i="9"/>
  <c r="Q36" i="9"/>
  <c r="S36" i="9" s="1"/>
  <c r="Q26" i="9"/>
  <c r="X22" i="9"/>
  <c r="X43" i="9"/>
  <c r="Z43" i="9" s="1"/>
  <c r="F43" i="9"/>
  <c r="H43" i="9" s="1"/>
  <c r="F41" i="9"/>
  <c r="J39" i="9"/>
  <c r="L39" i="9" s="1"/>
  <c r="J38" i="9"/>
  <c r="Q34" i="9"/>
  <c r="S34" i="9" s="1"/>
  <c r="AE28" i="9"/>
  <c r="AG28" i="9" s="1"/>
  <c r="AE19" i="9"/>
  <c r="S25" i="9"/>
  <c r="S26" i="9"/>
  <c r="S28" i="9"/>
  <c r="AN32" i="9"/>
  <c r="AB44" i="9"/>
  <c r="AL27" i="10"/>
  <c r="AN27" i="10" s="1"/>
  <c r="AL25" i="11"/>
  <c r="AN25" i="11" s="1"/>
  <c r="J28" i="11"/>
  <c r="L28" i="11" s="1"/>
  <c r="X30" i="11"/>
  <c r="W43" i="3"/>
  <c r="X43" i="3" s="1"/>
  <c r="Q19" i="9"/>
  <c r="S19" i="9" s="1"/>
  <c r="N21" i="9"/>
  <c r="O21" i="9" s="1"/>
  <c r="J28" i="9"/>
  <c r="AL22" i="9"/>
  <c r="J30" i="9"/>
  <c r="L30" i="9" s="1"/>
  <c r="AE23" i="10"/>
  <c r="AG23" i="10" s="1"/>
  <c r="D118" i="7"/>
  <c r="D118" i="5"/>
  <c r="A237" i="2"/>
  <c r="S27" i="3"/>
  <c r="W39" i="3"/>
  <c r="Z39" i="3" s="1"/>
  <c r="W49" i="3"/>
  <c r="Z49" i="3" s="1"/>
  <c r="D118" i="6"/>
  <c r="D352" i="6"/>
  <c r="X17" i="9"/>
  <c r="Z17" i="9" s="1"/>
  <c r="F17" i="9"/>
  <c r="H17" i="9" s="1"/>
  <c r="O17" i="9" s="1"/>
  <c r="AE17" i="9"/>
  <c r="AG17" i="9" s="1"/>
  <c r="J17" i="9"/>
  <c r="L17" i="9" s="1"/>
  <c r="AG19" i="9"/>
  <c r="AE31" i="9"/>
  <c r="AG31" i="9" s="1"/>
  <c r="AL33" i="9"/>
  <c r="Q33" i="9"/>
  <c r="S33" i="9" s="1"/>
  <c r="AE33" i="9"/>
  <c r="AG33" i="9" s="1"/>
  <c r="J33" i="9"/>
  <c r="X33" i="9"/>
  <c r="Z33" i="9" s="1"/>
  <c r="F33" i="9"/>
  <c r="AL38" i="9"/>
  <c r="AP47" i="9"/>
  <c r="N45" i="11"/>
  <c r="O45" i="11" s="1"/>
  <c r="AP44" i="13"/>
  <c r="AQ44" i="13" s="1"/>
  <c r="AI44" i="13"/>
  <c r="AN22" i="9"/>
  <c r="AL30" i="9"/>
  <c r="AN30" i="9" s="1"/>
  <c r="AE23" i="9"/>
  <c r="AG23" i="9" s="1"/>
  <c r="AL23" i="9"/>
  <c r="AN23" i="9" s="1"/>
  <c r="Q23" i="9"/>
  <c r="S23" i="9" s="1"/>
  <c r="J23" i="9"/>
  <c r="F23" i="9"/>
  <c r="H23" i="9" s="1"/>
  <c r="O23" i="9" s="1"/>
  <c r="A278" i="2"/>
  <c r="A90" i="2"/>
  <c r="A480" i="2"/>
  <c r="A141" i="2"/>
  <c r="D248" i="7"/>
  <c r="D248" i="5"/>
  <c r="D255" i="4"/>
  <c r="D329" i="4"/>
  <c r="D314" i="6"/>
  <c r="D346" i="2"/>
  <c r="X25" i="9"/>
  <c r="Z25" i="9" s="1"/>
  <c r="AE27" i="9"/>
  <c r="AG27" i="9" s="1"/>
  <c r="H33" i="9"/>
  <c r="O33" i="9" s="1"/>
  <c r="N47" i="9"/>
  <c r="O47" i="9" s="1"/>
  <c r="AE18" i="10"/>
  <c r="AG18" i="10" s="1"/>
  <c r="J18" i="10"/>
  <c r="L18" i="10" s="1"/>
  <c r="AL18" i="10"/>
  <c r="AN18" i="10" s="1"/>
  <c r="AP18" i="10" s="1"/>
  <c r="Q18" i="10"/>
  <c r="X18" i="10"/>
  <c r="Z18" i="10" s="1"/>
  <c r="AE20" i="10"/>
  <c r="Z43" i="10"/>
  <c r="N45" i="10"/>
  <c r="O45" i="10" s="1"/>
  <c r="V45" i="10"/>
  <c r="X27" i="11"/>
  <c r="Z27" i="11" s="1"/>
  <c r="F27" i="11"/>
  <c r="H27" i="11" s="1"/>
  <c r="O27" i="11" s="1"/>
  <c r="AL27" i="11"/>
  <c r="Q27" i="11"/>
  <c r="S27" i="11" s="1"/>
  <c r="J27" i="11"/>
  <c r="AE27" i="11"/>
  <c r="AG27" i="11" s="1"/>
  <c r="AN33" i="9"/>
  <c r="AL19" i="9"/>
  <c r="X23" i="9"/>
  <c r="Z23" i="9" s="1"/>
  <c r="AL43" i="9"/>
  <c r="AN43" i="9" s="1"/>
  <c r="O44" i="9"/>
  <c r="N44" i="9"/>
  <c r="AI44" i="9"/>
  <c r="AJ44" i="9" s="1"/>
  <c r="F18" i="10"/>
  <c r="AG43" i="10"/>
  <c r="X35" i="10"/>
  <c r="Z35" i="10" s="1"/>
  <c r="Z44" i="10"/>
  <c r="X16" i="9"/>
  <c r="Q17" i="9"/>
  <c r="S17" i="9" s="1"/>
  <c r="X21" i="9"/>
  <c r="AL32" i="9"/>
  <c r="AE41" i="9"/>
  <c r="AG41" i="9" s="1"/>
  <c r="AC45" i="10"/>
  <c r="AB45" i="10"/>
  <c r="X17" i="11"/>
  <c r="AE35" i="11"/>
  <c r="AG35" i="11" s="1"/>
  <c r="AG44" i="11"/>
  <c r="AE19" i="12"/>
  <c r="AG19" i="12" s="1"/>
  <c r="AL39" i="12"/>
  <c r="A551" i="2"/>
  <c r="T11" i="3"/>
  <c r="U11" i="3" s="1"/>
  <c r="L15" i="3"/>
  <c r="AB39" i="3"/>
  <c r="S47" i="3"/>
  <c r="W53" i="3"/>
  <c r="X53" i="3" s="1"/>
  <c r="X52" i="3"/>
  <c r="Z16" i="9"/>
  <c r="AL21" i="9"/>
  <c r="AN21" i="9" s="1"/>
  <c r="Z21" i="9"/>
  <c r="Z22" i="9"/>
  <c r="AC47" i="9"/>
  <c r="U47" i="9"/>
  <c r="V47" i="9" s="1"/>
  <c r="F17" i="10"/>
  <c r="H17" i="10" s="1"/>
  <c r="O17" i="10" s="1"/>
  <c r="Q17" i="10"/>
  <c r="S17" i="10" s="1"/>
  <c r="AL17" i="10"/>
  <c r="AN17" i="10" s="1"/>
  <c r="AE17" i="10"/>
  <c r="J17" i="10"/>
  <c r="L17" i="10" s="1"/>
  <c r="X17" i="10"/>
  <c r="Z17" i="10" s="1"/>
  <c r="AG36" i="10"/>
  <c r="U45" i="10"/>
  <c r="X24" i="11"/>
  <c r="F39" i="11"/>
  <c r="AN41" i="11"/>
  <c r="A192" i="2"/>
  <c r="S12" i="3"/>
  <c r="S42" i="3"/>
  <c r="U43" i="3"/>
  <c r="D314" i="5"/>
  <c r="Q18" i="9"/>
  <c r="S18" i="9" s="1"/>
  <c r="AE21" i="9"/>
  <c r="AG21" i="9" s="1"/>
  <c r="AL24" i="9"/>
  <c r="AN25" i="9"/>
  <c r="X28" i="9"/>
  <c r="Z28" i="9" s="1"/>
  <c r="J32" i="9"/>
  <c r="S18" i="10"/>
  <c r="J23" i="10"/>
  <c r="AE24" i="10"/>
  <c r="AL30" i="10"/>
  <c r="AN30" i="10" s="1"/>
  <c r="AL36" i="10"/>
  <c r="X42" i="10"/>
  <c r="Z42" i="10" s="1"/>
  <c r="V46" i="10"/>
  <c r="V21" i="11"/>
  <c r="AE21" i="12"/>
  <c r="AG21" i="12" s="1"/>
  <c r="AL21" i="12"/>
  <c r="AN21" i="12" s="1"/>
  <c r="AP21" i="12" s="1"/>
  <c r="X21" i="12"/>
  <c r="Z21" i="12" s="1"/>
  <c r="AE21" i="15"/>
  <c r="I13" i="3"/>
  <c r="A355" i="2"/>
  <c r="J20" i="9"/>
  <c r="L20" i="9" s="1"/>
  <c r="L32" i="9"/>
  <c r="F38" i="9"/>
  <c r="H38" i="9" s="1"/>
  <c r="AG39" i="9"/>
  <c r="F42" i="9"/>
  <c r="H42" i="9" s="1"/>
  <c r="AN41" i="9"/>
  <c r="AJ45" i="9"/>
  <c r="AB45" i="9"/>
  <c r="AC45" i="9" s="1"/>
  <c r="V48" i="10"/>
  <c r="O21" i="10"/>
  <c r="N21" i="10"/>
  <c r="AL28" i="10"/>
  <c r="AN28" i="10" s="1"/>
  <c r="AL33" i="10"/>
  <c r="AC46" i="10"/>
  <c r="U46" i="10"/>
  <c r="X20" i="13"/>
  <c r="J31" i="9"/>
  <c r="L31" i="9" s="1"/>
  <c r="X31" i="9"/>
  <c r="AI47" i="9"/>
  <c r="AJ47" i="9" s="1"/>
  <c r="X22" i="10"/>
  <c r="Z22" i="10" s="1"/>
  <c r="F24" i="10"/>
  <c r="H24" i="10" s="1"/>
  <c r="O24" i="10" s="1"/>
  <c r="Q24" i="10"/>
  <c r="S24" i="10" s="1"/>
  <c r="J25" i="10"/>
  <c r="L25" i="10" s="1"/>
  <c r="X25" i="10"/>
  <c r="AL26" i="10"/>
  <c r="AN26" i="10" s="1"/>
  <c r="AP26" i="10" s="1"/>
  <c r="F27" i="10"/>
  <c r="H27" i="10" s="1"/>
  <c r="O27" i="10" s="1"/>
  <c r="F30" i="10"/>
  <c r="H30" i="10" s="1"/>
  <c r="F31" i="10"/>
  <c r="J36" i="10"/>
  <c r="L36" i="10" s="1"/>
  <c r="Q42" i="10"/>
  <c r="S42" i="10" s="1"/>
  <c r="AQ45" i="10"/>
  <c r="F15" i="11"/>
  <c r="J16" i="11"/>
  <c r="L16" i="11" s="1"/>
  <c r="AL22" i="11"/>
  <c r="AL24" i="11"/>
  <c r="AN24" i="11" s="1"/>
  <c r="X25" i="11"/>
  <c r="AE31" i="11"/>
  <c r="AG31" i="11" s="1"/>
  <c r="AL31" i="11"/>
  <c r="J31" i="11"/>
  <c r="J33" i="11"/>
  <c r="L33" i="11" s="1"/>
  <c r="H36" i="11"/>
  <c r="AE36" i="11"/>
  <c r="AG36" i="11" s="1"/>
  <c r="J41" i="11"/>
  <c r="J26" i="12"/>
  <c r="F27" i="12"/>
  <c r="H27" i="12" s="1"/>
  <c r="O27" i="12" s="1"/>
  <c r="Q28" i="12"/>
  <c r="S28" i="12" s="1"/>
  <c r="J28" i="12"/>
  <c r="L28" i="12" s="1"/>
  <c r="AL28" i="12"/>
  <c r="AN28" i="12" s="1"/>
  <c r="AP28" i="12" s="1"/>
  <c r="AE28" i="12"/>
  <c r="F28" i="12"/>
  <c r="X28" i="12"/>
  <c r="X30" i="12"/>
  <c r="F15" i="13"/>
  <c r="AL18" i="13"/>
  <c r="X21" i="13"/>
  <c r="AE43" i="13"/>
  <c r="N45" i="13"/>
  <c r="U21" i="16"/>
  <c r="AC21" i="16"/>
  <c r="AN24" i="9"/>
  <c r="L28" i="9"/>
  <c r="F31" i="9"/>
  <c r="H31" i="9" s="1"/>
  <c r="O31" i="9" s="1"/>
  <c r="Z31" i="9"/>
  <c r="F32" i="9"/>
  <c r="H32" i="9" s="1"/>
  <c r="X32" i="9"/>
  <c r="Z32" i="9" s="1"/>
  <c r="H41" i="9"/>
  <c r="X19" i="10"/>
  <c r="Z19" i="10" s="1"/>
  <c r="Q20" i="10"/>
  <c r="S20" i="10" s="1"/>
  <c r="X20" i="10"/>
  <c r="Z20" i="10" s="1"/>
  <c r="AL21" i="10"/>
  <c r="AN21" i="10" s="1"/>
  <c r="X21" i="10"/>
  <c r="AE22" i="10"/>
  <c r="AG22" i="10" s="1"/>
  <c r="X23" i="10"/>
  <c r="Z23" i="10" s="1"/>
  <c r="F25" i="10"/>
  <c r="H25" i="10" s="1"/>
  <c r="O25" i="10" s="1"/>
  <c r="Z25" i="10"/>
  <c r="F26" i="10"/>
  <c r="H26" i="10" s="1"/>
  <c r="O26" i="10" s="1"/>
  <c r="H31" i="10"/>
  <c r="O31" i="10" s="1"/>
  <c r="J33" i="10"/>
  <c r="L33" i="10" s="1"/>
  <c r="AE33" i="10"/>
  <c r="AG33" i="10" s="1"/>
  <c r="AE36" i="10"/>
  <c r="AI45" i="10"/>
  <c r="AJ45" i="10" s="1"/>
  <c r="N46" i="10"/>
  <c r="O46" i="10" s="1"/>
  <c r="J59" i="10"/>
  <c r="H15" i="11"/>
  <c r="AE15" i="11"/>
  <c r="AG15" i="11" s="1"/>
  <c r="AP15" i="11" s="1"/>
  <c r="AE16" i="11"/>
  <c r="AG16" i="11" s="1"/>
  <c r="AL17" i="11"/>
  <c r="AN17" i="11" s="1"/>
  <c r="AP17" i="11" s="1"/>
  <c r="H21" i="11"/>
  <c r="Q22" i="11"/>
  <c r="S22" i="11" s="1"/>
  <c r="AN22" i="11"/>
  <c r="Z25" i="11"/>
  <c r="J26" i="11"/>
  <c r="F28" i="11"/>
  <c r="H28" i="11" s="1"/>
  <c r="O28" i="11" s="1"/>
  <c r="Q28" i="11"/>
  <c r="S28" i="11" s="1"/>
  <c r="X28" i="11"/>
  <c r="Z28" i="11" s="1"/>
  <c r="F31" i="11"/>
  <c r="H31" i="11" s="1"/>
  <c r="O31" i="11" s="1"/>
  <c r="Z32" i="11"/>
  <c r="X34" i="11"/>
  <c r="Z34" i="11" s="1"/>
  <c r="U35" i="11"/>
  <c r="J36" i="11"/>
  <c r="L36" i="11" s="1"/>
  <c r="L41" i="11"/>
  <c r="X16" i="12"/>
  <c r="Z16" i="12" s="1"/>
  <c r="X17" i="12"/>
  <c r="J19" i="12"/>
  <c r="F20" i="12"/>
  <c r="Q20" i="12"/>
  <c r="S20" i="12" s="1"/>
  <c r="AL20" i="12"/>
  <c r="AN20" i="12" s="1"/>
  <c r="J20" i="12"/>
  <c r="L26" i="12"/>
  <c r="H28" i="12"/>
  <c r="O28" i="12" s="1"/>
  <c r="Z30" i="12"/>
  <c r="AJ35" i="12"/>
  <c r="AB35" i="12"/>
  <c r="AC35" i="12" s="1"/>
  <c r="H15" i="13"/>
  <c r="Q23" i="13"/>
  <c r="J39" i="13"/>
  <c r="J42" i="13"/>
  <c r="AL42" i="13"/>
  <c r="AN42" i="13" s="1"/>
  <c r="AE42" i="13"/>
  <c r="Q42" i="13"/>
  <c r="F42" i="13"/>
  <c r="H42" i="13" s="1"/>
  <c r="X42" i="13"/>
  <c r="Z42" i="13" s="1"/>
  <c r="AJ44" i="13"/>
  <c r="J26" i="15"/>
  <c r="L26" i="15" s="1"/>
  <c r="F19" i="10"/>
  <c r="H19" i="10" s="1"/>
  <c r="O19" i="10" s="1"/>
  <c r="F20" i="10"/>
  <c r="H20" i="10" s="1"/>
  <c r="O20" i="10" s="1"/>
  <c r="Z21" i="10"/>
  <c r="F22" i="10"/>
  <c r="H22" i="10" s="1"/>
  <c r="O22" i="10" s="1"/>
  <c r="F23" i="10"/>
  <c r="H23" i="10" s="1"/>
  <c r="O23" i="10" s="1"/>
  <c r="J28" i="10"/>
  <c r="L28" i="10" s="1"/>
  <c r="AE28" i="10"/>
  <c r="AG28" i="10" s="1"/>
  <c r="AE30" i="10"/>
  <c r="AG30" i="10" s="1"/>
  <c r="J31" i="10"/>
  <c r="L31" i="10" s="1"/>
  <c r="J32" i="10"/>
  <c r="J34" i="10"/>
  <c r="AE34" i="10"/>
  <c r="AG34" i="10" s="1"/>
  <c r="Q41" i="10"/>
  <c r="AI46" i="10"/>
  <c r="AJ46" i="10" s="1"/>
  <c r="Q18" i="11"/>
  <c r="X20" i="11"/>
  <c r="Z20" i="11" s="1"/>
  <c r="X23" i="11"/>
  <c r="Z23" i="11" s="1"/>
  <c r="Q23" i="11"/>
  <c r="S23" i="11" s="1"/>
  <c r="AE28" i="11"/>
  <c r="Q30" i="11"/>
  <c r="AL38" i="11"/>
  <c r="AE38" i="11"/>
  <c r="J38" i="11"/>
  <c r="F38" i="11"/>
  <c r="H38" i="11" s="1"/>
  <c r="AL39" i="11"/>
  <c r="AN39" i="11" s="1"/>
  <c r="U46" i="11"/>
  <c r="AL16" i="12"/>
  <c r="AN16" i="12" s="1"/>
  <c r="Z17" i="12"/>
  <c r="L19" i="12"/>
  <c r="H20" i="12"/>
  <c r="O20" i="12" s="1"/>
  <c r="AE24" i="12"/>
  <c r="AG24" i="12" s="1"/>
  <c r="Q26" i="12"/>
  <c r="AL36" i="12"/>
  <c r="AN36" i="12" s="1"/>
  <c r="F22" i="13"/>
  <c r="H22" i="13" s="1"/>
  <c r="O22" i="13" s="1"/>
  <c r="S23" i="13"/>
  <c r="X25" i="13"/>
  <c r="Z25" i="13" s="1"/>
  <c r="O46" i="13"/>
  <c r="AQ46" i="13"/>
  <c r="AP46" i="13"/>
  <c r="AI46" i="13"/>
  <c r="J41" i="41"/>
  <c r="J36" i="41"/>
  <c r="AE35" i="41"/>
  <c r="F35" i="41"/>
  <c r="X32" i="41"/>
  <c r="Q27" i="41"/>
  <c r="AE27" i="41"/>
  <c r="F38" i="41"/>
  <c r="H38" i="41" s="1"/>
  <c r="O38" i="41" s="1"/>
  <c r="F34" i="41"/>
  <c r="J32" i="41"/>
  <c r="Q31" i="41"/>
  <c r="S31" i="41" s="1"/>
  <c r="J27" i="41"/>
  <c r="AE38" i="41"/>
  <c r="AG38" i="41" s="1"/>
  <c r="X36" i="41"/>
  <c r="F31" i="41"/>
  <c r="H31" i="41" s="1"/>
  <c r="O31" i="41" s="1"/>
  <c r="X24" i="41"/>
  <c r="Z24" i="41" s="1"/>
  <c r="Q36" i="41"/>
  <c r="AE34" i="41"/>
  <c r="AG34" i="41" s="1"/>
  <c r="AE26" i="41"/>
  <c r="AE19" i="41"/>
  <c r="AG19" i="41" s="1"/>
  <c r="AE41" i="41"/>
  <c r="AG41" i="41" s="1"/>
  <c r="F26" i="41"/>
  <c r="H26" i="41" s="1"/>
  <c r="O26" i="41" s="1"/>
  <c r="AL23" i="41"/>
  <c r="X22" i="41"/>
  <c r="Z22" i="41" s="1"/>
  <c r="X21" i="41"/>
  <c r="AL15" i="41"/>
  <c r="X41" i="41"/>
  <c r="J35" i="41"/>
  <c r="Q41" i="41"/>
  <c r="Q38" i="41"/>
  <c r="S38" i="41" s="1"/>
  <c r="F32" i="41"/>
  <c r="H32" i="41" s="1"/>
  <c r="Q25" i="41"/>
  <c r="S25" i="41" s="1"/>
  <c r="Q23" i="41"/>
  <c r="S23" i="41" s="1"/>
  <c r="X19" i="41"/>
  <c r="F19" i="41"/>
  <c r="H19" i="41" s="1"/>
  <c r="Q15" i="41"/>
  <c r="S15" i="41" s="1"/>
  <c r="Q34" i="41"/>
  <c r="F27" i="41"/>
  <c r="J38" i="41"/>
  <c r="L38" i="41" s="1"/>
  <c r="AL35" i="41"/>
  <c r="AN35" i="41" s="1"/>
  <c r="J24" i="41"/>
  <c r="L24" i="41" s="1"/>
  <c r="AE23" i="41"/>
  <c r="AG23" i="41" s="1"/>
  <c r="J34" i="41"/>
  <c r="L34" i="41" s="1"/>
  <c r="X33" i="41"/>
  <c r="Z33" i="41" s="1"/>
  <c r="AE32" i="41"/>
  <c r="AG32" i="41" s="1"/>
  <c r="J31" i="41"/>
  <c r="L31" i="41" s="1"/>
  <c r="J23" i="41"/>
  <c r="L23" i="41" s="1"/>
  <c r="AL19" i="41"/>
  <c r="AN19" i="41" s="1"/>
  <c r="AP19" i="41" s="1"/>
  <c r="J15" i="41"/>
  <c r="L15" i="41" s="1"/>
  <c r="AE31" i="41"/>
  <c r="Q28" i="41"/>
  <c r="Q22" i="41"/>
  <c r="S22" i="41" s="1"/>
  <c r="AE38" i="40"/>
  <c r="AG38" i="40" s="1"/>
  <c r="X31" i="40"/>
  <c r="J28" i="40"/>
  <c r="F16" i="41"/>
  <c r="J46" i="40"/>
  <c r="J37" i="40" s="1"/>
  <c r="J22" i="41"/>
  <c r="AE46" i="40"/>
  <c r="J38" i="40"/>
  <c r="L38" i="40" s="1"/>
  <c r="X28" i="40"/>
  <c r="Z28" i="40" s="1"/>
  <c r="AL32" i="41"/>
  <c r="AN32" i="41" s="1"/>
  <c r="Q40" i="40"/>
  <c r="S40" i="40" s="1"/>
  <c r="F46" i="40"/>
  <c r="F37" i="40" s="1"/>
  <c r="AL28" i="40"/>
  <c r="AN28" i="40" s="1"/>
  <c r="AP28" i="40" s="1"/>
  <c r="J27" i="40"/>
  <c r="F40" i="41"/>
  <c r="F24" i="41"/>
  <c r="AE41" i="40"/>
  <c r="AG41" i="40" s="1"/>
  <c r="J41" i="40"/>
  <c r="X38" i="40"/>
  <c r="Z38" i="40" s="1"/>
  <c r="F38" i="40"/>
  <c r="H38" i="40" s="1"/>
  <c r="O38" i="40" s="1"/>
  <c r="AL28" i="41"/>
  <c r="AN28" i="41" s="1"/>
  <c r="AE21" i="41"/>
  <c r="J40" i="40"/>
  <c r="L40" i="40" s="1"/>
  <c r="J35" i="40"/>
  <c r="L35" i="40" s="1"/>
  <c r="X16" i="41"/>
  <c r="Z16" i="41" s="1"/>
  <c r="X18" i="41"/>
  <c r="Z18" i="41" s="1"/>
  <c r="Q46" i="40"/>
  <c r="Q38" i="40"/>
  <c r="AE24" i="41"/>
  <c r="Q19" i="41"/>
  <c r="S19" i="41" s="1"/>
  <c r="X40" i="40"/>
  <c r="F40" i="40"/>
  <c r="AL36" i="40"/>
  <c r="X35" i="40"/>
  <c r="AE31" i="40"/>
  <c r="AG31" i="40" s="1"/>
  <c r="Q26" i="40"/>
  <c r="S26" i="40" s="1"/>
  <c r="AL27" i="40"/>
  <c r="AN27" i="40" s="1"/>
  <c r="AP27" i="40" s="1"/>
  <c r="F19" i="40"/>
  <c r="H19" i="40" s="1"/>
  <c r="F31" i="40"/>
  <c r="H31" i="40" s="1"/>
  <c r="O31" i="40" s="1"/>
  <c r="Q28" i="40"/>
  <c r="Q27" i="40"/>
  <c r="S27" i="40" s="1"/>
  <c r="AE16" i="40"/>
  <c r="F25" i="41"/>
  <c r="H25" i="41" s="1"/>
  <c r="O25" i="41" s="1"/>
  <c r="AE26" i="40"/>
  <c r="AG26" i="40" s="1"/>
  <c r="J16" i="40"/>
  <c r="L16" i="40" s="1"/>
  <c r="J26" i="40"/>
  <c r="F35" i="40"/>
  <c r="H35" i="40" s="1"/>
  <c r="O35" i="40" s="1"/>
  <c r="AE36" i="41"/>
  <c r="AG36" i="41" s="1"/>
  <c r="X27" i="41"/>
  <c r="AE35" i="40"/>
  <c r="F33" i="40"/>
  <c r="H33" i="40" s="1"/>
  <c r="X26" i="40"/>
  <c r="AL38" i="40"/>
  <c r="F28" i="40"/>
  <c r="H28" i="40" s="1"/>
  <c r="O28" i="40" s="1"/>
  <c r="X27" i="40"/>
  <c r="F24" i="40"/>
  <c r="AE40" i="40"/>
  <c r="Q36" i="40"/>
  <c r="S36" i="40" s="1"/>
  <c r="J34" i="40"/>
  <c r="L34" i="40" s="1"/>
  <c r="J30" i="40"/>
  <c r="L30" i="40" s="1"/>
  <c r="J31" i="40"/>
  <c r="L31" i="40" s="1"/>
  <c r="J26" i="41"/>
  <c r="L26" i="41" s="1"/>
  <c r="X45" i="40"/>
  <c r="J35" i="39"/>
  <c r="AE34" i="39"/>
  <c r="AG34" i="39" s="1"/>
  <c r="J28" i="39"/>
  <c r="J25" i="39"/>
  <c r="L25" i="39" s="1"/>
  <c r="X22" i="39"/>
  <c r="Z22" i="39" s="1"/>
  <c r="F22" i="39"/>
  <c r="H22" i="39" s="1"/>
  <c r="O22" i="39" s="1"/>
  <c r="Q31" i="40"/>
  <c r="S31" i="40" s="1"/>
  <c r="J24" i="40"/>
  <c r="AE45" i="39"/>
  <c r="AG45" i="39" s="1"/>
  <c r="X40" i="39"/>
  <c r="Z40" i="39" s="1"/>
  <c r="Q38" i="39"/>
  <c r="S38" i="39" s="1"/>
  <c r="J34" i="39"/>
  <c r="L34" i="39" s="1"/>
  <c r="J25" i="40"/>
  <c r="L25" i="40" s="1"/>
  <c r="J23" i="40"/>
  <c r="L23" i="40" s="1"/>
  <c r="AE18" i="40"/>
  <c r="AE27" i="40"/>
  <c r="AG27" i="40" s="1"/>
  <c r="X45" i="39"/>
  <c r="Z45" i="39" s="1"/>
  <c r="F35" i="39"/>
  <c r="H35" i="39" s="1"/>
  <c r="F32" i="39"/>
  <c r="H32" i="39" s="1"/>
  <c r="X28" i="39"/>
  <c r="Z28" i="39" s="1"/>
  <c r="F28" i="39"/>
  <c r="H28" i="39" s="1"/>
  <c r="O28" i="39" s="1"/>
  <c r="X21" i="39"/>
  <c r="Z21" i="39" s="1"/>
  <c r="X46" i="40"/>
  <c r="X37" i="40" s="1"/>
  <c r="Q40" i="39"/>
  <c r="J38" i="39"/>
  <c r="F34" i="39"/>
  <c r="AL45" i="41"/>
  <c r="AN45" i="41" s="1"/>
  <c r="F26" i="40"/>
  <c r="AE20" i="40"/>
  <c r="AG20" i="40" s="1"/>
  <c r="J19" i="40"/>
  <c r="L19" i="40" s="1"/>
  <c r="Q16" i="40"/>
  <c r="S16" i="40" s="1"/>
  <c r="AL38" i="39"/>
  <c r="AN38" i="39" s="1"/>
  <c r="X34" i="39"/>
  <c r="Z34" i="39" s="1"/>
  <c r="AL18" i="41"/>
  <c r="AE28" i="40"/>
  <c r="AG28" i="40" s="1"/>
  <c r="AE24" i="40"/>
  <c r="AG24" i="40" s="1"/>
  <c r="AE23" i="40"/>
  <c r="Q45" i="39"/>
  <c r="S45" i="39" s="1"/>
  <c r="F38" i="39"/>
  <c r="F43" i="39"/>
  <c r="AE40" i="39"/>
  <c r="AG40" i="39" s="1"/>
  <c r="AE38" i="39"/>
  <c r="AG38" i="39" s="1"/>
  <c r="Q34" i="40"/>
  <c r="F27" i="40"/>
  <c r="J40" i="39"/>
  <c r="AL32" i="39"/>
  <c r="Q32" i="39"/>
  <c r="AL30" i="40"/>
  <c r="AE21" i="40"/>
  <c r="AG21" i="40" s="1"/>
  <c r="F31" i="39"/>
  <c r="H31" i="39" s="1"/>
  <c r="O31" i="39" s="1"/>
  <c r="AE16" i="39"/>
  <c r="AG16" i="39" s="1"/>
  <c r="J16" i="39"/>
  <c r="L16" i="39" s="1"/>
  <c r="J38" i="38"/>
  <c r="L38" i="38" s="1"/>
  <c r="J30" i="39"/>
  <c r="X26" i="39"/>
  <c r="Z26" i="39" s="1"/>
  <c r="J22" i="39"/>
  <c r="AL20" i="39"/>
  <c r="AN20" i="39" s="1"/>
  <c r="AP20" i="39" s="1"/>
  <c r="X31" i="38"/>
  <c r="Z31" i="38" s="1"/>
  <c r="X26" i="38"/>
  <c r="Z26" i="38" s="1"/>
  <c r="Q18" i="40"/>
  <c r="F16" i="40"/>
  <c r="H16" i="40" s="1"/>
  <c r="O16" i="40" s="1"/>
  <c r="AL45" i="39"/>
  <c r="AN45" i="39" s="1"/>
  <c r="AP45" i="39" s="1"/>
  <c r="AE25" i="39"/>
  <c r="AG25" i="39" s="1"/>
  <c r="J18" i="39"/>
  <c r="AE43" i="38"/>
  <c r="AE43" i="39"/>
  <c r="AE28" i="39"/>
  <c r="AG28" i="39" s="1"/>
  <c r="AE18" i="39"/>
  <c r="AG18" i="39" s="1"/>
  <c r="Q30" i="40"/>
  <c r="J18" i="40"/>
  <c r="L18" i="40" s="1"/>
  <c r="X43" i="39"/>
  <c r="X35" i="39"/>
  <c r="Z35" i="39" s="1"/>
  <c r="AJ35" i="39" s="1"/>
  <c r="Q34" i="39"/>
  <c r="AL30" i="39"/>
  <c r="F22" i="40"/>
  <c r="Q31" i="39"/>
  <c r="S31" i="39" s="1"/>
  <c r="X27" i="39"/>
  <c r="Z27" i="39" s="1"/>
  <c r="F26" i="39"/>
  <c r="J34" i="38"/>
  <c r="L34" i="38" s="1"/>
  <c r="J23" i="39"/>
  <c r="Q18" i="39"/>
  <c r="S18" i="39" s="1"/>
  <c r="AL16" i="39"/>
  <c r="AN16" i="39" s="1"/>
  <c r="AP16" i="39" s="1"/>
  <c r="AE38" i="38"/>
  <c r="AG38" i="38" s="1"/>
  <c r="AL19" i="40"/>
  <c r="Q46" i="39"/>
  <c r="Q37" i="39" s="1"/>
  <c r="S37" i="39" s="1"/>
  <c r="AE21" i="39"/>
  <c r="F43" i="40"/>
  <c r="Q20" i="39"/>
  <c r="J43" i="39"/>
  <c r="J26" i="39"/>
  <c r="AL44" i="38"/>
  <c r="AN44" i="38" s="1"/>
  <c r="X32" i="38"/>
  <c r="Z32" i="38" s="1"/>
  <c r="Q31" i="38"/>
  <c r="X23" i="39"/>
  <c r="Z23" i="39" s="1"/>
  <c r="F46" i="38"/>
  <c r="Q41" i="38"/>
  <c r="AL36" i="38"/>
  <c r="AE28" i="38"/>
  <c r="Q26" i="38"/>
  <c r="S26" i="38" s="1"/>
  <c r="AE20" i="38"/>
  <c r="J20" i="38"/>
  <c r="F31" i="37"/>
  <c r="H31" i="37" s="1"/>
  <c r="O31" i="37" s="1"/>
  <c r="Q33" i="39"/>
  <c r="S33" i="39" s="1"/>
  <c r="X43" i="38"/>
  <c r="X21" i="38"/>
  <c r="Z21" i="38" s="1"/>
  <c r="F43" i="37"/>
  <c r="F33" i="37"/>
  <c r="H33" i="37" s="1"/>
  <c r="O33" i="37" s="1"/>
  <c r="J45" i="39"/>
  <c r="L45" i="39" s="1"/>
  <c r="Q15" i="39"/>
  <c r="AL45" i="38"/>
  <c r="AN45" i="38" s="1"/>
  <c r="J41" i="38"/>
  <c r="F23" i="37"/>
  <c r="X41" i="39"/>
  <c r="Q28" i="39"/>
  <c r="Q16" i="39"/>
  <c r="S16" i="39" s="1"/>
  <c r="Q43" i="38"/>
  <c r="X38" i="38"/>
  <c r="AE34" i="38"/>
  <c r="AG34" i="38" s="1"/>
  <c r="F34" i="38"/>
  <c r="H34" i="38" s="1"/>
  <c r="O34" i="38" s="1"/>
  <c r="AE31" i="38"/>
  <c r="AG31" i="38" s="1"/>
  <c r="J31" i="38"/>
  <c r="L31" i="38" s="1"/>
  <c r="Q31" i="37"/>
  <c r="S31" i="37" s="1"/>
  <c r="Q26" i="37"/>
  <c r="S26" i="37" s="1"/>
  <c r="F15" i="39"/>
  <c r="F43" i="38"/>
  <c r="Q38" i="38"/>
  <c r="S38" i="38" s="1"/>
  <c r="AL35" i="38"/>
  <c r="AN35" i="38" s="1"/>
  <c r="AL28" i="38"/>
  <c r="F26" i="38"/>
  <c r="J23" i="38"/>
  <c r="L23" i="38" s="1"/>
  <c r="AL20" i="38"/>
  <c r="AN20" i="38" s="1"/>
  <c r="AE15" i="38"/>
  <c r="X38" i="39"/>
  <c r="AE22" i="39"/>
  <c r="J19" i="39"/>
  <c r="L19" i="39" s="1"/>
  <c r="X34" i="38"/>
  <c r="AL33" i="38"/>
  <c r="X24" i="38"/>
  <c r="Z24" i="38" s="1"/>
  <c r="F24" i="38"/>
  <c r="H24" i="38" s="1"/>
  <c r="O24" i="38" s="1"/>
  <c r="J22" i="38"/>
  <c r="L22" i="38" s="1"/>
  <c r="Q20" i="38"/>
  <c r="S20" i="38" s="1"/>
  <c r="X17" i="38"/>
  <c r="Z17" i="38" s="1"/>
  <c r="F17" i="38"/>
  <c r="H17" i="38" s="1"/>
  <c r="O17" i="38" s="1"/>
  <c r="X32" i="39"/>
  <c r="Q46" i="38"/>
  <c r="Q37" i="38" s="1"/>
  <c r="AL40" i="38"/>
  <c r="AN40" i="38" s="1"/>
  <c r="F40" i="38"/>
  <c r="Q36" i="38"/>
  <c r="F35" i="38"/>
  <c r="H35" i="38" s="1"/>
  <c r="O35" i="38" s="1"/>
  <c r="F32" i="38"/>
  <c r="F23" i="38"/>
  <c r="AE21" i="38"/>
  <c r="F16" i="38"/>
  <c r="AL15" i="39"/>
  <c r="AN15" i="39" s="1"/>
  <c r="AL43" i="38"/>
  <c r="X41" i="37"/>
  <c r="AL40" i="37"/>
  <c r="AE33" i="37"/>
  <c r="F28" i="37"/>
  <c r="H28" i="37" s="1"/>
  <c r="O28" i="37" s="1"/>
  <c r="X26" i="37"/>
  <c r="F24" i="37"/>
  <c r="F22" i="37"/>
  <c r="F36" i="37"/>
  <c r="H36" i="37" s="1"/>
  <c r="Q45" i="36"/>
  <c r="Q22" i="38"/>
  <c r="J43" i="37"/>
  <c r="J31" i="37"/>
  <c r="L31" i="37" s="1"/>
  <c r="X23" i="37"/>
  <c r="Z23" i="37" s="1"/>
  <c r="AE26" i="38"/>
  <c r="AE16" i="38"/>
  <c r="AE31" i="37"/>
  <c r="AG31" i="37" s="1"/>
  <c r="AE43" i="36"/>
  <c r="J43" i="36"/>
  <c r="F40" i="36"/>
  <c r="H40" i="36" s="1"/>
  <c r="F38" i="36"/>
  <c r="H38" i="36" s="1"/>
  <c r="O38" i="36" s="1"/>
  <c r="Q36" i="36"/>
  <c r="S36" i="36" s="1"/>
  <c r="F31" i="38"/>
  <c r="J24" i="38"/>
  <c r="L24" i="38" s="1"/>
  <c r="AE43" i="37"/>
  <c r="Q38" i="37"/>
  <c r="X36" i="37"/>
  <c r="Z36" i="37" s="1"/>
  <c r="Q28" i="37"/>
  <c r="S28" i="37" s="1"/>
  <c r="F41" i="36"/>
  <c r="H41" i="36" s="1"/>
  <c r="F31" i="36"/>
  <c r="H31" i="36" s="1"/>
  <c r="O31" i="36" s="1"/>
  <c r="F26" i="36"/>
  <c r="H26" i="36" s="1"/>
  <c r="O26" i="36" s="1"/>
  <c r="Q22" i="36"/>
  <c r="J32" i="38"/>
  <c r="AL27" i="38"/>
  <c r="AL24" i="37"/>
  <c r="AN24" i="37" s="1"/>
  <c r="Q23" i="37"/>
  <c r="S23" i="37" s="1"/>
  <c r="AL22" i="37"/>
  <c r="AN22" i="37" s="1"/>
  <c r="AP22" i="37" s="1"/>
  <c r="Q40" i="38"/>
  <c r="J26" i="38"/>
  <c r="X31" i="37"/>
  <c r="J26" i="37"/>
  <c r="L26" i="37" s="1"/>
  <c r="AE25" i="37"/>
  <c r="AL21" i="39"/>
  <c r="AN21" i="39" s="1"/>
  <c r="F19" i="38"/>
  <c r="J15" i="38"/>
  <c r="L15" i="38" s="1"/>
  <c r="Q43" i="37"/>
  <c r="F41" i="37"/>
  <c r="H41" i="37" s="1"/>
  <c r="J38" i="37"/>
  <c r="L38" i="37" s="1"/>
  <c r="X30" i="38"/>
  <c r="AE23" i="38"/>
  <c r="Q45" i="37"/>
  <c r="AE38" i="37"/>
  <c r="J36" i="37"/>
  <c r="F25" i="37"/>
  <c r="H25" i="37" s="1"/>
  <c r="O25" i="37" s="1"/>
  <c r="AE45" i="36"/>
  <c r="AG45" i="36" s="1"/>
  <c r="AE38" i="36"/>
  <c r="AG38" i="36" s="1"/>
  <c r="Q34" i="36"/>
  <c r="AE16" i="36"/>
  <c r="AG16" i="36" s="1"/>
  <c r="F15" i="38"/>
  <c r="H15" i="38" s="1"/>
  <c r="AL45" i="37"/>
  <c r="AN45" i="37" s="1"/>
  <c r="AP45" i="37" s="1"/>
  <c r="Q30" i="37"/>
  <c r="J24" i="37"/>
  <c r="L24" i="37" s="1"/>
  <c r="AE21" i="37"/>
  <c r="AG21" i="37" s="1"/>
  <c r="F17" i="37"/>
  <c r="H17" i="37" s="1"/>
  <c r="O17" i="37" s="1"/>
  <c r="F43" i="36"/>
  <c r="AE31" i="36"/>
  <c r="AG31" i="36" s="1"/>
  <c r="Q46" i="35"/>
  <c r="S46" i="35" s="1"/>
  <c r="Q25" i="39"/>
  <c r="AE28" i="37"/>
  <c r="AG28" i="37" s="1"/>
  <c r="Q22" i="37"/>
  <c r="S22" i="37" s="1"/>
  <c r="AL41" i="36"/>
  <c r="AN41" i="36" s="1"/>
  <c r="Q40" i="36"/>
  <c r="J33" i="36"/>
  <c r="X26" i="36"/>
  <c r="Q19" i="36"/>
  <c r="J15" i="36"/>
  <c r="L15" i="36" s="1"/>
  <c r="AE41" i="37"/>
  <c r="AG41" i="37" s="1"/>
  <c r="AE26" i="37"/>
  <c r="J23" i="37"/>
  <c r="J36" i="36"/>
  <c r="X35" i="36"/>
  <c r="Q40" i="37"/>
  <c r="S40" i="37" s="1"/>
  <c r="X32" i="37"/>
  <c r="F20" i="37"/>
  <c r="H20" i="37" s="1"/>
  <c r="O20" i="37" s="1"/>
  <c r="AE46" i="35"/>
  <c r="AL32" i="38"/>
  <c r="J17" i="38"/>
  <c r="Q33" i="37"/>
  <c r="J22" i="37"/>
  <c r="L22" i="37" s="1"/>
  <c r="J19" i="37"/>
  <c r="L19" i="37" s="1"/>
  <c r="J34" i="36"/>
  <c r="L34" i="36" s="1"/>
  <c r="X31" i="36"/>
  <c r="Q26" i="36"/>
  <c r="S26" i="36" s="1"/>
  <c r="AL25" i="36"/>
  <c r="AN25" i="36" s="1"/>
  <c r="J46" i="35"/>
  <c r="AL40" i="35"/>
  <c r="AN40" i="35" s="1"/>
  <c r="AP40" i="35" s="1"/>
  <c r="AE36" i="37"/>
  <c r="J33" i="37"/>
  <c r="L33" i="37" s="1"/>
  <c r="AE23" i="37"/>
  <c r="AG23" i="37" s="1"/>
  <c r="F19" i="37"/>
  <c r="J45" i="36"/>
  <c r="L45" i="36" s="1"/>
  <c r="J35" i="36"/>
  <c r="Q31" i="36"/>
  <c r="AL30" i="38"/>
  <c r="AN30" i="38" s="1"/>
  <c r="Q28" i="38"/>
  <c r="F25" i="38"/>
  <c r="AL30" i="37"/>
  <c r="J28" i="37"/>
  <c r="L28" i="37" s="1"/>
  <c r="AE19" i="37"/>
  <c r="AG19" i="37" s="1"/>
  <c r="AL38" i="36"/>
  <c r="AN38" i="36" s="1"/>
  <c r="J38" i="36"/>
  <c r="L38" i="36" s="1"/>
  <c r="F22" i="38"/>
  <c r="H22" i="38" s="1"/>
  <c r="O22" i="38" s="1"/>
  <c r="J25" i="37"/>
  <c r="L25" i="37" s="1"/>
  <c r="Q24" i="37"/>
  <c r="S24" i="37" s="1"/>
  <c r="AE22" i="37"/>
  <c r="AG22" i="37" s="1"/>
  <c r="AL21" i="37"/>
  <c r="AN21" i="37" s="1"/>
  <c r="AP21" i="37" s="1"/>
  <c r="J17" i="37"/>
  <c r="AE40" i="36"/>
  <c r="AL33" i="36"/>
  <c r="Q33" i="36"/>
  <c r="S33" i="36" s="1"/>
  <c r="AL32" i="36"/>
  <c r="Q32" i="36"/>
  <c r="J30" i="36"/>
  <c r="L30" i="36" s="1"/>
  <c r="J28" i="36"/>
  <c r="AL45" i="35"/>
  <c r="AN45" i="35" s="1"/>
  <c r="J44" i="35"/>
  <c r="Q40" i="35"/>
  <c r="X25" i="35"/>
  <c r="Z25" i="35" s="1"/>
  <c r="AE23" i="35"/>
  <c r="AG23" i="35" s="1"/>
  <c r="J16" i="35"/>
  <c r="F27" i="37"/>
  <c r="H27" i="37" s="1"/>
  <c r="O27" i="37" s="1"/>
  <c r="X41" i="36"/>
  <c r="Z41" i="36" s="1"/>
  <c r="X32" i="36"/>
  <c r="Q27" i="36"/>
  <c r="F20" i="36"/>
  <c r="H20" i="36" s="1"/>
  <c r="O20" i="36" s="1"/>
  <c r="AE44" i="35"/>
  <c r="J38" i="35"/>
  <c r="J41" i="34"/>
  <c r="L41" i="34" s="1"/>
  <c r="AE34" i="36"/>
  <c r="AL30" i="36"/>
  <c r="AE26" i="36"/>
  <c r="J25" i="36"/>
  <c r="L25" i="36" s="1"/>
  <c r="J22" i="36"/>
  <c r="AL15" i="36"/>
  <c r="AN15" i="36" s="1"/>
  <c r="J45" i="35"/>
  <c r="L45" i="35" s="1"/>
  <c r="F44" i="35"/>
  <c r="Q41" i="35"/>
  <c r="AE30" i="35"/>
  <c r="AE28" i="35"/>
  <c r="J40" i="36"/>
  <c r="Q24" i="36"/>
  <c r="S24" i="36" s="1"/>
  <c r="J19" i="36"/>
  <c r="AE17" i="36"/>
  <c r="AG17" i="36" s="1"/>
  <c r="AE45" i="35"/>
  <c r="AE33" i="35"/>
  <c r="AG33" i="35" s="1"/>
  <c r="J33" i="35"/>
  <c r="L33" i="35" s="1"/>
  <c r="J30" i="35"/>
  <c r="L30" i="35" s="1"/>
  <c r="J28" i="35"/>
  <c r="L28" i="35" s="1"/>
  <c r="AE21" i="35"/>
  <c r="AG21" i="35" s="1"/>
  <c r="AE20" i="37"/>
  <c r="X43" i="36"/>
  <c r="AE36" i="36"/>
  <c r="AE35" i="36"/>
  <c r="AG35" i="36" s="1"/>
  <c r="AE28" i="36"/>
  <c r="J27" i="36"/>
  <c r="Q16" i="36"/>
  <c r="Q25" i="35"/>
  <c r="AL27" i="36"/>
  <c r="AN27" i="36" s="1"/>
  <c r="AP27" i="36" s="1"/>
  <c r="F25" i="36"/>
  <c r="H25" i="36" s="1"/>
  <c r="O25" i="36" s="1"/>
  <c r="AE22" i="36"/>
  <c r="AG22" i="36" s="1"/>
  <c r="F22" i="36"/>
  <c r="H22" i="36" s="1"/>
  <c r="O22" i="36" s="1"/>
  <c r="F19" i="36"/>
  <c r="F45" i="35"/>
  <c r="H45" i="35" s="1"/>
  <c r="X44" i="35"/>
  <c r="J41" i="35"/>
  <c r="L41" i="35" s="1"/>
  <c r="AE40" i="35"/>
  <c r="AG40" i="35" s="1"/>
  <c r="J40" i="35"/>
  <c r="L40" i="35" s="1"/>
  <c r="F30" i="35"/>
  <c r="Q33" i="34"/>
  <c r="S33" i="34" s="1"/>
  <c r="Q28" i="34"/>
  <c r="S28" i="34" s="1"/>
  <c r="F15" i="37"/>
  <c r="J24" i="36"/>
  <c r="X23" i="36"/>
  <c r="Z23" i="36" s="1"/>
  <c r="AE19" i="36"/>
  <c r="Q28" i="36"/>
  <c r="X15" i="36"/>
  <c r="F41" i="35"/>
  <c r="X33" i="35"/>
  <c r="AL23" i="35"/>
  <c r="AN23" i="35" s="1"/>
  <c r="AP23" i="35" s="1"/>
  <c r="AL15" i="35"/>
  <c r="AN15" i="35" s="1"/>
  <c r="F45" i="36"/>
  <c r="H45" i="36" s="1"/>
  <c r="AE24" i="36"/>
  <c r="AG24" i="36" s="1"/>
  <c r="F24" i="36"/>
  <c r="H24" i="36" s="1"/>
  <c r="O24" i="36" s="1"/>
  <c r="F16" i="36"/>
  <c r="AL44" i="35"/>
  <c r="X40" i="35"/>
  <c r="Z40" i="35" s="1"/>
  <c r="F26" i="37"/>
  <c r="H26" i="37" s="1"/>
  <c r="O26" i="37" s="1"/>
  <c r="F35" i="36"/>
  <c r="H35" i="36" s="1"/>
  <c r="O35" i="36" s="1"/>
  <c r="X22" i="36"/>
  <c r="J20" i="36"/>
  <c r="X46" i="35"/>
  <c r="Q30" i="35"/>
  <c r="AE21" i="36"/>
  <c r="X44" i="34"/>
  <c r="F33" i="34"/>
  <c r="J25" i="34"/>
  <c r="X45" i="33"/>
  <c r="Z45" i="33" s="1"/>
  <c r="X19" i="36"/>
  <c r="Z19" i="36" s="1"/>
  <c r="Q44" i="35"/>
  <c r="S44" i="35" s="1"/>
  <c r="F40" i="35"/>
  <c r="X31" i="35"/>
  <c r="Z31" i="35" s="1"/>
  <c r="X28" i="35"/>
  <c r="Z28" i="35" s="1"/>
  <c r="AE16" i="35"/>
  <c r="AG16" i="35" s="1"/>
  <c r="AE41" i="34"/>
  <c r="AG41" i="34" s="1"/>
  <c r="F35" i="34"/>
  <c r="H35" i="34" s="1"/>
  <c r="O35" i="34" s="1"/>
  <c r="X33" i="34"/>
  <c r="Z33" i="34" s="1"/>
  <c r="F28" i="34"/>
  <c r="H28" i="34" s="1"/>
  <c r="O28" i="34" s="1"/>
  <c r="J41" i="37"/>
  <c r="L41" i="37" s="1"/>
  <c r="AE25" i="36"/>
  <c r="AL16" i="36"/>
  <c r="AN16" i="36" s="1"/>
  <c r="AP16" i="36" s="1"/>
  <c r="X20" i="36"/>
  <c r="Q22" i="35"/>
  <c r="S22" i="35" s="1"/>
  <c r="X30" i="34"/>
  <c r="Z30" i="34" s="1"/>
  <c r="X36" i="36"/>
  <c r="Z36" i="36" s="1"/>
  <c r="X45" i="35"/>
  <c r="Z45" i="35" s="1"/>
  <c r="Q16" i="35"/>
  <c r="X25" i="34"/>
  <c r="Z25" i="34" s="1"/>
  <c r="AL43" i="35"/>
  <c r="X41" i="34"/>
  <c r="Z41" i="34" s="1"/>
  <c r="Q35" i="34"/>
  <c r="F28" i="35"/>
  <c r="J25" i="35"/>
  <c r="L25" i="35" s="1"/>
  <c r="Q24" i="35"/>
  <c r="X20" i="35"/>
  <c r="Q30" i="34"/>
  <c r="F25" i="35"/>
  <c r="X45" i="34"/>
  <c r="Z45" i="34" s="1"/>
  <c r="Q41" i="34"/>
  <c r="AE33" i="34"/>
  <c r="Q26" i="34"/>
  <c r="S26" i="34" s="1"/>
  <c r="Q24" i="34"/>
  <c r="S24" i="34" s="1"/>
  <c r="X27" i="36"/>
  <c r="AE18" i="36"/>
  <c r="AG18" i="36" s="1"/>
  <c r="AL27" i="35"/>
  <c r="J24" i="35"/>
  <c r="L24" i="35" s="1"/>
  <c r="Q23" i="35"/>
  <c r="S23" i="35" s="1"/>
  <c r="F16" i="35"/>
  <c r="H16" i="35" s="1"/>
  <c r="O16" i="35" s="1"/>
  <c r="Q15" i="35"/>
  <c r="S15" i="35" s="1"/>
  <c r="J40" i="34"/>
  <c r="AL36" i="34"/>
  <c r="AN36" i="34" s="1"/>
  <c r="J33" i="34"/>
  <c r="L33" i="34" s="1"/>
  <c r="AE32" i="34"/>
  <c r="AG32" i="34" s="1"/>
  <c r="AE28" i="34"/>
  <c r="Q35" i="38"/>
  <c r="Q20" i="37"/>
  <c r="S20" i="37" s="1"/>
  <c r="AL28" i="36"/>
  <c r="AN28" i="36" s="1"/>
  <c r="X41" i="35"/>
  <c r="Z41" i="35" s="1"/>
  <c r="F33" i="35"/>
  <c r="AE25" i="35"/>
  <c r="AL21" i="35"/>
  <c r="AL16" i="35"/>
  <c r="AN16" i="35" s="1"/>
  <c r="AP16" i="35" s="1"/>
  <c r="AE35" i="34"/>
  <c r="J35" i="34"/>
  <c r="J32" i="34"/>
  <c r="L32" i="34" s="1"/>
  <c r="AE30" i="34"/>
  <c r="J28" i="34"/>
  <c r="Q16" i="34"/>
  <c r="Q41" i="33"/>
  <c r="F35" i="33"/>
  <c r="X25" i="33"/>
  <c r="AL26" i="34"/>
  <c r="Q22" i="34"/>
  <c r="AE20" i="34"/>
  <c r="F17" i="34"/>
  <c r="J45" i="33"/>
  <c r="X44" i="33"/>
  <c r="X35" i="33"/>
  <c r="Z35" i="33" s="1"/>
  <c r="X30" i="33"/>
  <c r="Z30" i="33" s="1"/>
  <c r="AL40" i="34"/>
  <c r="AE25" i="34"/>
  <c r="AG25" i="34" s="1"/>
  <c r="Q23" i="34"/>
  <c r="J16" i="34"/>
  <c r="Q25" i="33"/>
  <c r="Q16" i="33"/>
  <c r="F30" i="32"/>
  <c r="H30" i="32" s="1"/>
  <c r="F25" i="32"/>
  <c r="X20" i="32"/>
  <c r="Z20" i="32" s="1"/>
  <c r="Q30" i="33"/>
  <c r="S30" i="33" s="1"/>
  <c r="AE40" i="34"/>
  <c r="AG40" i="34" s="1"/>
  <c r="J24" i="34"/>
  <c r="F16" i="34"/>
  <c r="H16" i="34" s="1"/>
  <c r="O16" i="34" s="1"/>
  <c r="AE45" i="33"/>
  <c r="F45" i="33"/>
  <c r="H45" i="33" s="1"/>
  <c r="Q35" i="33"/>
  <c r="AE20" i="33"/>
  <c r="AG20" i="33" s="1"/>
  <c r="J20" i="33"/>
  <c r="L20" i="33" s="1"/>
  <c r="X30" i="35"/>
  <c r="Z30" i="35" s="1"/>
  <c r="X22" i="35"/>
  <c r="Z22" i="35" s="1"/>
  <c r="F15" i="35"/>
  <c r="H15" i="35" s="1"/>
  <c r="J30" i="34"/>
  <c r="L30" i="34" s="1"/>
  <c r="X28" i="34"/>
  <c r="AE41" i="33"/>
  <c r="J41" i="33"/>
  <c r="Q34" i="33"/>
  <c r="AL33" i="33"/>
  <c r="Q32" i="33"/>
  <c r="AL31" i="33"/>
  <c r="F23" i="36"/>
  <c r="AE24" i="35"/>
  <c r="AG24" i="35" s="1"/>
  <c r="J44" i="33"/>
  <c r="L44" i="33" s="1"/>
  <c r="AE35" i="33"/>
  <c r="AE33" i="33"/>
  <c r="AG33" i="33" s="1"/>
  <c r="AL38" i="35"/>
  <c r="AN38" i="35" s="1"/>
  <c r="X43" i="34"/>
  <c r="F36" i="34"/>
  <c r="F26" i="34"/>
  <c r="H26" i="34" s="1"/>
  <c r="O26" i="34" s="1"/>
  <c r="AE22" i="34"/>
  <c r="AG22" i="34" s="1"/>
  <c r="J19" i="34"/>
  <c r="X15" i="34"/>
  <c r="Z15" i="34" s="1"/>
  <c r="AE44" i="33"/>
  <c r="J36" i="33"/>
  <c r="J35" i="33"/>
  <c r="L35" i="33" s="1"/>
  <c r="AE34" i="33"/>
  <c r="AG34" i="33" s="1"/>
  <c r="J33" i="33"/>
  <c r="L33" i="33" s="1"/>
  <c r="AE32" i="33"/>
  <c r="AG32" i="33" s="1"/>
  <c r="F46" i="35"/>
  <c r="AE23" i="34"/>
  <c r="AG23" i="34" s="1"/>
  <c r="X41" i="33"/>
  <c r="J32" i="33"/>
  <c r="L32" i="33" s="1"/>
  <c r="AL24" i="34"/>
  <c r="X22" i="34"/>
  <c r="F19" i="34"/>
  <c r="J17" i="34"/>
  <c r="F44" i="33"/>
  <c r="H44" i="33" s="1"/>
  <c r="F24" i="34"/>
  <c r="F34" i="33"/>
  <c r="H34" i="33" s="1"/>
  <c r="O34" i="33" s="1"/>
  <c r="J31" i="33"/>
  <c r="L31" i="33" s="1"/>
  <c r="AE46" i="32"/>
  <c r="AL44" i="32"/>
  <c r="J35" i="32"/>
  <c r="L35" i="32" s="1"/>
  <c r="X25" i="32"/>
  <c r="J16" i="32"/>
  <c r="L16" i="32" s="1"/>
  <c r="F40" i="33"/>
  <c r="J28" i="33"/>
  <c r="L28" i="33" s="1"/>
  <c r="Q19" i="33"/>
  <c r="S19" i="33" s="1"/>
  <c r="AE16" i="33"/>
  <c r="AG16" i="33" s="1"/>
  <c r="J40" i="32"/>
  <c r="AE35" i="32"/>
  <c r="AG35" i="32" s="1"/>
  <c r="X31" i="32"/>
  <c r="Z31" i="32" s="1"/>
  <c r="X30" i="32"/>
  <c r="Z30" i="32" s="1"/>
  <c r="Q25" i="34"/>
  <c r="AE43" i="33"/>
  <c r="AG43" i="33" s="1"/>
  <c r="F31" i="33"/>
  <c r="H31" i="33" s="1"/>
  <c r="O31" i="33" s="1"/>
  <c r="F16" i="33"/>
  <c r="F33" i="32"/>
  <c r="Q25" i="32"/>
  <c r="AE38" i="34"/>
  <c r="AE25" i="33"/>
  <c r="AG25" i="33" s="1"/>
  <c r="F24" i="33"/>
  <c r="H24" i="33" s="1"/>
  <c r="O24" i="33" s="1"/>
  <c r="AL45" i="32"/>
  <c r="AN45" i="32" s="1"/>
  <c r="AP45" i="32" s="1"/>
  <c r="J44" i="32"/>
  <c r="AE41" i="35"/>
  <c r="F43" i="33"/>
  <c r="AL36" i="33"/>
  <c r="AN36" i="33" s="1"/>
  <c r="J30" i="33"/>
  <c r="F28" i="33"/>
  <c r="H28" i="33" s="1"/>
  <c r="O28" i="33" s="1"/>
  <c r="AE20" i="32"/>
  <c r="J20" i="32"/>
  <c r="L20" i="32" s="1"/>
  <c r="AE44" i="31"/>
  <c r="AE16" i="34"/>
  <c r="AE28" i="33"/>
  <c r="Q46" i="32"/>
  <c r="S46" i="32" s="1"/>
  <c r="AE44" i="32"/>
  <c r="AG44" i="32" s="1"/>
  <c r="J44" i="31"/>
  <c r="AL40" i="31"/>
  <c r="AN40" i="31" s="1"/>
  <c r="X40" i="34"/>
  <c r="AE30" i="33"/>
  <c r="X24" i="33"/>
  <c r="Q20" i="33"/>
  <c r="S20" i="33" s="1"/>
  <c r="X19" i="33"/>
  <c r="Z19" i="33" s="1"/>
  <c r="AL43" i="32"/>
  <c r="AN43" i="32" s="1"/>
  <c r="AL35" i="32"/>
  <c r="AN35" i="32" s="1"/>
  <c r="J31" i="32"/>
  <c r="AE30" i="32"/>
  <c r="AG30" i="32" s="1"/>
  <c r="J30" i="32"/>
  <c r="J28" i="32"/>
  <c r="L28" i="32" s="1"/>
  <c r="Q17" i="35"/>
  <c r="X17" i="34"/>
  <c r="X40" i="33"/>
  <c r="F23" i="33"/>
  <c r="H23" i="33" s="1"/>
  <c r="O23" i="33" s="1"/>
  <c r="J43" i="32"/>
  <c r="Q36" i="33"/>
  <c r="Q31" i="33"/>
  <c r="J25" i="33"/>
  <c r="Q44" i="32"/>
  <c r="AE33" i="32"/>
  <c r="AG33" i="32" s="1"/>
  <c r="J32" i="32"/>
  <c r="J36" i="34"/>
  <c r="F22" i="33"/>
  <c r="J16" i="33"/>
  <c r="L16" i="33" s="1"/>
  <c r="F46" i="32"/>
  <c r="AL40" i="32"/>
  <c r="AN40" i="32" s="1"/>
  <c r="J33" i="32"/>
  <c r="L33" i="32" s="1"/>
  <c r="AE32" i="32"/>
  <c r="AG32" i="32" s="1"/>
  <c r="X33" i="32"/>
  <c r="Z33" i="32" s="1"/>
  <c r="J41" i="31"/>
  <c r="J33" i="31"/>
  <c r="J32" i="31"/>
  <c r="L32" i="31" s="1"/>
  <c r="N32" i="31" s="1"/>
  <c r="X26" i="31"/>
  <c r="F26" i="31"/>
  <c r="F25" i="31"/>
  <c r="H25" i="31" s="1"/>
  <c r="O25" i="31" s="1"/>
  <c r="AE23" i="31"/>
  <c r="AG23" i="31" s="1"/>
  <c r="J16" i="31"/>
  <c r="Q45" i="30"/>
  <c r="AE25" i="32"/>
  <c r="Q28" i="31"/>
  <c r="S28" i="31" s="1"/>
  <c r="J23" i="31"/>
  <c r="L23" i="31" s="1"/>
  <c r="J22" i="31"/>
  <c r="AE21" i="31"/>
  <c r="AG21" i="31" s="1"/>
  <c r="J15" i="31"/>
  <c r="L15" i="31" s="1"/>
  <c r="X16" i="33"/>
  <c r="Z16" i="33" s="1"/>
  <c r="Q33" i="32"/>
  <c r="F22" i="32"/>
  <c r="J18" i="32"/>
  <c r="AL16" i="32"/>
  <c r="AE15" i="32"/>
  <c r="F15" i="32"/>
  <c r="H15" i="32" s="1"/>
  <c r="AE46" i="31"/>
  <c r="F41" i="31"/>
  <c r="H41" i="31" s="1"/>
  <c r="F33" i="31"/>
  <c r="F24" i="31"/>
  <c r="H24" i="31" s="1"/>
  <c r="O24" i="31" s="1"/>
  <c r="F16" i="31"/>
  <c r="H16" i="31" s="1"/>
  <c r="O16" i="31" s="1"/>
  <c r="Q26" i="33"/>
  <c r="AE28" i="32"/>
  <c r="F32" i="31"/>
  <c r="AE45" i="30"/>
  <c r="AE24" i="33"/>
  <c r="J23" i="33"/>
  <c r="X40" i="32"/>
  <c r="Q31" i="32"/>
  <c r="Q30" i="32"/>
  <c r="Q20" i="32"/>
  <c r="S20" i="32" s="1"/>
  <c r="AL44" i="33"/>
  <c r="AE16" i="32"/>
  <c r="AG16" i="32" s="1"/>
  <c r="Q40" i="31"/>
  <c r="X32" i="31"/>
  <c r="Z32" i="31" s="1"/>
  <c r="AE28" i="31"/>
  <c r="AG28" i="31" s="1"/>
  <c r="J45" i="30"/>
  <c r="L45" i="30" s="1"/>
  <c r="AE40" i="30"/>
  <c r="AG40" i="30" s="1"/>
  <c r="J27" i="33"/>
  <c r="AL32" i="32"/>
  <c r="Q15" i="32"/>
  <c r="Q46" i="31"/>
  <c r="J40" i="31"/>
  <c r="AE36" i="31"/>
  <c r="AL32" i="31"/>
  <c r="AN32" i="31" s="1"/>
  <c r="AP32" i="31" s="1"/>
  <c r="Q32" i="31"/>
  <c r="S32" i="31" s="1"/>
  <c r="AC32" i="31" s="1"/>
  <c r="Q23" i="31"/>
  <c r="X19" i="31"/>
  <c r="Z19" i="31" s="1"/>
  <c r="F19" i="31"/>
  <c r="H19" i="31" s="1"/>
  <c r="AL15" i="31"/>
  <c r="X16" i="32"/>
  <c r="Z16" i="32" s="1"/>
  <c r="AL15" i="32"/>
  <c r="Q44" i="31"/>
  <c r="S44" i="31" s="1"/>
  <c r="J36" i="31"/>
  <c r="L36" i="31" s="1"/>
  <c r="J26" i="31"/>
  <c r="L26" i="31" s="1"/>
  <c r="AE25" i="31"/>
  <c r="AG25" i="31" s="1"/>
  <c r="AL22" i="31"/>
  <c r="AN22" i="31" s="1"/>
  <c r="AP22" i="31" s="1"/>
  <c r="AL46" i="32"/>
  <c r="AN46" i="32" s="1"/>
  <c r="J45" i="32"/>
  <c r="X36" i="32"/>
  <c r="F28" i="32"/>
  <c r="H28" i="32" s="1"/>
  <c r="O28" i="32" s="1"/>
  <c r="AL46" i="31"/>
  <c r="J34" i="31"/>
  <c r="L34" i="31" s="1"/>
  <c r="AE33" i="31"/>
  <c r="AG33" i="31" s="1"/>
  <c r="X28" i="31"/>
  <c r="Z28" i="31" s="1"/>
  <c r="AE24" i="31"/>
  <c r="AG24" i="31" s="1"/>
  <c r="Q22" i="31"/>
  <c r="S22" i="31" s="1"/>
  <c r="AE16" i="31"/>
  <c r="AG16" i="31" s="1"/>
  <c r="AL38" i="33"/>
  <c r="AN38" i="33" s="1"/>
  <c r="AP38" i="33" s="1"/>
  <c r="X41" i="32"/>
  <c r="Z41" i="32" s="1"/>
  <c r="Q19" i="32"/>
  <c r="S19" i="32" s="1"/>
  <c r="AE26" i="31"/>
  <c r="AE44" i="30"/>
  <c r="J40" i="30"/>
  <c r="J30" i="30"/>
  <c r="X25" i="30"/>
  <c r="F16" i="30"/>
  <c r="H16" i="30" s="1"/>
  <c r="O16" i="30" s="1"/>
  <c r="J19" i="29"/>
  <c r="X21" i="31"/>
  <c r="F38" i="30"/>
  <c r="F31" i="30"/>
  <c r="H31" i="30" s="1"/>
  <c r="O31" i="30" s="1"/>
  <c r="X16" i="30"/>
  <c r="Z16" i="30" s="1"/>
  <c r="X15" i="30"/>
  <c r="F15" i="30"/>
  <c r="H15" i="30" s="1"/>
  <c r="AE46" i="29"/>
  <c r="F34" i="29"/>
  <c r="H34" i="29" s="1"/>
  <c r="J31" i="29"/>
  <c r="L31" i="29" s="1"/>
  <c r="J26" i="29"/>
  <c r="L26" i="29" s="1"/>
  <c r="X24" i="29"/>
  <c r="Z24" i="29" s="1"/>
  <c r="F31" i="32"/>
  <c r="H31" i="32" s="1"/>
  <c r="O31" i="32" s="1"/>
  <c r="X44" i="31"/>
  <c r="Q30" i="31"/>
  <c r="J43" i="30"/>
  <c r="AL32" i="30"/>
  <c r="X23" i="30"/>
  <c r="F23" i="30"/>
  <c r="F22" i="30"/>
  <c r="AE44" i="29"/>
  <c r="F24" i="29"/>
  <c r="X19" i="29"/>
  <c r="F17" i="29"/>
  <c r="Q25" i="31"/>
  <c r="F43" i="30"/>
  <c r="F40" i="30"/>
  <c r="H40" i="30" s="1"/>
  <c r="AE35" i="30"/>
  <c r="AG35" i="30" s="1"/>
  <c r="Q25" i="30"/>
  <c r="S25" i="30" s="1"/>
  <c r="F46" i="29"/>
  <c r="J44" i="29"/>
  <c r="AL38" i="29"/>
  <c r="AN38" i="29" s="1"/>
  <c r="AP38" i="29" s="1"/>
  <c r="Q32" i="29"/>
  <c r="S32" i="29" s="1"/>
  <c r="X31" i="29"/>
  <c r="Z31" i="29" s="1"/>
  <c r="Q27" i="29"/>
  <c r="S27" i="29" s="1"/>
  <c r="X26" i="29"/>
  <c r="Z26" i="29" s="1"/>
  <c r="F19" i="29"/>
  <c r="H19" i="29" s="1"/>
  <c r="Q33" i="31"/>
  <c r="Q16" i="31"/>
  <c r="X44" i="30"/>
  <c r="J35" i="30"/>
  <c r="L35" i="30" s="1"/>
  <c r="X30" i="30"/>
  <c r="Z30" i="30" s="1"/>
  <c r="Q16" i="30"/>
  <c r="F19" i="28"/>
  <c r="H19" i="28" s="1"/>
  <c r="F43" i="27"/>
  <c r="F24" i="27"/>
  <c r="AE45" i="32"/>
  <c r="Q35" i="32"/>
  <c r="J25" i="32"/>
  <c r="L25" i="32" s="1"/>
  <c r="J24" i="31"/>
  <c r="AE43" i="30"/>
  <c r="X40" i="30"/>
  <c r="Z40" i="30" s="1"/>
  <c r="Q15" i="31"/>
  <c r="S15" i="31" s="1"/>
  <c r="F45" i="30"/>
  <c r="AL38" i="30"/>
  <c r="AL23" i="30"/>
  <c r="Q23" i="30"/>
  <c r="S23" i="30" s="1"/>
  <c r="AL22" i="30"/>
  <c r="AN22" i="30" s="1"/>
  <c r="Q15" i="30"/>
  <c r="Q24" i="29"/>
  <c r="S24" i="29" s="1"/>
  <c r="Q17" i="29"/>
  <c r="AL43" i="31"/>
  <c r="Q20" i="31"/>
  <c r="J44" i="30"/>
  <c r="X43" i="30"/>
  <c r="X41" i="30"/>
  <c r="X35" i="30"/>
  <c r="J25" i="30"/>
  <c r="Q22" i="30"/>
  <c r="AE16" i="30"/>
  <c r="AL46" i="29"/>
  <c r="AE38" i="29"/>
  <c r="AG38" i="29" s="1"/>
  <c r="J38" i="29"/>
  <c r="J32" i="29"/>
  <c r="Q31" i="29"/>
  <c r="J27" i="29"/>
  <c r="L27" i="29" s="1"/>
  <c r="Q26" i="29"/>
  <c r="AE24" i="29"/>
  <c r="J26" i="34"/>
  <c r="L26" i="34" s="1"/>
  <c r="AL24" i="31"/>
  <c r="AL23" i="31"/>
  <c r="Q43" i="30"/>
  <c r="Q40" i="30"/>
  <c r="S40" i="30" s="1"/>
  <c r="J32" i="30"/>
  <c r="L32" i="30" s="1"/>
  <c r="AE24" i="30"/>
  <c r="AG24" i="30" s="1"/>
  <c r="J24" i="30"/>
  <c r="AE23" i="30"/>
  <c r="AG23" i="30" s="1"/>
  <c r="J16" i="30"/>
  <c r="L16" i="30" s="1"/>
  <c r="Q46" i="29"/>
  <c r="S46" i="29" s="1"/>
  <c r="AL45" i="29"/>
  <c r="AN45" i="29" s="1"/>
  <c r="AL44" i="29"/>
  <c r="F16" i="32"/>
  <c r="H16" i="32" s="1"/>
  <c r="O16" i="32" s="1"/>
  <c r="Q46" i="30"/>
  <c r="X45" i="30"/>
  <c r="AL44" i="30"/>
  <c r="J31" i="30"/>
  <c r="L31" i="30" s="1"/>
  <c r="AL27" i="30"/>
  <c r="AE15" i="30"/>
  <c r="F45" i="31"/>
  <c r="F40" i="31"/>
  <c r="H40" i="31" s="1"/>
  <c r="X30" i="31"/>
  <c r="F20" i="31"/>
  <c r="F44" i="30"/>
  <c r="AE38" i="30"/>
  <c r="J38" i="30"/>
  <c r="Q35" i="30"/>
  <c r="F35" i="31"/>
  <c r="F41" i="29"/>
  <c r="J43" i="28"/>
  <c r="L43" i="28" s="1"/>
  <c r="F35" i="30"/>
  <c r="J23" i="30"/>
  <c r="L23" i="30" s="1"/>
  <c r="Q44" i="29"/>
  <c r="S44" i="29" s="1"/>
  <c r="Q24" i="28"/>
  <c r="AE19" i="28"/>
  <c r="AG19" i="28" s="1"/>
  <c r="F38" i="27"/>
  <c r="H38" i="27" s="1"/>
  <c r="O38" i="27" s="1"/>
  <c r="F15" i="27"/>
  <c r="H15" i="27" s="1"/>
  <c r="Q43" i="32"/>
  <c r="X23" i="32"/>
  <c r="Q16" i="32"/>
  <c r="J18" i="31"/>
  <c r="AE25" i="30"/>
  <c r="F38" i="29"/>
  <c r="F32" i="30"/>
  <c r="J17" i="30"/>
  <c r="L17" i="30" s="1"/>
  <c r="F30" i="29"/>
  <c r="H30" i="29" s="1"/>
  <c r="F25" i="29"/>
  <c r="H25" i="29" s="1"/>
  <c r="O25" i="29" s="1"/>
  <c r="X20" i="29"/>
  <c r="J17" i="29"/>
  <c r="J27" i="31"/>
  <c r="J33" i="30"/>
  <c r="AL41" i="29"/>
  <c r="AE31" i="29"/>
  <c r="AG31" i="29" s="1"/>
  <c r="AE26" i="29"/>
  <c r="J24" i="29"/>
  <c r="Q23" i="29"/>
  <c r="AE17" i="29"/>
  <c r="AG17" i="29" s="1"/>
  <c r="X43" i="28"/>
  <c r="AL32" i="28"/>
  <c r="AL22" i="28"/>
  <c r="AE17" i="28"/>
  <c r="AG17" i="28" s="1"/>
  <c r="AL43" i="29"/>
  <c r="X32" i="29"/>
  <c r="X27" i="29"/>
  <c r="X22" i="29"/>
  <c r="Z22" i="29" s="1"/>
  <c r="AE19" i="29"/>
  <c r="AG19" i="29" s="1"/>
  <c r="AE24" i="28"/>
  <c r="AG24" i="28" s="1"/>
  <c r="J17" i="28"/>
  <c r="L17" i="28" s="1"/>
  <c r="X45" i="31"/>
  <c r="Z45" i="31" s="1"/>
  <c r="J28" i="31"/>
  <c r="F19" i="30"/>
  <c r="X40" i="29"/>
  <c r="J20" i="29"/>
  <c r="AE32" i="30"/>
  <c r="Q20" i="30"/>
  <c r="Q43" i="29"/>
  <c r="S43" i="29" s="1"/>
  <c r="Q30" i="30"/>
  <c r="F27" i="30"/>
  <c r="AE17" i="30"/>
  <c r="X38" i="29"/>
  <c r="Q38" i="30"/>
  <c r="S38" i="30" s="1"/>
  <c r="Q31" i="30"/>
  <c r="F32" i="29"/>
  <c r="H32" i="29" s="1"/>
  <c r="F27" i="29"/>
  <c r="H27" i="29" s="1"/>
  <c r="O27" i="29" s="1"/>
  <c r="AL20" i="29"/>
  <c r="F20" i="29"/>
  <c r="H20" i="29" s="1"/>
  <c r="O20" i="29" s="1"/>
  <c r="AE30" i="30"/>
  <c r="J22" i="29"/>
  <c r="L22" i="29" s="1"/>
  <c r="F18" i="29"/>
  <c r="F16" i="29"/>
  <c r="Q45" i="28"/>
  <c r="AL36" i="28"/>
  <c r="AN36" i="28" s="1"/>
  <c r="F34" i="28"/>
  <c r="H34" i="28" s="1"/>
  <c r="X22" i="28"/>
  <c r="AL20" i="28"/>
  <c r="J19" i="28"/>
  <c r="L19" i="28" s="1"/>
  <c r="X17" i="28"/>
  <c r="AE38" i="27"/>
  <c r="AE35" i="27"/>
  <c r="F35" i="27"/>
  <c r="H35" i="27" s="1"/>
  <c r="O35" i="27" s="1"/>
  <c r="X34" i="27"/>
  <c r="Q24" i="27"/>
  <c r="S24" i="27" s="1"/>
  <c r="AL22" i="27"/>
  <c r="AN22" i="27" s="1"/>
  <c r="AE43" i="28"/>
  <c r="J32" i="28"/>
  <c r="L32" i="28" s="1"/>
  <c r="AL46" i="27"/>
  <c r="X43" i="27"/>
  <c r="Z43" i="27" s="1"/>
  <c r="J38" i="27"/>
  <c r="L38" i="27" s="1"/>
  <c r="AE15" i="27"/>
  <c r="AG15" i="27" s="1"/>
  <c r="Q33" i="29"/>
  <c r="AL46" i="28"/>
  <c r="X34" i="28"/>
  <c r="Z34" i="28" s="1"/>
  <c r="AE32" i="28"/>
  <c r="Q25" i="28"/>
  <c r="S25" i="28" s="1"/>
  <c r="J24" i="28"/>
  <c r="J20" i="28"/>
  <c r="L20" i="28" s="1"/>
  <c r="AE45" i="27"/>
  <c r="AG45" i="27" s="1"/>
  <c r="AL33" i="27"/>
  <c r="AE31" i="27"/>
  <c r="J31" i="27"/>
  <c r="L31" i="27" s="1"/>
  <c r="Q26" i="27"/>
  <c r="S26" i="27" s="1"/>
  <c r="F23" i="29"/>
  <c r="AL18" i="29"/>
  <c r="AL45" i="28"/>
  <c r="X35" i="28"/>
  <c r="Q17" i="28"/>
  <c r="J46" i="27"/>
  <c r="J45" i="27"/>
  <c r="L45" i="27" s="1"/>
  <c r="AE36" i="27"/>
  <c r="AG36" i="27" s="1"/>
  <c r="X35" i="27"/>
  <c r="Q34" i="27"/>
  <c r="AE22" i="27"/>
  <c r="AE22" i="30"/>
  <c r="AG22" i="30" s="1"/>
  <c r="AL16" i="29"/>
  <c r="X46" i="28"/>
  <c r="Q43" i="28"/>
  <c r="F32" i="28"/>
  <c r="H32" i="28" s="1"/>
  <c r="F20" i="28"/>
  <c r="X19" i="28"/>
  <c r="AE46" i="27"/>
  <c r="Q43" i="27"/>
  <c r="AE24" i="27"/>
  <c r="AG24" i="27" s="1"/>
  <c r="AE21" i="29"/>
  <c r="F24" i="28"/>
  <c r="H24" i="28" s="1"/>
  <c r="O24" i="28" s="1"/>
  <c r="F46" i="27"/>
  <c r="X38" i="27"/>
  <c r="Z38" i="27" s="1"/>
  <c r="J24" i="27"/>
  <c r="L24" i="27" s="1"/>
  <c r="F16" i="27"/>
  <c r="H16" i="27" s="1"/>
  <c r="O16" i="27" s="1"/>
  <c r="X17" i="29"/>
  <c r="Z17" i="29" s="1"/>
  <c r="X24" i="28"/>
  <c r="J43" i="27"/>
  <c r="F41" i="27"/>
  <c r="H41" i="27" s="1"/>
  <c r="Q38" i="27"/>
  <c r="S38" i="27" s="1"/>
  <c r="AL21" i="27"/>
  <c r="Q19" i="29"/>
  <c r="F43" i="28"/>
  <c r="J34" i="28"/>
  <c r="F17" i="28"/>
  <c r="H17" i="28" s="1"/>
  <c r="O17" i="28" s="1"/>
  <c r="AL45" i="27"/>
  <c r="AE43" i="27"/>
  <c r="AL35" i="27"/>
  <c r="J35" i="27"/>
  <c r="AL31" i="27"/>
  <c r="Q31" i="27"/>
  <c r="S31" i="27" s="1"/>
  <c r="F27" i="27"/>
  <c r="H27" i="27" s="1"/>
  <c r="O27" i="27" s="1"/>
  <c r="X25" i="27"/>
  <c r="Z25" i="27" s="1"/>
  <c r="X24" i="27"/>
  <c r="Z24" i="27" s="1"/>
  <c r="F22" i="28"/>
  <c r="H22" i="28" s="1"/>
  <c r="O22" i="28" s="1"/>
  <c r="Q45" i="27"/>
  <c r="F34" i="27"/>
  <c r="H34" i="27" s="1"/>
  <c r="Q22" i="27"/>
  <c r="S22" i="27" s="1"/>
  <c r="F35" i="29"/>
  <c r="Q28" i="29"/>
  <c r="AL41" i="28"/>
  <c r="Q36" i="28"/>
  <c r="X33" i="28"/>
  <c r="AL28" i="28"/>
  <c r="AN28" i="28" s="1"/>
  <c r="AP28" i="28" s="1"/>
  <c r="Q28" i="28"/>
  <c r="J27" i="28"/>
  <c r="Q20" i="28"/>
  <c r="J44" i="27"/>
  <c r="Q36" i="27"/>
  <c r="AE33" i="28"/>
  <c r="F33" i="27"/>
  <c r="F45" i="26"/>
  <c r="Q26" i="26"/>
  <c r="X34" i="25"/>
  <c r="J34" i="29"/>
  <c r="AL34" i="28"/>
  <c r="AN34" i="28" s="1"/>
  <c r="AP34" i="28" s="1"/>
  <c r="J34" i="27"/>
  <c r="J16" i="27"/>
  <c r="X15" i="27"/>
  <c r="Z15" i="27" s="1"/>
  <c r="AL25" i="26"/>
  <c r="AN25" i="26" s="1"/>
  <c r="AL30" i="28"/>
  <c r="F25" i="28"/>
  <c r="X46" i="26"/>
  <c r="X45" i="26"/>
  <c r="AE35" i="26"/>
  <c r="Q25" i="26"/>
  <c r="Q16" i="26"/>
  <c r="F30" i="25"/>
  <c r="H30" i="25" s="1"/>
  <c r="Q24" i="25"/>
  <c r="AL16" i="25"/>
  <c r="X15" i="25"/>
  <c r="F15" i="25"/>
  <c r="H15" i="25" s="1"/>
  <c r="J22" i="28"/>
  <c r="L22" i="28" s="1"/>
  <c r="F16" i="28"/>
  <c r="Q35" i="27"/>
  <c r="AE17" i="27"/>
  <c r="AL16" i="27"/>
  <c r="AN16" i="27" s="1"/>
  <c r="AE40" i="26"/>
  <c r="J40" i="26"/>
  <c r="L40" i="26" s="1"/>
  <c r="F35" i="26"/>
  <c r="H35" i="26" s="1"/>
  <c r="O35" i="26" s="1"/>
  <c r="Q31" i="26"/>
  <c r="AE26" i="26"/>
  <c r="AG26" i="26" s="1"/>
  <c r="AL24" i="26"/>
  <c r="AN24" i="26" s="1"/>
  <c r="AL15" i="26"/>
  <c r="AN15" i="26" s="1"/>
  <c r="F46" i="25"/>
  <c r="AL38" i="25"/>
  <c r="AN38" i="25" s="1"/>
  <c r="Q35" i="25"/>
  <c r="S35" i="25" s="1"/>
  <c r="Q27" i="25"/>
  <c r="S27" i="25" s="1"/>
  <c r="X22" i="25"/>
  <c r="Z22" i="25" s="1"/>
  <c r="F22" i="25"/>
  <c r="H22" i="25" s="1"/>
  <c r="O22" i="25" s="1"/>
  <c r="X36" i="27"/>
  <c r="Z36" i="27" s="1"/>
  <c r="J27" i="27"/>
  <c r="L27" i="27" s="1"/>
  <c r="Q15" i="27"/>
  <c r="X35" i="26"/>
  <c r="J26" i="26"/>
  <c r="Q24" i="26"/>
  <c r="S24" i="26" s="1"/>
  <c r="Q38" i="25"/>
  <c r="S38" i="25" s="1"/>
  <c r="Q34" i="25"/>
  <c r="S34" i="25" s="1"/>
  <c r="AL33" i="25"/>
  <c r="Q16" i="25"/>
  <c r="S16" i="25" s="1"/>
  <c r="Q34" i="28"/>
  <c r="S34" i="28" s="1"/>
  <c r="F33" i="28"/>
  <c r="H33" i="28" s="1"/>
  <c r="J30" i="28"/>
  <c r="Q19" i="28"/>
  <c r="S19" i="28" s="1"/>
  <c r="J18" i="27"/>
  <c r="J15" i="27"/>
  <c r="L15" i="27" s="1"/>
  <c r="AL46" i="26"/>
  <c r="AN46" i="26" s="1"/>
  <c r="J44" i="26"/>
  <c r="X40" i="26"/>
  <c r="Z40" i="26" s="1"/>
  <c r="Q35" i="26"/>
  <c r="S35" i="26" s="1"/>
  <c r="X26" i="26"/>
  <c r="Z26" i="26" s="1"/>
  <c r="J24" i="26"/>
  <c r="J15" i="26"/>
  <c r="L15" i="26" s="1"/>
  <c r="AL46" i="25"/>
  <c r="J38" i="25"/>
  <c r="L38" i="25" s="1"/>
  <c r="J34" i="25"/>
  <c r="L34" i="25" s="1"/>
  <c r="Q30" i="25"/>
  <c r="J27" i="25"/>
  <c r="J16" i="25"/>
  <c r="Q31" i="28"/>
  <c r="AL26" i="28"/>
  <c r="AE16" i="28"/>
  <c r="AE34" i="27"/>
  <c r="AE45" i="26"/>
  <c r="J45" i="26"/>
  <c r="L45" i="26" s="1"/>
  <c r="AE44" i="26"/>
  <c r="AG44" i="26" s="1"/>
  <c r="AL35" i="26"/>
  <c r="AE30" i="26"/>
  <c r="AG30" i="26" s="1"/>
  <c r="F16" i="26"/>
  <c r="H16" i="26" s="1"/>
  <c r="O16" i="26" s="1"/>
  <c r="Q46" i="25"/>
  <c r="F35" i="25"/>
  <c r="AE33" i="25"/>
  <c r="J33" i="25"/>
  <c r="AE31" i="25"/>
  <c r="AG31" i="25" s="1"/>
  <c r="AL28" i="25"/>
  <c r="AN28" i="25" s="1"/>
  <c r="AE26" i="25"/>
  <c r="AG26" i="25" s="1"/>
  <c r="AE27" i="27"/>
  <c r="Q16" i="27"/>
  <c r="F31" i="26"/>
  <c r="X16" i="26"/>
  <c r="Z16" i="26" s="1"/>
  <c r="X27" i="25"/>
  <c r="AE22" i="25"/>
  <c r="AL40" i="28"/>
  <c r="AN40" i="28" s="1"/>
  <c r="AE22" i="28"/>
  <c r="AL19" i="27"/>
  <c r="AN19" i="27" s="1"/>
  <c r="X31" i="26"/>
  <c r="Z31" i="26" s="1"/>
  <c r="X24" i="26"/>
  <c r="Z24" i="26" s="1"/>
  <c r="F24" i="26"/>
  <c r="H24" i="26" s="1"/>
  <c r="O24" i="26" s="1"/>
  <c r="X15" i="26"/>
  <c r="Z15" i="26" s="1"/>
  <c r="F15" i="26"/>
  <c r="H15" i="26" s="1"/>
  <c r="X38" i="25"/>
  <c r="Z38" i="25" s="1"/>
  <c r="F38" i="25"/>
  <c r="H38" i="25" s="1"/>
  <c r="O38" i="25" s="1"/>
  <c r="F34" i="25"/>
  <c r="H34" i="25" s="1"/>
  <c r="J31" i="25"/>
  <c r="L31" i="25" s="1"/>
  <c r="AE30" i="25"/>
  <c r="AG30" i="25" s="1"/>
  <c r="F27" i="25"/>
  <c r="H27" i="25" s="1"/>
  <c r="O27" i="25" s="1"/>
  <c r="X16" i="25"/>
  <c r="Z16" i="25" s="1"/>
  <c r="F16" i="25"/>
  <c r="H16" i="25" s="1"/>
  <c r="O16" i="25" s="1"/>
  <c r="J15" i="25"/>
  <c r="L15" i="25" s="1"/>
  <c r="F40" i="26"/>
  <c r="J38" i="26"/>
  <c r="L38" i="26" s="1"/>
  <c r="AE31" i="26"/>
  <c r="AG31" i="26" s="1"/>
  <c r="Q17" i="26"/>
  <c r="S17" i="26" s="1"/>
  <c r="X43" i="25"/>
  <c r="AL40" i="25"/>
  <c r="AN40" i="25" s="1"/>
  <c r="J35" i="25"/>
  <c r="L35" i="25" s="1"/>
  <c r="AL30" i="25"/>
  <c r="F25" i="25"/>
  <c r="J20" i="25"/>
  <c r="X41" i="24"/>
  <c r="Z41" i="24" s="1"/>
  <c r="F41" i="24"/>
  <c r="H41" i="24" s="1"/>
  <c r="F25" i="27"/>
  <c r="H25" i="27" s="1"/>
  <c r="O25" i="27" s="1"/>
  <c r="AL22" i="26"/>
  <c r="AN22" i="26" s="1"/>
  <c r="J24" i="25"/>
  <c r="Q15" i="25"/>
  <c r="F39" i="24"/>
  <c r="H39" i="24" s="1"/>
  <c r="AE36" i="24"/>
  <c r="AE25" i="26"/>
  <c r="AE24" i="26"/>
  <c r="AG24" i="26" s="1"/>
  <c r="J17" i="26"/>
  <c r="AE40" i="25"/>
  <c r="AL32" i="25"/>
  <c r="F20" i="25"/>
  <c r="F38" i="24"/>
  <c r="H38" i="24" s="1"/>
  <c r="J36" i="24"/>
  <c r="L36" i="24" s="1"/>
  <c r="AE33" i="27"/>
  <c r="Q22" i="3" s="1"/>
  <c r="X34" i="26"/>
  <c r="Z34" i="26" s="1"/>
  <c r="AL28" i="26"/>
  <c r="AN28" i="26" s="1"/>
  <c r="AP28" i="26" s="1"/>
  <c r="F19" i="26"/>
  <c r="F18" i="26"/>
  <c r="F43" i="25"/>
  <c r="AL35" i="25"/>
  <c r="AN35" i="25" s="1"/>
  <c r="AE25" i="25"/>
  <c r="AG25" i="25" s="1"/>
  <c r="Q43" i="24"/>
  <c r="S43" i="24" s="1"/>
  <c r="J26" i="27"/>
  <c r="Q30" i="26"/>
  <c r="S30" i="26" s="1"/>
  <c r="F28" i="25"/>
  <c r="H28" i="25" s="1"/>
  <c r="O28" i="25" s="1"/>
  <c r="Q22" i="25"/>
  <c r="AE33" i="24"/>
  <c r="AG33" i="24" s="1"/>
  <c r="F28" i="24"/>
  <c r="H28" i="24" s="1"/>
  <c r="O28" i="24" s="1"/>
  <c r="F31" i="23"/>
  <c r="H31" i="23" s="1"/>
  <c r="O31" i="23" s="1"/>
  <c r="F26" i="23"/>
  <c r="H26" i="23" s="1"/>
  <c r="O26" i="23" s="1"/>
  <c r="F23" i="27"/>
  <c r="H23" i="27" s="1"/>
  <c r="O23" i="27" s="1"/>
  <c r="Q41" i="25"/>
  <c r="S41" i="25" s="1"/>
  <c r="Q31" i="25"/>
  <c r="S31" i="25" s="1"/>
  <c r="Q26" i="25"/>
  <c r="S26" i="25" s="1"/>
  <c r="J33" i="24"/>
  <c r="L33" i="24" s="1"/>
  <c r="X28" i="24"/>
  <c r="Z28" i="24" s="1"/>
  <c r="J31" i="26"/>
  <c r="L31" i="26" s="1"/>
  <c r="AE24" i="25"/>
  <c r="AG24" i="25" s="1"/>
  <c r="AE43" i="24"/>
  <c r="AG43" i="24" s="1"/>
  <c r="Q20" i="24"/>
  <c r="S20" i="24" s="1"/>
  <c r="F43" i="23"/>
  <c r="H43" i="23" s="1"/>
  <c r="J25" i="26"/>
  <c r="L25" i="26" s="1"/>
  <c r="Q22" i="26"/>
  <c r="J40" i="25"/>
  <c r="AE38" i="25"/>
  <c r="X33" i="25"/>
  <c r="F33" i="24"/>
  <c r="Q18" i="28"/>
  <c r="F33" i="26"/>
  <c r="H33" i="26" s="1"/>
  <c r="AE16" i="26"/>
  <c r="AG16" i="26" s="1"/>
  <c r="F41" i="25"/>
  <c r="H41" i="25" s="1"/>
  <c r="Q33" i="25"/>
  <c r="F31" i="25"/>
  <c r="X28" i="25"/>
  <c r="AE27" i="25"/>
  <c r="AG27" i="25" s="1"/>
  <c r="AL22" i="25"/>
  <c r="X20" i="25"/>
  <c r="F27" i="26"/>
  <c r="H27" i="26" s="1"/>
  <c r="O27" i="26" s="1"/>
  <c r="F26" i="26"/>
  <c r="X19" i="26"/>
  <c r="X18" i="26"/>
  <c r="AE15" i="26"/>
  <c r="J36" i="25"/>
  <c r="L36" i="25" s="1"/>
  <c r="AE15" i="25"/>
  <c r="AG15" i="25" s="1"/>
  <c r="F43" i="24"/>
  <c r="Q46" i="26"/>
  <c r="J43" i="26"/>
  <c r="F22" i="26"/>
  <c r="H22" i="26" s="1"/>
  <c r="O22" i="26" s="1"/>
  <c r="AL31" i="25"/>
  <c r="AN31" i="25" s="1"/>
  <c r="AP31" i="25" s="1"/>
  <c r="X43" i="24"/>
  <c r="Z43" i="24" s="1"/>
  <c r="AE38" i="24"/>
  <c r="AG38" i="24" s="1"/>
  <c r="X34" i="24"/>
  <c r="J30" i="24"/>
  <c r="L30" i="24" s="1"/>
  <c r="Q28" i="24"/>
  <c r="S28" i="24" s="1"/>
  <c r="AL39" i="23"/>
  <c r="AN39" i="23" s="1"/>
  <c r="F36" i="23"/>
  <c r="H36" i="23" s="1"/>
  <c r="Q31" i="23"/>
  <c r="S31" i="23" s="1"/>
  <c r="AL27" i="23"/>
  <c r="AN27" i="23" s="1"/>
  <c r="AE21" i="23"/>
  <c r="AG21" i="23" s="1"/>
  <c r="X42" i="22"/>
  <c r="Z42" i="22" s="1"/>
  <c r="J22" i="22"/>
  <c r="X20" i="22"/>
  <c r="AE30" i="24"/>
  <c r="AG30" i="24" s="1"/>
  <c r="AE24" i="24"/>
  <c r="AG24" i="24" s="1"/>
  <c r="F24" i="24"/>
  <c r="H24" i="24" s="1"/>
  <c r="O24" i="24" s="1"/>
  <c r="X23" i="24"/>
  <c r="Z23" i="24" s="1"/>
  <c r="F16" i="24"/>
  <c r="H16" i="24" s="1"/>
  <c r="O16" i="24" s="1"/>
  <c r="F42" i="23"/>
  <c r="H42" i="23" s="1"/>
  <c r="X36" i="23"/>
  <c r="AL33" i="23"/>
  <c r="AL27" i="25"/>
  <c r="AN27" i="25" s="1"/>
  <c r="AP27" i="25" s="1"/>
  <c r="X20" i="24"/>
  <c r="AE19" i="23"/>
  <c r="X22" i="22"/>
  <c r="X16" i="21"/>
  <c r="Z16" i="21" s="1"/>
  <c r="J43" i="24"/>
  <c r="Q39" i="24"/>
  <c r="S39" i="24" s="1"/>
  <c r="AE27" i="24"/>
  <c r="AG27" i="24" s="1"/>
  <c r="Q26" i="24"/>
  <c r="S26" i="24" s="1"/>
  <c r="AL19" i="24"/>
  <c r="AN19" i="24" s="1"/>
  <c r="AP19" i="24" s="1"/>
  <c r="J39" i="23"/>
  <c r="J19" i="23"/>
  <c r="L19" i="23" s="1"/>
  <c r="Q42" i="22"/>
  <c r="X34" i="22"/>
  <c r="Z34" i="22" s="1"/>
  <c r="F22" i="22"/>
  <c r="H22" i="22" s="1"/>
  <c r="O22" i="22" s="1"/>
  <c r="AE19" i="25"/>
  <c r="X38" i="24"/>
  <c r="Z38" i="24" s="1"/>
  <c r="J28" i="24"/>
  <c r="L28" i="24" s="1"/>
  <c r="AE39" i="23"/>
  <c r="AG39" i="23" s="1"/>
  <c r="Q36" i="23"/>
  <c r="F34" i="22"/>
  <c r="AE28" i="24"/>
  <c r="AG28" i="24" s="1"/>
  <c r="J19" i="24"/>
  <c r="L19" i="24" s="1"/>
  <c r="AE43" i="23"/>
  <c r="AG43" i="23" s="1"/>
  <c r="AE31" i="23"/>
  <c r="AG31" i="23" s="1"/>
  <c r="J31" i="23"/>
  <c r="L31" i="23" s="1"/>
  <c r="AE26" i="23"/>
  <c r="AG26" i="23" s="1"/>
  <c r="J32" i="26"/>
  <c r="Q27" i="24"/>
  <c r="S27" i="24" s="1"/>
  <c r="F19" i="24"/>
  <c r="H19" i="24" s="1"/>
  <c r="AL16" i="24"/>
  <c r="AE36" i="23"/>
  <c r="J42" i="22"/>
  <c r="Q34" i="22"/>
  <c r="S34" i="22" s="1"/>
  <c r="J38" i="24"/>
  <c r="L38" i="24" s="1"/>
  <c r="AL36" i="24"/>
  <c r="AN36" i="24" s="1"/>
  <c r="J36" i="23"/>
  <c r="L36" i="23" s="1"/>
  <c r="AE15" i="23"/>
  <c r="AE41" i="22"/>
  <c r="AE22" i="22"/>
  <c r="AG22" i="22" s="1"/>
  <c r="J41" i="24"/>
  <c r="AL27" i="24"/>
  <c r="AN27" i="24" s="1"/>
  <c r="AP27" i="24" s="1"/>
  <c r="AL24" i="24"/>
  <c r="AN24" i="24" s="1"/>
  <c r="AP24" i="24" s="1"/>
  <c r="AE20" i="24"/>
  <c r="AL17" i="24"/>
  <c r="AN17" i="24" s="1"/>
  <c r="J16" i="24"/>
  <c r="L16" i="24" s="1"/>
  <c r="AL42" i="23"/>
  <c r="Q39" i="23"/>
  <c r="X32" i="23"/>
  <c r="X31" i="23"/>
  <c r="X26" i="23"/>
  <c r="Z26" i="23" s="1"/>
  <c r="X25" i="23"/>
  <c r="Z25" i="23" s="1"/>
  <c r="F25" i="23"/>
  <c r="AE22" i="23"/>
  <c r="AG22" i="23" s="1"/>
  <c r="Q19" i="23"/>
  <c r="X17" i="23"/>
  <c r="Z17" i="23" s="1"/>
  <c r="F17" i="23"/>
  <c r="F43" i="22"/>
  <c r="H43" i="22" s="1"/>
  <c r="Q33" i="24"/>
  <c r="F20" i="24"/>
  <c r="X19" i="24"/>
  <c r="Z19" i="24" s="1"/>
  <c r="Q43" i="23"/>
  <c r="J22" i="23"/>
  <c r="J15" i="23"/>
  <c r="F42" i="22"/>
  <c r="J32" i="22"/>
  <c r="Q31" i="22"/>
  <c r="J27" i="22"/>
  <c r="J15" i="24"/>
  <c r="AE25" i="23"/>
  <c r="AG25" i="23" s="1"/>
  <c r="X31" i="22"/>
  <c r="Z31" i="22" s="1"/>
  <c r="J20" i="22"/>
  <c r="X43" i="21"/>
  <c r="F43" i="21"/>
  <c r="H43" i="21" s="1"/>
  <c r="AE38" i="21"/>
  <c r="AE34" i="25"/>
  <c r="AG34" i="25" s="1"/>
  <c r="X19" i="23"/>
  <c r="Q32" i="22"/>
  <c r="S32" i="22" s="1"/>
  <c r="X27" i="22"/>
  <c r="Z27" i="22" s="1"/>
  <c r="AE26" i="22"/>
  <c r="AG26" i="22" s="1"/>
  <c r="X32" i="21"/>
  <c r="Z32" i="21" s="1"/>
  <c r="F32" i="21"/>
  <c r="H32" i="21" s="1"/>
  <c r="Q28" i="21"/>
  <c r="S28" i="21" s="1"/>
  <c r="F22" i="20"/>
  <c r="H22" i="20" s="1"/>
  <c r="O22" i="20" s="1"/>
  <c r="F16" i="19"/>
  <c r="H16" i="19" s="1"/>
  <c r="O16" i="19" s="1"/>
  <c r="Q16" i="24"/>
  <c r="S16" i="24" s="1"/>
  <c r="AL41" i="23"/>
  <c r="J33" i="23"/>
  <c r="J17" i="23"/>
  <c r="J43" i="22"/>
  <c r="F41" i="22"/>
  <c r="H41" i="22" s="1"/>
  <c r="AE20" i="22"/>
  <c r="AE16" i="22"/>
  <c r="AG16" i="22" s="1"/>
  <c r="J38" i="21"/>
  <c r="L38" i="21" s="1"/>
  <c r="F16" i="21"/>
  <c r="H16" i="21" s="1"/>
  <c r="O16" i="21" s="1"/>
  <c r="Q38" i="24"/>
  <c r="J34" i="23"/>
  <c r="X30" i="23"/>
  <c r="Z30" i="23" s="1"/>
  <c r="X20" i="23"/>
  <c r="Z20" i="23" s="1"/>
  <c r="Q27" i="22"/>
  <c r="S27" i="22" s="1"/>
  <c r="X26" i="22"/>
  <c r="Z26" i="22" s="1"/>
  <c r="F20" i="22"/>
  <c r="H20" i="22" s="1"/>
  <c r="O20" i="22" s="1"/>
  <c r="AL34" i="24"/>
  <c r="AL21" i="23"/>
  <c r="AN21" i="23" s="1"/>
  <c r="AP21" i="23" s="1"/>
  <c r="AL15" i="23"/>
  <c r="AN15" i="23" s="1"/>
  <c r="AE42" i="22"/>
  <c r="AG42" i="22" s="1"/>
  <c r="Q36" i="22"/>
  <c r="X21" i="22"/>
  <c r="Z21" i="22" s="1"/>
  <c r="Q20" i="22"/>
  <c r="S20" i="22" s="1"/>
  <c r="AL19" i="22"/>
  <c r="AN19" i="22" s="1"/>
  <c r="J33" i="21"/>
  <c r="L33" i="21" s="1"/>
  <c r="X30" i="24"/>
  <c r="Z30" i="24" s="1"/>
  <c r="AE33" i="23"/>
  <c r="AG33" i="23" s="1"/>
  <c r="AL22" i="23"/>
  <c r="AN22" i="23" s="1"/>
  <c r="AP22" i="23" s="1"/>
  <c r="X41" i="22"/>
  <c r="F24" i="22"/>
  <c r="H24" i="22" s="1"/>
  <c r="O24" i="22" s="1"/>
  <c r="J43" i="21"/>
  <c r="L43" i="21" s="1"/>
  <c r="J39" i="24"/>
  <c r="L39" i="24" s="1"/>
  <c r="X43" i="23"/>
  <c r="Q41" i="22"/>
  <c r="J34" i="22"/>
  <c r="AE31" i="22"/>
  <c r="AG31" i="22" s="1"/>
  <c r="F26" i="22"/>
  <c r="J19" i="22"/>
  <c r="L19" i="22" s="1"/>
  <c r="Q16" i="22"/>
  <c r="S16" i="22" s="1"/>
  <c r="AE42" i="21"/>
  <c r="J42" i="21"/>
  <c r="AL26" i="24"/>
  <c r="AN26" i="24" s="1"/>
  <c r="X32" i="22"/>
  <c r="Z32" i="22" s="1"/>
  <c r="Q32" i="24"/>
  <c r="S32" i="24" s="1"/>
  <c r="Q26" i="23"/>
  <c r="Q38" i="21"/>
  <c r="S38" i="21" s="1"/>
  <c r="Q30" i="21"/>
  <c r="X28" i="21"/>
  <c r="Q27" i="21"/>
  <c r="AE43" i="20"/>
  <c r="AG43" i="20" s="1"/>
  <c r="J33" i="20"/>
  <c r="AE32" i="20"/>
  <c r="O17" i="3" s="1"/>
  <c r="J32" i="20"/>
  <c r="AE31" i="20"/>
  <c r="N17" i="3" s="1"/>
  <c r="Q43" i="19"/>
  <c r="S43" i="19" s="1"/>
  <c r="X33" i="19"/>
  <c r="Z33" i="19" s="1"/>
  <c r="X28" i="19"/>
  <c r="Z28" i="19" s="1"/>
  <c r="F30" i="23"/>
  <c r="H30" i="23" s="1"/>
  <c r="O30" i="23" s="1"/>
  <c r="Q43" i="21"/>
  <c r="S43" i="21" s="1"/>
  <c r="AL30" i="21"/>
  <c r="AN30" i="21" s="1"/>
  <c r="F43" i="20"/>
  <c r="H43" i="20" s="1"/>
  <c r="J41" i="20"/>
  <c r="L41" i="20" s="1"/>
  <c r="F31" i="20"/>
  <c r="H31" i="20" s="1"/>
  <c r="O31" i="20" s="1"/>
  <c r="F30" i="20"/>
  <c r="H30" i="20" s="1"/>
  <c r="O30" i="20" s="1"/>
  <c r="X28" i="20"/>
  <c r="Z28" i="20" s="1"/>
  <c r="X27" i="20"/>
  <c r="Z27" i="20" s="1"/>
  <c r="F36" i="19"/>
  <c r="H36" i="19" s="1"/>
  <c r="J26" i="23"/>
  <c r="L26" i="23" s="1"/>
  <c r="F19" i="23"/>
  <c r="H19" i="23" s="1"/>
  <c r="AE34" i="22"/>
  <c r="AL24" i="22"/>
  <c r="AE33" i="21"/>
  <c r="AG33" i="21" s="1"/>
  <c r="AL17" i="21"/>
  <c r="AN17" i="21" s="1"/>
  <c r="AP17" i="21" s="1"/>
  <c r="Q17" i="21"/>
  <c r="AE20" i="20"/>
  <c r="F38" i="19"/>
  <c r="Q23" i="19"/>
  <c r="F41" i="18"/>
  <c r="Q31" i="18"/>
  <c r="S31" i="18" s="1"/>
  <c r="X33" i="24"/>
  <c r="Z33" i="24" s="1"/>
  <c r="J23" i="24"/>
  <c r="L23" i="24" s="1"/>
  <c r="Q27" i="23"/>
  <c r="Q42" i="21"/>
  <c r="S42" i="21" s="1"/>
  <c r="F33" i="21"/>
  <c r="H33" i="21" s="1"/>
  <c r="O33" i="21" s="1"/>
  <c r="Q31" i="21"/>
  <c r="S31" i="21" s="1"/>
  <c r="F15" i="21"/>
  <c r="AE41" i="20"/>
  <c r="AG41" i="20" s="1"/>
  <c r="F41" i="20"/>
  <c r="AE34" i="20"/>
  <c r="AG34" i="20" s="1"/>
  <c r="J34" i="20"/>
  <c r="L34" i="20" s="1"/>
  <c r="F33" i="20"/>
  <c r="H33" i="20" s="1"/>
  <c r="O33" i="20" s="1"/>
  <c r="Q27" i="20"/>
  <c r="S27" i="20" s="1"/>
  <c r="AL26" i="20"/>
  <c r="AN26" i="20" s="1"/>
  <c r="AP26" i="20" s="1"/>
  <c r="Q26" i="20"/>
  <c r="S26" i="20" s="1"/>
  <c r="AL25" i="20"/>
  <c r="AN25" i="20" s="1"/>
  <c r="J20" i="20"/>
  <c r="L20" i="20" s="1"/>
  <c r="X38" i="19"/>
  <c r="X36" i="19"/>
  <c r="Z36" i="19" s="1"/>
  <c r="F16" i="22"/>
  <c r="J36" i="21"/>
  <c r="J16" i="21"/>
  <c r="AL42" i="20"/>
  <c r="AE22" i="20"/>
  <c r="J22" i="20"/>
  <c r="L22" i="20" s="1"/>
  <c r="AE43" i="19"/>
  <c r="AE16" i="19"/>
  <c r="J16" i="19"/>
  <c r="F26" i="18"/>
  <c r="H26" i="18" s="1"/>
  <c r="O26" i="18" s="1"/>
  <c r="AL22" i="18"/>
  <c r="J41" i="21"/>
  <c r="L41" i="21" s="1"/>
  <c r="X38" i="21"/>
  <c r="Z38" i="21" s="1"/>
  <c r="Q33" i="21"/>
  <c r="S33" i="21" s="1"/>
  <c r="AE31" i="21"/>
  <c r="AG31" i="21" s="1"/>
  <c r="F31" i="21"/>
  <c r="Q25" i="21"/>
  <c r="S25" i="21" s="1"/>
  <c r="J18" i="21"/>
  <c r="L18" i="21" s="1"/>
  <c r="F42" i="20"/>
  <c r="H42" i="20" s="1"/>
  <c r="Q41" i="20"/>
  <c r="J28" i="20"/>
  <c r="AE27" i="20"/>
  <c r="J27" i="20"/>
  <c r="L27" i="20" s="1"/>
  <c r="AE26" i="20"/>
  <c r="AG26" i="20" s="1"/>
  <c r="J41" i="23"/>
  <c r="X18" i="22"/>
  <c r="AL42" i="21"/>
  <c r="AL41" i="21"/>
  <c r="AN41" i="21" s="1"/>
  <c r="X30" i="21"/>
  <c r="Z30" i="21" s="1"/>
  <c r="AL33" i="20"/>
  <c r="AN33" i="20" s="1"/>
  <c r="AP33" i="20" s="1"/>
  <c r="AE30" i="20"/>
  <c r="X43" i="19"/>
  <c r="Z43" i="19" s="1"/>
  <c r="F31" i="22"/>
  <c r="H31" i="22" s="1"/>
  <c r="O31" i="22" s="1"/>
  <c r="Q26" i="22"/>
  <c r="Q19" i="22"/>
  <c r="X16" i="22"/>
  <c r="AE43" i="21"/>
  <c r="AG43" i="21" s="1"/>
  <c r="J32" i="21"/>
  <c r="L32" i="21" s="1"/>
  <c r="X31" i="21"/>
  <c r="F28" i="21"/>
  <c r="H28" i="21" s="1"/>
  <c r="O28" i="21" s="1"/>
  <c r="X27" i="21"/>
  <c r="Z27" i="21" s="1"/>
  <c r="Q15" i="21"/>
  <c r="S15" i="21" s="1"/>
  <c r="AL34" i="20"/>
  <c r="Q34" i="20"/>
  <c r="S34" i="20" s="1"/>
  <c r="Q33" i="20"/>
  <c r="S33" i="20" s="1"/>
  <c r="J30" i="20"/>
  <c r="L30" i="20" s="1"/>
  <c r="Q20" i="20"/>
  <c r="S20" i="20" s="1"/>
  <c r="AE38" i="19"/>
  <c r="AG38" i="19" s="1"/>
  <c r="AE19" i="24"/>
  <c r="J25" i="23"/>
  <c r="L25" i="23" s="1"/>
  <c r="AE41" i="21"/>
  <c r="AE32" i="21"/>
  <c r="AG32" i="21" s="1"/>
  <c r="AL22" i="21"/>
  <c r="J19" i="21"/>
  <c r="L19" i="21" s="1"/>
  <c r="F18" i="21"/>
  <c r="H18" i="21" s="1"/>
  <c r="O18" i="21" s="1"/>
  <c r="Q16" i="21"/>
  <c r="AL15" i="21"/>
  <c r="F28" i="20"/>
  <c r="Q22" i="20"/>
  <c r="J27" i="21"/>
  <c r="L27" i="21" s="1"/>
  <c r="Q32" i="20"/>
  <c r="Q28" i="20"/>
  <c r="AE41" i="18"/>
  <c r="F22" i="18"/>
  <c r="H22" i="18" s="1"/>
  <c r="O22" i="18" s="1"/>
  <c r="F27" i="23"/>
  <c r="Q22" i="22"/>
  <c r="S22" i="22" s="1"/>
  <c r="AL24" i="21"/>
  <c r="AN24" i="21" s="1"/>
  <c r="AP24" i="21" s="1"/>
  <c r="AL34" i="19"/>
  <c r="J34" i="19"/>
  <c r="L34" i="19" s="1"/>
  <c r="AE23" i="19"/>
  <c r="AG23" i="19" s="1"/>
  <c r="J27" i="18"/>
  <c r="L27" i="18" s="1"/>
  <c r="AE26" i="18"/>
  <c r="AG26" i="18" s="1"/>
  <c r="J26" i="18"/>
  <c r="L26" i="18" s="1"/>
  <c r="F23" i="18"/>
  <c r="X31" i="17"/>
  <c r="Z31" i="17" s="1"/>
  <c r="AE27" i="17"/>
  <c r="AG27" i="17" s="1"/>
  <c r="AE18" i="22"/>
  <c r="AG18" i="22" s="1"/>
  <c r="J28" i="21"/>
  <c r="L28" i="21" s="1"/>
  <c r="F27" i="21"/>
  <c r="Q39" i="20"/>
  <c r="J15" i="20"/>
  <c r="L15" i="20" s="1"/>
  <c r="F43" i="19"/>
  <c r="Q33" i="19"/>
  <c r="S33" i="19" s="1"/>
  <c r="J31" i="19"/>
  <c r="Q28" i="19"/>
  <c r="S28" i="19" s="1"/>
  <c r="F24" i="18"/>
  <c r="X22" i="18"/>
  <c r="X15" i="18"/>
  <c r="F15" i="18"/>
  <c r="H15" i="18" s="1"/>
  <c r="AE42" i="17"/>
  <c r="AG42" i="17" s="1"/>
  <c r="AL25" i="17"/>
  <c r="Q32" i="21"/>
  <c r="F20" i="21"/>
  <c r="H20" i="21" s="1"/>
  <c r="O20" i="21" s="1"/>
  <c r="X15" i="21"/>
  <c r="F38" i="20"/>
  <c r="H38" i="20" s="1"/>
  <c r="F34" i="19"/>
  <c r="AE32" i="19"/>
  <c r="AG32" i="19" s="1"/>
  <c r="AE27" i="19"/>
  <c r="J26" i="19"/>
  <c r="Q15" i="19"/>
  <c r="S15" i="19" s="1"/>
  <c r="Q43" i="18"/>
  <c r="S43" i="18" s="1"/>
  <c r="X24" i="18"/>
  <c r="Z24" i="18" s="1"/>
  <c r="Q19" i="18"/>
  <c r="X33" i="21"/>
  <c r="AE16" i="21"/>
  <c r="AG16" i="21" s="1"/>
  <c r="AE25" i="20"/>
  <c r="AG25" i="20" s="1"/>
  <c r="AE24" i="20"/>
  <c r="AG24" i="20" s="1"/>
  <c r="X20" i="20"/>
  <c r="F16" i="20"/>
  <c r="Q38" i="19"/>
  <c r="S38" i="19" s="1"/>
  <c r="F31" i="19"/>
  <c r="F27" i="18"/>
  <c r="H27" i="18" s="1"/>
  <c r="O27" i="18" s="1"/>
  <c r="AL21" i="18"/>
  <c r="AN21" i="18" s="1"/>
  <c r="Q25" i="17"/>
  <c r="S25" i="17" s="1"/>
  <c r="AL15" i="24"/>
  <c r="AN15" i="24" s="1"/>
  <c r="F36" i="21"/>
  <c r="H36" i="21" s="1"/>
  <c r="AE17" i="21"/>
  <c r="AG17" i="21" s="1"/>
  <c r="AL30" i="20"/>
  <c r="AN30" i="20" s="1"/>
  <c r="AL41" i="19"/>
  <c r="J36" i="19"/>
  <c r="L36" i="19" s="1"/>
  <c r="X32" i="19"/>
  <c r="Z32" i="19" s="1"/>
  <c r="Q41" i="21"/>
  <c r="S41" i="21" s="1"/>
  <c r="Q39" i="21"/>
  <c r="S39" i="21" s="1"/>
  <c r="AE21" i="21"/>
  <c r="AE38" i="20"/>
  <c r="AG38" i="20" s="1"/>
  <c r="F20" i="20"/>
  <c r="H20" i="20" s="1"/>
  <c r="O20" i="20" s="1"/>
  <c r="X42" i="19"/>
  <c r="J38" i="19"/>
  <c r="F33" i="19"/>
  <c r="F28" i="19"/>
  <c r="F22" i="19"/>
  <c r="H22" i="19" s="1"/>
  <c r="O22" i="19" s="1"/>
  <c r="AL20" i="19"/>
  <c r="Q20" i="19"/>
  <c r="S20" i="19" s="1"/>
  <c r="F15" i="19"/>
  <c r="AE39" i="18"/>
  <c r="F39" i="18"/>
  <c r="J31" i="18"/>
  <c r="L31" i="18" s="1"/>
  <c r="Q26" i="18"/>
  <c r="S26" i="18" s="1"/>
  <c r="AL25" i="18"/>
  <c r="AN25" i="18" s="1"/>
  <c r="Q25" i="18"/>
  <c r="AE19" i="18"/>
  <c r="AG19" i="18" s="1"/>
  <c r="AL31" i="21"/>
  <c r="AN31" i="21" s="1"/>
  <c r="AP31" i="21" s="1"/>
  <c r="AE28" i="21"/>
  <c r="X19" i="21"/>
  <c r="Z19" i="21" s="1"/>
  <c r="J17" i="21"/>
  <c r="X33" i="20"/>
  <c r="Z33" i="20" s="1"/>
  <c r="AE33" i="19"/>
  <c r="AG33" i="19" s="1"/>
  <c r="AE28" i="19"/>
  <c r="AG28" i="19" s="1"/>
  <c r="AL25" i="19"/>
  <c r="AN25" i="19" s="1"/>
  <c r="AL36" i="18"/>
  <c r="AN36" i="18" s="1"/>
  <c r="AE31" i="18"/>
  <c r="AE22" i="18"/>
  <c r="AG22" i="18" s="1"/>
  <c r="J22" i="18"/>
  <c r="L22" i="18" s="1"/>
  <c r="AE21" i="18"/>
  <c r="AG21" i="18" s="1"/>
  <c r="J16" i="18"/>
  <c r="L16" i="18" s="1"/>
  <c r="AE15" i="18"/>
  <c r="AG15" i="18" s="1"/>
  <c r="F36" i="17"/>
  <c r="AE25" i="22"/>
  <c r="AE17" i="22"/>
  <c r="AL32" i="21"/>
  <c r="AL39" i="20"/>
  <c r="AN39" i="20" s="1"/>
  <c r="X32" i="20"/>
  <c r="Z32" i="20" s="1"/>
  <c r="J25" i="20"/>
  <c r="Q34" i="19"/>
  <c r="S34" i="19" s="1"/>
  <c r="X15" i="19"/>
  <c r="Z15" i="19" s="1"/>
  <c r="AE23" i="18"/>
  <c r="AG23" i="18" s="1"/>
  <c r="Q42" i="17"/>
  <c r="S42" i="17" s="1"/>
  <c r="F34" i="21"/>
  <c r="H34" i="21" s="1"/>
  <c r="Q31" i="20"/>
  <c r="F24" i="20"/>
  <c r="H24" i="20" s="1"/>
  <c r="O24" i="20" s="1"/>
  <c r="F23" i="20"/>
  <c r="J43" i="19"/>
  <c r="L43" i="19" s="1"/>
  <c r="AL32" i="19"/>
  <c r="AN32" i="19" s="1"/>
  <c r="AP32" i="19" s="1"/>
  <c r="AE30" i="19"/>
  <c r="AG30" i="19" s="1"/>
  <c r="AL27" i="19"/>
  <c r="AN27" i="19" s="1"/>
  <c r="J25" i="19"/>
  <c r="X24" i="19"/>
  <c r="J23" i="19"/>
  <c r="X22" i="19"/>
  <c r="Z22" i="19" s="1"/>
  <c r="J41" i="18"/>
  <c r="X39" i="18"/>
  <c r="Q38" i="18"/>
  <c r="J36" i="18"/>
  <c r="L36" i="18" s="1"/>
  <c r="J32" i="18"/>
  <c r="F31" i="18"/>
  <c r="H31" i="18" s="1"/>
  <c r="O31" i="18" s="1"/>
  <c r="AL27" i="18"/>
  <c r="AN27" i="18" s="1"/>
  <c r="AP27" i="18" s="1"/>
  <c r="AE24" i="18"/>
  <c r="AG24" i="18" s="1"/>
  <c r="J24" i="18"/>
  <c r="L24" i="18" s="1"/>
  <c r="J23" i="18"/>
  <c r="L23" i="18" s="1"/>
  <c r="X17" i="18"/>
  <c r="Z17" i="18" s="1"/>
  <c r="J15" i="18"/>
  <c r="AE26" i="19"/>
  <c r="AG26" i="19" s="1"/>
  <c r="J15" i="19"/>
  <c r="L15" i="19" s="1"/>
  <c r="AL20" i="18"/>
  <c r="AN20" i="18" s="1"/>
  <c r="AE17" i="18"/>
  <c r="Q43" i="20"/>
  <c r="S43" i="20" s="1"/>
  <c r="AL39" i="18"/>
  <c r="AN39" i="18" s="1"/>
  <c r="Q22" i="18"/>
  <c r="S22" i="18" s="1"/>
  <c r="AE32" i="17"/>
  <c r="X22" i="17"/>
  <c r="Z22" i="17" s="1"/>
  <c r="F16" i="17"/>
  <c r="J39" i="16"/>
  <c r="Q28" i="16"/>
  <c r="F16" i="16"/>
  <c r="F39" i="15"/>
  <c r="H39" i="15" s="1"/>
  <c r="X30" i="15"/>
  <c r="Z30" i="15" s="1"/>
  <c r="AL31" i="20"/>
  <c r="F24" i="19"/>
  <c r="F32" i="17"/>
  <c r="H32" i="17" s="1"/>
  <c r="J27" i="17"/>
  <c r="L27" i="17" s="1"/>
  <c r="X39" i="15"/>
  <c r="AE34" i="15"/>
  <c r="AL36" i="19"/>
  <c r="Q36" i="18"/>
  <c r="S36" i="18" s="1"/>
  <c r="F34" i="18"/>
  <c r="H34" i="18" s="1"/>
  <c r="Q23" i="18"/>
  <c r="S23" i="18" s="1"/>
  <c r="AL41" i="17"/>
  <c r="Q36" i="17"/>
  <c r="S36" i="17" s="1"/>
  <c r="Q15" i="17"/>
  <c r="S15" i="17" s="1"/>
  <c r="X32" i="16"/>
  <c r="Z32" i="16" s="1"/>
  <c r="F32" i="16"/>
  <c r="H32" i="16" s="1"/>
  <c r="X24" i="16"/>
  <c r="Z24" i="16" s="1"/>
  <c r="F22" i="16"/>
  <c r="H22" i="16" s="1"/>
  <c r="O22" i="16" s="1"/>
  <c r="AE19" i="16"/>
  <c r="AG19" i="16" s="1"/>
  <c r="J39" i="19"/>
  <c r="X27" i="19"/>
  <c r="Z27" i="19" s="1"/>
  <c r="Q24" i="18"/>
  <c r="S24" i="18" s="1"/>
  <c r="Q31" i="17"/>
  <c r="F27" i="17"/>
  <c r="Q22" i="17"/>
  <c r="F39" i="16"/>
  <c r="Q34" i="16"/>
  <c r="X21" i="16"/>
  <c r="X15" i="16"/>
  <c r="Z15" i="16" s="1"/>
  <c r="AL28" i="20"/>
  <c r="AN28" i="20" s="1"/>
  <c r="X41" i="19"/>
  <c r="AE28" i="18"/>
  <c r="AG28" i="18" s="1"/>
  <c r="Q16" i="18"/>
  <c r="S16" i="18" s="1"/>
  <c r="Q15" i="18"/>
  <c r="S15" i="18" s="1"/>
  <c r="AE34" i="17"/>
  <c r="AG34" i="17" s="1"/>
  <c r="J25" i="17"/>
  <c r="L25" i="17" s="1"/>
  <c r="AL22" i="17"/>
  <c r="AN22" i="17" s="1"/>
  <c r="AL20" i="17"/>
  <c r="AN20" i="17" s="1"/>
  <c r="AL43" i="16"/>
  <c r="AN43" i="16" s="1"/>
  <c r="X39" i="16"/>
  <c r="Z39" i="16" s="1"/>
  <c r="AL33" i="16"/>
  <c r="AN33" i="16" s="1"/>
  <c r="AP33" i="16" s="1"/>
  <c r="AE28" i="16"/>
  <c r="AG28" i="16" s="1"/>
  <c r="J19" i="16"/>
  <c r="L19" i="16" s="1"/>
  <c r="AL16" i="16"/>
  <c r="AN16" i="16" s="1"/>
  <c r="AL30" i="19"/>
  <c r="AN30" i="19" s="1"/>
  <c r="Q41" i="18"/>
  <c r="Q20" i="18"/>
  <c r="S20" i="18" s="1"/>
  <c r="J17" i="18"/>
  <c r="J38" i="17"/>
  <c r="AL33" i="17"/>
  <c r="AN33" i="17" s="1"/>
  <c r="AL31" i="17"/>
  <c r="AN31" i="17" s="1"/>
  <c r="AL28" i="17"/>
  <c r="AE25" i="17"/>
  <c r="AG25" i="17" s="1"/>
  <c r="AE19" i="17"/>
  <c r="J33" i="19"/>
  <c r="F25" i="17"/>
  <c r="AL23" i="17"/>
  <c r="AN23" i="17" s="1"/>
  <c r="Q23" i="17"/>
  <c r="AE20" i="17"/>
  <c r="AE15" i="17"/>
  <c r="J34" i="16"/>
  <c r="Q32" i="16"/>
  <c r="S32" i="16" s="1"/>
  <c r="AL31" i="16"/>
  <c r="AN31" i="16" s="1"/>
  <c r="AL22" i="16"/>
  <c r="Q22" i="16"/>
  <c r="S22" i="16" s="1"/>
  <c r="F19" i="16"/>
  <c r="H19" i="16" s="1"/>
  <c r="O19" i="16" s="1"/>
  <c r="AE31" i="19"/>
  <c r="AG31" i="19" s="1"/>
  <c r="AL19" i="19"/>
  <c r="X17" i="19"/>
  <c r="Z17" i="19" s="1"/>
  <c r="J30" i="18"/>
  <c r="L30" i="18" s="1"/>
  <c r="F38" i="17"/>
  <c r="H38" i="17" s="1"/>
  <c r="F31" i="17"/>
  <c r="H31" i="17" s="1"/>
  <c r="J22" i="17"/>
  <c r="L22" i="17" s="1"/>
  <c r="AL16" i="17"/>
  <c r="AN16" i="17" s="1"/>
  <c r="Q39" i="16"/>
  <c r="S39" i="16" s="1"/>
  <c r="Q24" i="21"/>
  <c r="AE42" i="19"/>
  <c r="AG42" i="19" s="1"/>
  <c r="J28" i="19"/>
  <c r="AL23" i="18"/>
  <c r="AN23" i="18" s="1"/>
  <c r="F43" i="17"/>
  <c r="H43" i="17" s="1"/>
  <c r="J42" i="17"/>
  <c r="J41" i="17"/>
  <c r="AE36" i="17"/>
  <c r="AG36" i="17" s="1"/>
  <c r="Q34" i="17"/>
  <c r="S34" i="17" s="1"/>
  <c r="Q24" i="17"/>
  <c r="F20" i="17"/>
  <c r="H20" i="17" s="1"/>
  <c r="O20" i="17" s="1"/>
  <c r="J16" i="17"/>
  <c r="L16" i="17" s="1"/>
  <c r="F15" i="17"/>
  <c r="H15" i="17" s="1"/>
  <c r="AE43" i="16"/>
  <c r="AG43" i="16" s="1"/>
  <c r="F36" i="16"/>
  <c r="H36" i="16" s="1"/>
  <c r="AE33" i="16"/>
  <c r="AG33" i="16" s="1"/>
  <c r="AE24" i="16"/>
  <c r="J42" i="20"/>
  <c r="L42" i="20" s="1"/>
  <c r="Q16" i="19"/>
  <c r="S16" i="19" s="1"/>
  <c r="F42" i="17"/>
  <c r="J32" i="17"/>
  <c r="L32" i="17" s="1"/>
  <c r="Q27" i="17"/>
  <c r="S27" i="17" s="1"/>
  <c r="X25" i="17"/>
  <c r="J23" i="17"/>
  <c r="L23" i="17" s="1"/>
  <c r="J43" i="16"/>
  <c r="L43" i="16" s="1"/>
  <c r="AE42" i="16"/>
  <c r="AG42" i="16" s="1"/>
  <c r="J42" i="16"/>
  <c r="L42" i="16" s="1"/>
  <c r="AE41" i="16"/>
  <c r="F34" i="16"/>
  <c r="J33" i="16"/>
  <c r="L33" i="16" s="1"/>
  <c r="AE32" i="16"/>
  <c r="J24" i="16"/>
  <c r="AE23" i="16"/>
  <c r="J23" i="16"/>
  <c r="Q30" i="17"/>
  <c r="S30" i="17" s="1"/>
  <c r="X20" i="17"/>
  <c r="J32" i="16"/>
  <c r="Q34" i="15"/>
  <c r="J25" i="15"/>
  <c r="L25" i="15" s="1"/>
  <c r="Q15" i="15"/>
  <c r="Q27" i="14"/>
  <c r="Q41" i="16"/>
  <c r="S41" i="16" s="1"/>
  <c r="J15" i="16"/>
  <c r="L15" i="16" s="1"/>
  <c r="J42" i="14"/>
  <c r="L42" i="14" s="1"/>
  <c r="X23" i="19"/>
  <c r="Z23" i="19" s="1"/>
  <c r="F19" i="17"/>
  <c r="H19" i="17" s="1"/>
  <c r="O19" i="17" s="1"/>
  <c r="J15" i="17"/>
  <c r="Q25" i="16"/>
  <c r="S25" i="16" s="1"/>
  <c r="X43" i="15"/>
  <c r="AE42" i="15"/>
  <c r="AG42" i="15" s="1"/>
  <c r="J38" i="15"/>
  <c r="L38" i="15" s="1"/>
  <c r="Q30" i="15"/>
  <c r="S30" i="15" s="1"/>
  <c r="X26" i="15"/>
  <c r="F26" i="15"/>
  <c r="H26" i="15" s="1"/>
  <c r="O26" i="15" s="1"/>
  <c r="AE24" i="15"/>
  <c r="AG24" i="15" s="1"/>
  <c r="Q22" i="15"/>
  <c r="AL21" i="15"/>
  <c r="AN21" i="15" s="1"/>
  <c r="J16" i="15"/>
  <c r="J20" i="17"/>
  <c r="J41" i="16"/>
  <c r="L41" i="16" s="1"/>
  <c r="Q23" i="16"/>
  <c r="AL19" i="16"/>
  <c r="AN19" i="16" s="1"/>
  <c r="AP19" i="16" s="1"/>
  <c r="F15" i="16"/>
  <c r="H15" i="16" s="1"/>
  <c r="AE39" i="15"/>
  <c r="AL36" i="15"/>
  <c r="J32" i="15"/>
  <c r="F25" i="15"/>
  <c r="X20" i="15"/>
  <c r="F20" i="15"/>
  <c r="AE15" i="15"/>
  <c r="AG15" i="15" s="1"/>
  <c r="AE36" i="14"/>
  <c r="AE27" i="14"/>
  <c r="X25" i="14"/>
  <c r="F18" i="18"/>
  <c r="H18" i="18" s="1"/>
  <c r="O18" i="18" s="1"/>
  <c r="F39" i="17"/>
  <c r="Q32" i="17"/>
  <c r="J31" i="17"/>
  <c r="L31" i="17" s="1"/>
  <c r="V31" i="17" s="1"/>
  <c r="Q43" i="16"/>
  <c r="S43" i="16" s="1"/>
  <c r="Q42" i="16"/>
  <c r="S42" i="16" s="1"/>
  <c r="J36" i="16"/>
  <c r="J28" i="16"/>
  <c r="L28" i="16" s="1"/>
  <c r="J22" i="16"/>
  <c r="L22" i="16" s="1"/>
  <c r="AL38" i="15"/>
  <c r="AL28" i="15"/>
  <c r="AN28" i="15" s="1"/>
  <c r="X25" i="15"/>
  <c r="Z25" i="15" s="1"/>
  <c r="Q39" i="14"/>
  <c r="S39" i="14" s="1"/>
  <c r="J36" i="14"/>
  <c r="L36" i="14" s="1"/>
  <c r="F25" i="14"/>
  <c r="H25" i="14" s="1"/>
  <c r="O25" i="14" s="1"/>
  <c r="Q23" i="14"/>
  <c r="S23" i="14" s="1"/>
  <c r="AL32" i="16"/>
  <c r="AN32" i="16" s="1"/>
  <c r="AP32" i="16" s="1"/>
  <c r="J27" i="16"/>
  <c r="L27" i="16" s="1"/>
  <c r="AE15" i="16"/>
  <c r="AG15" i="16" s="1"/>
  <c r="F34" i="15"/>
  <c r="J15" i="15"/>
  <c r="L15" i="15" s="1"/>
  <c r="J27" i="14"/>
  <c r="L27" i="14" s="1"/>
  <c r="F26" i="19"/>
  <c r="H26" i="19" s="1"/>
  <c r="O26" i="19" s="1"/>
  <c r="X33" i="17"/>
  <c r="AE31" i="16"/>
  <c r="AG31" i="16" s="1"/>
  <c r="F25" i="16"/>
  <c r="H25" i="16" s="1"/>
  <c r="O25" i="16" s="1"/>
  <c r="J30" i="15"/>
  <c r="L30" i="15" s="1"/>
  <c r="AL20" i="15"/>
  <c r="AN20" i="15" s="1"/>
  <c r="AL25" i="14"/>
  <c r="AN25" i="14" s="1"/>
  <c r="AE23" i="14"/>
  <c r="AG23" i="14" s="1"/>
  <c r="AE27" i="21"/>
  <c r="AE34" i="16"/>
  <c r="AE28" i="15"/>
  <c r="AL16" i="15"/>
  <c r="X15" i="15"/>
  <c r="F15" i="15"/>
  <c r="AL28" i="14"/>
  <c r="AN28" i="14" s="1"/>
  <c r="AP28" i="14" s="1"/>
  <c r="X27" i="14"/>
  <c r="F27" i="14"/>
  <c r="Q25" i="14"/>
  <c r="S25" i="14" s="1"/>
  <c r="J23" i="14"/>
  <c r="AL21" i="14"/>
  <c r="AN21" i="14" s="1"/>
  <c r="AP21" i="14" s="1"/>
  <c r="F38" i="21"/>
  <c r="AL41" i="16"/>
  <c r="X30" i="16"/>
  <c r="Z30" i="16" s="1"/>
  <c r="AL28" i="16"/>
  <c r="AN28" i="16" s="1"/>
  <c r="AL24" i="16"/>
  <c r="AN24" i="16" s="1"/>
  <c r="AL23" i="16"/>
  <c r="AL43" i="15"/>
  <c r="AN43" i="15" s="1"/>
  <c r="AP43" i="15" s="1"/>
  <c r="F43" i="15"/>
  <c r="H43" i="15" s="1"/>
  <c r="X38" i="15"/>
  <c r="X34" i="15"/>
  <c r="F30" i="15"/>
  <c r="H30" i="15" s="1"/>
  <c r="J28" i="15"/>
  <c r="L28" i="15" s="1"/>
  <c r="J27" i="15"/>
  <c r="AL24" i="15"/>
  <c r="AN24" i="15" s="1"/>
  <c r="F22" i="15"/>
  <c r="F41" i="17"/>
  <c r="F33" i="17"/>
  <c r="H33" i="17" s="1"/>
  <c r="O33" i="17" s="1"/>
  <c r="X34" i="16"/>
  <c r="Z34" i="16" s="1"/>
  <c r="Q33" i="16"/>
  <c r="S33" i="16" s="1"/>
  <c r="AE21" i="16"/>
  <c r="Q19" i="16"/>
  <c r="S19" i="16" s="1"/>
  <c r="J16" i="16"/>
  <c r="Q15" i="16"/>
  <c r="S15" i="16" s="1"/>
  <c r="Q24" i="15"/>
  <c r="AE20" i="15"/>
  <c r="AG20" i="15" s="1"/>
  <c r="Q16" i="15"/>
  <c r="AL36" i="14"/>
  <c r="Q28" i="14"/>
  <c r="S28" i="14" s="1"/>
  <c r="AE25" i="14"/>
  <c r="AL42" i="16"/>
  <c r="AE39" i="16"/>
  <c r="X38" i="16"/>
  <c r="Z38" i="16" s="1"/>
  <c r="AE27" i="16"/>
  <c r="AE43" i="15"/>
  <c r="AG43" i="15" s="1"/>
  <c r="F42" i="15"/>
  <c r="H42" i="15" s="1"/>
  <c r="AE23" i="13"/>
  <c r="F19" i="13"/>
  <c r="H19" i="13" s="1"/>
  <c r="O19" i="13" s="1"/>
  <c r="Q15" i="13"/>
  <c r="S15" i="13" s="1"/>
  <c r="F39" i="12"/>
  <c r="F38" i="12"/>
  <c r="H38" i="12" s="1"/>
  <c r="AE34" i="12"/>
  <c r="AG34" i="12" s="1"/>
  <c r="AE33" i="12"/>
  <c r="AG33" i="12" s="1"/>
  <c r="AE32" i="12"/>
  <c r="AG32" i="12" s="1"/>
  <c r="X25" i="12"/>
  <c r="Z25" i="12" s="1"/>
  <c r="X41" i="15"/>
  <c r="AE38" i="15"/>
  <c r="AE25" i="15"/>
  <c r="AG25" i="15" s="1"/>
  <c r="J22" i="15"/>
  <c r="AE38" i="14"/>
  <c r="X24" i="14"/>
  <c r="Z24" i="14" s="1"/>
  <c r="AL23" i="14"/>
  <c r="AN23" i="14" s="1"/>
  <c r="Q22" i="14"/>
  <c r="S22" i="14" s="1"/>
  <c r="AE36" i="13"/>
  <c r="AG36" i="13" s="1"/>
  <c r="J36" i="13"/>
  <c r="L36" i="13" s="1"/>
  <c r="Q30" i="13"/>
  <c r="S30" i="13" s="1"/>
  <c r="J26" i="13"/>
  <c r="L26" i="13" s="1"/>
  <c r="J32" i="12"/>
  <c r="L32" i="12" s="1"/>
  <c r="X24" i="12"/>
  <c r="Z24" i="12" s="1"/>
  <c r="F24" i="12"/>
  <c r="H24" i="12" s="1"/>
  <c r="O24" i="12" s="1"/>
  <c r="J23" i="12"/>
  <c r="L23" i="12" s="1"/>
  <c r="AE16" i="12"/>
  <c r="AG16" i="12" s="1"/>
  <c r="J16" i="12"/>
  <c r="L16" i="12" s="1"/>
  <c r="AE15" i="12"/>
  <c r="AG15" i="12" s="1"/>
  <c r="J30" i="11"/>
  <c r="L30" i="11" s="1"/>
  <c r="J25" i="11"/>
  <c r="Q16" i="16"/>
  <c r="X39" i="14"/>
  <c r="Z39" i="14" s="1"/>
  <c r="X31" i="14"/>
  <c r="Z31" i="14" s="1"/>
  <c r="J25" i="14"/>
  <c r="L25" i="14" s="1"/>
  <c r="F23" i="14"/>
  <c r="H23" i="14" s="1"/>
  <c r="O23" i="14" s="1"/>
  <c r="AL28" i="13"/>
  <c r="AN28" i="13" s="1"/>
  <c r="AP28" i="13" s="1"/>
  <c r="AE27" i="13"/>
  <c r="AG27" i="13" s="1"/>
  <c r="J27" i="13"/>
  <c r="L27" i="13" s="1"/>
  <c r="F25" i="13"/>
  <c r="H25" i="13" s="1"/>
  <c r="O25" i="13" s="1"/>
  <c r="F36" i="14"/>
  <c r="F36" i="13"/>
  <c r="H36" i="13" s="1"/>
  <c r="F34" i="12"/>
  <c r="F33" i="12"/>
  <c r="J30" i="12"/>
  <c r="L30" i="12" s="1"/>
  <c r="J43" i="15"/>
  <c r="L43" i="15" s="1"/>
  <c r="Q25" i="15"/>
  <c r="X38" i="14"/>
  <c r="Q39" i="13"/>
  <c r="S39" i="13" s="1"/>
  <c r="F26" i="13"/>
  <c r="H26" i="13" s="1"/>
  <c r="O26" i="13" s="1"/>
  <c r="X23" i="13"/>
  <c r="Z23" i="13" s="1"/>
  <c r="J15" i="13"/>
  <c r="L15" i="13" s="1"/>
  <c r="F32" i="12"/>
  <c r="H32" i="12" s="1"/>
  <c r="Q25" i="12"/>
  <c r="S25" i="12" s="1"/>
  <c r="F23" i="12"/>
  <c r="F16" i="12"/>
  <c r="H16" i="12" s="1"/>
  <c r="O16" i="12" s="1"/>
  <c r="F15" i="12"/>
  <c r="H15" i="12" s="1"/>
  <c r="F30" i="11"/>
  <c r="H30" i="11" s="1"/>
  <c r="F25" i="11"/>
  <c r="H25" i="11" s="1"/>
  <c r="O25" i="11" s="1"/>
  <c r="Q26" i="15"/>
  <c r="S26" i="15" s="1"/>
  <c r="AL39" i="13"/>
  <c r="AN39" i="13" s="1"/>
  <c r="AP39" i="13" s="1"/>
  <c r="Q24" i="12"/>
  <c r="S24" i="12" s="1"/>
  <c r="AE30" i="15"/>
  <c r="AG30" i="15" s="1"/>
  <c r="J28" i="14"/>
  <c r="J30" i="13"/>
  <c r="L30" i="13" s="1"/>
  <c r="X26" i="13"/>
  <c r="Z26" i="13" s="1"/>
  <c r="F30" i="12"/>
  <c r="H30" i="12" s="1"/>
  <c r="AE21" i="11"/>
  <c r="AG21" i="11" s="1"/>
  <c r="X18" i="17"/>
  <c r="Z18" i="17" s="1"/>
  <c r="J17" i="15"/>
  <c r="L17" i="15" s="1"/>
  <c r="AE42" i="14"/>
  <c r="AG42" i="14" s="1"/>
  <c r="F39" i="14"/>
  <c r="AL24" i="14"/>
  <c r="AN24" i="14" s="1"/>
  <c r="F24" i="14"/>
  <c r="Q25" i="13"/>
  <c r="S25" i="13" s="1"/>
  <c r="AE19" i="13"/>
  <c r="AG19" i="13" s="1"/>
  <c r="X15" i="13"/>
  <c r="Z15" i="13" s="1"/>
  <c r="AL34" i="12"/>
  <c r="AN34" i="12" s="1"/>
  <c r="AP34" i="12" s="1"/>
  <c r="Q34" i="12"/>
  <c r="S34" i="12" s="1"/>
  <c r="AL33" i="12"/>
  <c r="AL32" i="12"/>
  <c r="AN32" i="12" s="1"/>
  <c r="AP32" i="12" s="1"/>
  <c r="AL23" i="15"/>
  <c r="AN23" i="15" s="1"/>
  <c r="AP23" i="15" s="1"/>
  <c r="X21" i="15"/>
  <c r="J38" i="14"/>
  <c r="L38" i="14" s="1"/>
  <c r="X36" i="14"/>
  <c r="AE32" i="14"/>
  <c r="AG32" i="14" s="1"/>
  <c r="AL17" i="14"/>
  <c r="AN17" i="14" s="1"/>
  <c r="AP17" i="14" s="1"/>
  <c r="F16" i="14"/>
  <c r="H16" i="14" s="1"/>
  <c r="O16" i="14" s="1"/>
  <c r="F43" i="13"/>
  <c r="AE39" i="13"/>
  <c r="Q36" i="13"/>
  <c r="F30" i="13"/>
  <c r="H30" i="13" s="1"/>
  <c r="X28" i="13"/>
  <c r="Z28" i="13" s="1"/>
  <c r="Q26" i="13"/>
  <c r="S26" i="13" s="1"/>
  <c r="Q24" i="13"/>
  <c r="S24" i="13" s="1"/>
  <c r="AE20" i="13"/>
  <c r="J19" i="13"/>
  <c r="L19" i="13" s="1"/>
  <c r="AL39" i="14"/>
  <c r="F38" i="14"/>
  <c r="J30" i="14"/>
  <c r="L30" i="14" s="1"/>
  <c r="AL36" i="13"/>
  <c r="AN36" i="13" s="1"/>
  <c r="AP36" i="13" s="1"/>
  <c r="X34" i="13"/>
  <c r="AL26" i="13"/>
  <c r="X41" i="17"/>
  <c r="X27" i="17"/>
  <c r="Z27" i="17" s="1"/>
  <c r="F28" i="15"/>
  <c r="H28" i="15" s="1"/>
  <c r="O28" i="15" s="1"/>
  <c r="AE39" i="14"/>
  <c r="AL30" i="14"/>
  <c r="AN30" i="14" s="1"/>
  <c r="AP30" i="14" s="1"/>
  <c r="AE24" i="14"/>
  <c r="AE21" i="14"/>
  <c r="AG21" i="14" s="1"/>
  <c r="J17" i="14"/>
  <c r="L17" i="14" s="1"/>
  <c r="X16" i="14"/>
  <c r="Z16" i="14" s="1"/>
  <c r="X43" i="13"/>
  <c r="AL41" i="13"/>
  <c r="AN41" i="13" s="1"/>
  <c r="X30" i="13"/>
  <c r="Z30" i="13" s="1"/>
  <c r="AL27" i="13"/>
  <c r="AN27" i="13" s="1"/>
  <c r="AP27" i="13" s="1"/>
  <c r="J23" i="13"/>
  <c r="L23" i="13" s="1"/>
  <c r="AE22" i="13"/>
  <c r="AG22" i="13" s="1"/>
  <c r="F20" i="13"/>
  <c r="Q19" i="14"/>
  <c r="S19" i="14" s="1"/>
  <c r="J17" i="12"/>
  <c r="L17" i="12" s="1"/>
  <c r="AL15" i="12"/>
  <c r="AN15" i="12" s="1"/>
  <c r="J42" i="11"/>
  <c r="L42" i="11" s="1"/>
  <c r="F33" i="11"/>
  <c r="AE20" i="14"/>
  <c r="AG20" i="14" s="1"/>
  <c r="AE39" i="12"/>
  <c r="AE38" i="12"/>
  <c r="AL23" i="12"/>
  <c r="Q39" i="15"/>
  <c r="J43" i="13"/>
  <c r="F28" i="13"/>
  <c r="F25" i="12"/>
  <c r="J18" i="12"/>
  <c r="AE17" i="12"/>
  <c r="AG17" i="12" s="1"/>
  <c r="F17" i="12"/>
  <c r="AL43" i="11"/>
  <c r="AN43" i="11" s="1"/>
  <c r="AP43" i="11" s="1"/>
  <c r="Q43" i="11"/>
  <c r="F34" i="11"/>
  <c r="H34" i="11" s="1"/>
  <c r="X33" i="11"/>
  <c r="Z33" i="11" s="1"/>
  <c r="AE30" i="11"/>
  <c r="AG30" i="11" s="1"/>
  <c r="Q17" i="14"/>
  <c r="S17" i="14" s="1"/>
  <c r="Q16" i="12"/>
  <c r="AE42" i="11"/>
  <c r="AE25" i="11"/>
  <c r="AG25" i="11" s="1"/>
  <c r="J15" i="9"/>
  <c r="L15" i="9" s="1"/>
  <c r="AL18" i="9"/>
  <c r="AN18" i="9" s="1"/>
  <c r="AP18" i="9" s="1"/>
  <c r="AE20" i="9"/>
  <c r="AG20" i="9" s="1"/>
  <c r="AC21" i="9"/>
  <c r="X24" i="9"/>
  <c r="Z24" i="9" s="1"/>
  <c r="F24" i="9"/>
  <c r="H24" i="9" s="1"/>
  <c r="O24" i="9" s="1"/>
  <c r="AL26" i="9"/>
  <c r="AN26" i="9" s="1"/>
  <c r="Q27" i="9"/>
  <c r="S27" i="9" s="1"/>
  <c r="AL27" i="9"/>
  <c r="AN27" i="9" s="1"/>
  <c r="AP27" i="9" s="1"/>
  <c r="AE30" i="9"/>
  <c r="AG30" i="9" s="1"/>
  <c r="X34" i="9"/>
  <c r="Z34" i="9" s="1"/>
  <c r="V35" i="9"/>
  <c r="AL36" i="9"/>
  <c r="AN36" i="9" s="1"/>
  <c r="AP36" i="9" s="1"/>
  <c r="Q38" i="9"/>
  <c r="S38" i="9" s="1"/>
  <c r="AE42" i="9"/>
  <c r="AG42" i="9" s="1"/>
  <c r="J43" i="9"/>
  <c r="L43" i="9" s="1"/>
  <c r="AE43" i="9"/>
  <c r="AG43" i="9" s="1"/>
  <c r="AN46" i="9"/>
  <c r="AP46" i="9" s="1"/>
  <c r="AQ46" i="9" s="1"/>
  <c r="AL59" i="9"/>
  <c r="AL15" i="10"/>
  <c r="AN15" i="10" s="1"/>
  <c r="AE16" i="10"/>
  <c r="AG16" i="10" s="1"/>
  <c r="J16" i="10"/>
  <c r="L16" i="10" s="1"/>
  <c r="J24" i="10"/>
  <c r="L24" i="10" s="1"/>
  <c r="AE25" i="10"/>
  <c r="AG25" i="10" s="1"/>
  <c r="J26" i="10"/>
  <c r="L26" i="10" s="1"/>
  <c r="J27" i="10"/>
  <c r="L27" i="10" s="1"/>
  <c r="AE31" i="10"/>
  <c r="AG31" i="10" s="1"/>
  <c r="L32" i="10"/>
  <c r="K34" i="10"/>
  <c r="L34" i="10" s="1"/>
  <c r="Q38" i="10"/>
  <c r="S38" i="10" s="1"/>
  <c r="AL38" i="10"/>
  <c r="AN38" i="10" s="1"/>
  <c r="S41" i="10"/>
  <c r="V44" i="10"/>
  <c r="R47" i="10"/>
  <c r="S47" i="10" s="1"/>
  <c r="R48" i="10"/>
  <c r="S48" i="10" s="1"/>
  <c r="S18" i="11"/>
  <c r="AE20" i="11"/>
  <c r="AG20" i="11" s="1"/>
  <c r="F23" i="11"/>
  <c r="H23" i="11" s="1"/>
  <c r="O23" i="11" s="1"/>
  <c r="Q26" i="11"/>
  <c r="S26" i="11" s="1"/>
  <c r="AG28" i="11"/>
  <c r="S30" i="11"/>
  <c r="AN31" i="11"/>
  <c r="AE39" i="11"/>
  <c r="J39" i="11"/>
  <c r="X39" i="11"/>
  <c r="Z39" i="11" s="1"/>
  <c r="Q42" i="11"/>
  <c r="S42" i="11" s="1"/>
  <c r="J43" i="11"/>
  <c r="L43" i="11" s="1"/>
  <c r="AC44" i="11"/>
  <c r="AG45" i="11"/>
  <c r="AP45" i="11" s="1"/>
  <c r="V46" i="11"/>
  <c r="Q22" i="12"/>
  <c r="S22" i="12" s="1"/>
  <c r="H23" i="12"/>
  <c r="O23" i="12" s="1"/>
  <c r="AL24" i="12"/>
  <c r="AN24" i="12" s="1"/>
  <c r="AP24" i="12" s="1"/>
  <c r="S26" i="12"/>
  <c r="AL31" i="12"/>
  <c r="AI35" i="12"/>
  <c r="AL32" i="13"/>
  <c r="AN32" i="13" s="1"/>
  <c r="AP32" i="13" s="1"/>
  <c r="Z33" i="13"/>
  <c r="U45" i="13"/>
  <c r="V45" i="13" s="1"/>
  <c r="X23" i="14"/>
  <c r="Z23" i="14" s="1"/>
  <c r="A89" i="2"/>
  <c r="A193" i="2"/>
  <c r="A589" i="2"/>
  <c r="J22" i="9"/>
  <c r="L22" i="9" s="1"/>
  <c r="AL28" i="9"/>
  <c r="AN28" i="9" s="1"/>
  <c r="AP28" i="9" s="1"/>
  <c r="Y35" i="9"/>
  <c r="Z35" i="9" s="1"/>
  <c r="X36" i="9"/>
  <c r="Z36" i="9" s="1"/>
  <c r="AM38" i="9"/>
  <c r="AN38" i="9" s="1"/>
  <c r="Q39" i="9"/>
  <c r="AC44" i="9"/>
  <c r="X59" i="9"/>
  <c r="H16" i="10"/>
  <c r="H18" i="10"/>
  <c r="O18" i="10" s="1"/>
  <c r="J19" i="10"/>
  <c r="L19" i="10" s="1"/>
  <c r="J20" i="10"/>
  <c r="L20" i="10" s="1"/>
  <c r="AG20" i="10"/>
  <c r="AE21" i="10"/>
  <c r="AG21" i="10" s="1"/>
  <c r="J22" i="10"/>
  <c r="L22" i="10" s="1"/>
  <c r="L23" i="10"/>
  <c r="AG24" i="10"/>
  <c r="Q32" i="10"/>
  <c r="S32" i="10" s="1"/>
  <c r="AN36" i="10"/>
  <c r="AP36" i="10" s="1"/>
  <c r="X39" i="10"/>
  <c r="Z39" i="10" s="1"/>
  <c r="X41" i="10"/>
  <c r="Z41" i="10" s="1"/>
  <c r="AE42" i="10"/>
  <c r="AG42" i="10" s="1"/>
  <c r="Y48" i="10"/>
  <c r="Z48" i="10" s="1"/>
  <c r="Q15" i="11"/>
  <c r="S15" i="11" s="1"/>
  <c r="Q16" i="11"/>
  <c r="X18" i="11"/>
  <c r="Z18" i="11" s="1"/>
  <c r="F19" i="11"/>
  <c r="H19" i="11" s="1"/>
  <c r="O19" i="11" s="1"/>
  <c r="J20" i="11"/>
  <c r="L20" i="11" s="1"/>
  <c r="AE23" i="11"/>
  <c r="AG23" i="11" s="1"/>
  <c r="AL28" i="11"/>
  <c r="AN28" i="11" s="1"/>
  <c r="AP28" i="11" s="1"/>
  <c r="Z30" i="11"/>
  <c r="Q31" i="11"/>
  <c r="S31" i="11" s="1"/>
  <c r="Q33" i="11"/>
  <c r="AL34" i="11"/>
  <c r="AN34" i="11" s="1"/>
  <c r="Q38" i="11"/>
  <c r="S38" i="11" s="1"/>
  <c r="H39" i="11"/>
  <c r="Z41" i="11"/>
  <c r="S43" i="11"/>
  <c r="H44" i="11"/>
  <c r="N44" i="11" s="1"/>
  <c r="Z46" i="11"/>
  <c r="S15" i="12"/>
  <c r="H39" i="12"/>
  <c r="AG30" i="13"/>
  <c r="L32" i="13"/>
  <c r="AI37" i="3"/>
  <c r="AE18" i="9"/>
  <c r="AG18" i="9" s="1"/>
  <c r="X18" i="9"/>
  <c r="Z18" i="9" s="1"/>
  <c r="AL20" i="9"/>
  <c r="AN20" i="9" s="1"/>
  <c r="AP20" i="9" s="1"/>
  <c r="AE22" i="9"/>
  <c r="AG22" i="9" s="1"/>
  <c r="J24" i="9"/>
  <c r="L24" i="9" s="1"/>
  <c r="J26" i="9"/>
  <c r="L26" i="9" s="1"/>
  <c r="X26" i="9"/>
  <c r="AE32" i="9"/>
  <c r="AG32" i="9" s="1"/>
  <c r="F36" i="9"/>
  <c r="H36" i="9" s="1"/>
  <c r="R39" i="9"/>
  <c r="Q41" i="9"/>
  <c r="S41" i="9" s="1"/>
  <c r="AL42" i="9"/>
  <c r="AQ47" i="9"/>
  <c r="L38" i="9"/>
  <c r="AE19" i="10"/>
  <c r="AG19" i="10" s="1"/>
  <c r="Q27" i="10"/>
  <c r="S27" i="10" s="1"/>
  <c r="Q30" i="10"/>
  <c r="S30" i="10" s="1"/>
  <c r="Q33" i="10"/>
  <c r="S33" i="10" s="1"/>
  <c r="AL39" i="10"/>
  <c r="AN39" i="10" s="1"/>
  <c r="AL41" i="10"/>
  <c r="AN41" i="10" s="1"/>
  <c r="F42" i="10"/>
  <c r="AQ46" i="10"/>
  <c r="S16" i="11"/>
  <c r="AL18" i="11"/>
  <c r="AN18" i="11" s="1"/>
  <c r="AP18" i="11" s="1"/>
  <c r="J23" i="11"/>
  <c r="L23" i="11" s="1"/>
  <c r="X26" i="11"/>
  <c r="Z26" i="11" s="1"/>
  <c r="H32" i="11"/>
  <c r="S33" i="11"/>
  <c r="J34" i="11"/>
  <c r="Q36" i="11"/>
  <c r="AE41" i="11"/>
  <c r="R47" i="11"/>
  <c r="S47" i="11" s="1"/>
  <c r="AF39" i="11"/>
  <c r="AF38" i="11"/>
  <c r="AG38" i="11" s="1"/>
  <c r="AF42" i="11"/>
  <c r="AG42" i="11" s="1"/>
  <c r="X20" i="12"/>
  <c r="Z20" i="12" s="1"/>
  <c r="O21" i="12"/>
  <c r="Q23" i="12"/>
  <c r="S23" i="12" s="1"/>
  <c r="J24" i="12"/>
  <c r="L24" i="12" s="1"/>
  <c r="AG26" i="12"/>
  <c r="J31" i="12"/>
  <c r="L31" i="12" s="1"/>
  <c r="AL38" i="12"/>
  <c r="L41" i="12"/>
  <c r="Q38" i="13"/>
  <c r="S38" i="13" s="1"/>
  <c r="J38" i="13"/>
  <c r="L38" i="13" s="1"/>
  <c r="AL38" i="13"/>
  <c r="AN38" i="13" s="1"/>
  <c r="AE38" i="13"/>
  <c r="F38" i="13"/>
  <c r="H38" i="13" s="1"/>
  <c r="X38" i="13"/>
  <c r="Z38" i="13" s="1"/>
  <c r="Q18" i="14"/>
  <c r="S18" i="14" s="1"/>
  <c r="AL18" i="14"/>
  <c r="AN18" i="14" s="1"/>
  <c r="AE18" i="14"/>
  <c r="AG18" i="14" s="1"/>
  <c r="J18" i="14"/>
  <c r="L18" i="14" s="1"/>
  <c r="F18" i="14"/>
  <c r="H18" i="14" s="1"/>
  <c r="O18" i="14" s="1"/>
  <c r="X18" i="14"/>
  <c r="Z18" i="14" s="1"/>
  <c r="Z25" i="14"/>
  <c r="A274" i="2"/>
  <c r="A450" i="2"/>
  <c r="F18" i="9"/>
  <c r="H18" i="9" s="1"/>
  <c r="O18" i="9" s="1"/>
  <c r="AN19" i="9"/>
  <c r="AP19" i="9" s="1"/>
  <c r="L23" i="9"/>
  <c r="AE24" i="9"/>
  <c r="AG24" i="9" s="1"/>
  <c r="F26" i="9"/>
  <c r="H26" i="9" s="1"/>
  <c r="O26" i="9" s="1"/>
  <c r="Z26" i="9"/>
  <c r="F27" i="9"/>
  <c r="H27" i="9" s="1"/>
  <c r="O27" i="9" s="1"/>
  <c r="X27" i="9"/>
  <c r="Z27" i="9" s="1"/>
  <c r="Q31" i="9"/>
  <c r="S31" i="9" s="1"/>
  <c r="L33" i="9"/>
  <c r="J34" i="9"/>
  <c r="L34" i="9" s="1"/>
  <c r="O35" i="9"/>
  <c r="Q42" i="9"/>
  <c r="AM42" i="9"/>
  <c r="AN42" i="9" s="1"/>
  <c r="AP42" i="9" s="1"/>
  <c r="Q43" i="9"/>
  <c r="S43" i="9" s="1"/>
  <c r="V44" i="9"/>
  <c r="O45" i="9"/>
  <c r="S42" i="9"/>
  <c r="J15" i="10"/>
  <c r="L15" i="10" s="1"/>
  <c r="AE15" i="10"/>
  <c r="AG15" i="10" s="1"/>
  <c r="AG17" i="10"/>
  <c r="AL24" i="10"/>
  <c r="AN24" i="10" s="1"/>
  <c r="Q25" i="10"/>
  <c r="S25" i="10" s="1"/>
  <c r="Q28" i="10"/>
  <c r="S28" i="10" s="1"/>
  <c r="Q31" i="10"/>
  <c r="S31" i="10" s="1"/>
  <c r="AN33" i="10"/>
  <c r="AP33" i="10" s="1"/>
  <c r="F39" i="10"/>
  <c r="F41" i="10"/>
  <c r="G42" i="10"/>
  <c r="O44" i="10"/>
  <c r="G48" i="10"/>
  <c r="H48" i="10" s="1"/>
  <c r="K47" i="11"/>
  <c r="L47" i="11" s="1"/>
  <c r="AF48" i="11"/>
  <c r="AG48" i="11" s="1"/>
  <c r="AP48" i="11" s="1"/>
  <c r="AF47" i="11"/>
  <c r="AG47" i="11" s="1"/>
  <c r="G48" i="11"/>
  <c r="H48" i="11" s="1"/>
  <c r="Y48" i="11"/>
  <c r="Z48" i="11" s="1"/>
  <c r="AM47" i="11"/>
  <c r="AN47" i="11" s="1"/>
  <c r="R48" i="11"/>
  <c r="S48" i="11" s="1"/>
  <c r="G47" i="11"/>
  <c r="H47" i="11" s="1"/>
  <c r="F18" i="11"/>
  <c r="H18" i="11" s="1"/>
  <c r="O18" i="11" s="1"/>
  <c r="U21" i="11"/>
  <c r="AC21" i="11"/>
  <c r="AL23" i="11"/>
  <c r="L25" i="11"/>
  <c r="L27" i="11"/>
  <c r="Q39" i="11"/>
  <c r="S39" i="11" s="1"/>
  <c r="AG41" i="11"/>
  <c r="X42" i="11"/>
  <c r="X43" i="11"/>
  <c r="U45" i="11"/>
  <c r="V45" i="11" s="1"/>
  <c r="AM38" i="11"/>
  <c r="AN38" i="11" s="1"/>
  <c r="AP38" i="11" s="1"/>
  <c r="AM42" i="11"/>
  <c r="AN42" i="11" s="1"/>
  <c r="AP42" i="11" s="1"/>
  <c r="AM35" i="11"/>
  <c r="AN35" i="11" s="1"/>
  <c r="AP35" i="11" s="1"/>
  <c r="AE18" i="12"/>
  <c r="AG18" i="12" s="1"/>
  <c r="L36" i="12"/>
  <c r="O44" i="12"/>
  <c r="AC46" i="12"/>
  <c r="F34" i="13"/>
  <c r="Q43" i="13"/>
  <c r="O21" i="14"/>
  <c r="Z22" i="14"/>
  <c r="Q15" i="9"/>
  <c r="S15" i="9" s="1"/>
  <c r="X19" i="9"/>
  <c r="Z19" i="9" s="1"/>
  <c r="AE34" i="9"/>
  <c r="AG34" i="9" s="1"/>
  <c r="J36" i="9"/>
  <c r="L36" i="9" s="1"/>
  <c r="X38" i="9"/>
  <c r="X39" i="9"/>
  <c r="Z41" i="9"/>
  <c r="AL20" i="10"/>
  <c r="AN20" i="10" s="1"/>
  <c r="AP20" i="10" s="1"/>
  <c r="Q22" i="10"/>
  <c r="AL22" i="10"/>
  <c r="AN22" i="10" s="1"/>
  <c r="AP22" i="10" s="1"/>
  <c r="Q23" i="10"/>
  <c r="S23" i="10" s="1"/>
  <c r="AL25" i="10"/>
  <c r="AN25" i="10" s="1"/>
  <c r="AP25" i="10" s="1"/>
  <c r="Q26" i="10"/>
  <c r="X36" i="10"/>
  <c r="Z36" i="10" s="1"/>
  <c r="G39" i="10"/>
  <c r="G41" i="10"/>
  <c r="J35" i="10"/>
  <c r="L35" i="10" s="1"/>
  <c r="Y47" i="10"/>
  <c r="Z47" i="10" s="1"/>
  <c r="X16" i="11"/>
  <c r="Z16" i="11" s="1"/>
  <c r="Q17" i="11"/>
  <c r="S17" i="11" s="1"/>
  <c r="J17" i="11"/>
  <c r="L17" i="11" s="1"/>
  <c r="Z17" i="11"/>
  <c r="J19" i="11"/>
  <c r="AE22" i="11"/>
  <c r="AG22" i="11" s="1"/>
  <c r="J22" i="11"/>
  <c r="L22" i="11" s="1"/>
  <c r="X22" i="11"/>
  <c r="Z22" i="11" s="1"/>
  <c r="AN23" i="11"/>
  <c r="Z24" i="11"/>
  <c r="Q34" i="11"/>
  <c r="S34" i="11" s="1"/>
  <c r="X36" i="11"/>
  <c r="Z36" i="11" s="1"/>
  <c r="Z42" i="11"/>
  <c r="Z43" i="11"/>
  <c r="V44" i="11"/>
  <c r="V48" i="11"/>
  <c r="AF48" i="12"/>
  <c r="AG48" i="12" s="1"/>
  <c r="AM47" i="12"/>
  <c r="AN47" i="12" s="1"/>
  <c r="Y48" i="12"/>
  <c r="Z48" i="12" s="1"/>
  <c r="AF47" i="12"/>
  <c r="AG47" i="12" s="1"/>
  <c r="K48" i="12"/>
  <c r="L48" i="12" s="1"/>
  <c r="K47" i="12"/>
  <c r="L47" i="12" s="1"/>
  <c r="G48" i="12"/>
  <c r="H48" i="12" s="1"/>
  <c r="O48" i="12" s="1"/>
  <c r="G47" i="12"/>
  <c r="H47" i="12" s="1"/>
  <c r="Y47" i="12"/>
  <c r="Z47" i="12" s="1"/>
  <c r="AM48" i="12"/>
  <c r="AN48" i="12" s="1"/>
  <c r="R48" i="12"/>
  <c r="S48" i="12" s="1"/>
  <c r="R47" i="12"/>
  <c r="S47" i="12" s="1"/>
  <c r="X23" i="12"/>
  <c r="AL26" i="12"/>
  <c r="AN26" i="12" s="1"/>
  <c r="AP26" i="12" s="1"/>
  <c r="L38" i="12"/>
  <c r="AI45" i="12"/>
  <c r="AJ45" i="12" s="1"/>
  <c r="AL22" i="13"/>
  <c r="X15" i="14"/>
  <c r="Z15" i="14" s="1"/>
  <c r="F15" i="14"/>
  <c r="H15" i="14" s="1"/>
  <c r="AL15" i="14"/>
  <c r="AN15" i="14" s="1"/>
  <c r="Q15" i="14"/>
  <c r="S15" i="14" s="1"/>
  <c r="J15" i="14"/>
  <c r="L15" i="14" s="1"/>
  <c r="AE15" i="14"/>
  <c r="AG15" i="14" s="1"/>
  <c r="X30" i="14"/>
  <c r="Z30" i="14" s="1"/>
  <c r="AG36" i="14"/>
  <c r="F19" i="9"/>
  <c r="H19" i="9" s="1"/>
  <c r="O19" i="9" s="1"/>
  <c r="Q20" i="9"/>
  <c r="S20" i="9" s="1"/>
  <c r="F28" i="9"/>
  <c r="H28" i="9" s="1"/>
  <c r="O28" i="9" s="1"/>
  <c r="AL31" i="9"/>
  <c r="AN31" i="9" s="1"/>
  <c r="AP31" i="9" s="1"/>
  <c r="Q32" i="9"/>
  <c r="Y38" i="9"/>
  <c r="Z38" i="9" s="1"/>
  <c r="F39" i="9"/>
  <c r="H39" i="9" s="1"/>
  <c r="Y39" i="9"/>
  <c r="L46" i="9"/>
  <c r="Z48" i="9"/>
  <c r="Q16" i="10"/>
  <c r="S16" i="10" s="1"/>
  <c r="AL19" i="10"/>
  <c r="S22" i="10"/>
  <c r="AL23" i="10"/>
  <c r="AN23" i="10" s="1"/>
  <c r="AP23" i="10" s="1"/>
  <c r="S26" i="10"/>
  <c r="X34" i="10"/>
  <c r="Z34" i="10" s="1"/>
  <c r="F36" i="10"/>
  <c r="H36" i="10" s="1"/>
  <c r="X38" i="10"/>
  <c r="Z38" i="10" s="1"/>
  <c r="F38" i="10"/>
  <c r="H38" i="10" s="1"/>
  <c r="J41" i="10"/>
  <c r="J42" i="10"/>
  <c r="AE35" i="10"/>
  <c r="AG35" i="10" s="1"/>
  <c r="AG44" i="10"/>
  <c r="G47" i="10"/>
  <c r="H47" i="10" s="1"/>
  <c r="AF48" i="10"/>
  <c r="AG48" i="10" s="1"/>
  <c r="AE59" i="10"/>
  <c r="AL16" i="11"/>
  <c r="AN16" i="11" s="1"/>
  <c r="F17" i="11"/>
  <c r="H17" i="11" s="1"/>
  <c r="O17" i="11" s="1"/>
  <c r="AE17" i="11"/>
  <c r="AG17" i="11" s="1"/>
  <c r="J18" i="11"/>
  <c r="L18" i="11" s="1"/>
  <c r="L19" i="11"/>
  <c r="AL19" i="11"/>
  <c r="AN19" i="11" s="1"/>
  <c r="AP19" i="11" s="1"/>
  <c r="X21" i="11"/>
  <c r="Z21" i="11" s="1"/>
  <c r="F22" i="11"/>
  <c r="H22" i="11" s="1"/>
  <c r="O22" i="11" s="1"/>
  <c r="AG24" i="11"/>
  <c r="AE26" i="11"/>
  <c r="AG26" i="11" s="1"/>
  <c r="AL26" i="11"/>
  <c r="AN26" i="11" s="1"/>
  <c r="X31" i="11"/>
  <c r="Z31" i="11" s="1"/>
  <c r="X38" i="11"/>
  <c r="Z38" i="11" s="1"/>
  <c r="AL42" i="11"/>
  <c r="AP44" i="11"/>
  <c r="O46" i="11"/>
  <c r="X18" i="12"/>
  <c r="Z18" i="12" s="1"/>
  <c r="Z23" i="12"/>
  <c r="H25" i="12"/>
  <c r="O25" i="12" s="1"/>
  <c r="F26" i="12"/>
  <c r="H26" i="12" s="1"/>
  <c r="O26" i="12" s="1"/>
  <c r="Q30" i="12"/>
  <c r="S30" i="12" s="1"/>
  <c r="Q31" i="12"/>
  <c r="V35" i="12"/>
  <c r="AG41" i="12"/>
  <c r="N44" i="12"/>
  <c r="AN22" i="13"/>
  <c r="J31" i="13"/>
  <c r="L31" i="13" s="1"/>
  <c r="V31" i="13" s="1"/>
  <c r="S34" i="13"/>
  <c r="N21" i="14"/>
  <c r="V21" i="14"/>
  <c r="U21" i="14"/>
  <c r="J18" i="9"/>
  <c r="L18" i="9" s="1"/>
  <c r="F20" i="9"/>
  <c r="H20" i="9" s="1"/>
  <c r="O20" i="9" s="1"/>
  <c r="X20" i="9"/>
  <c r="Z20" i="9" s="1"/>
  <c r="Q22" i="9"/>
  <c r="S22" i="9" s="1"/>
  <c r="AG25" i="9"/>
  <c r="AE26" i="9"/>
  <c r="AG26" i="9" s="1"/>
  <c r="J27" i="9"/>
  <c r="L27" i="9" s="1"/>
  <c r="Q30" i="9"/>
  <c r="S30" i="9" s="1"/>
  <c r="X30" i="9"/>
  <c r="Z30" i="9" s="1"/>
  <c r="S32" i="9"/>
  <c r="AE36" i="9"/>
  <c r="AG36" i="9" s="1"/>
  <c r="X42" i="9"/>
  <c r="Z42" i="9" s="1"/>
  <c r="AM39" i="9"/>
  <c r="AN39" i="9" s="1"/>
  <c r="AP39" i="9" s="1"/>
  <c r="AM34" i="9"/>
  <c r="AL16" i="10"/>
  <c r="AN16" i="10" s="1"/>
  <c r="Q19" i="10"/>
  <c r="S19" i="10" s="1"/>
  <c r="AN19" i="10"/>
  <c r="AP19" i="10" s="1"/>
  <c r="X31" i="10"/>
  <c r="Z31" i="10" s="1"/>
  <c r="AE32" i="10"/>
  <c r="AG32" i="10" s="1"/>
  <c r="X32" i="10"/>
  <c r="Z32" i="10" s="1"/>
  <c r="X33" i="10"/>
  <c r="Z33" i="10" s="1"/>
  <c r="F33" i="10"/>
  <c r="H33" i="10" s="1"/>
  <c r="O33" i="10" s="1"/>
  <c r="AL34" i="10"/>
  <c r="AN34" i="10" s="1"/>
  <c r="AP34" i="10" s="1"/>
  <c r="AE38" i="10"/>
  <c r="AG38" i="10" s="1"/>
  <c r="J39" i="10"/>
  <c r="AE39" i="10"/>
  <c r="AG39" i="10" s="1"/>
  <c r="K41" i="10"/>
  <c r="L41" i="10" s="1"/>
  <c r="AE41" i="10"/>
  <c r="AG41" i="10" s="1"/>
  <c r="K42" i="10"/>
  <c r="L42" i="10" s="1"/>
  <c r="AF47" i="10"/>
  <c r="AG47" i="10" s="1"/>
  <c r="X15" i="11"/>
  <c r="Z15" i="11" s="1"/>
  <c r="F16" i="11"/>
  <c r="H16" i="11" s="1"/>
  <c r="O16" i="11" s="1"/>
  <c r="AE18" i="11"/>
  <c r="AG18" i="11" s="1"/>
  <c r="Q20" i="11"/>
  <c r="S20" i="11" s="1"/>
  <c r="Q24" i="11"/>
  <c r="S24" i="11" s="1"/>
  <c r="J24" i="11"/>
  <c r="L24" i="11" s="1"/>
  <c r="AE24" i="11"/>
  <c r="F24" i="11"/>
  <c r="H24" i="11" s="1"/>
  <c r="O24" i="11" s="1"/>
  <c r="Q25" i="11"/>
  <c r="S25" i="11" s="1"/>
  <c r="F26" i="11"/>
  <c r="H26" i="11" s="1"/>
  <c r="O26" i="11" s="1"/>
  <c r="AL33" i="11"/>
  <c r="AN33" i="11" s="1"/>
  <c r="AE33" i="11"/>
  <c r="AG33" i="11" s="1"/>
  <c r="AE43" i="11"/>
  <c r="AG43" i="11" s="1"/>
  <c r="F18" i="12"/>
  <c r="F19" i="12"/>
  <c r="H19" i="12" s="1"/>
  <c r="O19" i="12" s="1"/>
  <c r="X19" i="12"/>
  <c r="Z19" i="12" s="1"/>
  <c r="AL19" i="12"/>
  <c r="AN19" i="12" s="1"/>
  <c r="AP19" i="12" s="1"/>
  <c r="Q19" i="12"/>
  <c r="S19" i="12" s="1"/>
  <c r="J25" i="12"/>
  <c r="S31" i="12"/>
  <c r="S38" i="12"/>
  <c r="AN41" i="12"/>
  <c r="AJ46" i="12"/>
  <c r="AI46" i="12"/>
  <c r="AB46" i="12"/>
  <c r="X36" i="13"/>
  <c r="Z36" i="13" s="1"/>
  <c r="AE26" i="14"/>
  <c r="AG26" i="14" s="1"/>
  <c r="N48" i="14"/>
  <c r="V48" i="14"/>
  <c r="X15" i="9"/>
  <c r="Z15" i="9" s="1"/>
  <c r="J19" i="9"/>
  <c r="L19" i="9" s="1"/>
  <c r="Q24" i="9"/>
  <c r="S24" i="9" s="1"/>
  <c r="F30" i="9"/>
  <c r="H30" i="9" s="1"/>
  <c r="AE38" i="9"/>
  <c r="AG38" i="9" s="1"/>
  <c r="J41" i="9"/>
  <c r="L41" i="9" s="1"/>
  <c r="X41" i="9"/>
  <c r="AM48" i="10"/>
  <c r="AN48" i="10" s="1"/>
  <c r="K47" i="10"/>
  <c r="L47" i="10" s="1"/>
  <c r="X24" i="10"/>
  <c r="Z24" i="10" s="1"/>
  <c r="X26" i="10"/>
  <c r="Z26" i="10" s="1"/>
  <c r="AE27" i="10"/>
  <c r="AG27" i="10" s="1"/>
  <c r="X27" i="10"/>
  <c r="Z27" i="10" s="1"/>
  <c r="X28" i="10"/>
  <c r="Z28" i="10" s="1"/>
  <c r="F28" i="10"/>
  <c r="H28" i="10" s="1"/>
  <c r="O28" i="10" s="1"/>
  <c r="J30" i="10"/>
  <c r="L30" i="10" s="1"/>
  <c r="X30" i="10"/>
  <c r="Z30" i="10" s="1"/>
  <c r="AL31" i="10"/>
  <c r="AN31" i="10" s="1"/>
  <c r="F32" i="10"/>
  <c r="H32" i="10" s="1"/>
  <c r="F34" i="10"/>
  <c r="H34" i="10" s="1"/>
  <c r="J38" i="10"/>
  <c r="L38" i="10" s="1"/>
  <c r="K39" i="10"/>
  <c r="L39" i="10" s="1"/>
  <c r="AL42" i="10"/>
  <c r="AN42" i="10" s="1"/>
  <c r="AP42" i="10" s="1"/>
  <c r="J15" i="11"/>
  <c r="L15" i="11" s="1"/>
  <c r="Q19" i="11"/>
  <c r="S19" i="11" s="1"/>
  <c r="AL21" i="11"/>
  <c r="AN21" i="11" s="1"/>
  <c r="AP21" i="11" s="1"/>
  <c r="S32" i="11"/>
  <c r="H33" i="11"/>
  <c r="O33" i="11" s="1"/>
  <c r="L35" i="11"/>
  <c r="F36" i="11"/>
  <c r="F41" i="11"/>
  <c r="Q41" i="11"/>
  <c r="S41" i="11" s="1"/>
  <c r="AB47" i="11"/>
  <c r="Q17" i="12"/>
  <c r="S17" i="12" s="1"/>
  <c r="H18" i="12"/>
  <c r="O18" i="12" s="1"/>
  <c r="AE20" i="12"/>
  <c r="AG20" i="12" s="1"/>
  <c r="AL22" i="12"/>
  <c r="AN22" i="12" s="1"/>
  <c r="AE23" i="12"/>
  <c r="AG23" i="12" s="1"/>
  <c r="L25" i="12"/>
  <c r="X27" i="12"/>
  <c r="Z27" i="12" s="1"/>
  <c r="Q27" i="12"/>
  <c r="S27" i="12" s="1"/>
  <c r="AL27" i="12"/>
  <c r="AN27" i="12" s="1"/>
  <c r="AP27" i="12" s="1"/>
  <c r="AE27" i="12"/>
  <c r="AG27" i="12" s="1"/>
  <c r="J27" i="12"/>
  <c r="L27" i="12" s="1"/>
  <c r="U35" i="12"/>
  <c r="X42" i="12"/>
  <c r="Z42" i="12" s="1"/>
  <c r="Q42" i="12"/>
  <c r="S42" i="12" s="1"/>
  <c r="AL42" i="12"/>
  <c r="AN42" i="12" s="1"/>
  <c r="AP42" i="12" s="1"/>
  <c r="J42" i="12"/>
  <c r="L42" i="12" s="1"/>
  <c r="F42" i="12"/>
  <c r="AE42" i="12"/>
  <c r="AG42" i="12" s="1"/>
  <c r="X43" i="12"/>
  <c r="AP45" i="12"/>
  <c r="AQ45" i="12" s="1"/>
  <c r="AJ46" i="13"/>
  <c r="AB46" i="13"/>
  <c r="N47" i="13"/>
  <c r="O47" i="13" s="1"/>
  <c r="V47" i="13"/>
  <c r="U47" i="13"/>
  <c r="S33" i="15"/>
  <c r="AJ45" i="15"/>
  <c r="AB45" i="15"/>
  <c r="AI45" i="15"/>
  <c r="AQ46" i="15"/>
  <c r="AP46" i="15"/>
  <c r="AI46" i="15"/>
  <c r="AE19" i="11"/>
  <c r="AG19" i="11" s="1"/>
  <c r="X19" i="11"/>
  <c r="Z19" i="11" s="1"/>
  <c r="L26" i="11"/>
  <c r="AN27" i="11"/>
  <c r="AP27" i="11" s="1"/>
  <c r="AL30" i="11"/>
  <c r="AN30" i="11" s="1"/>
  <c r="AP30" i="11" s="1"/>
  <c r="AE34" i="11"/>
  <c r="AG34" i="11" s="1"/>
  <c r="S36" i="11"/>
  <c r="H33" i="12"/>
  <c r="O33" i="12" s="1"/>
  <c r="AN33" i="12"/>
  <c r="AN39" i="12"/>
  <c r="AE16" i="13"/>
  <c r="AG16" i="13" s="1"/>
  <c r="X16" i="13"/>
  <c r="Z16" i="13" s="1"/>
  <c r="J16" i="13"/>
  <c r="L16" i="13" s="1"/>
  <c r="F16" i="13"/>
  <c r="H16" i="13" s="1"/>
  <c r="O16" i="13" s="1"/>
  <c r="AL16" i="13"/>
  <c r="Q16" i="13"/>
  <c r="S16" i="13" s="1"/>
  <c r="S17" i="13"/>
  <c r="AE33" i="13"/>
  <c r="AG33" i="13" s="1"/>
  <c r="AL33" i="13"/>
  <c r="AN33" i="13" s="1"/>
  <c r="AP33" i="13" s="1"/>
  <c r="J33" i="13"/>
  <c r="L33" i="13" s="1"/>
  <c r="F33" i="13"/>
  <c r="H33" i="13" s="1"/>
  <c r="O33" i="13" s="1"/>
  <c r="X33" i="13"/>
  <c r="Q33" i="13"/>
  <c r="S33" i="13" s="1"/>
  <c r="H41" i="13"/>
  <c r="L24" i="29"/>
  <c r="L31" i="11"/>
  <c r="S16" i="12"/>
  <c r="AN43" i="12"/>
  <c r="AP43" i="12" s="1"/>
  <c r="V21" i="13"/>
  <c r="U21" i="13"/>
  <c r="AG23" i="13"/>
  <c r="AG26" i="13"/>
  <c r="AI48" i="13"/>
  <c r="AJ48" i="13" s="1"/>
  <c r="AQ48" i="13"/>
  <c r="AG42" i="13"/>
  <c r="AG27" i="14"/>
  <c r="G42" i="11"/>
  <c r="G41" i="11"/>
  <c r="G35" i="11"/>
  <c r="H35" i="11" s="1"/>
  <c r="H17" i="12"/>
  <c r="O17" i="12" s="1"/>
  <c r="L18" i="12"/>
  <c r="L20" i="12"/>
  <c r="H34" i="12"/>
  <c r="X36" i="12"/>
  <c r="Z36" i="12" s="1"/>
  <c r="Z41" i="12"/>
  <c r="AQ44" i="12"/>
  <c r="AI44" i="12"/>
  <c r="AJ44" i="12" s="1"/>
  <c r="H28" i="13"/>
  <c r="O28" i="13" s="1"/>
  <c r="L43" i="13"/>
  <c r="AL41" i="14"/>
  <c r="AP35" i="14"/>
  <c r="L16" i="15"/>
  <c r="AL36" i="11"/>
  <c r="AN36" i="11" s="1"/>
  <c r="AP36" i="11" s="1"/>
  <c r="AI46" i="11"/>
  <c r="K39" i="11"/>
  <c r="L39" i="11" s="1"/>
  <c r="K38" i="11"/>
  <c r="L38" i="11" s="1"/>
  <c r="K34" i="11"/>
  <c r="U21" i="12"/>
  <c r="AE22" i="12"/>
  <c r="AG22" i="12" s="1"/>
  <c r="J22" i="12"/>
  <c r="L22" i="12" s="1"/>
  <c r="X22" i="12"/>
  <c r="Z22" i="12" s="1"/>
  <c r="F22" i="12"/>
  <c r="H22" i="12" s="1"/>
  <c r="O22" i="12" s="1"/>
  <c r="AN23" i="12"/>
  <c r="AP23" i="12" s="1"/>
  <c r="AE26" i="12"/>
  <c r="X26" i="12"/>
  <c r="Z26" i="12" s="1"/>
  <c r="AL30" i="12"/>
  <c r="AN30" i="12" s="1"/>
  <c r="AP30" i="12" s="1"/>
  <c r="H35" i="12"/>
  <c r="Q43" i="12"/>
  <c r="S43" i="12" s="1"/>
  <c r="J43" i="12"/>
  <c r="L43" i="12" s="1"/>
  <c r="AL43" i="12"/>
  <c r="F43" i="12"/>
  <c r="H43" i="12" s="1"/>
  <c r="F35" i="12"/>
  <c r="AL19" i="13"/>
  <c r="X24" i="13"/>
  <c r="Z24" i="13" s="1"/>
  <c r="AG36" i="15"/>
  <c r="Q31" i="13"/>
  <c r="S31" i="13" s="1"/>
  <c r="AL31" i="13"/>
  <c r="AN31" i="13" s="1"/>
  <c r="AP31" i="13" s="1"/>
  <c r="S42" i="13"/>
  <c r="J19" i="14"/>
  <c r="L19" i="14" s="1"/>
  <c r="AE19" i="14"/>
  <c r="AG19" i="14" s="1"/>
  <c r="L23" i="14"/>
  <c r="AG31" i="14"/>
  <c r="S33" i="14"/>
  <c r="AL38" i="14"/>
  <c r="S42" i="14"/>
  <c r="N44" i="14"/>
  <c r="Q59" i="14"/>
  <c r="AE18" i="15"/>
  <c r="AG18" i="15" s="1"/>
  <c r="AL18" i="15"/>
  <c r="Q18" i="15"/>
  <c r="S18" i="15" s="1"/>
  <c r="J18" i="15"/>
  <c r="L18" i="15" s="1"/>
  <c r="X18" i="15"/>
  <c r="Z18" i="15" s="1"/>
  <c r="F18" i="15"/>
  <c r="H18" i="15" s="1"/>
  <c r="O18" i="15" s="1"/>
  <c r="Z20" i="15"/>
  <c r="S22" i="15"/>
  <c r="U47" i="15"/>
  <c r="Z43" i="12"/>
  <c r="J18" i="13"/>
  <c r="L18" i="13" s="1"/>
  <c r="H20" i="13"/>
  <c r="O20" i="13" s="1"/>
  <c r="J22" i="13"/>
  <c r="L22" i="13" s="1"/>
  <c r="F31" i="13"/>
  <c r="H31" i="13" s="1"/>
  <c r="AE31" i="13"/>
  <c r="X39" i="13"/>
  <c r="Z39" i="13" s="1"/>
  <c r="Z43" i="13"/>
  <c r="AB44" i="13"/>
  <c r="Q16" i="14"/>
  <c r="AL16" i="14"/>
  <c r="AN16" i="14" s="1"/>
  <c r="J16" i="14"/>
  <c r="L16" i="14" s="1"/>
  <c r="F19" i="14"/>
  <c r="H19" i="14" s="1"/>
  <c r="O19" i="14" s="1"/>
  <c r="AG24" i="14"/>
  <c r="AL27" i="14"/>
  <c r="AN27" i="14" s="1"/>
  <c r="Z35" i="14"/>
  <c r="AG45" i="14"/>
  <c r="AG39" i="14"/>
  <c r="AL17" i="15"/>
  <c r="AN17" i="15" s="1"/>
  <c r="AL27" i="15"/>
  <c r="X33" i="15"/>
  <c r="Z33" i="15" s="1"/>
  <c r="AL26" i="16"/>
  <c r="AN26" i="16" s="1"/>
  <c r="Q26" i="16"/>
  <c r="S26" i="16" s="1"/>
  <c r="J26" i="16"/>
  <c r="L26" i="16" s="1"/>
  <c r="F26" i="16"/>
  <c r="X26" i="16"/>
  <c r="Z26" i="16" s="1"/>
  <c r="AE26" i="16"/>
  <c r="AG26" i="16" s="1"/>
  <c r="AN16" i="13"/>
  <c r="AP16" i="13" s="1"/>
  <c r="AE21" i="13"/>
  <c r="AG21" i="13" s="1"/>
  <c r="AN26" i="13"/>
  <c r="AG31" i="13"/>
  <c r="H44" i="13"/>
  <c r="O45" i="13"/>
  <c r="AE35" i="13"/>
  <c r="AG35" i="13" s="1"/>
  <c r="AP35" i="13" s="1"/>
  <c r="AL19" i="14"/>
  <c r="AN19" i="14" s="1"/>
  <c r="AP19" i="14" s="1"/>
  <c r="Q24" i="14"/>
  <c r="H27" i="14"/>
  <c r="O27" i="14" s="1"/>
  <c r="AN39" i="14"/>
  <c r="AP39" i="14" s="1"/>
  <c r="S44" i="14"/>
  <c r="O48" i="14"/>
  <c r="AE59" i="14"/>
  <c r="S19" i="15"/>
  <c r="AL26" i="15"/>
  <c r="AN26" i="15" s="1"/>
  <c r="X20" i="16"/>
  <c r="Z28" i="12"/>
  <c r="AN31" i="12"/>
  <c r="AP31" i="12" s="1"/>
  <c r="AL35" i="12"/>
  <c r="AN35" i="12" s="1"/>
  <c r="AP35" i="12" s="1"/>
  <c r="AQ35" i="12" s="1"/>
  <c r="Q36" i="12"/>
  <c r="S36" i="12" s="1"/>
  <c r="AG38" i="12"/>
  <c r="AF39" i="12"/>
  <c r="AL15" i="13"/>
  <c r="AN15" i="13" s="1"/>
  <c r="AG20" i="13"/>
  <c r="AL24" i="13"/>
  <c r="AN24" i="13" s="1"/>
  <c r="Q28" i="13"/>
  <c r="S28" i="13" s="1"/>
  <c r="AE28" i="13"/>
  <c r="Q34" i="13"/>
  <c r="AE34" i="13"/>
  <c r="AG34" i="13" s="1"/>
  <c r="L35" i="13"/>
  <c r="S36" i="13"/>
  <c r="H43" i="13"/>
  <c r="AC45" i="13"/>
  <c r="N48" i="13"/>
  <c r="O48" i="13" s="1"/>
  <c r="AE16" i="14"/>
  <c r="AG16" i="14" s="1"/>
  <c r="AE31" i="14"/>
  <c r="AL31" i="14"/>
  <c r="AN31" i="14" s="1"/>
  <c r="AP31" i="14" s="1"/>
  <c r="J31" i="14"/>
  <c r="L31" i="14" s="1"/>
  <c r="V31" i="14" s="1"/>
  <c r="F31" i="14"/>
  <c r="H31" i="14" s="1"/>
  <c r="AG35" i="14"/>
  <c r="Z36" i="14"/>
  <c r="H45" i="14"/>
  <c r="AN22" i="16"/>
  <c r="AL20" i="11"/>
  <c r="AN20" i="11" s="1"/>
  <c r="F42" i="11"/>
  <c r="F43" i="11"/>
  <c r="H43" i="11" s="1"/>
  <c r="Q59" i="11"/>
  <c r="AE31" i="12"/>
  <c r="AG31" i="12" s="1"/>
  <c r="X31" i="12"/>
  <c r="Z31" i="12" s="1"/>
  <c r="AG43" i="12"/>
  <c r="G42" i="12"/>
  <c r="G41" i="12"/>
  <c r="H41" i="12" s="1"/>
  <c r="Q18" i="13"/>
  <c r="S18" i="13" s="1"/>
  <c r="AL21" i="13"/>
  <c r="AN21" i="13" s="1"/>
  <c r="AP21" i="13" s="1"/>
  <c r="Q22" i="13"/>
  <c r="X27" i="13"/>
  <c r="Z27" i="13" s="1"/>
  <c r="Q27" i="13"/>
  <c r="S27" i="13" s="1"/>
  <c r="J34" i="13"/>
  <c r="L39" i="13"/>
  <c r="AG43" i="13"/>
  <c r="AG45" i="13"/>
  <c r="AL22" i="14"/>
  <c r="AN22" i="14" s="1"/>
  <c r="AG25" i="14"/>
  <c r="X26" i="14"/>
  <c r="Z26" i="14" s="1"/>
  <c r="X32" i="14"/>
  <c r="Z32" i="14" s="1"/>
  <c r="J32" i="14"/>
  <c r="L32" i="14" s="1"/>
  <c r="F32" i="14"/>
  <c r="H32" i="14" s="1"/>
  <c r="AL32" i="14"/>
  <c r="AN32" i="14" s="1"/>
  <c r="Q32" i="14"/>
  <c r="S32" i="14" s="1"/>
  <c r="AN34" i="14"/>
  <c r="AG21" i="15"/>
  <c r="H25" i="15"/>
  <c r="O25" i="15" s="1"/>
  <c r="Z28" i="15"/>
  <c r="N48" i="17"/>
  <c r="AL15" i="9"/>
  <c r="AN15" i="9" s="1"/>
  <c r="AL34" i="9"/>
  <c r="AL39" i="9"/>
  <c r="F20" i="11"/>
  <c r="H20" i="11" s="1"/>
  <c r="O20" i="11" s="1"/>
  <c r="J15" i="12"/>
  <c r="L15" i="12" s="1"/>
  <c r="X15" i="12"/>
  <c r="Z15" i="12" s="1"/>
  <c r="Q18" i="12"/>
  <c r="AL18" i="12"/>
  <c r="AN18" i="12" s="1"/>
  <c r="F31" i="12"/>
  <c r="H31" i="12" s="1"/>
  <c r="O31" i="12" s="1"/>
  <c r="X32" i="12"/>
  <c r="Z32" i="12" s="1"/>
  <c r="Q32" i="12"/>
  <c r="S32" i="12" s="1"/>
  <c r="Q39" i="12"/>
  <c r="L45" i="12"/>
  <c r="AL20" i="13"/>
  <c r="AN20" i="13" s="1"/>
  <c r="AP20" i="13" s="1"/>
  <c r="S22" i="13"/>
  <c r="F27" i="13"/>
  <c r="H27" i="13" s="1"/>
  <c r="O27" i="13" s="1"/>
  <c r="AG28" i="13"/>
  <c r="L34" i="13"/>
  <c r="AF38" i="13"/>
  <c r="Y41" i="13"/>
  <c r="Z41" i="13" s="1"/>
  <c r="N46" i="13"/>
  <c r="AL59" i="13"/>
  <c r="Q20" i="14"/>
  <c r="S20" i="14" s="1"/>
  <c r="J20" i="14"/>
  <c r="L20" i="14" s="1"/>
  <c r="X20" i="14"/>
  <c r="Z20" i="14" s="1"/>
  <c r="F20" i="14"/>
  <c r="H20" i="14" s="1"/>
  <c r="O20" i="14" s="1"/>
  <c r="S27" i="14"/>
  <c r="L28" i="14"/>
  <c r="Q31" i="14"/>
  <c r="AN36" i="14"/>
  <c r="AP36" i="14" s="1"/>
  <c r="S38" i="14"/>
  <c r="N45" i="14"/>
  <c r="AB46" i="14"/>
  <c r="AC46" i="14" s="1"/>
  <c r="U48" i="14"/>
  <c r="AC48" i="14"/>
  <c r="H15" i="15"/>
  <c r="S16" i="15"/>
  <c r="AG28" i="15"/>
  <c r="AL25" i="16"/>
  <c r="L34" i="16"/>
  <c r="Q15" i="10"/>
  <c r="S15" i="10" s="1"/>
  <c r="Q34" i="10"/>
  <c r="S34" i="10" s="1"/>
  <c r="Q39" i="10"/>
  <c r="S39" i="10" s="1"/>
  <c r="AL17" i="12"/>
  <c r="AN17" i="12" s="1"/>
  <c r="S18" i="12"/>
  <c r="AG28" i="12"/>
  <c r="Q33" i="12"/>
  <c r="S33" i="12" s="1"/>
  <c r="J33" i="12"/>
  <c r="L33" i="12" s="1"/>
  <c r="X33" i="12"/>
  <c r="Z33" i="12" s="1"/>
  <c r="J34" i="12"/>
  <c r="L34" i="12" s="1"/>
  <c r="X34" i="12"/>
  <c r="Z34" i="12" s="1"/>
  <c r="AM38" i="12"/>
  <c r="AN38" i="12" s="1"/>
  <c r="AP38" i="12" s="1"/>
  <c r="S39" i="12"/>
  <c r="L46" i="12"/>
  <c r="AN18" i="13"/>
  <c r="J28" i="13"/>
  <c r="L28" i="13" s="1"/>
  <c r="AL34" i="13"/>
  <c r="AN34" i="13" s="1"/>
  <c r="R35" i="13"/>
  <c r="S35" i="13" s="1"/>
  <c r="AL43" i="13"/>
  <c r="AN43" i="13" s="1"/>
  <c r="AN47" i="13"/>
  <c r="H34" i="13"/>
  <c r="AL20" i="14"/>
  <c r="AN20" i="14" s="1"/>
  <c r="S31" i="14"/>
  <c r="AL33" i="14"/>
  <c r="AN33" i="14" s="1"/>
  <c r="Q36" i="14"/>
  <c r="S36" i="14" s="1"/>
  <c r="Q43" i="14"/>
  <c r="S43" i="14" s="1"/>
  <c r="X43" i="14"/>
  <c r="Z43" i="14" s="1"/>
  <c r="F43" i="14"/>
  <c r="H43" i="14" s="1"/>
  <c r="AL43" i="14"/>
  <c r="AN43" i="14" s="1"/>
  <c r="AE43" i="14"/>
  <c r="AG43" i="14" s="1"/>
  <c r="J43" i="14"/>
  <c r="AN19" i="15"/>
  <c r="Q23" i="15"/>
  <c r="S23" i="15" s="1"/>
  <c r="N35" i="17"/>
  <c r="O35" i="17" s="1"/>
  <c r="F36" i="12"/>
  <c r="H36" i="12" s="1"/>
  <c r="AN19" i="13"/>
  <c r="F24" i="13"/>
  <c r="H24" i="13" s="1"/>
  <c r="O24" i="13" s="1"/>
  <c r="AE24" i="13"/>
  <c r="AG24" i="13" s="1"/>
  <c r="AL25" i="13"/>
  <c r="AN25" i="13" s="1"/>
  <c r="Q41" i="13"/>
  <c r="S41" i="13" s="1"/>
  <c r="X41" i="13"/>
  <c r="F41" i="13"/>
  <c r="L42" i="13"/>
  <c r="AC46" i="13"/>
  <c r="X19" i="14"/>
  <c r="L22" i="14"/>
  <c r="S24" i="14"/>
  <c r="Z27" i="14"/>
  <c r="AL34" i="14"/>
  <c r="Z38" i="14"/>
  <c r="AL42" i="14"/>
  <c r="AQ44" i="14"/>
  <c r="AI46" i="14"/>
  <c r="AJ46" i="14" s="1"/>
  <c r="S15" i="15"/>
  <c r="H23" i="15"/>
  <c r="O23" i="15" s="1"/>
  <c r="S25" i="15"/>
  <c r="Z26" i="15"/>
  <c r="X31" i="15"/>
  <c r="Z31" i="15" s="1"/>
  <c r="AL27" i="16"/>
  <c r="AN27" i="16" s="1"/>
  <c r="F42" i="16"/>
  <c r="H36" i="17"/>
  <c r="AE18" i="13"/>
  <c r="AG18" i="13" s="1"/>
  <c r="X18" i="13"/>
  <c r="Z18" i="13" s="1"/>
  <c r="X22" i="13"/>
  <c r="Z22" i="13" s="1"/>
  <c r="F23" i="13"/>
  <c r="H23" i="13" s="1"/>
  <c r="O23" i="13" s="1"/>
  <c r="X31" i="13"/>
  <c r="Z31" i="13" s="1"/>
  <c r="J32" i="13"/>
  <c r="X32" i="13"/>
  <c r="Z32" i="13" s="1"/>
  <c r="F32" i="13"/>
  <c r="H32" i="13" s="1"/>
  <c r="Q32" i="13"/>
  <c r="S32" i="13" s="1"/>
  <c r="S43" i="13"/>
  <c r="AC44" i="13"/>
  <c r="S16" i="14"/>
  <c r="Z19" i="14"/>
  <c r="F26" i="14"/>
  <c r="Q26" i="14"/>
  <c r="S26" i="14" s="1"/>
  <c r="N35" i="14"/>
  <c r="O35" i="14" s="1"/>
  <c r="H36" i="14"/>
  <c r="AE41" i="14"/>
  <c r="AG41" i="14" s="1"/>
  <c r="J41" i="14"/>
  <c r="L41" i="14" s="1"/>
  <c r="X41" i="14"/>
  <c r="Z41" i="14" s="1"/>
  <c r="F41" i="14"/>
  <c r="G42" i="14"/>
  <c r="H42" i="14" s="1"/>
  <c r="G38" i="14"/>
  <c r="G41" i="14"/>
  <c r="G39" i="14"/>
  <c r="H39" i="14" s="1"/>
  <c r="Z15" i="15"/>
  <c r="AN18" i="15"/>
  <c r="H20" i="15"/>
  <c r="O20" i="15" s="1"/>
  <c r="S24" i="15"/>
  <c r="S38" i="15"/>
  <c r="L41" i="15"/>
  <c r="Q38" i="12"/>
  <c r="J38" i="12"/>
  <c r="X38" i="12"/>
  <c r="Z38" i="12" s="1"/>
  <c r="J39" i="12"/>
  <c r="L39" i="12" s="1"/>
  <c r="X39" i="12"/>
  <c r="Z39" i="12" s="1"/>
  <c r="S44" i="12"/>
  <c r="S45" i="12"/>
  <c r="F18" i="13"/>
  <c r="H18" i="13" s="1"/>
  <c r="O18" i="13" s="1"/>
  <c r="X19" i="13"/>
  <c r="Z19" i="13" s="1"/>
  <c r="Q19" i="13"/>
  <c r="S19" i="13" s="1"/>
  <c r="AE32" i="13"/>
  <c r="AG32" i="13" s="1"/>
  <c r="AE41" i="13"/>
  <c r="X35" i="13"/>
  <c r="Z35" i="13" s="1"/>
  <c r="Z34" i="13"/>
  <c r="AE17" i="14"/>
  <c r="AG17" i="14" s="1"/>
  <c r="X17" i="14"/>
  <c r="Z17" i="14" s="1"/>
  <c r="F17" i="14"/>
  <c r="H26" i="14"/>
  <c r="O26" i="14" s="1"/>
  <c r="AL26" i="14"/>
  <c r="AN26" i="14" s="1"/>
  <c r="AP26" i="14" s="1"/>
  <c r="L33" i="14"/>
  <c r="L43" i="14"/>
  <c r="O44" i="14"/>
  <c r="AN46" i="14"/>
  <c r="AP46" i="14" s="1"/>
  <c r="AQ46" i="14" s="1"/>
  <c r="AB48" i="14"/>
  <c r="X19" i="15"/>
  <c r="Z19" i="15" s="1"/>
  <c r="AE19" i="15"/>
  <c r="AG19" i="15" s="1"/>
  <c r="J19" i="15"/>
  <c r="L19" i="15" s="1"/>
  <c r="F19" i="15"/>
  <c r="H19" i="15" s="1"/>
  <c r="O19" i="15" s="1"/>
  <c r="AL19" i="15"/>
  <c r="Q19" i="15"/>
  <c r="V21" i="15"/>
  <c r="N21" i="15"/>
  <c r="O21" i="15" s="1"/>
  <c r="U44" i="15"/>
  <c r="V44" i="15" s="1"/>
  <c r="AB44" i="15"/>
  <c r="AC44" i="15" s="1"/>
  <c r="V47" i="15"/>
  <c r="AB45" i="16"/>
  <c r="AC45" i="16" s="1"/>
  <c r="H16" i="17"/>
  <c r="O16" i="17" s="1"/>
  <c r="AL25" i="12"/>
  <c r="AN25" i="12" s="1"/>
  <c r="J36" i="12"/>
  <c r="AE36" i="12"/>
  <c r="AG36" i="12" s="1"/>
  <c r="J59" i="12"/>
  <c r="Q20" i="13"/>
  <c r="S20" i="13" s="1"/>
  <c r="J20" i="13"/>
  <c r="L20" i="13" s="1"/>
  <c r="Z20" i="13"/>
  <c r="Z21" i="13"/>
  <c r="J24" i="13"/>
  <c r="L24" i="13" s="1"/>
  <c r="J25" i="13"/>
  <c r="L25" i="13" s="1"/>
  <c r="AE25" i="13"/>
  <c r="AG25" i="13" s="1"/>
  <c r="J41" i="13"/>
  <c r="L41" i="13" s="1"/>
  <c r="AF39" i="13"/>
  <c r="AG39" i="13" s="1"/>
  <c r="AF41" i="13"/>
  <c r="H17" i="14"/>
  <c r="O17" i="14" s="1"/>
  <c r="X21" i="14"/>
  <c r="Z21" i="14" s="1"/>
  <c r="J26" i="14"/>
  <c r="L26" i="14" s="1"/>
  <c r="F30" i="14"/>
  <c r="H30" i="14" s="1"/>
  <c r="Q30" i="14"/>
  <c r="S30" i="14" s="1"/>
  <c r="AE30" i="14"/>
  <c r="AG30" i="14" s="1"/>
  <c r="Q41" i="14"/>
  <c r="S41" i="14" s="1"/>
  <c r="AB45" i="14"/>
  <c r="AN16" i="15"/>
  <c r="S20" i="15"/>
  <c r="L22" i="15"/>
  <c r="AE18" i="16"/>
  <c r="AL18" i="16"/>
  <c r="AN18" i="16" s="1"/>
  <c r="Q18" i="16"/>
  <c r="S18" i="16" s="1"/>
  <c r="F18" i="16"/>
  <c r="J18" i="16"/>
  <c r="X18" i="16"/>
  <c r="Z18" i="16" s="1"/>
  <c r="AN42" i="15"/>
  <c r="H16" i="16"/>
  <c r="O16" i="16" s="1"/>
  <c r="H20" i="16"/>
  <c r="O20" i="16" s="1"/>
  <c r="AG23" i="16"/>
  <c r="S30" i="16"/>
  <c r="S34" i="16"/>
  <c r="H46" i="16"/>
  <c r="F35" i="16"/>
  <c r="AI46" i="16"/>
  <c r="AQ46" i="16"/>
  <c r="G42" i="16"/>
  <c r="H42" i="16" s="1"/>
  <c r="G41" i="16"/>
  <c r="H41" i="16" s="1"/>
  <c r="G39" i="16"/>
  <c r="H39" i="16" s="1"/>
  <c r="G35" i="16"/>
  <c r="H35" i="16" s="1"/>
  <c r="G34" i="16"/>
  <c r="H34" i="16" s="1"/>
  <c r="Z15" i="17"/>
  <c r="F17" i="17"/>
  <c r="H17" i="17" s="1"/>
  <c r="O17" i="17" s="1"/>
  <c r="AL17" i="17"/>
  <c r="AN17" i="17" s="1"/>
  <c r="AE17" i="17"/>
  <c r="AG17" i="17" s="1"/>
  <c r="J17" i="17"/>
  <c r="L17" i="17" s="1"/>
  <c r="Q17" i="17"/>
  <c r="X23" i="17"/>
  <c r="Z23" i="17" s="1"/>
  <c r="S28" i="17"/>
  <c r="AG31" i="17"/>
  <c r="L17" i="18"/>
  <c r="AE22" i="14"/>
  <c r="AG22" i="14" s="1"/>
  <c r="AE33" i="14"/>
  <c r="AG33" i="14" s="1"/>
  <c r="S45" i="14"/>
  <c r="Z21" i="15"/>
  <c r="AL22" i="15"/>
  <c r="AN22" i="15" s="1"/>
  <c r="X22" i="15"/>
  <c r="Z22" i="15" s="1"/>
  <c r="AL30" i="15"/>
  <c r="AN30" i="15" s="1"/>
  <c r="AP30" i="15" s="1"/>
  <c r="J31" i="15"/>
  <c r="L31" i="15" s="1"/>
  <c r="AL33" i="15"/>
  <c r="AN33" i="15" s="1"/>
  <c r="Q43" i="15"/>
  <c r="S43" i="15" s="1"/>
  <c r="AB46" i="15"/>
  <c r="AJ46" i="15"/>
  <c r="R42" i="15"/>
  <c r="R41" i="15"/>
  <c r="S41" i="15" s="1"/>
  <c r="R39" i="15"/>
  <c r="R35" i="15"/>
  <c r="S35" i="15" s="1"/>
  <c r="R34" i="15"/>
  <c r="AG17" i="16"/>
  <c r="AG22" i="16"/>
  <c r="AG27" i="16"/>
  <c r="AG41" i="16"/>
  <c r="AN42" i="16"/>
  <c r="AE35" i="16"/>
  <c r="AG35" i="16" s="1"/>
  <c r="AG44" i="16"/>
  <c r="U45" i="16"/>
  <c r="AG15" i="17"/>
  <c r="AG24" i="17"/>
  <c r="Q26" i="17"/>
  <c r="S26" i="17" s="1"/>
  <c r="AE26" i="17"/>
  <c r="X26" i="17"/>
  <c r="Z26" i="17" s="1"/>
  <c r="AL26" i="17"/>
  <c r="AN26" i="17" s="1"/>
  <c r="J26" i="17"/>
  <c r="L26" i="17" s="1"/>
  <c r="F26" i="17"/>
  <c r="AQ46" i="17"/>
  <c r="AI46" i="17"/>
  <c r="U45" i="18"/>
  <c r="L33" i="19"/>
  <c r="AL15" i="15"/>
  <c r="AN15" i="15" s="1"/>
  <c r="AE17" i="15"/>
  <c r="AG17" i="15" s="1"/>
  <c r="X59" i="15"/>
  <c r="Y41" i="15"/>
  <c r="Z41" i="15" s="1"/>
  <c r="Y39" i="15"/>
  <c r="Z39" i="15" s="1"/>
  <c r="Y38" i="15"/>
  <c r="Z38" i="15" s="1"/>
  <c r="L16" i="16"/>
  <c r="AG21" i="16"/>
  <c r="H24" i="19"/>
  <c r="O24" i="19" s="1"/>
  <c r="AE34" i="14"/>
  <c r="AG34" i="14" s="1"/>
  <c r="AG38" i="14"/>
  <c r="AM41" i="14"/>
  <c r="AN41" i="14" s="1"/>
  <c r="Q42" i="14"/>
  <c r="Z44" i="14"/>
  <c r="AC21" i="15"/>
  <c r="H22" i="15"/>
  <c r="O22" i="15" s="1"/>
  <c r="F23" i="15"/>
  <c r="X23" i="15"/>
  <c r="Z23" i="15" s="1"/>
  <c r="L27" i="15"/>
  <c r="Y34" i="15"/>
  <c r="Z34" i="15" s="1"/>
  <c r="AF35" i="15"/>
  <c r="AG35" i="15" s="1"/>
  <c r="AF34" i="15"/>
  <c r="AG34" i="15" s="1"/>
  <c r="AF39" i="15"/>
  <c r="AG39" i="15" s="1"/>
  <c r="F17" i="16"/>
  <c r="H17" i="16" s="1"/>
  <c r="O17" i="16" s="1"/>
  <c r="Q17" i="16"/>
  <c r="S17" i="16" s="1"/>
  <c r="X17" i="16"/>
  <c r="Z17" i="16" s="1"/>
  <c r="AL17" i="16"/>
  <c r="AN17" i="16" s="1"/>
  <c r="AE17" i="16"/>
  <c r="J17" i="16"/>
  <c r="L17" i="16" s="1"/>
  <c r="AN25" i="16"/>
  <c r="AP25" i="16" s="1"/>
  <c r="AN41" i="16"/>
  <c r="X16" i="17"/>
  <c r="Z16" i="17" s="1"/>
  <c r="X21" i="17"/>
  <c r="AL21" i="17"/>
  <c r="AN21" i="17" s="1"/>
  <c r="AP21" i="17" s="1"/>
  <c r="AE21" i="17"/>
  <c r="AG21" i="17" s="1"/>
  <c r="S23" i="17"/>
  <c r="L33" i="17"/>
  <c r="AM38" i="17"/>
  <c r="AM34" i="17"/>
  <c r="AM35" i="17"/>
  <c r="AM42" i="17"/>
  <c r="AM41" i="17"/>
  <c r="AN41" i="17" s="1"/>
  <c r="AM39" i="17"/>
  <c r="AL23" i="13"/>
  <c r="AN23" i="13" s="1"/>
  <c r="AP23" i="13" s="1"/>
  <c r="H24" i="14"/>
  <c r="O24" i="14" s="1"/>
  <c r="AE28" i="14"/>
  <c r="AG28" i="14" s="1"/>
  <c r="AE16" i="15"/>
  <c r="AG16" i="15" s="1"/>
  <c r="Q17" i="15"/>
  <c r="S17" i="15" s="1"/>
  <c r="J24" i="15"/>
  <c r="L24" i="15" s="1"/>
  <c r="X32" i="15"/>
  <c r="Z32" i="15" s="1"/>
  <c r="Q32" i="15"/>
  <c r="S32" i="15" s="1"/>
  <c r="AE32" i="15"/>
  <c r="O7" i="3" s="1"/>
  <c r="F32" i="15"/>
  <c r="H32" i="15" s="1"/>
  <c r="J34" i="15"/>
  <c r="AG38" i="15"/>
  <c r="H45" i="15"/>
  <c r="R48" i="16"/>
  <c r="S48" i="16" s="1"/>
  <c r="Y47" i="16"/>
  <c r="Z47" i="16" s="1"/>
  <c r="AF48" i="16"/>
  <c r="AG48" i="16" s="1"/>
  <c r="AM47" i="16"/>
  <c r="AN47" i="16" s="1"/>
  <c r="AM48" i="16"/>
  <c r="AN48" i="16" s="1"/>
  <c r="R47" i="16"/>
  <c r="S47" i="16" s="1"/>
  <c r="K48" i="16"/>
  <c r="L48" i="16" s="1"/>
  <c r="AF47" i="16"/>
  <c r="AG47" i="16" s="1"/>
  <c r="G47" i="16"/>
  <c r="H47" i="16" s="1"/>
  <c r="G48" i="16"/>
  <c r="H48" i="16" s="1"/>
  <c r="Y48" i="16"/>
  <c r="Z48" i="16" s="1"/>
  <c r="S16" i="16"/>
  <c r="AG18" i="16"/>
  <c r="O21" i="16"/>
  <c r="AG32" i="16"/>
  <c r="AP44" i="16"/>
  <c r="X17" i="17"/>
  <c r="Z17" i="17" s="1"/>
  <c r="O21" i="17"/>
  <c r="N21" i="17"/>
  <c r="H25" i="17"/>
  <c r="O25" i="17" s="1"/>
  <c r="AN28" i="17"/>
  <c r="AP28" i="17" s="1"/>
  <c r="Z41" i="17"/>
  <c r="S25" i="18"/>
  <c r="H16" i="20"/>
  <c r="O16" i="20" s="1"/>
  <c r="AE25" i="12"/>
  <c r="AG25" i="12" s="1"/>
  <c r="AE30" i="12"/>
  <c r="AG30" i="12" s="1"/>
  <c r="R48" i="13"/>
  <c r="S48" i="13" s="1"/>
  <c r="Y47" i="13"/>
  <c r="Z47" i="13" s="1"/>
  <c r="AE15" i="13"/>
  <c r="AG15" i="13" s="1"/>
  <c r="AE26" i="13"/>
  <c r="AL30" i="13"/>
  <c r="AN30" i="13" s="1"/>
  <c r="AP30" i="13" s="1"/>
  <c r="F39" i="13"/>
  <c r="H39" i="13" s="1"/>
  <c r="AM48" i="13"/>
  <c r="AN48" i="13" s="1"/>
  <c r="AP48" i="13" s="1"/>
  <c r="AF48" i="14"/>
  <c r="AG48" i="14" s="1"/>
  <c r="AM47" i="14"/>
  <c r="AN47" i="14" s="1"/>
  <c r="J24" i="14"/>
  <c r="L24" i="14" s="1"/>
  <c r="F28" i="14"/>
  <c r="H28" i="14" s="1"/>
  <c r="O28" i="14" s="1"/>
  <c r="X28" i="14"/>
  <c r="Z28" i="14" s="1"/>
  <c r="Q34" i="14"/>
  <c r="S34" i="14" s="1"/>
  <c r="AM42" i="14"/>
  <c r="AN42" i="14" s="1"/>
  <c r="AP42" i="14" s="1"/>
  <c r="F16" i="15"/>
  <c r="H16" i="15" s="1"/>
  <c r="O16" i="15" s="1"/>
  <c r="X16" i="15"/>
  <c r="Z16" i="15" s="1"/>
  <c r="AE22" i="15"/>
  <c r="AG22" i="15" s="1"/>
  <c r="J23" i="15"/>
  <c r="L23" i="15" s="1"/>
  <c r="F24" i="15"/>
  <c r="H24" i="15" s="1"/>
  <c r="O24" i="15" s="1"/>
  <c r="X24" i="15"/>
  <c r="Q27" i="15"/>
  <c r="S27" i="15" s="1"/>
  <c r="Q38" i="15"/>
  <c r="F38" i="15"/>
  <c r="H38" i="15" s="1"/>
  <c r="Y42" i="15"/>
  <c r="Z42" i="15" s="1"/>
  <c r="AJ44" i="15"/>
  <c r="AE39" i="17"/>
  <c r="AN38" i="19"/>
  <c r="AP38" i="19" s="1"/>
  <c r="AG27" i="20"/>
  <c r="Q33" i="14"/>
  <c r="AM38" i="14"/>
  <c r="AN38" i="14" s="1"/>
  <c r="X42" i="14"/>
  <c r="Z42" i="14" s="1"/>
  <c r="R47" i="14"/>
  <c r="S47" i="14" s="1"/>
  <c r="J59" i="14"/>
  <c r="Q20" i="15"/>
  <c r="Z24" i="15"/>
  <c r="AL32" i="15"/>
  <c r="X36" i="15"/>
  <c r="Z36" i="15" s="1"/>
  <c r="AE36" i="15"/>
  <c r="J36" i="15"/>
  <c r="F36" i="15"/>
  <c r="H36" i="15" s="1"/>
  <c r="Q36" i="15"/>
  <c r="S36" i="15" s="1"/>
  <c r="AF41" i="15"/>
  <c r="N45" i="15"/>
  <c r="Z20" i="16"/>
  <c r="L24" i="16"/>
  <c r="F38" i="16"/>
  <c r="AE38" i="16"/>
  <c r="J38" i="16"/>
  <c r="L38" i="16" s="1"/>
  <c r="AL38" i="16"/>
  <c r="AN38" i="16" s="1"/>
  <c r="Q38" i="16"/>
  <c r="L39" i="16"/>
  <c r="F41" i="16"/>
  <c r="AI45" i="16"/>
  <c r="AJ45" i="16" s="1"/>
  <c r="AQ45" i="16"/>
  <c r="U46" i="16"/>
  <c r="V46" i="16" s="1"/>
  <c r="X42" i="17"/>
  <c r="Z18" i="21"/>
  <c r="F22" i="14"/>
  <c r="H22" i="14" s="1"/>
  <c r="O22" i="14" s="1"/>
  <c r="X22" i="14"/>
  <c r="F33" i="14"/>
  <c r="H33" i="14" s="1"/>
  <c r="O33" i="14" s="1"/>
  <c r="X33" i="14"/>
  <c r="Z33" i="14" s="1"/>
  <c r="Q38" i="14"/>
  <c r="F42" i="14"/>
  <c r="AE23" i="15"/>
  <c r="AG23" i="15" s="1"/>
  <c r="AE26" i="15"/>
  <c r="AG26" i="15" s="1"/>
  <c r="AN27" i="15"/>
  <c r="AN32" i="15"/>
  <c r="L34" i="15"/>
  <c r="AN38" i="15"/>
  <c r="AC46" i="15"/>
  <c r="V21" i="16"/>
  <c r="N21" i="16"/>
  <c r="J30" i="16"/>
  <c r="L30" i="16" s="1"/>
  <c r="AE30" i="16"/>
  <c r="AG30" i="16" s="1"/>
  <c r="F30" i="16"/>
  <c r="H30" i="16" s="1"/>
  <c r="AL30" i="16"/>
  <c r="AN30" i="16" s="1"/>
  <c r="AP30" i="16" s="1"/>
  <c r="Q30" i="16"/>
  <c r="L36" i="16"/>
  <c r="G38" i="16"/>
  <c r="N44" i="16"/>
  <c r="O44" i="16" s="1"/>
  <c r="K47" i="16"/>
  <c r="L47" i="16" s="1"/>
  <c r="L15" i="18"/>
  <c r="F17" i="15"/>
  <c r="H17" i="15" s="1"/>
  <c r="O17" i="15" s="1"/>
  <c r="X17" i="15"/>
  <c r="Z17" i="15" s="1"/>
  <c r="L32" i="15"/>
  <c r="L36" i="15"/>
  <c r="AN36" i="15"/>
  <c r="AE41" i="15"/>
  <c r="AL41" i="15"/>
  <c r="AN41" i="15" s="1"/>
  <c r="Q41" i="15"/>
  <c r="J41" i="15"/>
  <c r="O44" i="15"/>
  <c r="AC45" i="15"/>
  <c r="L18" i="16"/>
  <c r="S23" i="16"/>
  <c r="S28" i="16"/>
  <c r="J31" i="16"/>
  <c r="L31" i="16" s="1"/>
  <c r="AL34" i="16"/>
  <c r="AN34" i="16" s="1"/>
  <c r="AP34" i="16" s="1"/>
  <c r="AC21" i="17"/>
  <c r="U21" i="17"/>
  <c r="Z25" i="17"/>
  <c r="Z32" i="17"/>
  <c r="AJ45" i="17"/>
  <c r="AI45" i="17"/>
  <c r="AB45" i="17"/>
  <c r="AC45" i="17" s="1"/>
  <c r="AP35" i="20"/>
  <c r="J34" i="14"/>
  <c r="L34" i="14" s="1"/>
  <c r="S35" i="14"/>
  <c r="AF48" i="15"/>
  <c r="AG48" i="15" s="1"/>
  <c r="AM47" i="15"/>
  <c r="AN47" i="15" s="1"/>
  <c r="Y47" i="15"/>
  <c r="Z47" i="15" s="1"/>
  <c r="G47" i="15"/>
  <c r="H47" i="15" s="1"/>
  <c r="N47" i="15" s="1"/>
  <c r="AM48" i="15"/>
  <c r="AN48" i="15" s="1"/>
  <c r="AP48" i="15" s="1"/>
  <c r="R48" i="15"/>
  <c r="S48" i="15" s="1"/>
  <c r="K48" i="15"/>
  <c r="L48" i="15" s="1"/>
  <c r="AF47" i="15"/>
  <c r="AG47" i="15" s="1"/>
  <c r="X27" i="15"/>
  <c r="Z27" i="15" s="1"/>
  <c r="AE27" i="15"/>
  <c r="AG27" i="15" s="1"/>
  <c r="AE31" i="15"/>
  <c r="AL31" i="15"/>
  <c r="AN31" i="15" s="1"/>
  <c r="Q31" i="15"/>
  <c r="S31" i="15" s="1"/>
  <c r="Q33" i="15"/>
  <c r="J33" i="15"/>
  <c r="L33" i="15" s="1"/>
  <c r="AE33" i="15"/>
  <c r="AG33" i="15" s="1"/>
  <c r="Z35" i="15"/>
  <c r="F41" i="15"/>
  <c r="Z43" i="15"/>
  <c r="U45" i="15"/>
  <c r="V45" i="15" s="1"/>
  <c r="AN15" i="16"/>
  <c r="Q20" i="16"/>
  <c r="S20" i="16" s="1"/>
  <c r="AE20" i="16"/>
  <c r="J20" i="16"/>
  <c r="L20" i="16" s="1"/>
  <c r="U35" i="16"/>
  <c r="U44" i="16"/>
  <c r="V44" i="16" s="1"/>
  <c r="L45" i="16"/>
  <c r="L15" i="17"/>
  <c r="L30" i="17"/>
  <c r="AG32" i="17"/>
  <c r="Z42" i="17"/>
  <c r="L44" i="13"/>
  <c r="U44" i="13" s="1"/>
  <c r="AF47" i="13"/>
  <c r="AG47" i="13" s="1"/>
  <c r="J22" i="14"/>
  <c r="J33" i="14"/>
  <c r="F34" i="14"/>
  <c r="H34" i="14" s="1"/>
  <c r="X34" i="14"/>
  <c r="Z34" i="14" s="1"/>
  <c r="J39" i="14"/>
  <c r="L39" i="14" s="1"/>
  <c r="L46" i="14"/>
  <c r="G47" i="14"/>
  <c r="H47" i="14" s="1"/>
  <c r="Y47" i="14"/>
  <c r="Z47" i="14" s="1"/>
  <c r="AM48" i="14"/>
  <c r="AN48" i="14" s="1"/>
  <c r="AP48" i="14" s="1"/>
  <c r="J20" i="15"/>
  <c r="L20" i="15" s="1"/>
  <c r="F27" i="15"/>
  <c r="H27" i="15" s="1"/>
  <c r="O27" i="15" s="1"/>
  <c r="Q28" i="15"/>
  <c r="S28" i="15" s="1"/>
  <c r="X28" i="15"/>
  <c r="F31" i="15"/>
  <c r="H31" i="15" s="1"/>
  <c r="O31" i="15" s="1"/>
  <c r="F33" i="15"/>
  <c r="H33" i="15" s="1"/>
  <c r="O33" i="15" s="1"/>
  <c r="H41" i="15"/>
  <c r="X42" i="15"/>
  <c r="AL42" i="15"/>
  <c r="Q42" i="15"/>
  <c r="J42" i="15"/>
  <c r="L42" i="15" s="1"/>
  <c r="AQ44" i="15"/>
  <c r="AI44" i="15"/>
  <c r="Y48" i="15"/>
  <c r="Z48" i="15" s="1"/>
  <c r="F20" i="16"/>
  <c r="AL20" i="16"/>
  <c r="AN20" i="16" s="1"/>
  <c r="V35" i="16"/>
  <c r="S38" i="16"/>
  <c r="Z44" i="16"/>
  <c r="X35" i="16"/>
  <c r="AB46" i="16"/>
  <c r="AC46" i="16" s="1"/>
  <c r="Q18" i="17"/>
  <c r="S18" i="17" s="1"/>
  <c r="AE18" i="17"/>
  <c r="AL18" i="17"/>
  <c r="AN18" i="17" s="1"/>
  <c r="J18" i="17"/>
  <c r="L18" i="17" s="1"/>
  <c r="F18" i="17"/>
  <c r="AL35" i="17"/>
  <c r="AB46" i="17"/>
  <c r="AC46" i="17" s="1"/>
  <c r="AJ46" i="17"/>
  <c r="AN22" i="18"/>
  <c r="AP22" i="18" s="1"/>
  <c r="L32" i="16"/>
  <c r="X36" i="16"/>
  <c r="Z36" i="16" s="1"/>
  <c r="Q20" i="17"/>
  <c r="Z20" i="17"/>
  <c r="Z21" i="17"/>
  <c r="Z33" i="17"/>
  <c r="AG35" i="17"/>
  <c r="H41" i="17"/>
  <c r="Q43" i="17"/>
  <c r="S43" i="17" s="1"/>
  <c r="AE43" i="17"/>
  <c r="J43" i="17"/>
  <c r="L43" i="17" s="1"/>
  <c r="AL43" i="17"/>
  <c r="AN43" i="17" s="1"/>
  <c r="N44" i="17"/>
  <c r="O44" i="17" s="1"/>
  <c r="AN44" i="17"/>
  <c r="AP44" i="17" s="1"/>
  <c r="AQ44" i="17" s="1"/>
  <c r="Y48" i="18"/>
  <c r="Z48" i="18" s="1"/>
  <c r="AF47" i="18"/>
  <c r="AG47" i="18" s="1"/>
  <c r="G48" i="18"/>
  <c r="H48" i="18" s="1"/>
  <c r="AM48" i="18"/>
  <c r="AN48" i="18" s="1"/>
  <c r="AP48" i="18" s="1"/>
  <c r="K47" i="18"/>
  <c r="L47" i="18" s="1"/>
  <c r="G47" i="18"/>
  <c r="H47" i="18" s="1"/>
  <c r="AF48" i="18"/>
  <c r="AG48" i="18" s="1"/>
  <c r="K48" i="18"/>
  <c r="L48" i="18" s="1"/>
  <c r="AM47" i="18"/>
  <c r="AN47" i="18" s="1"/>
  <c r="R47" i="18"/>
  <c r="S47" i="18" s="1"/>
  <c r="R48" i="18"/>
  <c r="S48" i="18" s="1"/>
  <c r="AG17" i="18"/>
  <c r="Z22" i="18"/>
  <c r="U44" i="18"/>
  <c r="AC44" i="18"/>
  <c r="K38" i="18"/>
  <c r="L38" i="18" s="1"/>
  <c r="K35" i="18"/>
  <c r="L35" i="18" s="1"/>
  <c r="K34" i="18"/>
  <c r="K42" i="18"/>
  <c r="K41" i="18"/>
  <c r="AN20" i="19"/>
  <c r="H28" i="19"/>
  <c r="O28" i="19" s="1"/>
  <c r="L38" i="19"/>
  <c r="S23" i="20"/>
  <c r="S16" i="21"/>
  <c r="L23" i="16"/>
  <c r="H26" i="16"/>
  <c r="O26" i="16" s="1"/>
  <c r="F27" i="16"/>
  <c r="H27" i="16" s="1"/>
  <c r="O27" i="16" s="1"/>
  <c r="X27" i="16"/>
  <c r="Z27" i="16" s="1"/>
  <c r="H26" i="17"/>
  <c r="O26" i="17" s="1"/>
  <c r="AG26" i="17"/>
  <c r="U46" i="17"/>
  <c r="V46" i="17" s="1"/>
  <c r="AL16" i="18"/>
  <c r="AN16" i="18" s="1"/>
  <c r="AP16" i="18" s="1"/>
  <c r="Y47" i="18"/>
  <c r="Z47" i="18" s="1"/>
  <c r="AL21" i="19"/>
  <c r="AN21" i="19" s="1"/>
  <c r="AP21" i="19" s="1"/>
  <c r="AE21" i="19"/>
  <c r="AJ45" i="19"/>
  <c r="AB45" i="19"/>
  <c r="AC45" i="19" s="1"/>
  <c r="J19" i="20"/>
  <c r="L19" i="20" s="1"/>
  <c r="AE19" i="20"/>
  <c r="AG19" i="20" s="1"/>
  <c r="AL19" i="20"/>
  <c r="AN19" i="20" s="1"/>
  <c r="AP19" i="20" s="1"/>
  <c r="Q19" i="20"/>
  <c r="X19" i="20"/>
  <c r="Z19" i="20" s="1"/>
  <c r="Z20" i="20"/>
  <c r="X19" i="16"/>
  <c r="Z19" i="16" s="1"/>
  <c r="AG24" i="16"/>
  <c r="AE25" i="16"/>
  <c r="AG25" i="16" s="1"/>
  <c r="F28" i="16"/>
  <c r="H28" i="16" s="1"/>
  <c r="O28" i="16" s="1"/>
  <c r="X28" i="16"/>
  <c r="Z28" i="16" s="1"/>
  <c r="Q31" i="16"/>
  <c r="AJ46" i="16"/>
  <c r="S17" i="17"/>
  <c r="S24" i="17"/>
  <c r="AE28" i="17"/>
  <c r="AG28" i="17" s="1"/>
  <c r="J28" i="17"/>
  <c r="L28" i="17" s="1"/>
  <c r="X28" i="17"/>
  <c r="Z28" i="17" s="1"/>
  <c r="F28" i="17"/>
  <c r="AQ45" i="17"/>
  <c r="H16" i="18"/>
  <c r="O16" i="18" s="1"/>
  <c r="AG34" i="18"/>
  <c r="Y35" i="18"/>
  <c r="Z35" i="18" s="1"/>
  <c r="Y41" i="18"/>
  <c r="Y34" i="18"/>
  <c r="Y39" i="18"/>
  <c r="L23" i="19"/>
  <c r="Z24" i="19"/>
  <c r="L28" i="19"/>
  <c r="H33" i="19"/>
  <c r="O33" i="19" s="1"/>
  <c r="Z46" i="19"/>
  <c r="F19" i="20"/>
  <c r="N21" i="21"/>
  <c r="O21" i="21" s="1"/>
  <c r="J23" i="23"/>
  <c r="F23" i="23"/>
  <c r="AL23" i="23"/>
  <c r="AE23" i="23"/>
  <c r="AG23" i="23" s="1"/>
  <c r="X23" i="23"/>
  <c r="Z23" i="23" s="1"/>
  <c r="Q23" i="23"/>
  <c r="S23" i="23" s="1"/>
  <c r="H18" i="16"/>
  <c r="O18" i="16" s="1"/>
  <c r="S31" i="16"/>
  <c r="J19" i="17"/>
  <c r="L19" i="17" s="1"/>
  <c r="X19" i="17"/>
  <c r="Z19" i="17"/>
  <c r="H28" i="17"/>
  <c r="O28" i="17" s="1"/>
  <c r="Q33" i="17"/>
  <c r="AE33" i="17"/>
  <c r="AG33" i="17" s="1"/>
  <c r="J39" i="17"/>
  <c r="L39" i="17" s="1"/>
  <c r="X39" i="17"/>
  <c r="AL39" i="17"/>
  <c r="Q39" i="17"/>
  <c r="S39" i="17" s="1"/>
  <c r="S44" i="17"/>
  <c r="K47" i="17"/>
  <c r="L47" i="17" s="1"/>
  <c r="Z33" i="18"/>
  <c r="AE59" i="18"/>
  <c r="AN19" i="19"/>
  <c r="S23" i="19"/>
  <c r="Q26" i="19"/>
  <c r="S26" i="19" s="1"/>
  <c r="F23" i="21"/>
  <c r="H23" i="21" s="1"/>
  <c r="O23" i="21" s="1"/>
  <c r="Q23" i="21"/>
  <c r="AL23" i="21"/>
  <c r="AN23" i="21" s="1"/>
  <c r="J23" i="21"/>
  <c r="X23" i="21"/>
  <c r="AE23" i="21"/>
  <c r="AG23" i="21" s="1"/>
  <c r="AL38" i="21"/>
  <c r="AN38" i="21" s="1"/>
  <c r="AP38" i="21" s="1"/>
  <c r="L20" i="17"/>
  <c r="X30" i="17"/>
  <c r="Z30" i="17" s="1"/>
  <c r="F30" i="17"/>
  <c r="S32" i="17"/>
  <c r="L45" i="17"/>
  <c r="AN45" i="17"/>
  <c r="AP45" i="17" s="1"/>
  <c r="AE59" i="17"/>
  <c r="X23" i="18"/>
  <c r="Z23" i="18" s="1"/>
  <c r="H24" i="18"/>
  <c r="O24" i="18" s="1"/>
  <c r="Z31" i="18"/>
  <c r="X36" i="18"/>
  <c r="Z36" i="18" s="1"/>
  <c r="S36" i="19"/>
  <c r="H43" i="19"/>
  <c r="S22" i="20"/>
  <c r="AG27" i="21"/>
  <c r="AQ37" i="37"/>
  <c r="AL21" i="16"/>
  <c r="AN21" i="16" s="1"/>
  <c r="AN23" i="16"/>
  <c r="AP23" i="16" s="1"/>
  <c r="X31" i="16"/>
  <c r="Z31" i="16" s="1"/>
  <c r="AE36" i="16"/>
  <c r="AG36" i="16" s="1"/>
  <c r="AL39" i="16"/>
  <c r="AN39" i="16" s="1"/>
  <c r="AG19" i="17"/>
  <c r="F24" i="17"/>
  <c r="H24" i="17" s="1"/>
  <c r="O24" i="17" s="1"/>
  <c r="X24" i="17"/>
  <c r="Z24" i="17" s="1"/>
  <c r="AL24" i="17"/>
  <c r="AN24" i="17" s="1"/>
  <c r="AL27" i="17"/>
  <c r="AN27" i="17" s="1"/>
  <c r="AP27" i="17" s="1"/>
  <c r="H30" i="17"/>
  <c r="AE30" i="17"/>
  <c r="AG30" i="17" s="1"/>
  <c r="H36" i="18"/>
  <c r="S41" i="18"/>
  <c r="S22" i="19"/>
  <c r="L26" i="19"/>
  <c r="S27" i="19"/>
  <c r="Q18" i="20"/>
  <c r="S18" i="20" s="1"/>
  <c r="AE18" i="20"/>
  <c r="AG18" i="20" s="1"/>
  <c r="J18" i="20"/>
  <c r="L18" i="20" s="1"/>
  <c r="AL18" i="20"/>
  <c r="AN18" i="20" s="1"/>
  <c r="X18" i="20"/>
  <c r="Z18" i="20" s="1"/>
  <c r="F18" i="20"/>
  <c r="H18" i="20" s="1"/>
  <c r="O18" i="20" s="1"/>
  <c r="S31" i="20"/>
  <c r="L45" i="21"/>
  <c r="AL25" i="15"/>
  <c r="AN25" i="15" s="1"/>
  <c r="AP25" i="15" s="1"/>
  <c r="G34" i="15"/>
  <c r="H34" i="15" s="1"/>
  <c r="G35" i="15"/>
  <c r="H35" i="15" s="1"/>
  <c r="AL15" i="16"/>
  <c r="AE22" i="16"/>
  <c r="X22" i="16"/>
  <c r="Z22" i="16" s="1"/>
  <c r="F31" i="16"/>
  <c r="Y41" i="16"/>
  <c r="Y35" i="16"/>
  <c r="AN15" i="17"/>
  <c r="AE24" i="17"/>
  <c r="Q28" i="17"/>
  <c r="J30" i="17"/>
  <c r="J33" i="17"/>
  <c r="L41" i="17"/>
  <c r="N21" i="18"/>
  <c r="O21" i="18" s="1"/>
  <c r="X34" i="18"/>
  <c r="AG41" i="18"/>
  <c r="N46" i="18"/>
  <c r="O46" i="18" s="1"/>
  <c r="U21" i="19"/>
  <c r="AL31" i="19"/>
  <c r="Z41" i="19"/>
  <c r="AG46" i="20"/>
  <c r="AE35" i="20"/>
  <c r="AG35" i="20" s="1"/>
  <c r="AB44" i="21"/>
  <c r="AJ44" i="21"/>
  <c r="Z21" i="16"/>
  <c r="X23" i="16"/>
  <c r="Z23" i="16" s="1"/>
  <c r="Q27" i="16"/>
  <c r="S27" i="16" s="1"/>
  <c r="H31" i="16"/>
  <c r="O31" i="16" s="1"/>
  <c r="X41" i="16"/>
  <c r="X42" i="16"/>
  <c r="Z42" i="16" s="1"/>
  <c r="AF39" i="16"/>
  <c r="AF34" i="16"/>
  <c r="AG34" i="16" s="1"/>
  <c r="H18" i="17"/>
  <c r="O18" i="17" s="1"/>
  <c r="AG18" i="17"/>
  <c r="S20" i="17"/>
  <c r="S22" i="17"/>
  <c r="J24" i="17"/>
  <c r="L24" i="17" s="1"/>
  <c r="AN25" i="17"/>
  <c r="H27" i="17"/>
  <c r="O27" i="17" s="1"/>
  <c r="S31" i="17"/>
  <c r="Z15" i="18"/>
  <c r="AG39" i="18"/>
  <c r="AN41" i="18"/>
  <c r="AL17" i="19"/>
  <c r="AN17" i="19" s="1"/>
  <c r="AP17" i="19" s="1"/>
  <c r="X18" i="19"/>
  <c r="Z18" i="19" s="1"/>
  <c r="F18" i="19"/>
  <c r="H18" i="19" s="1"/>
  <c r="O18" i="19" s="1"/>
  <c r="AL18" i="19"/>
  <c r="AE18" i="19"/>
  <c r="J18" i="19"/>
  <c r="Q18" i="19"/>
  <c r="S18" i="19" s="1"/>
  <c r="X21" i="19"/>
  <c r="Z21" i="19" s="1"/>
  <c r="S39" i="19"/>
  <c r="AG31" i="20"/>
  <c r="O35" i="20"/>
  <c r="AP47" i="20"/>
  <c r="S17" i="21"/>
  <c r="X17" i="24"/>
  <c r="J39" i="15"/>
  <c r="L39" i="15" s="1"/>
  <c r="AE16" i="16"/>
  <c r="AG16" i="16" s="1"/>
  <c r="X16" i="16"/>
  <c r="Z16" i="16" s="1"/>
  <c r="F23" i="16"/>
  <c r="H23" i="16" s="1"/>
  <c r="O23" i="16" s="1"/>
  <c r="F24" i="16"/>
  <c r="H24" i="16" s="1"/>
  <c r="O24" i="16" s="1"/>
  <c r="Q24" i="16"/>
  <c r="S24" i="16" s="1"/>
  <c r="F33" i="16"/>
  <c r="H33" i="16" s="1"/>
  <c r="O33" i="16" s="1"/>
  <c r="X33" i="16"/>
  <c r="Z33" i="16" s="1"/>
  <c r="Q36" i="16"/>
  <c r="S36" i="16" s="1"/>
  <c r="AF38" i="16"/>
  <c r="F43" i="16"/>
  <c r="H43" i="16" s="1"/>
  <c r="X43" i="16"/>
  <c r="Z43" i="16" s="1"/>
  <c r="Q16" i="17"/>
  <c r="S16" i="17" s="1"/>
  <c r="AE16" i="17"/>
  <c r="AG16" i="17" s="1"/>
  <c r="AL19" i="17"/>
  <c r="AN19" i="17" s="1"/>
  <c r="AP19" i="17" s="1"/>
  <c r="Z39" i="17"/>
  <c r="X43" i="17"/>
  <c r="Z43" i="17" s="1"/>
  <c r="AI44" i="17"/>
  <c r="AJ44" i="17" s="1"/>
  <c r="U45" i="17"/>
  <c r="F59" i="17"/>
  <c r="S38" i="18"/>
  <c r="V44" i="18"/>
  <c r="N44" i="18"/>
  <c r="O44" i="18" s="1"/>
  <c r="S46" i="18"/>
  <c r="L25" i="19"/>
  <c r="AG27" i="19"/>
  <c r="L31" i="19"/>
  <c r="AN36" i="19"/>
  <c r="AG38" i="21"/>
  <c r="AG20" i="16"/>
  <c r="J25" i="16"/>
  <c r="L25" i="16" s="1"/>
  <c r="X25" i="16"/>
  <c r="Z25" i="16" s="1"/>
  <c r="AL36" i="16"/>
  <c r="AN36" i="16" s="1"/>
  <c r="AP36" i="16" s="1"/>
  <c r="AF48" i="17"/>
  <c r="AG48" i="17" s="1"/>
  <c r="AM47" i="17"/>
  <c r="AN47" i="17" s="1"/>
  <c r="AM48" i="17"/>
  <c r="AN48" i="17" s="1"/>
  <c r="R47" i="17"/>
  <c r="S47" i="17" s="1"/>
  <c r="R48" i="17"/>
  <c r="S48" i="17" s="1"/>
  <c r="G48" i="17"/>
  <c r="H48" i="17" s="1"/>
  <c r="Y48" i="17"/>
  <c r="Z48" i="17" s="1"/>
  <c r="G47" i="17"/>
  <c r="H47" i="17" s="1"/>
  <c r="Q19" i="17"/>
  <c r="S19" i="17" s="1"/>
  <c r="F23" i="17"/>
  <c r="H23" i="17" s="1"/>
  <c r="O23" i="17" s="1"/>
  <c r="AE23" i="17"/>
  <c r="AG23" i="17" s="1"/>
  <c r="AL30" i="17"/>
  <c r="AN30" i="17" s="1"/>
  <c r="AP30" i="17" s="1"/>
  <c r="S33" i="17"/>
  <c r="AE41" i="17"/>
  <c r="AG41" i="17" s="1"/>
  <c r="Q41" i="17"/>
  <c r="S41" i="17" s="1"/>
  <c r="AF47" i="17"/>
  <c r="AG47" i="17" s="1"/>
  <c r="U21" i="18"/>
  <c r="AC21" i="18"/>
  <c r="J28" i="18"/>
  <c r="L28" i="18" s="1"/>
  <c r="X28" i="18"/>
  <c r="Z28" i="18" s="1"/>
  <c r="F28" i="18"/>
  <c r="H28" i="18" s="1"/>
  <c r="O28" i="18" s="1"/>
  <c r="AL28" i="18"/>
  <c r="AN28" i="18" s="1"/>
  <c r="AP28" i="18" s="1"/>
  <c r="Q28" i="18"/>
  <c r="S28" i="18" s="1"/>
  <c r="X32" i="18"/>
  <c r="Z32" i="18" s="1"/>
  <c r="J33" i="18"/>
  <c r="X33" i="18"/>
  <c r="AE33" i="18"/>
  <c r="AG33" i="18" s="1"/>
  <c r="F33" i="18"/>
  <c r="H33" i="18" s="1"/>
  <c r="O33" i="18" s="1"/>
  <c r="AL33" i="18"/>
  <c r="Q33" i="18"/>
  <c r="S33" i="18" s="1"/>
  <c r="S35" i="18"/>
  <c r="Q42" i="18"/>
  <c r="AE42" i="18"/>
  <c r="AG42" i="18" s="1"/>
  <c r="F42" i="18"/>
  <c r="X42" i="18"/>
  <c r="Z42" i="18" s="1"/>
  <c r="AL42" i="18"/>
  <c r="AN42" i="18" s="1"/>
  <c r="AP42" i="18" s="1"/>
  <c r="J42" i="18"/>
  <c r="AJ46" i="18"/>
  <c r="H15" i="19"/>
  <c r="J17" i="20"/>
  <c r="X17" i="20"/>
  <c r="AE17" i="20"/>
  <c r="AG17" i="20" s="1"/>
  <c r="AL17" i="20"/>
  <c r="AN17" i="20" s="1"/>
  <c r="AP17" i="20" s="1"/>
  <c r="Q17" i="20"/>
  <c r="S17" i="20" s="1"/>
  <c r="F17" i="20"/>
  <c r="H17" i="20" s="1"/>
  <c r="O17" i="20" s="1"/>
  <c r="H23" i="20"/>
  <c r="O23" i="20" s="1"/>
  <c r="AN31" i="20"/>
  <c r="AP31" i="20" s="1"/>
  <c r="S42" i="18"/>
  <c r="AN22" i="19"/>
  <c r="S25" i="19"/>
  <c r="U47" i="19"/>
  <c r="V47" i="19" s="1"/>
  <c r="Z21" i="20"/>
  <c r="AB35" i="20"/>
  <c r="AE20" i="18"/>
  <c r="AG20" i="18" s="1"/>
  <c r="J20" i="18"/>
  <c r="L20" i="18" s="1"/>
  <c r="AE30" i="18"/>
  <c r="AG30" i="18" s="1"/>
  <c r="AL30" i="18"/>
  <c r="AN30" i="18" s="1"/>
  <c r="AP30" i="18" s="1"/>
  <c r="X30" i="18"/>
  <c r="Z30" i="18" s="1"/>
  <c r="AN38" i="18"/>
  <c r="AP38" i="18" s="1"/>
  <c r="AQ45" i="18"/>
  <c r="AQ46" i="18"/>
  <c r="X16" i="19"/>
  <c r="Z16" i="19" s="1"/>
  <c r="AB48" i="19"/>
  <c r="AC48" i="19" s="1"/>
  <c r="Z17" i="20"/>
  <c r="AE21" i="20"/>
  <c r="AG21" i="20" s="1"/>
  <c r="AL21" i="20"/>
  <c r="AN21" i="20" s="1"/>
  <c r="AP21" i="20" s="1"/>
  <c r="X22" i="20"/>
  <c r="Z22" i="20" s="1"/>
  <c r="S28" i="20"/>
  <c r="S32" i="20"/>
  <c r="AG39" i="20"/>
  <c r="AJ45" i="20"/>
  <c r="AB45" i="20"/>
  <c r="X25" i="21"/>
  <c r="Z25" i="21" s="1"/>
  <c r="U35" i="21"/>
  <c r="V35" i="21" s="1"/>
  <c r="J34" i="17"/>
  <c r="L34" i="17" s="1"/>
  <c r="X34" i="17"/>
  <c r="Z34" i="17"/>
  <c r="J36" i="17"/>
  <c r="L36" i="17" s="1"/>
  <c r="X36" i="17"/>
  <c r="Z36" i="17" s="1"/>
  <c r="X59" i="17"/>
  <c r="F17" i="18"/>
  <c r="H17" i="18" s="1"/>
  <c r="O17" i="18" s="1"/>
  <c r="F20" i="18"/>
  <c r="H20" i="18" s="1"/>
  <c r="O20" i="18" s="1"/>
  <c r="F30" i="18"/>
  <c r="H30" i="18" s="1"/>
  <c r="L32" i="18"/>
  <c r="AN33" i="18"/>
  <c r="V45" i="18"/>
  <c r="AI45" i="18"/>
  <c r="AI46" i="18"/>
  <c r="AG16" i="19"/>
  <c r="Q17" i="19"/>
  <c r="S17" i="19" s="1"/>
  <c r="Q19" i="19"/>
  <c r="S19" i="19" s="1"/>
  <c r="AE19" i="19"/>
  <c r="J19" i="19"/>
  <c r="L19" i="19" s="1"/>
  <c r="S42" i="19"/>
  <c r="AQ45" i="20"/>
  <c r="AI45" i="20"/>
  <c r="AL16" i="21"/>
  <c r="AN16" i="21" s="1"/>
  <c r="AP16" i="21" s="1"/>
  <c r="U21" i="21"/>
  <c r="V21" i="21" s="1"/>
  <c r="Z28" i="21"/>
  <c r="F15" i="22"/>
  <c r="Q15" i="22"/>
  <c r="AE15" i="22"/>
  <c r="AG15" i="22" s="1"/>
  <c r="J15" i="22"/>
  <c r="AL15" i="22"/>
  <c r="AN15" i="22" s="1"/>
  <c r="X15" i="22"/>
  <c r="Z15" i="22" s="1"/>
  <c r="Z20" i="22"/>
  <c r="AE33" i="22"/>
  <c r="AG33" i="22" s="1"/>
  <c r="X33" i="22"/>
  <c r="Z33" i="22" s="1"/>
  <c r="F33" i="22"/>
  <c r="H33" i="22" s="1"/>
  <c r="O33" i="22" s="1"/>
  <c r="J33" i="22"/>
  <c r="L33" i="22" s="1"/>
  <c r="Q33" i="22"/>
  <c r="S33" i="22" s="1"/>
  <c r="AL33" i="22"/>
  <c r="AN25" i="24"/>
  <c r="F34" i="17"/>
  <c r="Q38" i="17"/>
  <c r="S38" i="17" s="1"/>
  <c r="AE38" i="17"/>
  <c r="X38" i="17"/>
  <c r="Z38" i="17" s="1"/>
  <c r="F19" i="18"/>
  <c r="H19" i="18" s="1"/>
  <c r="O19" i="18" s="1"/>
  <c r="J19" i="18"/>
  <c r="L19" i="18" s="1"/>
  <c r="Q39" i="18"/>
  <c r="J39" i="18"/>
  <c r="L39" i="18" s="1"/>
  <c r="J43" i="18"/>
  <c r="L43" i="18" s="1"/>
  <c r="X43" i="18"/>
  <c r="Z43" i="18" s="1"/>
  <c r="F43" i="18"/>
  <c r="H43" i="18" s="1"/>
  <c r="AE43" i="18"/>
  <c r="AG43" i="18" s="1"/>
  <c r="AG44" i="18"/>
  <c r="N45" i="18"/>
  <c r="O45" i="18" s="1"/>
  <c r="AE15" i="19"/>
  <c r="AG15" i="19" s="1"/>
  <c r="F19" i="19"/>
  <c r="H19" i="19" s="1"/>
  <c r="J22" i="19"/>
  <c r="L22" i="19" s="1"/>
  <c r="AL22" i="19"/>
  <c r="Q22" i="19"/>
  <c r="AE22" i="19"/>
  <c r="AG22" i="19" s="1"/>
  <c r="X30" i="19"/>
  <c r="Z30" i="19" s="1"/>
  <c r="F30" i="19"/>
  <c r="H30" i="19" s="1"/>
  <c r="O30" i="19" s="1"/>
  <c r="Q30" i="19"/>
  <c r="J30" i="19"/>
  <c r="L30" i="19" s="1"/>
  <c r="H38" i="19"/>
  <c r="L44" i="19"/>
  <c r="J35" i="19"/>
  <c r="L35" i="19" s="1"/>
  <c r="U46" i="19"/>
  <c r="AL20" i="20"/>
  <c r="H21" i="20"/>
  <c r="L24" i="20"/>
  <c r="L25" i="20"/>
  <c r="AG36" i="20"/>
  <c r="O45" i="20"/>
  <c r="AB46" i="20"/>
  <c r="AC46" i="20" s="1"/>
  <c r="AN32" i="21"/>
  <c r="AP32" i="21" s="1"/>
  <c r="U47" i="21"/>
  <c r="V47" i="21" s="1"/>
  <c r="AB47" i="21"/>
  <c r="AC47" i="21" s="1"/>
  <c r="AG17" i="22"/>
  <c r="AG20" i="22"/>
  <c r="AE18" i="18"/>
  <c r="AG18" i="18" s="1"/>
  <c r="X18" i="18"/>
  <c r="Z18" i="18" s="1"/>
  <c r="AG31" i="18"/>
  <c r="Q34" i="18"/>
  <c r="AE34" i="18"/>
  <c r="AQ35" i="18"/>
  <c r="AI35" i="18"/>
  <c r="G41" i="18"/>
  <c r="H41" i="18" s="1"/>
  <c r="G38" i="18"/>
  <c r="G39" i="18"/>
  <c r="H39" i="18" s="1"/>
  <c r="L16" i="19"/>
  <c r="AE24" i="19"/>
  <c r="AG24" i="19" s="1"/>
  <c r="AL24" i="19"/>
  <c r="X39" i="19"/>
  <c r="AI45" i="19"/>
  <c r="AP45" i="19"/>
  <c r="AQ45" i="19" s="1"/>
  <c r="V46" i="19"/>
  <c r="AP47" i="19"/>
  <c r="AG32" i="20"/>
  <c r="L16" i="21"/>
  <c r="AN22" i="21"/>
  <c r="AP22" i="21" s="1"/>
  <c r="AG28" i="21"/>
  <c r="L15" i="22"/>
  <c r="H26" i="24"/>
  <c r="O26" i="24" s="1"/>
  <c r="O45" i="19"/>
  <c r="AC21" i="20"/>
  <c r="U21" i="20"/>
  <c r="V21" i="20" s="1"/>
  <c r="J36" i="20"/>
  <c r="L36" i="20" s="1"/>
  <c r="Q36" i="20"/>
  <c r="S36" i="20" s="1"/>
  <c r="AE36" i="20"/>
  <c r="AL36" i="20"/>
  <c r="AN36" i="20" s="1"/>
  <c r="AP36" i="20" s="1"/>
  <c r="X22" i="21"/>
  <c r="S24" i="21"/>
  <c r="AE28" i="22"/>
  <c r="AG28" i="22" s="1"/>
  <c r="X28" i="22"/>
  <c r="Z28" i="22" s="1"/>
  <c r="F28" i="22"/>
  <c r="H28" i="22" s="1"/>
  <c r="O28" i="22" s="1"/>
  <c r="Q28" i="22"/>
  <c r="S28" i="22" s="1"/>
  <c r="J28" i="22"/>
  <c r="L28" i="22" s="1"/>
  <c r="AL28" i="22"/>
  <c r="V45" i="22"/>
  <c r="AL17" i="23"/>
  <c r="AN17" i="23" s="1"/>
  <c r="Z24" i="28"/>
  <c r="AL34" i="15"/>
  <c r="AN34" i="15" s="1"/>
  <c r="AL39" i="15"/>
  <c r="AN39" i="15" s="1"/>
  <c r="AP39" i="15" s="1"/>
  <c r="F22" i="17"/>
  <c r="H22" i="17" s="1"/>
  <c r="O22" i="17" s="1"/>
  <c r="K38" i="17"/>
  <c r="L38" i="17" s="1"/>
  <c r="AF38" i="17"/>
  <c r="AF39" i="17"/>
  <c r="J18" i="18"/>
  <c r="AL19" i="18"/>
  <c r="AN19" i="18" s="1"/>
  <c r="AP19" i="18" s="1"/>
  <c r="J34" i="18"/>
  <c r="AL34" i="18"/>
  <c r="AN34" i="18" s="1"/>
  <c r="AP34" i="18" s="1"/>
  <c r="J38" i="18"/>
  <c r="X38" i="18"/>
  <c r="Z38" i="18" s="1"/>
  <c r="AE38" i="18"/>
  <c r="AG38" i="18" s="1"/>
  <c r="F38" i="18"/>
  <c r="G42" i="18"/>
  <c r="AL43" i="18"/>
  <c r="F55" i="37"/>
  <c r="AL15" i="19"/>
  <c r="AN15" i="19" s="1"/>
  <c r="AG18" i="19"/>
  <c r="J24" i="19"/>
  <c r="L24" i="19" s="1"/>
  <c r="S35" i="19"/>
  <c r="AN41" i="19"/>
  <c r="AN42" i="19"/>
  <c r="AG43" i="19"/>
  <c r="X15" i="20"/>
  <c r="Z15" i="20" s="1"/>
  <c r="F15" i="20"/>
  <c r="Q15" i="20"/>
  <c r="AE15" i="20"/>
  <c r="AG15" i="20" s="1"/>
  <c r="AL15" i="20"/>
  <c r="AN15" i="20" s="1"/>
  <c r="X21" i="20"/>
  <c r="F36" i="20"/>
  <c r="H36" i="20" s="1"/>
  <c r="X38" i="20"/>
  <c r="S42" i="20"/>
  <c r="Z44" i="20"/>
  <c r="J20" i="21"/>
  <c r="L20" i="21" s="1"/>
  <c r="X20" i="21"/>
  <c r="Z20" i="21" s="1"/>
  <c r="AL20" i="21"/>
  <c r="Q20" i="21"/>
  <c r="S20" i="21" s="1"/>
  <c r="AE20" i="21"/>
  <c r="AG20" i="21" s="1"/>
  <c r="H22" i="21"/>
  <c r="O22" i="21" s="1"/>
  <c r="H31" i="21"/>
  <c r="O31" i="21" s="1"/>
  <c r="Q17" i="22"/>
  <c r="S17" i="22" s="1"/>
  <c r="AN41" i="22"/>
  <c r="AJ44" i="22"/>
  <c r="AL15" i="18"/>
  <c r="AN15" i="18" s="1"/>
  <c r="AL24" i="18"/>
  <c r="AN24" i="18" s="1"/>
  <c r="AP24" i="18" s="1"/>
  <c r="AE25" i="18"/>
  <c r="AG25" i="18" s="1"/>
  <c r="X25" i="18"/>
  <c r="Z25" i="18" s="1"/>
  <c r="X26" i="18"/>
  <c r="Z26" i="18" s="1"/>
  <c r="Q30" i="18"/>
  <c r="S30" i="18" s="1"/>
  <c r="Q32" i="18"/>
  <c r="S32" i="18" s="1"/>
  <c r="AE32" i="18"/>
  <c r="AG32" i="18" s="1"/>
  <c r="AL32" i="18"/>
  <c r="AN32" i="18" s="1"/>
  <c r="AN43" i="18"/>
  <c r="AP43" i="18" s="1"/>
  <c r="AE17" i="19"/>
  <c r="AG17" i="19" s="1"/>
  <c r="Z20" i="19"/>
  <c r="AN24" i="19"/>
  <c r="S30" i="19"/>
  <c r="H31" i="19"/>
  <c r="O31" i="19" s="1"/>
  <c r="Q41" i="19"/>
  <c r="S41" i="19" s="1"/>
  <c r="AE41" i="19"/>
  <c r="J41" i="19"/>
  <c r="L41" i="19" s="1"/>
  <c r="AN43" i="19"/>
  <c r="AP43" i="19" s="1"/>
  <c r="N45" i="19"/>
  <c r="N48" i="19"/>
  <c r="O48" i="19" s="1"/>
  <c r="H15" i="20"/>
  <c r="S19" i="20"/>
  <c r="Z42" i="20"/>
  <c r="Z33" i="21"/>
  <c r="F42" i="21"/>
  <c r="H42" i="21" s="1"/>
  <c r="AI44" i="21"/>
  <c r="AQ44" i="21"/>
  <c r="U45" i="22"/>
  <c r="AL34" i="17"/>
  <c r="S35" i="17"/>
  <c r="AL36" i="17"/>
  <c r="AN36" i="17" s="1"/>
  <c r="AP36" i="17" s="1"/>
  <c r="K42" i="17"/>
  <c r="Q17" i="18"/>
  <c r="S17" i="18" s="1"/>
  <c r="AL17" i="18"/>
  <c r="AN17" i="18" s="1"/>
  <c r="AP17" i="18" s="1"/>
  <c r="S19" i="18"/>
  <c r="F25" i="18"/>
  <c r="H25" i="18" s="1"/>
  <c r="O25" i="18" s="1"/>
  <c r="AG27" i="18"/>
  <c r="F32" i="18"/>
  <c r="H32" i="18" s="1"/>
  <c r="F36" i="18"/>
  <c r="AE36" i="18"/>
  <c r="AG36" i="18" s="1"/>
  <c r="S39" i="18"/>
  <c r="U48" i="19"/>
  <c r="F17" i="19"/>
  <c r="L18" i="19"/>
  <c r="AG21" i="19"/>
  <c r="F23" i="19"/>
  <c r="H23" i="19" s="1"/>
  <c r="O23" i="19" s="1"/>
  <c r="Q24" i="19"/>
  <c r="S24" i="19" s="1"/>
  <c r="AN31" i="19"/>
  <c r="AP31" i="19" s="1"/>
  <c r="H34" i="19"/>
  <c r="F41" i="19"/>
  <c r="H41" i="19" s="1"/>
  <c r="AB44" i="19"/>
  <c r="AC44" i="19" s="1"/>
  <c r="O46" i="19"/>
  <c r="L17" i="20"/>
  <c r="AG22" i="20"/>
  <c r="H28" i="20"/>
  <c r="O28" i="20" s="1"/>
  <c r="N35" i="20"/>
  <c r="V35" i="20"/>
  <c r="S41" i="20"/>
  <c r="AG42" i="20"/>
  <c r="Z23" i="21"/>
  <c r="S32" i="21"/>
  <c r="AI45" i="21"/>
  <c r="AJ45" i="21" s="1"/>
  <c r="AB45" i="21"/>
  <c r="AC45" i="21" s="1"/>
  <c r="L22" i="22"/>
  <c r="AQ35" i="23"/>
  <c r="AI35" i="23"/>
  <c r="AL38" i="17"/>
  <c r="AG43" i="17"/>
  <c r="AE16" i="18"/>
  <c r="AG16" i="18" s="1"/>
  <c r="Q18" i="18"/>
  <c r="S18" i="18" s="1"/>
  <c r="AL18" i="18"/>
  <c r="AN18" i="18" s="1"/>
  <c r="L33" i="18"/>
  <c r="S34" i="18"/>
  <c r="X41" i="18"/>
  <c r="H17" i="19"/>
  <c r="O17" i="19" s="1"/>
  <c r="AN18" i="19"/>
  <c r="AP18" i="19" s="1"/>
  <c r="X19" i="19"/>
  <c r="Z19" i="19" s="1"/>
  <c r="J20" i="19"/>
  <c r="L20" i="19" s="1"/>
  <c r="X20" i="19"/>
  <c r="L21" i="19"/>
  <c r="X25" i="19"/>
  <c r="Z25" i="19" s="1"/>
  <c r="F25" i="19"/>
  <c r="Q25" i="19"/>
  <c r="AE25" i="19"/>
  <c r="AG25" i="19" s="1"/>
  <c r="J27" i="19"/>
  <c r="L27" i="19" s="1"/>
  <c r="Q27" i="19"/>
  <c r="J32" i="19"/>
  <c r="L32" i="19" s="1"/>
  <c r="Q32" i="19"/>
  <c r="S32" i="19" s="1"/>
  <c r="Z39" i="19"/>
  <c r="J42" i="19"/>
  <c r="AL42" i="19"/>
  <c r="Q42" i="19"/>
  <c r="U45" i="19"/>
  <c r="V45" i="19" s="1"/>
  <c r="V48" i="19"/>
  <c r="L42" i="19"/>
  <c r="L16" i="20"/>
  <c r="AG20" i="20"/>
  <c r="H27" i="20"/>
  <c r="O27" i="20" s="1"/>
  <c r="L28" i="20"/>
  <c r="L32" i="20"/>
  <c r="AE18" i="21"/>
  <c r="AG18" i="21" s="1"/>
  <c r="H27" i="21"/>
  <c r="O27" i="21" s="1"/>
  <c r="AL16" i="22"/>
  <c r="AN16" i="22" s="1"/>
  <c r="AP16" i="22" s="1"/>
  <c r="AN26" i="22"/>
  <c r="AP26" i="22" s="1"/>
  <c r="Z41" i="23"/>
  <c r="AN34" i="24"/>
  <c r="X15" i="17"/>
  <c r="AG20" i="17"/>
  <c r="AE22" i="17"/>
  <c r="AG22" i="17" s="1"/>
  <c r="AE31" i="17"/>
  <c r="X32" i="17"/>
  <c r="G42" i="17"/>
  <c r="H42" i="17" s="1"/>
  <c r="G39" i="17"/>
  <c r="H39" i="17" s="1"/>
  <c r="G34" i="17"/>
  <c r="H34" i="17" s="1"/>
  <c r="F16" i="18"/>
  <c r="X16" i="18"/>
  <c r="Z16" i="18" s="1"/>
  <c r="X19" i="18"/>
  <c r="Z19" i="18" s="1"/>
  <c r="X20" i="18"/>
  <c r="Z20" i="18" s="1"/>
  <c r="X21" i="18"/>
  <c r="Z21" i="18" s="1"/>
  <c r="H23" i="18"/>
  <c r="O23" i="18" s="1"/>
  <c r="J25" i="18"/>
  <c r="L25" i="18" s="1"/>
  <c r="X31" i="18"/>
  <c r="AL38" i="18"/>
  <c r="AB44" i="18"/>
  <c r="J17" i="19"/>
  <c r="F20" i="19"/>
  <c r="H20" i="19" s="1"/>
  <c r="O20" i="19" s="1"/>
  <c r="AE20" i="19"/>
  <c r="AG20" i="19" s="1"/>
  <c r="H25" i="19"/>
  <c r="O25" i="19" s="1"/>
  <c r="F27" i="19"/>
  <c r="H27" i="19" s="1"/>
  <c r="O27" i="19" s="1"/>
  <c r="F32" i="19"/>
  <c r="H32" i="19" s="1"/>
  <c r="AG39" i="19"/>
  <c r="F42" i="19"/>
  <c r="AI44" i="19"/>
  <c r="AJ44" i="19" s="1"/>
  <c r="AQ44" i="19"/>
  <c r="S15" i="20"/>
  <c r="AN20" i="20"/>
  <c r="AP20" i="20" s="1"/>
  <c r="X23" i="20"/>
  <c r="Z23" i="20" s="1"/>
  <c r="AC35" i="20"/>
  <c r="X36" i="20"/>
  <c r="Z36" i="20" s="1"/>
  <c r="O44" i="20"/>
  <c r="AN15" i="21"/>
  <c r="X26" i="21"/>
  <c r="Z26" i="21" s="1"/>
  <c r="F26" i="21"/>
  <c r="H26" i="21" s="1"/>
  <c r="O26" i="21" s="1"/>
  <c r="AE26" i="21"/>
  <c r="AG26" i="21" s="1"/>
  <c r="J26" i="21"/>
  <c r="L26" i="21" s="1"/>
  <c r="AL26" i="21"/>
  <c r="AN26" i="21" s="1"/>
  <c r="AP26" i="21" s="1"/>
  <c r="Q26" i="21"/>
  <c r="S26" i="21" s="1"/>
  <c r="S30" i="21"/>
  <c r="X34" i="21"/>
  <c r="Z36" i="21"/>
  <c r="AQ45" i="21"/>
  <c r="H27" i="23"/>
  <c r="O27" i="23" s="1"/>
  <c r="AQ47" i="19"/>
  <c r="AN22" i="20"/>
  <c r="AN24" i="20"/>
  <c r="AP24" i="20" s="1"/>
  <c r="F27" i="20"/>
  <c r="L33" i="20"/>
  <c r="AE39" i="20"/>
  <c r="J39" i="20"/>
  <c r="AL21" i="21"/>
  <c r="AN21" i="21" s="1"/>
  <c r="AP21" i="21" s="1"/>
  <c r="AE24" i="21"/>
  <c r="AG24" i="21" s="1"/>
  <c r="J24" i="21"/>
  <c r="S27" i="21"/>
  <c r="AL28" i="21"/>
  <c r="AN28" i="21" s="1"/>
  <c r="AP28" i="21" s="1"/>
  <c r="AE39" i="21"/>
  <c r="J39" i="21"/>
  <c r="F39" i="21"/>
  <c r="H39" i="21" s="1"/>
  <c r="AL39" i="21"/>
  <c r="AN39" i="21" s="1"/>
  <c r="Z43" i="21"/>
  <c r="AP44" i="21"/>
  <c r="L20" i="22"/>
  <c r="N21" i="22"/>
  <c r="O21" i="22" s="1"/>
  <c r="Q23" i="22"/>
  <c r="AE23" i="22"/>
  <c r="AG23" i="22" s="1"/>
  <c r="X23" i="22"/>
  <c r="Z23" i="22" s="1"/>
  <c r="AL23" i="22"/>
  <c r="J23" i="22"/>
  <c r="L23" i="22" s="1"/>
  <c r="F23" i="22"/>
  <c r="H25" i="22"/>
  <c r="O25" i="22" s="1"/>
  <c r="J31" i="22"/>
  <c r="J18" i="23"/>
  <c r="L18" i="23" s="1"/>
  <c r="Q18" i="23"/>
  <c r="S18" i="23" s="1"/>
  <c r="AE18" i="23"/>
  <c r="AG18" i="23" s="1"/>
  <c r="AL18" i="23"/>
  <c r="AN18" i="23" s="1"/>
  <c r="X18" i="23"/>
  <c r="H22" i="23"/>
  <c r="O22" i="23" s="1"/>
  <c r="Z36" i="23"/>
  <c r="AN42" i="23"/>
  <c r="AI45" i="23"/>
  <c r="AJ45" i="23" s="1"/>
  <c r="AL31" i="24"/>
  <c r="Q31" i="24"/>
  <c r="S31" i="24" s="1"/>
  <c r="AE31" i="24"/>
  <c r="J31" i="24"/>
  <c r="L31" i="24" s="1"/>
  <c r="X31" i="24"/>
  <c r="Z31" i="24" s="1"/>
  <c r="Q25" i="20"/>
  <c r="S25" i="20" s="1"/>
  <c r="X25" i="20"/>
  <c r="Z25" i="20" s="1"/>
  <c r="J26" i="20"/>
  <c r="L26" i="20" s="1"/>
  <c r="X26" i="20"/>
  <c r="U35" i="20"/>
  <c r="F39" i="20"/>
  <c r="H39" i="20" s="1"/>
  <c r="AN34" i="20"/>
  <c r="AP34" i="20" s="1"/>
  <c r="F24" i="21"/>
  <c r="H24" i="21" s="1"/>
  <c r="O24" i="21" s="1"/>
  <c r="X41" i="21"/>
  <c r="N46" i="21"/>
  <c r="AN28" i="22"/>
  <c r="L35" i="22"/>
  <c r="F39" i="22"/>
  <c r="H39" i="22" s="1"/>
  <c r="AE39" i="22"/>
  <c r="J39" i="22"/>
  <c r="AL39" i="22"/>
  <c r="AN39" i="22" s="1"/>
  <c r="Q39" i="22"/>
  <c r="X39" i="22"/>
  <c r="Z39" i="22" s="1"/>
  <c r="F18" i="23"/>
  <c r="H18" i="23" s="1"/>
  <c r="O18" i="23" s="1"/>
  <c r="L22" i="23"/>
  <c r="AG36" i="23"/>
  <c r="AG19" i="24"/>
  <c r="F31" i="24"/>
  <c r="H31" i="24" s="1"/>
  <c r="O31" i="24" s="1"/>
  <c r="AG42" i="24"/>
  <c r="AE35" i="19"/>
  <c r="AG35" i="19" s="1"/>
  <c r="Q39" i="19"/>
  <c r="AL39" i="19"/>
  <c r="AN39" i="19" s="1"/>
  <c r="AL43" i="19"/>
  <c r="X35" i="19"/>
  <c r="Z35" i="19" s="1"/>
  <c r="F25" i="20"/>
  <c r="H25" i="20" s="1"/>
  <c r="O25" i="20" s="1"/>
  <c r="F26" i="20"/>
  <c r="H26" i="20" s="1"/>
  <c r="O26" i="20" s="1"/>
  <c r="Z26" i="20"/>
  <c r="Z38" i="20"/>
  <c r="AC45" i="20"/>
  <c r="AL25" i="21"/>
  <c r="AN25" i="21" s="1"/>
  <c r="J31" i="21"/>
  <c r="L31" i="21" s="1"/>
  <c r="Z31" i="21"/>
  <c r="Z34" i="21"/>
  <c r="AN48" i="21"/>
  <c r="Z16" i="22"/>
  <c r="S19" i="22"/>
  <c r="L24" i="22"/>
  <c r="S26" i="22"/>
  <c r="S22" i="23"/>
  <c r="X24" i="23"/>
  <c r="Z24" i="23" s="1"/>
  <c r="F24" i="23"/>
  <c r="H24" i="23" s="1"/>
  <c r="O24" i="23" s="1"/>
  <c r="AL24" i="23"/>
  <c r="AN24" i="23" s="1"/>
  <c r="Q24" i="23"/>
  <c r="S24" i="23" s="1"/>
  <c r="J24" i="23"/>
  <c r="L24" i="23" s="1"/>
  <c r="AE24" i="23"/>
  <c r="AG24" i="23" s="1"/>
  <c r="F35" i="19"/>
  <c r="H35" i="19" s="1"/>
  <c r="Q16" i="20"/>
  <c r="S16" i="20" s="1"/>
  <c r="X16" i="20"/>
  <c r="Z16" i="20" s="1"/>
  <c r="Q23" i="20"/>
  <c r="AE23" i="20"/>
  <c r="J24" i="20"/>
  <c r="X24" i="20"/>
  <c r="Z24" i="20"/>
  <c r="AG30" i="20"/>
  <c r="J38" i="20"/>
  <c r="L38" i="20" s="1"/>
  <c r="Q38" i="20"/>
  <c r="S38" i="20" s="1"/>
  <c r="U44" i="20"/>
  <c r="V44" i="20" s="1"/>
  <c r="F17" i="21"/>
  <c r="H17" i="21" s="1"/>
  <c r="O17" i="21" s="1"/>
  <c r="AC21" i="21"/>
  <c r="AL27" i="21"/>
  <c r="AE34" i="21"/>
  <c r="AG34" i="21" s="1"/>
  <c r="AL34" i="21"/>
  <c r="AN34" i="21" s="1"/>
  <c r="AP34" i="21" s="1"/>
  <c r="AN42" i="21"/>
  <c r="Z17" i="22"/>
  <c r="L31" i="22"/>
  <c r="AQ46" i="22"/>
  <c r="AP47" i="22"/>
  <c r="X53" i="22"/>
  <c r="Q59" i="22"/>
  <c r="L41" i="23"/>
  <c r="AL15" i="17"/>
  <c r="AL32" i="17"/>
  <c r="AN32" i="17" s="1"/>
  <c r="AP32" i="17" s="1"/>
  <c r="AL42" i="17"/>
  <c r="L18" i="18"/>
  <c r="Q27" i="18"/>
  <c r="S27" i="18" s="1"/>
  <c r="AE27" i="18"/>
  <c r="X27" i="18"/>
  <c r="Z27" i="18" s="1"/>
  <c r="AG19" i="19"/>
  <c r="AL26" i="19"/>
  <c r="AN26" i="19" s="1"/>
  <c r="AP26" i="19" s="1"/>
  <c r="AM34" i="19"/>
  <c r="AN34" i="19" s="1"/>
  <c r="H42" i="19"/>
  <c r="J16" i="20"/>
  <c r="H19" i="20"/>
  <c r="J23" i="20"/>
  <c r="L23" i="20" s="1"/>
  <c r="AG23" i="20"/>
  <c r="AE33" i="20"/>
  <c r="AG33" i="20" s="1"/>
  <c r="X34" i="20"/>
  <c r="F34" i="20"/>
  <c r="S39" i="20"/>
  <c r="AE15" i="21"/>
  <c r="AG15" i="21" s="1"/>
  <c r="J15" i="21"/>
  <c r="L15" i="21" s="1"/>
  <c r="Z15" i="21"/>
  <c r="L17" i="21"/>
  <c r="F30" i="21"/>
  <c r="AE30" i="21"/>
  <c r="AG30" i="21" s="1"/>
  <c r="J34" i="21"/>
  <c r="H38" i="21"/>
  <c r="F35" i="21"/>
  <c r="H35" i="21" s="1"/>
  <c r="U45" i="21"/>
  <c r="U48" i="21"/>
  <c r="V48" i="21" s="1"/>
  <c r="AG25" i="22"/>
  <c r="F27" i="22"/>
  <c r="AL38" i="22"/>
  <c r="AN38" i="22" s="1"/>
  <c r="Q38" i="22"/>
  <c r="AE38" i="22"/>
  <c r="X38" i="22"/>
  <c r="Z38" i="22" s="1"/>
  <c r="F38" i="22"/>
  <c r="H38" i="22" s="1"/>
  <c r="J38" i="22"/>
  <c r="S20" i="23"/>
  <c r="AC21" i="23"/>
  <c r="S33" i="24"/>
  <c r="AN21" i="27"/>
  <c r="AL38" i="19"/>
  <c r="AE39" i="19"/>
  <c r="Z42" i="19"/>
  <c r="AE16" i="20"/>
  <c r="AG16" i="20" s="1"/>
  <c r="N21" i="20"/>
  <c r="F32" i="20"/>
  <c r="H32" i="20" s="1"/>
  <c r="AL38" i="20"/>
  <c r="AN42" i="20"/>
  <c r="V46" i="20"/>
  <c r="N46" i="20"/>
  <c r="O46" i="20" s="1"/>
  <c r="G41" i="20"/>
  <c r="H41" i="20" s="1"/>
  <c r="G34" i="20"/>
  <c r="Q19" i="21"/>
  <c r="S19" i="21" s="1"/>
  <c r="AE19" i="21"/>
  <c r="AG19" i="21" s="1"/>
  <c r="AL19" i="21"/>
  <c r="AN19" i="21" s="1"/>
  <c r="Z22" i="21"/>
  <c r="L23" i="21"/>
  <c r="H30" i="21"/>
  <c r="O30" i="21" s="1"/>
  <c r="L36" i="21"/>
  <c r="AB46" i="21"/>
  <c r="AC46" i="21" s="1"/>
  <c r="AJ46" i="21"/>
  <c r="AI46" i="21"/>
  <c r="S15" i="22"/>
  <c r="H16" i="22"/>
  <c r="O16" i="22" s="1"/>
  <c r="J17" i="22"/>
  <c r="X17" i="22"/>
  <c r="AL17" i="22"/>
  <c r="AN17" i="22" s="1"/>
  <c r="AP17" i="22" s="1"/>
  <c r="AE21" i="22"/>
  <c r="AG21" i="22"/>
  <c r="H27" i="22"/>
  <c r="O27" i="22" s="1"/>
  <c r="S30" i="22"/>
  <c r="AI44" i="22"/>
  <c r="J16" i="23"/>
  <c r="L16" i="23" s="1"/>
  <c r="X16" i="23"/>
  <c r="Z16" i="23" s="1"/>
  <c r="F16" i="23"/>
  <c r="H16" i="23" s="1"/>
  <c r="O16" i="23" s="1"/>
  <c r="AL16" i="23"/>
  <c r="AN16" i="23" s="1"/>
  <c r="AP16" i="23" s="1"/>
  <c r="Q16" i="23"/>
  <c r="S16" i="23" s="1"/>
  <c r="AE16" i="23"/>
  <c r="AG16" i="23" s="1"/>
  <c r="AL19" i="23"/>
  <c r="AN19" i="23" s="1"/>
  <c r="AP19" i="23" s="1"/>
  <c r="L23" i="23"/>
  <c r="Z45" i="18"/>
  <c r="L17" i="19"/>
  <c r="Q36" i="19"/>
  <c r="AE36" i="19"/>
  <c r="AG36" i="19" s="1"/>
  <c r="Y38" i="19"/>
  <c r="Z38" i="19" s="1"/>
  <c r="F39" i="19"/>
  <c r="H39" i="19" s="1"/>
  <c r="AG41" i="19"/>
  <c r="Q30" i="20"/>
  <c r="S30" i="20" s="1"/>
  <c r="X30" i="20"/>
  <c r="Z30" i="20" s="1"/>
  <c r="J31" i="20"/>
  <c r="L31" i="20" s="1"/>
  <c r="X31" i="20"/>
  <c r="AM38" i="20"/>
  <c r="J43" i="20"/>
  <c r="L43" i="20" s="1"/>
  <c r="X43" i="20"/>
  <c r="Z43" i="20" s="1"/>
  <c r="AL43" i="20"/>
  <c r="AN43" i="20" s="1"/>
  <c r="AP43" i="20" s="1"/>
  <c r="L39" i="20"/>
  <c r="H15" i="21"/>
  <c r="F19" i="21"/>
  <c r="H19" i="21" s="1"/>
  <c r="J30" i="21"/>
  <c r="X39" i="21"/>
  <c r="Z39" i="21" s="1"/>
  <c r="AB48" i="21"/>
  <c r="AC48" i="21" s="1"/>
  <c r="F17" i="22"/>
  <c r="H17" i="22" s="1"/>
  <c r="O17" i="22" s="1"/>
  <c r="H18" i="22"/>
  <c r="O18" i="22" s="1"/>
  <c r="X19" i="22"/>
  <c r="Z19" i="22" s="1"/>
  <c r="J26" i="22"/>
  <c r="L27" i="22"/>
  <c r="F32" i="22"/>
  <c r="H32" i="22" s="1"/>
  <c r="AN42" i="22"/>
  <c r="Z31" i="23"/>
  <c r="AN32" i="23"/>
  <c r="AP32" i="23" s="1"/>
  <c r="V46" i="23"/>
  <c r="U46" i="23"/>
  <c r="AN35" i="19"/>
  <c r="AP35" i="19" s="1"/>
  <c r="AL23" i="20"/>
  <c r="AN23" i="20" s="1"/>
  <c r="Q24" i="20"/>
  <c r="S24" i="20" s="1"/>
  <c r="Z31" i="20"/>
  <c r="X39" i="20"/>
  <c r="Z39" i="20" s="1"/>
  <c r="AN20" i="21"/>
  <c r="J22" i="21"/>
  <c r="L22" i="21" s="1"/>
  <c r="Q22" i="21"/>
  <c r="S22" i="21" s="1"/>
  <c r="AE22" i="21"/>
  <c r="S23" i="21"/>
  <c r="X24" i="21"/>
  <c r="Z24" i="21" s="1"/>
  <c r="F25" i="21"/>
  <c r="AE25" i="21"/>
  <c r="AG25" i="21" s="1"/>
  <c r="J25" i="21"/>
  <c r="L25" i="21" s="1"/>
  <c r="AN27" i="21"/>
  <c r="L30" i="21"/>
  <c r="Q34" i="21"/>
  <c r="S34" i="21" s="1"/>
  <c r="Z41" i="21"/>
  <c r="O46" i="21"/>
  <c r="AQ46" i="21"/>
  <c r="AF41" i="21"/>
  <c r="AF39" i="21"/>
  <c r="AF35" i="21"/>
  <c r="AG35" i="21" s="1"/>
  <c r="AF42" i="21"/>
  <c r="AG42" i="21" s="1"/>
  <c r="AL20" i="22"/>
  <c r="AN22" i="22"/>
  <c r="AP22" i="22" s="1"/>
  <c r="AN24" i="22"/>
  <c r="AP24" i="22" s="1"/>
  <c r="AL25" i="23"/>
  <c r="AN25" i="23" s="1"/>
  <c r="AP25" i="23" s="1"/>
  <c r="X21" i="24"/>
  <c r="Z21" i="24" s="1"/>
  <c r="AG39" i="24"/>
  <c r="X26" i="19"/>
  <c r="Z26" i="19" s="1"/>
  <c r="AL28" i="19"/>
  <c r="AN28" i="19" s="1"/>
  <c r="AP28" i="19" s="1"/>
  <c r="Q31" i="19"/>
  <c r="S31" i="19" s="1"/>
  <c r="X31" i="19"/>
  <c r="Z31" i="19" s="1"/>
  <c r="AL33" i="19"/>
  <c r="AN33" i="19" s="1"/>
  <c r="AP33" i="19" s="1"/>
  <c r="AE34" i="19"/>
  <c r="AG34" i="19" s="1"/>
  <c r="X34" i="19"/>
  <c r="Z34" i="19" s="1"/>
  <c r="AG48" i="19"/>
  <c r="AP48" i="19" s="1"/>
  <c r="Y48" i="20"/>
  <c r="Z48" i="20" s="1"/>
  <c r="AF47" i="20"/>
  <c r="AG47" i="20" s="1"/>
  <c r="AM48" i="20"/>
  <c r="AN48" i="20" s="1"/>
  <c r="AF48" i="20"/>
  <c r="AG48" i="20" s="1"/>
  <c r="K48" i="20"/>
  <c r="L48" i="20" s="1"/>
  <c r="K47" i="20"/>
  <c r="L47" i="20" s="1"/>
  <c r="U47" i="20" s="1"/>
  <c r="AL16" i="20"/>
  <c r="AN16" i="20" s="1"/>
  <c r="AP16" i="20" s="1"/>
  <c r="AL24" i="20"/>
  <c r="AE28" i="20"/>
  <c r="AG28" i="20" s="1"/>
  <c r="AG44" i="20"/>
  <c r="Y47" i="20"/>
  <c r="Z47" i="20" s="1"/>
  <c r="G48" i="20"/>
  <c r="H48" i="20" s="1"/>
  <c r="X18" i="21"/>
  <c r="AL18" i="21"/>
  <c r="AN18" i="21" s="1"/>
  <c r="AP18" i="21" s="1"/>
  <c r="Q18" i="21"/>
  <c r="S18" i="21" s="1"/>
  <c r="X21" i="21"/>
  <c r="Z21" i="21" s="1"/>
  <c r="F22" i="21"/>
  <c r="AG22" i="21"/>
  <c r="H25" i="21"/>
  <c r="O25" i="21" s="1"/>
  <c r="N44" i="21"/>
  <c r="O44" i="21" s="1"/>
  <c r="AG48" i="21"/>
  <c r="F25" i="22"/>
  <c r="Q25" i="22"/>
  <c r="J25" i="22"/>
  <c r="L25" i="22" s="1"/>
  <c r="AL25" i="22"/>
  <c r="AN25" i="22" s="1"/>
  <c r="X25" i="22"/>
  <c r="Z25" i="22" s="1"/>
  <c r="S36" i="22"/>
  <c r="H25" i="23"/>
  <c r="O25" i="23" s="1"/>
  <c r="X22" i="24"/>
  <c r="Z22" i="24" s="1"/>
  <c r="AL22" i="24"/>
  <c r="AN22" i="24" s="1"/>
  <c r="AP22" i="24" s="1"/>
  <c r="Q22" i="24"/>
  <c r="S22" i="24" s="1"/>
  <c r="J22" i="24"/>
  <c r="AE22" i="24"/>
  <c r="F22" i="24"/>
  <c r="H22" i="24" s="1"/>
  <c r="O22" i="24" s="1"/>
  <c r="H34" i="22"/>
  <c r="AG39" i="22"/>
  <c r="Q35" i="22"/>
  <c r="S44" i="22"/>
  <c r="H45" i="22"/>
  <c r="F35" i="22"/>
  <c r="H35" i="22" s="1"/>
  <c r="U46" i="22"/>
  <c r="Z18" i="23"/>
  <c r="AG19" i="23"/>
  <c r="AE38" i="23"/>
  <c r="S43" i="23"/>
  <c r="N45" i="23"/>
  <c r="O45" i="23" s="1"/>
  <c r="L15" i="24"/>
  <c r="X35" i="21"/>
  <c r="Z35" i="21" s="1"/>
  <c r="Z18" i="22"/>
  <c r="AN20" i="22"/>
  <c r="AP20" i="22" s="1"/>
  <c r="S23" i="22"/>
  <c r="J24" i="22"/>
  <c r="X24" i="22"/>
  <c r="Q24" i="22"/>
  <c r="S24" i="22" s="1"/>
  <c r="AE24" i="22"/>
  <c r="S25" i="22"/>
  <c r="F30" i="22"/>
  <c r="H30" i="22" s="1"/>
  <c r="O30" i="22" s="1"/>
  <c r="Q30" i="22"/>
  <c r="J30" i="22"/>
  <c r="L30" i="22" s="1"/>
  <c r="X30" i="22"/>
  <c r="Z30" i="22" s="1"/>
  <c r="AL30" i="22"/>
  <c r="AN30" i="22" s="1"/>
  <c r="AP30" i="22" s="1"/>
  <c r="Z43" i="22"/>
  <c r="AG38" i="22"/>
  <c r="AN16" i="24"/>
  <c r="AG22" i="24"/>
  <c r="L27" i="25"/>
  <c r="Y46" i="26"/>
  <c r="Z46" i="26" s="1"/>
  <c r="Y44" i="26"/>
  <c r="Y43" i="26"/>
  <c r="Z43" i="26" s="1"/>
  <c r="Z37" i="26"/>
  <c r="AI37" i="26" s="1"/>
  <c r="K48" i="22"/>
  <c r="L48" i="22" s="1"/>
  <c r="R47" i="22"/>
  <c r="S47" i="22" s="1"/>
  <c r="G48" i="22"/>
  <c r="H48" i="22" s="1"/>
  <c r="Y47" i="22"/>
  <c r="Z47" i="22" s="1"/>
  <c r="AM48" i="22"/>
  <c r="AN48" i="22" s="1"/>
  <c r="AF47" i="22"/>
  <c r="AG47" i="22" s="1"/>
  <c r="AF48" i="22"/>
  <c r="AG48" i="22" s="1"/>
  <c r="K47" i="22"/>
  <c r="L47" i="22" s="1"/>
  <c r="AL18" i="22"/>
  <c r="AN18" i="22" s="1"/>
  <c r="AP18" i="22" s="1"/>
  <c r="J18" i="22"/>
  <c r="L18" i="22" s="1"/>
  <c r="U21" i="22"/>
  <c r="V21" i="22" s="1"/>
  <c r="AL22" i="22"/>
  <c r="AG24" i="22"/>
  <c r="H26" i="22"/>
  <c r="O26" i="22" s="1"/>
  <c r="Y48" i="22"/>
  <c r="Z48" i="22" s="1"/>
  <c r="X28" i="23"/>
  <c r="Z28" i="23" s="1"/>
  <c r="F28" i="23"/>
  <c r="H28" i="23" s="1"/>
  <c r="O28" i="23" s="1"/>
  <c r="Q28" i="23"/>
  <c r="S28" i="23" s="1"/>
  <c r="AE28" i="23"/>
  <c r="AG28" i="23" s="1"/>
  <c r="J28" i="23"/>
  <c r="L28" i="23" s="1"/>
  <c r="AL28" i="23"/>
  <c r="K38" i="23"/>
  <c r="L38" i="23" s="1"/>
  <c r="K35" i="23"/>
  <c r="K42" i="23"/>
  <c r="L42" i="23" s="1"/>
  <c r="K39" i="23"/>
  <c r="L39" i="23" s="1"/>
  <c r="K34" i="23"/>
  <c r="L34" i="23" s="1"/>
  <c r="X18" i="24"/>
  <c r="Z18" i="24" s="1"/>
  <c r="F18" i="24"/>
  <c r="H18" i="24" s="1"/>
  <c r="O18" i="24" s="1"/>
  <c r="AE18" i="24"/>
  <c r="AG18" i="24" s="1"/>
  <c r="J18" i="24"/>
  <c r="L18" i="24" s="1"/>
  <c r="Q18" i="24"/>
  <c r="S18" i="24" s="1"/>
  <c r="AL18" i="24"/>
  <c r="AN18" i="24" s="1"/>
  <c r="AP18" i="24" s="1"/>
  <c r="AG20" i="24"/>
  <c r="S24" i="24"/>
  <c r="X27" i="24"/>
  <c r="Z27" i="24" s="1"/>
  <c r="AN31" i="24"/>
  <c r="Q36" i="21"/>
  <c r="S36" i="21" s="1"/>
  <c r="AE36" i="21"/>
  <c r="X36" i="21"/>
  <c r="N47" i="21"/>
  <c r="O47" i="21" s="1"/>
  <c r="F18" i="22"/>
  <c r="L26" i="22"/>
  <c r="U48" i="23"/>
  <c r="AE20" i="23"/>
  <c r="AG20" i="23" s="1"/>
  <c r="J20" i="23"/>
  <c r="L20" i="23" s="1"/>
  <c r="F20" i="23"/>
  <c r="H20" i="23" s="1"/>
  <c r="O20" i="23" s="1"/>
  <c r="AL20" i="23"/>
  <c r="AN20" i="23" s="1"/>
  <c r="AP20" i="23" s="1"/>
  <c r="Q20" i="23"/>
  <c r="AN23" i="23"/>
  <c r="J30" i="23"/>
  <c r="L30" i="23" s="1"/>
  <c r="AL30" i="23"/>
  <c r="AN30" i="23" s="1"/>
  <c r="Q30" i="23"/>
  <c r="S30" i="23" s="1"/>
  <c r="AE30" i="23"/>
  <c r="AG30" i="23" s="1"/>
  <c r="Z32" i="23"/>
  <c r="AG38" i="23"/>
  <c r="AQ44" i="23"/>
  <c r="O46" i="23"/>
  <c r="AG46" i="23"/>
  <c r="AN47" i="23"/>
  <c r="AI44" i="24"/>
  <c r="U46" i="24"/>
  <c r="AC46" i="24"/>
  <c r="AG36" i="21"/>
  <c r="AN47" i="21"/>
  <c r="H15" i="22"/>
  <c r="Q18" i="22"/>
  <c r="S18" i="22" s="1"/>
  <c r="L32" i="22"/>
  <c r="AN33" i="22"/>
  <c r="AP33" i="22" s="1"/>
  <c r="AL41" i="22"/>
  <c r="AB45" i="22"/>
  <c r="AC45" i="22" s="1"/>
  <c r="H17" i="23"/>
  <c r="O17" i="23" s="1"/>
  <c r="L21" i="23"/>
  <c r="S26" i="23"/>
  <c r="S27" i="23"/>
  <c r="J35" i="23"/>
  <c r="L44" i="23"/>
  <c r="U44" i="23" s="1"/>
  <c r="H20" i="24"/>
  <c r="O20" i="24" s="1"/>
  <c r="AL26" i="18"/>
  <c r="AN26" i="18" s="1"/>
  <c r="AP26" i="18" s="1"/>
  <c r="AL31" i="18"/>
  <c r="AN31" i="18" s="1"/>
  <c r="AP31" i="18" s="1"/>
  <c r="AL41" i="18"/>
  <c r="AL16" i="19"/>
  <c r="AN16" i="19" s="1"/>
  <c r="AP16" i="19" s="1"/>
  <c r="K39" i="19"/>
  <c r="L39" i="19" s="1"/>
  <c r="G47" i="19"/>
  <c r="H47" i="19" s="1"/>
  <c r="N47" i="19" s="1"/>
  <c r="AL22" i="20"/>
  <c r="AG21" i="21"/>
  <c r="F41" i="21"/>
  <c r="H41" i="21" s="1"/>
  <c r="K42" i="21"/>
  <c r="K39" i="21"/>
  <c r="K34" i="21"/>
  <c r="L34" i="21" s="1"/>
  <c r="L17" i="22"/>
  <c r="H23" i="22"/>
  <c r="O23" i="22" s="1"/>
  <c r="S31" i="22"/>
  <c r="S39" i="22"/>
  <c r="AP44" i="22"/>
  <c r="AQ44" i="22" s="1"/>
  <c r="V46" i="22"/>
  <c r="L15" i="23"/>
  <c r="AG23" i="24"/>
  <c r="AE25" i="24"/>
  <c r="AG25" i="24" s="1"/>
  <c r="Q25" i="24"/>
  <c r="AL25" i="24"/>
  <c r="J25" i="24"/>
  <c r="L25" i="24" s="1"/>
  <c r="F25" i="24"/>
  <c r="H25" i="24" s="1"/>
  <c r="O25" i="24" s="1"/>
  <c r="X25" i="24"/>
  <c r="Z25" i="24" s="1"/>
  <c r="AL23" i="19"/>
  <c r="AN23" i="19" s="1"/>
  <c r="AP23" i="19" s="1"/>
  <c r="Y47" i="19"/>
  <c r="Z47" i="19" s="1"/>
  <c r="AI47" i="19" s="1"/>
  <c r="AL27" i="20"/>
  <c r="AN27" i="20" s="1"/>
  <c r="AP27" i="20" s="1"/>
  <c r="AL32" i="20"/>
  <c r="AN32" i="20" s="1"/>
  <c r="X17" i="21"/>
  <c r="Z17" i="21" s="1"/>
  <c r="L24" i="21"/>
  <c r="X42" i="21"/>
  <c r="Z42" i="21" s="1"/>
  <c r="AL43" i="21"/>
  <c r="AN43" i="21" s="1"/>
  <c r="AP43" i="21" s="1"/>
  <c r="S44" i="21"/>
  <c r="AL35" i="21"/>
  <c r="AN35" i="21" s="1"/>
  <c r="AP35" i="21" s="1"/>
  <c r="AE19" i="22"/>
  <c r="AG19" i="22" s="1"/>
  <c r="Z22" i="22"/>
  <c r="AE36" i="22"/>
  <c r="AG36" i="22" s="1"/>
  <c r="J36" i="22"/>
  <c r="L36" i="22" s="1"/>
  <c r="X36" i="22"/>
  <c r="Z36" i="22" s="1"/>
  <c r="S38" i="22"/>
  <c r="H42" i="22"/>
  <c r="L43" i="22"/>
  <c r="L44" i="22"/>
  <c r="J35" i="22"/>
  <c r="AG45" i="22"/>
  <c r="AE35" i="22"/>
  <c r="K34" i="22"/>
  <c r="L34" i="22" s="1"/>
  <c r="K39" i="22"/>
  <c r="L39" i="22" s="1"/>
  <c r="K38" i="22"/>
  <c r="L38" i="22" s="1"/>
  <c r="L17" i="23"/>
  <c r="L33" i="23"/>
  <c r="N47" i="23"/>
  <c r="AG38" i="25"/>
  <c r="Y34" i="20"/>
  <c r="Z34" i="20" s="1"/>
  <c r="X41" i="20"/>
  <c r="Z41" i="20" s="1"/>
  <c r="Q42" i="20"/>
  <c r="AE42" i="20"/>
  <c r="X42" i="20"/>
  <c r="AL33" i="21"/>
  <c r="AN33" i="21" s="1"/>
  <c r="AP33" i="21" s="1"/>
  <c r="AL36" i="21"/>
  <c r="AN36" i="21" s="1"/>
  <c r="F19" i="22"/>
  <c r="H19" i="22" s="1"/>
  <c r="AN23" i="22"/>
  <c r="Z24" i="22"/>
  <c r="AE30" i="22"/>
  <c r="AG30" i="22" s="1"/>
  <c r="AL34" i="22"/>
  <c r="F36" i="22"/>
  <c r="H36" i="22" s="1"/>
  <c r="AL36" i="22"/>
  <c r="AN36" i="22" s="1"/>
  <c r="AP36" i="22" s="1"/>
  <c r="K41" i="22"/>
  <c r="K42" i="22"/>
  <c r="L42" i="22" s="1"/>
  <c r="S43" i="22"/>
  <c r="G47" i="22"/>
  <c r="H47" i="22" s="1"/>
  <c r="S42" i="22"/>
  <c r="Z19" i="23"/>
  <c r="AN35" i="23"/>
  <c r="AP35" i="23" s="1"/>
  <c r="X42" i="23"/>
  <c r="Z42" i="23" s="1"/>
  <c r="L43" i="23"/>
  <c r="X24" i="24"/>
  <c r="AE43" i="22"/>
  <c r="AG43" i="22" s="1"/>
  <c r="X43" i="22"/>
  <c r="H23" i="23"/>
  <c r="O23" i="23" s="1"/>
  <c r="Y47" i="23"/>
  <c r="Z47" i="23" s="1"/>
  <c r="K48" i="23"/>
  <c r="L48" i="23" s="1"/>
  <c r="S25" i="24"/>
  <c r="F32" i="24"/>
  <c r="H32" i="24" s="1"/>
  <c r="J32" i="24"/>
  <c r="L32" i="24" s="1"/>
  <c r="AC45" i="24"/>
  <c r="AP46" i="24"/>
  <c r="X21" i="25"/>
  <c r="X25" i="25"/>
  <c r="X44" i="25"/>
  <c r="AE44" i="25"/>
  <c r="J44" i="25"/>
  <c r="F44" i="25"/>
  <c r="AL44" i="25"/>
  <c r="Q44" i="25"/>
  <c r="AN28" i="23"/>
  <c r="Q34" i="23"/>
  <c r="S34" i="23" s="1"/>
  <c r="X34" i="23"/>
  <c r="Z34" i="23" s="1"/>
  <c r="X41" i="23"/>
  <c r="Q41" i="23"/>
  <c r="S41" i="23" s="1"/>
  <c r="AE15" i="24"/>
  <c r="AG15" i="24" s="1"/>
  <c r="Q15" i="24"/>
  <c r="S15" i="24" s="1"/>
  <c r="N21" i="24"/>
  <c r="O21" i="24" s="1"/>
  <c r="F23" i="24"/>
  <c r="H23" i="24" s="1"/>
  <c r="O23" i="24" s="1"/>
  <c r="Q23" i="24"/>
  <c r="S23" i="24" s="1"/>
  <c r="AL23" i="24"/>
  <c r="AN23" i="24" s="1"/>
  <c r="L24" i="24"/>
  <c r="Z26" i="24"/>
  <c r="AP47" i="24"/>
  <c r="AQ47" i="24" s="1"/>
  <c r="AN18" i="25"/>
  <c r="L24" i="26"/>
  <c r="AL21" i="22"/>
  <c r="AN21" i="22" s="1"/>
  <c r="AP21" i="22" s="1"/>
  <c r="AF34" i="22"/>
  <c r="AG34" i="22" s="1"/>
  <c r="S19" i="23"/>
  <c r="AL26" i="23"/>
  <c r="AN26" i="23" s="1"/>
  <c r="AE32" i="23"/>
  <c r="AG32" i="23" s="1"/>
  <c r="X33" i="23"/>
  <c r="Z33" i="23" s="1"/>
  <c r="F33" i="23"/>
  <c r="H33" i="23" s="1"/>
  <c r="O33" i="23" s="1"/>
  <c r="F34" i="23"/>
  <c r="H34" i="23" s="1"/>
  <c r="AL38" i="23"/>
  <c r="AN38" i="23" s="1"/>
  <c r="AP38" i="23" s="1"/>
  <c r="S39" i="23"/>
  <c r="F41" i="23"/>
  <c r="Z44" i="23"/>
  <c r="AI44" i="23" s="1"/>
  <c r="AB45" i="23"/>
  <c r="AB46" i="23"/>
  <c r="AC46" i="23" s="1"/>
  <c r="G47" i="23"/>
  <c r="H47" i="23" s="1"/>
  <c r="F15" i="24"/>
  <c r="Q17" i="24"/>
  <c r="S17" i="24" s="1"/>
  <c r="AE26" i="24"/>
  <c r="AG26" i="24" s="1"/>
  <c r="J26" i="24"/>
  <c r="X26" i="24"/>
  <c r="AL32" i="24"/>
  <c r="AN32" i="24" s="1"/>
  <c r="AE34" i="24"/>
  <c r="AG34" i="24" s="1"/>
  <c r="J34" i="24"/>
  <c r="L34" i="24" s="1"/>
  <c r="F34" i="24"/>
  <c r="S42" i="24"/>
  <c r="AJ44" i="24"/>
  <c r="AB44" i="24"/>
  <c r="U45" i="24"/>
  <c r="S17" i="25"/>
  <c r="H26" i="26"/>
  <c r="O26" i="26" s="1"/>
  <c r="J16" i="22"/>
  <c r="L16" i="22" s="1"/>
  <c r="AL26" i="22"/>
  <c r="AE27" i="22"/>
  <c r="AG27" i="22" s="1"/>
  <c r="AL31" i="22"/>
  <c r="AN31" i="22" s="1"/>
  <c r="AP31" i="22" s="1"/>
  <c r="AE32" i="22"/>
  <c r="AG32" i="22" s="1"/>
  <c r="AF41" i="22"/>
  <c r="AG41" i="22" s="1"/>
  <c r="J59" i="22"/>
  <c r="Y48" i="23"/>
  <c r="Z48" i="23" s="1"/>
  <c r="AF47" i="23"/>
  <c r="AG47" i="23" s="1"/>
  <c r="AF48" i="23"/>
  <c r="AG48" i="23" s="1"/>
  <c r="AG15" i="23"/>
  <c r="AE27" i="23"/>
  <c r="AG27" i="23" s="1"/>
  <c r="X27" i="23"/>
  <c r="Z27" i="23" s="1"/>
  <c r="AL31" i="23"/>
  <c r="AN31" i="23" s="1"/>
  <c r="AP31" i="23" s="1"/>
  <c r="F32" i="23"/>
  <c r="H32" i="23" s="1"/>
  <c r="H35" i="23"/>
  <c r="Q38" i="23"/>
  <c r="S38" i="23" s="1"/>
  <c r="AE41" i="23"/>
  <c r="G41" i="23"/>
  <c r="G39" i="23"/>
  <c r="G38" i="23"/>
  <c r="H38" i="23" s="1"/>
  <c r="H15" i="24"/>
  <c r="AE23" i="24"/>
  <c r="F26" i="24"/>
  <c r="AB35" i="24"/>
  <c r="AC35" i="24" s="1"/>
  <c r="AL39" i="24"/>
  <c r="V46" i="24"/>
  <c r="O47" i="24"/>
  <c r="AG44" i="25"/>
  <c r="L26" i="26"/>
  <c r="R41" i="22"/>
  <c r="S41" i="22" s="1"/>
  <c r="AE17" i="23"/>
  <c r="AG17" i="23" s="1"/>
  <c r="X21" i="23"/>
  <c r="Z21" i="23" s="1"/>
  <c r="J32" i="23"/>
  <c r="AE34" i="23"/>
  <c r="X39" i="23"/>
  <c r="AN41" i="23"/>
  <c r="J43" i="23"/>
  <c r="Y39" i="23"/>
  <c r="Z39" i="23" s="1"/>
  <c r="Y38" i="23"/>
  <c r="Y35" i="23"/>
  <c r="Z35" i="23" s="1"/>
  <c r="S38" i="24"/>
  <c r="O44" i="24"/>
  <c r="AP44" i="24"/>
  <c r="AQ44" i="24" s="1"/>
  <c r="AI45" i="24"/>
  <c r="AJ45" i="24" s="1"/>
  <c r="AQ45" i="24"/>
  <c r="L16" i="25"/>
  <c r="L24" i="25"/>
  <c r="AL41" i="20"/>
  <c r="AN41" i="20" s="1"/>
  <c r="AM34" i="22"/>
  <c r="AN34" i="22" s="1"/>
  <c r="AP34" i="22" s="1"/>
  <c r="AF35" i="22"/>
  <c r="Q43" i="22"/>
  <c r="J27" i="23"/>
  <c r="L27" i="23" s="1"/>
  <c r="L32" i="23"/>
  <c r="R47" i="23"/>
  <c r="S47" i="23" s="1"/>
  <c r="AL53" i="23"/>
  <c r="AF41" i="23"/>
  <c r="AF34" i="23"/>
  <c r="AG34" i="23" s="1"/>
  <c r="AE21" i="24"/>
  <c r="AG21" i="24" s="1"/>
  <c r="AL21" i="24"/>
  <c r="AN21" i="24" s="1"/>
  <c r="Z24" i="24"/>
  <c r="AG31" i="24"/>
  <c r="AL33" i="24"/>
  <c r="AN33" i="24" s="1"/>
  <c r="AP33" i="24" s="1"/>
  <c r="Q34" i="24"/>
  <c r="S34" i="24" s="1"/>
  <c r="AI35" i="24"/>
  <c r="AJ35" i="24" s="1"/>
  <c r="H43" i="24"/>
  <c r="N44" i="24"/>
  <c r="N47" i="24"/>
  <c r="AN25" i="25"/>
  <c r="AP25" i="25" s="1"/>
  <c r="AG20" i="26"/>
  <c r="H31" i="26"/>
  <c r="O31" i="26" s="1"/>
  <c r="S46" i="26"/>
  <c r="AL27" i="22"/>
  <c r="AN27" i="22" s="1"/>
  <c r="AP27" i="22" s="1"/>
  <c r="AL32" i="22"/>
  <c r="AN32" i="22" s="1"/>
  <c r="AL43" i="22"/>
  <c r="AN43" i="22" s="1"/>
  <c r="Q15" i="23"/>
  <c r="S15" i="23" s="1"/>
  <c r="Q22" i="23"/>
  <c r="X22" i="23"/>
  <c r="Z22" i="23" s="1"/>
  <c r="Q25" i="23"/>
  <c r="S25" i="23" s="1"/>
  <c r="Q32" i="23"/>
  <c r="S32" i="23" s="1"/>
  <c r="AL34" i="23"/>
  <c r="AN34" i="23" s="1"/>
  <c r="S36" i="23"/>
  <c r="X38" i="23"/>
  <c r="J17" i="24"/>
  <c r="L17" i="24" s="1"/>
  <c r="AE17" i="24"/>
  <c r="AG17" i="24" s="1"/>
  <c r="Z17" i="24"/>
  <c r="AL30" i="24"/>
  <c r="AN30" i="24" s="1"/>
  <c r="AP30" i="24" s="1"/>
  <c r="Q30" i="24"/>
  <c r="X32" i="24"/>
  <c r="Z32" i="24" s="1"/>
  <c r="H33" i="24"/>
  <c r="O33" i="24" s="1"/>
  <c r="L35" i="24"/>
  <c r="AG41" i="24"/>
  <c r="O45" i="24"/>
  <c r="AG19" i="25"/>
  <c r="X23" i="25"/>
  <c r="Z23" i="25" s="1"/>
  <c r="F23" i="25"/>
  <c r="AL23" i="25"/>
  <c r="AN23" i="25" s="1"/>
  <c r="AP23" i="25" s="1"/>
  <c r="AE23" i="25"/>
  <c r="AG23" i="25" s="1"/>
  <c r="Q23" i="25"/>
  <c r="S23" i="25" s="1"/>
  <c r="J23" i="25"/>
  <c r="R35" i="22"/>
  <c r="J41" i="22"/>
  <c r="H46" i="22"/>
  <c r="Z46" i="22"/>
  <c r="F15" i="23"/>
  <c r="H15" i="23" s="1"/>
  <c r="X15" i="23"/>
  <c r="Z15" i="23" s="1"/>
  <c r="Q17" i="23"/>
  <c r="S17" i="23" s="1"/>
  <c r="F22" i="23"/>
  <c r="AL32" i="23"/>
  <c r="Q33" i="23"/>
  <c r="S33" i="23" s="1"/>
  <c r="Q42" i="23"/>
  <c r="S42" i="23" s="1"/>
  <c r="AE42" i="23"/>
  <c r="J42" i="23"/>
  <c r="X16" i="24"/>
  <c r="Z16" i="24" s="1"/>
  <c r="AE16" i="24"/>
  <c r="AG16" i="24" s="1"/>
  <c r="F17" i="24"/>
  <c r="J24" i="24"/>
  <c r="Q24" i="24"/>
  <c r="F27" i="24"/>
  <c r="H27" i="24" s="1"/>
  <c r="O27" i="24" s="1"/>
  <c r="J27" i="24"/>
  <c r="L27" i="24" s="1"/>
  <c r="F30" i="24"/>
  <c r="L43" i="24"/>
  <c r="U47" i="24"/>
  <c r="V47" i="24" s="1"/>
  <c r="L48" i="24"/>
  <c r="H35" i="24"/>
  <c r="S30" i="25"/>
  <c r="L40" i="25"/>
  <c r="H24" i="27"/>
  <c r="O24" i="27" s="1"/>
  <c r="AL36" i="23"/>
  <c r="AN36" i="23" s="1"/>
  <c r="AP36" i="23" s="1"/>
  <c r="J38" i="23"/>
  <c r="AG42" i="23"/>
  <c r="AC45" i="23"/>
  <c r="U45" i="23"/>
  <c r="V45" i="23" s="1"/>
  <c r="H17" i="24"/>
  <c r="O17" i="24" s="1"/>
  <c r="Z20" i="24"/>
  <c r="L22" i="24"/>
  <c r="H30" i="24"/>
  <c r="O30" i="24" s="1"/>
  <c r="AL41" i="24"/>
  <c r="AN41" i="24" s="1"/>
  <c r="N45" i="24"/>
  <c r="V45" i="24"/>
  <c r="AG17" i="26"/>
  <c r="AL35" i="22"/>
  <c r="AN35" i="22" s="1"/>
  <c r="Z41" i="22"/>
  <c r="AL42" i="22"/>
  <c r="AN33" i="23"/>
  <c r="F38" i="23"/>
  <c r="AM48" i="23"/>
  <c r="AN48" i="23" s="1"/>
  <c r="X15" i="24"/>
  <c r="Z15" i="24" s="1"/>
  <c r="J20" i="24"/>
  <c r="L20" i="24" s="1"/>
  <c r="AE32" i="24"/>
  <c r="AG32" i="24" s="1"/>
  <c r="AG36" i="24"/>
  <c r="AL38" i="24"/>
  <c r="AC44" i="24"/>
  <c r="O46" i="24"/>
  <c r="J17" i="25"/>
  <c r="L17" i="25" s="1"/>
  <c r="AI37" i="25"/>
  <c r="AQ37" i="25"/>
  <c r="Z19" i="26"/>
  <c r="S22" i="26"/>
  <c r="F42" i="24"/>
  <c r="H42" i="24" s="1"/>
  <c r="AL43" i="24"/>
  <c r="AN43" i="24" s="1"/>
  <c r="AP43" i="24" s="1"/>
  <c r="U44" i="24"/>
  <c r="V44" i="24" s="1"/>
  <c r="Z47" i="24"/>
  <c r="Z15" i="25"/>
  <c r="K20" i="25"/>
  <c r="AG22" i="25"/>
  <c r="H25" i="25"/>
  <c r="O25" i="25" s="1"/>
  <c r="AN30" i="25"/>
  <c r="AP30" i="25" s="1"/>
  <c r="G37" i="25"/>
  <c r="H37" i="25" s="1"/>
  <c r="O37" i="25" s="1"/>
  <c r="X40" i="25"/>
  <c r="Z40" i="25" s="1"/>
  <c r="Y43" i="25"/>
  <c r="F45" i="25"/>
  <c r="H45" i="25" s="1"/>
  <c r="Q45" i="25"/>
  <c r="S45" i="25" s="1"/>
  <c r="J45" i="25"/>
  <c r="L45" i="25" s="1"/>
  <c r="AL45" i="25"/>
  <c r="AN45" i="25" s="1"/>
  <c r="F23" i="26"/>
  <c r="AL23" i="26"/>
  <c r="AN23" i="26" s="1"/>
  <c r="AP23" i="26" s="1"/>
  <c r="AE23" i="26"/>
  <c r="AG23" i="26" s="1"/>
  <c r="J23" i="26"/>
  <c r="AE27" i="26"/>
  <c r="J27" i="26"/>
  <c r="L27" i="26" s="1"/>
  <c r="AL27" i="26"/>
  <c r="AN27" i="26" s="1"/>
  <c r="Q27" i="26"/>
  <c r="S27" i="26" s="1"/>
  <c r="X28" i="26"/>
  <c r="Z28" i="26" s="1"/>
  <c r="J28" i="26"/>
  <c r="L28" i="26" s="1"/>
  <c r="F28" i="26"/>
  <c r="H28" i="26" s="1"/>
  <c r="O28" i="26" s="1"/>
  <c r="Q28" i="26"/>
  <c r="S28" i="26" s="1"/>
  <c r="AE28" i="26"/>
  <c r="AG28" i="26" s="1"/>
  <c r="H40" i="26"/>
  <c r="AN37" i="26"/>
  <c r="AP37" i="26" s="1"/>
  <c r="AM44" i="26"/>
  <c r="AM43" i="26"/>
  <c r="AJ48" i="24"/>
  <c r="R20" i="25"/>
  <c r="S20" i="25" s="1"/>
  <c r="S24" i="25"/>
  <c r="X31" i="25"/>
  <c r="Z31" i="25" s="1"/>
  <c r="AL41" i="25"/>
  <c r="AN41" i="25" s="1"/>
  <c r="AP41" i="25" s="1"/>
  <c r="AF43" i="25"/>
  <c r="AG43" i="25" s="1"/>
  <c r="AL33" i="26"/>
  <c r="Q34" i="26"/>
  <c r="AE34" i="26"/>
  <c r="AG34" i="26" s="1"/>
  <c r="J34" i="26"/>
  <c r="L34" i="26" s="1"/>
  <c r="AL34" i="26"/>
  <c r="AN34" i="26" s="1"/>
  <c r="H45" i="26"/>
  <c r="N46" i="24"/>
  <c r="AG46" i="24"/>
  <c r="AE18" i="25"/>
  <c r="AG18" i="25" s="1"/>
  <c r="J18" i="25"/>
  <c r="L18" i="25" s="1"/>
  <c r="X18" i="25"/>
  <c r="Z18" i="25" s="1"/>
  <c r="F18" i="25"/>
  <c r="H18" i="25" s="1"/>
  <c r="O18" i="25" s="1"/>
  <c r="Q18" i="25"/>
  <c r="S18" i="25" s="1"/>
  <c r="Z19" i="25"/>
  <c r="J22" i="25"/>
  <c r="Z24" i="25"/>
  <c r="J26" i="25"/>
  <c r="L26" i="25" s="1"/>
  <c r="F32" i="25"/>
  <c r="AE32" i="25"/>
  <c r="J32" i="25"/>
  <c r="R37" i="25"/>
  <c r="R46" i="25" s="1"/>
  <c r="S46" i="25" s="1"/>
  <c r="AG15" i="26"/>
  <c r="Z18" i="26"/>
  <c r="L23" i="26"/>
  <c r="AL30" i="26"/>
  <c r="AN30" i="26" s="1"/>
  <c r="F34" i="26"/>
  <c r="H34" i="26" s="1"/>
  <c r="F36" i="26"/>
  <c r="H36" i="26" s="1"/>
  <c r="Q36" i="26"/>
  <c r="S36" i="26" s="1"/>
  <c r="AE36" i="26"/>
  <c r="AG36" i="26" s="1"/>
  <c r="J36" i="26"/>
  <c r="L36" i="26" s="1"/>
  <c r="AL36" i="26"/>
  <c r="AN36" i="26" s="1"/>
  <c r="S40" i="26"/>
  <c r="Z35" i="28"/>
  <c r="AJ35" i="28" s="1"/>
  <c r="L41" i="24"/>
  <c r="AE41" i="24"/>
  <c r="J42" i="24"/>
  <c r="L42" i="24" s="1"/>
  <c r="AE42" i="24"/>
  <c r="Q59" i="24"/>
  <c r="AL18" i="25"/>
  <c r="AN22" i="25"/>
  <c r="AP22" i="25" s="1"/>
  <c r="Z28" i="25"/>
  <c r="Z34" i="25"/>
  <c r="Z20" i="26"/>
  <c r="L43" i="26"/>
  <c r="L36" i="27"/>
  <c r="S45" i="27"/>
  <c r="Z43" i="23"/>
  <c r="AN45" i="23"/>
  <c r="AP45" i="23" s="1"/>
  <c r="AQ45" i="23" s="1"/>
  <c r="Q36" i="24"/>
  <c r="S36" i="24" s="1"/>
  <c r="AM38" i="24"/>
  <c r="AN38" i="24" s="1"/>
  <c r="AP38" i="24" s="1"/>
  <c r="X19" i="25"/>
  <c r="F19" i="25"/>
  <c r="H19" i="25" s="1"/>
  <c r="AL19" i="25"/>
  <c r="Q19" i="25"/>
  <c r="S19" i="25" s="1"/>
  <c r="V21" i="25"/>
  <c r="L22" i="25"/>
  <c r="H23" i="25"/>
  <c r="O23" i="25" s="1"/>
  <c r="Q32" i="25"/>
  <c r="S40" i="25"/>
  <c r="K44" i="25"/>
  <c r="L44" i="25" s="1"/>
  <c r="X45" i="25"/>
  <c r="Q23" i="26"/>
  <c r="S26" i="26"/>
  <c r="L32" i="26"/>
  <c r="L33" i="26"/>
  <c r="S34" i="26"/>
  <c r="AN41" i="26"/>
  <c r="AP41" i="26" s="1"/>
  <c r="S45" i="26"/>
  <c r="AL23" i="27"/>
  <c r="X30" i="27"/>
  <c r="Z30" i="27" s="1"/>
  <c r="S23" i="28"/>
  <c r="AN32" i="28"/>
  <c r="AP32" i="28" s="1"/>
  <c r="F39" i="23"/>
  <c r="J59" i="23"/>
  <c r="S21" i="24"/>
  <c r="AL28" i="24"/>
  <c r="AN28" i="24" s="1"/>
  <c r="AP28" i="24" s="1"/>
  <c r="S30" i="24"/>
  <c r="H34" i="24"/>
  <c r="F36" i="24"/>
  <c r="H36" i="24" s="1"/>
  <c r="X36" i="24"/>
  <c r="Z36" i="24" s="1"/>
  <c r="AM39" i="24"/>
  <c r="Q41" i="24"/>
  <c r="S41" i="24" s="1"/>
  <c r="X53" i="24"/>
  <c r="AE28" i="25"/>
  <c r="AG28" i="25" s="1"/>
  <c r="X32" i="25"/>
  <c r="Z45" i="25"/>
  <c r="AL17" i="26"/>
  <c r="AN17" i="26"/>
  <c r="Z22" i="26"/>
  <c r="S25" i="26"/>
  <c r="X27" i="26"/>
  <c r="Z27" i="26" s="1"/>
  <c r="Z45" i="26"/>
  <c r="H30" i="27"/>
  <c r="AN18" i="28"/>
  <c r="AP18" i="28" s="1"/>
  <c r="Q19" i="24"/>
  <c r="S19" i="24" s="1"/>
  <c r="L26" i="24"/>
  <c r="J35" i="24"/>
  <c r="Q42" i="24"/>
  <c r="J19" i="25"/>
  <c r="L19" i="25" s="1"/>
  <c r="AN19" i="25"/>
  <c r="AP19" i="25" s="1"/>
  <c r="Z25" i="25"/>
  <c r="AG35" i="25"/>
  <c r="AE43" i="25"/>
  <c r="J43" i="25"/>
  <c r="AL43" i="25"/>
  <c r="Q43" i="25"/>
  <c r="AE45" i="25"/>
  <c r="J18" i="26"/>
  <c r="L18" i="26" s="1"/>
  <c r="AL18" i="26"/>
  <c r="AN18" i="26" s="1"/>
  <c r="AE18" i="26"/>
  <c r="AG18" i="26" s="1"/>
  <c r="Q18" i="26"/>
  <c r="S18" i="26" s="1"/>
  <c r="AE19" i="26"/>
  <c r="AG19" i="26" s="1"/>
  <c r="J19" i="26"/>
  <c r="L19" i="26" s="1"/>
  <c r="AL19" i="26"/>
  <c r="AN19" i="26" s="1"/>
  <c r="AP19" i="26" s="1"/>
  <c r="Q19" i="26"/>
  <c r="S19" i="26" s="1"/>
  <c r="X23" i="26"/>
  <c r="Z23" i="26" s="1"/>
  <c r="X36" i="26"/>
  <c r="Z36" i="26" s="1"/>
  <c r="AN40" i="26"/>
  <c r="AP40" i="26" s="1"/>
  <c r="G44" i="26"/>
  <c r="H44" i="26" s="1"/>
  <c r="H37" i="26"/>
  <c r="O37" i="26" s="1"/>
  <c r="G46" i="26"/>
  <c r="L43" i="27"/>
  <c r="X27" i="28"/>
  <c r="Z15" i="29"/>
  <c r="AL42" i="24"/>
  <c r="AN42" i="24" s="1"/>
  <c r="AP42" i="24" s="1"/>
  <c r="AL21" i="25"/>
  <c r="AN21" i="25" s="1"/>
  <c r="AE21" i="25"/>
  <c r="AG21" i="25" s="1"/>
  <c r="S22" i="25"/>
  <c r="Z41" i="25"/>
  <c r="Y44" i="25"/>
  <c r="Z44" i="25" s="1"/>
  <c r="X20" i="26"/>
  <c r="AE20" i="26"/>
  <c r="J20" i="26"/>
  <c r="AL20" i="26"/>
  <c r="AN20" i="26" s="1"/>
  <c r="AP20" i="26" s="1"/>
  <c r="Q20" i="26"/>
  <c r="S20" i="26" s="1"/>
  <c r="X21" i="26"/>
  <c r="Z21" i="26" s="1"/>
  <c r="AE21" i="26"/>
  <c r="AG21" i="26" s="1"/>
  <c r="AL21" i="26"/>
  <c r="AN21" i="26" s="1"/>
  <c r="AG27" i="26"/>
  <c r="S31" i="26"/>
  <c r="AE41" i="26"/>
  <c r="AG41" i="26" s="1"/>
  <c r="J41" i="26"/>
  <c r="L41" i="26" s="1"/>
  <c r="AL41" i="26"/>
  <c r="Q41" i="26"/>
  <c r="S41" i="26" s="1"/>
  <c r="X41" i="26"/>
  <c r="Z41" i="26" s="1"/>
  <c r="AF44" i="27"/>
  <c r="AF43" i="27"/>
  <c r="AG43" i="27" s="1"/>
  <c r="AF46" i="27"/>
  <c r="AG46" i="27" s="1"/>
  <c r="AG37" i="27"/>
  <c r="S45" i="28"/>
  <c r="AE39" i="24"/>
  <c r="X39" i="24"/>
  <c r="Z39" i="24" s="1"/>
  <c r="AN16" i="25"/>
  <c r="AP16" i="25" s="1"/>
  <c r="K43" i="25"/>
  <c r="H18" i="26"/>
  <c r="O18" i="26" s="1"/>
  <c r="H19" i="26"/>
  <c r="F20" i="26"/>
  <c r="H20" i="26" s="1"/>
  <c r="O20" i="26" s="1"/>
  <c r="F41" i="26"/>
  <c r="H41" i="26" s="1"/>
  <c r="X43" i="26"/>
  <c r="R43" i="26"/>
  <c r="S37" i="26"/>
  <c r="R44" i="26"/>
  <c r="J28" i="27"/>
  <c r="L28" i="27" s="1"/>
  <c r="X28" i="27"/>
  <c r="Q28" i="27"/>
  <c r="S28" i="27" s="1"/>
  <c r="AE28" i="27"/>
  <c r="AG28" i="27" s="1"/>
  <c r="F28" i="27"/>
  <c r="H28" i="27" s="1"/>
  <c r="O28" i="27" s="1"/>
  <c r="AL28" i="27"/>
  <c r="AN28" i="27" s="1"/>
  <c r="AG33" i="27"/>
  <c r="F17" i="25"/>
  <c r="H17" i="25" s="1"/>
  <c r="O17" i="25" s="1"/>
  <c r="Q17" i="25"/>
  <c r="AE17" i="25"/>
  <c r="AG17" i="25" s="1"/>
  <c r="X17" i="25"/>
  <c r="Z17" i="25" s="1"/>
  <c r="AL17" i="25"/>
  <c r="AN17" i="25" s="1"/>
  <c r="H21" i="25"/>
  <c r="J25" i="25"/>
  <c r="L25" i="25" s="1"/>
  <c r="AL25" i="25"/>
  <c r="Q25" i="25"/>
  <c r="S25" i="25" s="1"/>
  <c r="AL36" i="25"/>
  <c r="AN36" i="25" s="1"/>
  <c r="AP36" i="25" s="1"/>
  <c r="O21" i="26"/>
  <c r="AG25" i="26"/>
  <c r="AG33" i="26"/>
  <c r="AG35" i="26"/>
  <c r="AL40" i="26"/>
  <c r="Q38" i="28"/>
  <c r="S38" i="28" s="1"/>
  <c r="AL38" i="28"/>
  <c r="AN38" i="28" s="1"/>
  <c r="AP38" i="28" s="1"/>
  <c r="J38" i="28"/>
  <c r="AE38" i="28"/>
  <c r="AG38" i="28" s="1"/>
  <c r="X38" i="28"/>
  <c r="Z38" i="28" s="1"/>
  <c r="AN20" i="29"/>
  <c r="AP20" i="29" s="1"/>
  <c r="X42" i="24"/>
  <c r="Z42" i="24" s="1"/>
  <c r="AB46" i="24"/>
  <c r="AF46" i="25"/>
  <c r="AG46" i="25" s="1"/>
  <c r="K33" i="25"/>
  <c r="R32" i="25"/>
  <c r="G44" i="25"/>
  <c r="AM33" i="25"/>
  <c r="AN33" i="25" s="1"/>
  <c r="K46" i="25"/>
  <c r="L46" i="25" s="1"/>
  <c r="Y33" i="25"/>
  <c r="Z33" i="25" s="1"/>
  <c r="Y32" i="25"/>
  <c r="Z32" i="25" s="1"/>
  <c r="G46" i="25"/>
  <c r="H46" i="25" s="1"/>
  <c r="Y46" i="25"/>
  <c r="Z46" i="25" s="1"/>
  <c r="AM37" i="25"/>
  <c r="AN37" i="25" s="1"/>
  <c r="AP37" i="25" s="1"/>
  <c r="AF20" i="25"/>
  <c r="AG20" i="25" s="1"/>
  <c r="G43" i="25"/>
  <c r="H43" i="25" s="1"/>
  <c r="K37" i="25"/>
  <c r="L37" i="25" s="1"/>
  <c r="R33" i="25"/>
  <c r="AM32" i="25"/>
  <c r="AN32" i="25" s="1"/>
  <c r="AM44" i="25"/>
  <c r="AN44" i="25" s="1"/>
  <c r="AP44" i="25" s="1"/>
  <c r="AF33" i="25"/>
  <c r="AG33" i="25" s="1"/>
  <c r="AF32" i="25"/>
  <c r="AG32" i="25" s="1"/>
  <c r="K32" i="25"/>
  <c r="Y20" i="25"/>
  <c r="Z20" i="25" s="1"/>
  <c r="G20" i="25"/>
  <c r="H20" i="25" s="1"/>
  <c r="O20" i="25" s="1"/>
  <c r="R44" i="25"/>
  <c r="S44" i="25" s="1"/>
  <c r="Y37" i="25"/>
  <c r="Z37" i="25" s="1"/>
  <c r="G33" i="25"/>
  <c r="G32" i="25"/>
  <c r="AM20" i="25"/>
  <c r="S15" i="25"/>
  <c r="Z27" i="25"/>
  <c r="S16" i="26"/>
  <c r="L20" i="26"/>
  <c r="V21" i="26"/>
  <c r="N21" i="26"/>
  <c r="AE22" i="26"/>
  <c r="AG22" i="26" s="1"/>
  <c r="L30" i="28"/>
  <c r="F38" i="28"/>
  <c r="Q28" i="25"/>
  <c r="S28" i="25" s="1"/>
  <c r="H23" i="26"/>
  <c r="O23" i="26" s="1"/>
  <c r="AL31" i="26"/>
  <c r="AN31" i="26" s="1"/>
  <c r="AP31" i="26" s="1"/>
  <c r="Q33" i="26"/>
  <c r="S33" i="26" s="1"/>
  <c r="AF46" i="26"/>
  <c r="AE18" i="27"/>
  <c r="AG18" i="27" s="1"/>
  <c r="Q18" i="27"/>
  <c r="AL18" i="27"/>
  <c r="AN18" i="27" s="1"/>
  <c r="F18" i="27"/>
  <c r="H18" i="27" s="1"/>
  <c r="O18" i="27" s="1"/>
  <c r="H33" i="27"/>
  <c r="AL24" i="28"/>
  <c r="AN24" i="28" s="1"/>
  <c r="AP24" i="28" s="1"/>
  <c r="AG33" i="28"/>
  <c r="AL33" i="29"/>
  <c r="AN33" i="29" s="1"/>
  <c r="AP33" i="29" s="1"/>
  <c r="Q20" i="25"/>
  <c r="F24" i="25"/>
  <c r="H24" i="25" s="1"/>
  <c r="O24" i="25" s="1"/>
  <c r="X24" i="25"/>
  <c r="AE35" i="25"/>
  <c r="X35" i="25"/>
  <c r="Z35" i="25" s="1"/>
  <c r="J16" i="26"/>
  <c r="L16" i="26" s="1"/>
  <c r="F25" i="26"/>
  <c r="H25" i="26" s="1"/>
  <c r="O25" i="26" s="1"/>
  <c r="X25" i="26"/>
  <c r="Z25" i="26" s="1"/>
  <c r="J30" i="26"/>
  <c r="L30" i="26" s="1"/>
  <c r="AQ37" i="26"/>
  <c r="X44" i="26"/>
  <c r="F44" i="26"/>
  <c r="K46" i="26"/>
  <c r="L46" i="26" s="1"/>
  <c r="Z34" i="27"/>
  <c r="L15" i="28"/>
  <c r="S20" i="28"/>
  <c r="AG22" i="28"/>
  <c r="L31" i="28"/>
  <c r="S36" i="28"/>
  <c r="AN16" i="29"/>
  <c r="S31" i="29"/>
  <c r="X36" i="25"/>
  <c r="Z36" i="25" s="1"/>
  <c r="F40" i="25"/>
  <c r="H40" i="25" s="1"/>
  <c r="Q40" i="25"/>
  <c r="AE32" i="26"/>
  <c r="AG32" i="26" s="1"/>
  <c r="X32" i="26"/>
  <c r="Z32" i="26" s="1"/>
  <c r="AN33" i="26"/>
  <c r="Q38" i="26"/>
  <c r="S38" i="26" s="1"/>
  <c r="AE43" i="26"/>
  <c r="AG43" i="26" s="1"/>
  <c r="J19" i="27"/>
  <c r="L19" i="27" s="1"/>
  <c r="Q20" i="27"/>
  <c r="S20" i="27" s="1"/>
  <c r="J20" i="27"/>
  <c r="L20" i="27" s="1"/>
  <c r="AE20" i="27"/>
  <c r="AG20" i="27" s="1"/>
  <c r="F20" i="27"/>
  <c r="H20" i="27" s="1"/>
  <c r="O20" i="27" s="1"/>
  <c r="X20" i="27"/>
  <c r="Z20" i="27" s="1"/>
  <c r="AL20" i="27"/>
  <c r="AN20" i="27" s="1"/>
  <c r="AG22" i="27"/>
  <c r="AN23" i="27"/>
  <c r="AP23" i="27" s="1"/>
  <c r="Q32" i="27"/>
  <c r="S32" i="27" s="1"/>
  <c r="X32" i="27"/>
  <c r="Z32" i="27" s="1"/>
  <c r="F32" i="27"/>
  <c r="H32" i="27" s="1"/>
  <c r="AL32" i="27"/>
  <c r="AN32" i="27" s="1"/>
  <c r="AE32" i="27"/>
  <c r="O22" i="3" s="1"/>
  <c r="J32" i="27"/>
  <c r="L32" i="27" s="1"/>
  <c r="K44" i="27"/>
  <c r="K46" i="27"/>
  <c r="L37" i="27"/>
  <c r="AG38" i="27"/>
  <c r="AN22" i="28"/>
  <c r="X41" i="28"/>
  <c r="Z41" i="28" s="1"/>
  <c r="L23" i="25"/>
  <c r="H35" i="25"/>
  <c r="O35" i="25" s="1"/>
  <c r="F36" i="25"/>
  <c r="H36" i="25" s="1"/>
  <c r="J41" i="25"/>
  <c r="L41" i="25" s="1"/>
  <c r="X41" i="25"/>
  <c r="F17" i="26"/>
  <c r="H17" i="26" s="1"/>
  <c r="O17" i="26" s="1"/>
  <c r="X17" i="26"/>
  <c r="Z17" i="26" s="1"/>
  <c r="AL26" i="26"/>
  <c r="AN26" i="26" s="1"/>
  <c r="AP26" i="26" s="1"/>
  <c r="F32" i="26"/>
  <c r="H32" i="26" s="1"/>
  <c r="X33" i="26"/>
  <c r="Z33" i="26" s="1"/>
  <c r="AN35" i="26"/>
  <c r="AP35" i="26" s="1"/>
  <c r="F38" i="26"/>
  <c r="H38" i="26" s="1"/>
  <c r="O38" i="26" s="1"/>
  <c r="X38" i="26"/>
  <c r="Z38" i="26" s="1"/>
  <c r="F43" i="26"/>
  <c r="H43" i="26" s="1"/>
  <c r="AG45" i="26"/>
  <c r="AG34" i="27"/>
  <c r="AG16" i="28"/>
  <c r="AE18" i="28"/>
  <c r="F18" i="28"/>
  <c r="X18" i="28"/>
  <c r="AL18" i="28"/>
  <c r="J18" i="28"/>
  <c r="L18" i="28" s="1"/>
  <c r="X23" i="28"/>
  <c r="S31" i="28"/>
  <c r="S28" i="28"/>
  <c r="H38" i="28"/>
  <c r="O38" i="28" s="1"/>
  <c r="AE44" i="28"/>
  <c r="AG44" i="28" s="1"/>
  <c r="F44" i="28"/>
  <c r="X44" i="28"/>
  <c r="Q44" i="28"/>
  <c r="AL44" i="28"/>
  <c r="AN44" i="28" s="1"/>
  <c r="AN18" i="29"/>
  <c r="AL43" i="23"/>
  <c r="AN43" i="23" s="1"/>
  <c r="AP43" i="23" s="1"/>
  <c r="AL20" i="24"/>
  <c r="AN20" i="24" s="1"/>
  <c r="AP20" i="24" s="1"/>
  <c r="Y34" i="24"/>
  <c r="AE20" i="25"/>
  <c r="Z21" i="25"/>
  <c r="AL26" i="25"/>
  <c r="AN26" i="25" s="1"/>
  <c r="AP26" i="25" s="1"/>
  <c r="J28" i="25"/>
  <c r="L28" i="25" s="1"/>
  <c r="AG40" i="25"/>
  <c r="AE41" i="25"/>
  <c r="AG41" i="25" s="1"/>
  <c r="J46" i="25"/>
  <c r="X46" i="25"/>
  <c r="L17" i="26"/>
  <c r="AE17" i="26"/>
  <c r="S23" i="26"/>
  <c r="J33" i="26"/>
  <c r="J35" i="26"/>
  <c r="L35" i="26" s="1"/>
  <c r="AE38" i="26"/>
  <c r="AG38" i="26" s="1"/>
  <c r="Q44" i="26"/>
  <c r="AL44" i="26"/>
  <c r="X18" i="27"/>
  <c r="Z18" i="27" s="1"/>
  <c r="L26" i="27"/>
  <c r="AM43" i="27"/>
  <c r="AN43" i="27" s="1"/>
  <c r="AN37" i="27"/>
  <c r="AM46" i="27"/>
  <c r="AN46" i="27" s="1"/>
  <c r="AM44" i="27"/>
  <c r="X40" i="27"/>
  <c r="Z40" i="27" s="1"/>
  <c r="AL40" i="27"/>
  <c r="AE40" i="27"/>
  <c r="J40" i="27"/>
  <c r="L40" i="27" s="1"/>
  <c r="F40" i="27"/>
  <c r="H40" i="27" s="1"/>
  <c r="Q40" i="27"/>
  <c r="Q16" i="28"/>
  <c r="S16" i="28" s="1"/>
  <c r="AL16" i="28"/>
  <c r="J16" i="28"/>
  <c r="L16" i="28" s="1"/>
  <c r="X16" i="28"/>
  <c r="Z16" i="28" s="1"/>
  <c r="S18" i="28"/>
  <c r="L38" i="28"/>
  <c r="J44" i="28"/>
  <c r="L44" i="28" s="1"/>
  <c r="Z41" i="29"/>
  <c r="AL15" i="25"/>
  <c r="AN15" i="25" s="1"/>
  <c r="J30" i="25"/>
  <c r="L30" i="25" s="1"/>
  <c r="X30" i="25"/>
  <c r="AE36" i="25"/>
  <c r="AG36" i="25" s="1"/>
  <c r="Z35" i="26"/>
  <c r="AJ35" i="26" s="1"/>
  <c r="AL43" i="26"/>
  <c r="X25" i="28"/>
  <c r="Z25" i="28" s="1"/>
  <c r="L33" i="28"/>
  <c r="U21" i="29"/>
  <c r="Q33" i="30"/>
  <c r="S33" i="30" s="1"/>
  <c r="F26" i="25"/>
  <c r="H26" i="25" s="1"/>
  <c r="O26" i="25" s="1"/>
  <c r="X26" i="25"/>
  <c r="Z26" i="25" s="1"/>
  <c r="Z30" i="25"/>
  <c r="J22" i="26"/>
  <c r="L22" i="26" s="1"/>
  <c r="X22" i="26"/>
  <c r="Q32" i="26"/>
  <c r="S32" i="26" s="1"/>
  <c r="AE33" i="26"/>
  <c r="AG40" i="26"/>
  <c r="Q43" i="26"/>
  <c r="AG17" i="27"/>
  <c r="L22" i="27"/>
  <c r="S35" i="27"/>
  <c r="U35" i="27" s="1"/>
  <c r="X44" i="27"/>
  <c r="H16" i="28"/>
  <c r="O16" i="28" s="1"/>
  <c r="S33" i="28"/>
  <c r="V37" i="28"/>
  <c r="S44" i="28"/>
  <c r="F30" i="26"/>
  <c r="H30" i="26" s="1"/>
  <c r="X30" i="26"/>
  <c r="Z30" i="26" s="1"/>
  <c r="K44" i="26"/>
  <c r="L44" i="26" s="1"/>
  <c r="L37" i="26"/>
  <c r="AL45" i="26"/>
  <c r="AN45" i="26" s="1"/>
  <c r="AP45" i="26" s="1"/>
  <c r="AE46" i="26"/>
  <c r="J46" i="26"/>
  <c r="F17" i="27"/>
  <c r="H17" i="27" s="1"/>
  <c r="O17" i="27" s="1"/>
  <c r="AL17" i="27"/>
  <c r="AN17" i="27" s="1"/>
  <c r="X17" i="27"/>
  <c r="Z17" i="27" s="1"/>
  <c r="Q17" i="27"/>
  <c r="S17" i="27" s="1"/>
  <c r="J17" i="27"/>
  <c r="L17" i="27" s="1"/>
  <c r="Z28" i="27"/>
  <c r="X33" i="27"/>
  <c r="Z33" i="27" s="1"/>
  <c r="Z35" i="27"/>
  <c r="AJ35" i="27" s="1"/>
  <c r="L21" i="28"/>
  <c r="H25" i="28"/>
  <c r="O25" i="28" s="1"/>
  <c r="AN41" i="28"/>
  <c r="AE16" i="25"/>
  <c r="AG16" i="25" s="1"/>
  <c r="AL20" i="25"/>
  <c r="AL24" i="25"/>
  <c r="AN24" i="25" s="1"/>
  <c r="AP24" i="25" s="1"/>
  <c r="H31" i="25"/>
  <c r="O31" i="25" s="1"/>
  <c r="F33" i="25"/>
  <c r="AL34" i="25"/>
  <c r="AN34" i="25" s="1"/>
  <c r="AP34" i="25" s="1"/>
  <c r="Q36" i="25"/>
  <c r="S36" i="25" s="1"/>
  <c r="AG45" i="25"/>
  <c r="AE46" i="25"/>
  <c r="Q15" i="26"/>
  <c r="S15" i="26" s="1"/>
  <c r="AL32" i="26"/>
  <c r="AN32" i="26" s="1"/>
  <c r="AP32" i="26" s="1"/>
  <c r="AL38" i="26"/>
  <c r="AN38" i="26" s="1"/>
  <c r="AP38" i="26" s="1"/>
  <c r="F46" i="26"/>
  <c r="L34" i="27"/>
  <c r="X15" i="28"/>
  <c r="Z15" i="28" s="1"/>
  <c r="F15" i="28"/>
  <c r="H15" i="28" s="1"/>
  <c r="AE15" i="28"/>
  <c r="AG15" i="28" s="1"/>
  <c r="J15" i="28"/>
  <c r="Q15" i="28"/>
  <c r="S15" i="28" s="1"/>
  <c r="AL15" i="28"/>
  <c r="AN15" i="28" s="1"/>
  <c r="Z17" i="28"/>
  <c r="Z22" i="28"/>
  <c r="AG40" i="28"/>
  <c r="Z19" i="29"/>
  <c r="AL34" i="27"/>
  <c r="AN40" i="27"/>
  <c r="AP40" i="27" s="1"/>
  <c r="H18" i="28"/>
  <c r="O18" i="28" s="1"/>
  <c r="AG18" i="28"/>
  <c r="AN20" i="28"/>
  <c r="AP20" i="28" s="1"/>
  <c r="AE30" i="28"/>
  <c r="AG30" i="28" s="1"/>
  <c r="X40" i="28"/>
  <c r="Z40" i="28" s="1"/>
  <c r="F40" i="28"/>
  <c r="H40" i="28" s="1"/>
  <c r="AE40" i="28"/>
  <c r="J40" i="28"/>
  <c r="L40" i="28" s="1"/>
  <c r="L41" i="28"/>
  <c r="X15" i="29"/>
  <c r="AL15" i="29"/>
  <c r="AN15" i="29" s="1"/>
  <c r="Q15" i="29"/>
  <c r="S15" i="29" s="1"/>
  <c r="J15" i="29"/>
  <c r="L15" i="29" s="1"/>
  <c r="AE15" i="29"/>
  <c r="F15" i="29"/>
  <c r="H15" i="29" s="1"/>
  <c r="H16" i="29"/>
  <c r="O16" i="29" s="1"/>
  <c r="H18" i="29"/>
  <c r="O18" i="29" s="1"/>
  <c r="L20" i="29"/>
  <c r="AG33" i="29"/>
  <c r="AG15" i="30"/>
  <c r="AG30" i="30"/>
  <c r="S16" i="27"/>
  <c r="AE19" i="27"/>
  <c r="Q27" i="27"/>
  <c r="S27" i="27" s="1"/>
  <c r="X27" i="27"/>
  <c r="Z27" i="27" s="1"/>
  <c r="Q30" i="27"/>
  <c r="S30" i="27" s="1"/>
  <c r="S36" i="27"/>
  <c r="S40" i="27"/>
  <c r="AL43" i="27"/>
  <c r="AL44" i="27"/>
  <c r="AL17" i="28"/>
  <c r="AN17" i="28" s="1"/>
  <c r="AP17" i="28" s="1"/>
  <c r="AL23" i="28"/>
  <c r="AN23" i="28" s="1"/>
  <c r="S24" i="28"/>
  <c r="X26" i="28"/>
  <c r="Z26" i="28" s="1"/>
  <c r="F26" i="28"/>
  <c r="H26" i="28" s="1"/>
  <c r="O26" i="28" s="1"/>
  <c r="AE26" i="28"/>
  <c r="AG26" i="28" s="1"/>
  <c r="J26" i="28"/>
  <c r="L26" i="28" s="1"/>
  <c r="L27" i="28"/>
  <c r="F30" i="28"/>
  <c r="H30" i="28" s="1"/>
  <c r="Z33" i="28"/>
  <c r="AF46" i="28"/>
  <c r="AG37" i="28"/>
  <c r="L17" i="29"/>
  <c r="L19" i="29"/>
  <c r="AG37" i="29"/>
  <c r="AF46" i="29"/>
  <c r="AG46" i="29" s="1"/>
  <c r="AF44" i="29"/>
  <c r="AG44" i="29" s="1"/>
  <c r="AF43" i="29"/>
  <c r="F25" i="30"/>
  <c r="AN35" i="30"/>
  <c r="X26" i="27"/>
  <c r="Z26" i="27" s="1"/>
  <c r="AL30" i="27"/>
  <c r="AN30" i="27" s="1"/>
  <c r="Q41" i="27"/>
  <c r="S41" i="27" s="1"/>
  <c r="AL41" i="27"/>
  <c r="AN41" i="27" s="1"/>
  <c r="AE41" i="27"/>
  <c r="AG41" i="27" s="1"/>
  <c r="X41" i="27"/>
  <c r="Z41" i="27" s="1"/>
  <c r="G43" i="27"/>
  <c r="H43" i="27" s="1"/>
  <c r="Q44" i="27"/>
  <c r="X21" i="28"/>
  <c r="Z21" i="28" s="1"/>
  <c r="AL21" i="28"/>
  <c r="AN21" i="28" s="1"/>
  <c r="AP21" i="28" s="1"/>
  <c r="AL27" i="28"/>
  <c r="AN27" i="28" s="1"/>
  <c r="S17" i="29"/>
  <c r="Z20" i="29"/>
  <c r="Z25" i="29"/>
  <c r="AM44" i="29"/>
  <c r="AN44" i="29" s="1"/>
  <c r="AP44" i="29" s="1"/>
  <c r="AN37" i="29"/>
  <c r="AM43" i="29"/>
  <c r="AN43" i="29" s="1"/>
  <c r="AM46" i="29"/>
  <c r="H19" i="30"/>
  <c r="H25" i="30"/>
  <c r="O25" i="30" s="1"/>
  <c r="AE36" i="30"/>
  <c r="AG36" i="30" s="1"/>
  <c r="AL36" i="30"/>
  <c r="Q36" i="30"/>
  <c r="S36" i="30" s="1"/>
  <c r="J36" i="30"/>
  <c r="L36" i="30" s="1"/>
  <c r="F36" i="30"/>
  <c r="H36" i="30" s="1"/>
  <c r="X36" i="30"/>
  <c r="X23" i="27"/>
  <c r="Z23" i="27" s="1"/>
  <c r="AE25" i="27"/>
  <c r="AG25" i="27" s="1"/>
  <c r="F26" i="27"/>
  <c r="H26" i="27" s="1"/>
  <c r="O26" i="27" s="1"/>
  <c r="J33" i="27"/>
  <c r="L33" i="27" s="1"/>
  <c r="Q33" i="27"/>
  <c r="S33" i="27" s="1"/>
  <c r="L35" i="27"/>
  <c r="AN35" i="27"/>
  <c r="R44" i="27"/>
  <c r="S44" i="27" s="1"/>
  <c r="AN45" i="27"/>
  <c r="Q23" i="28"/>
  <c r="AE25" i="28"/>
  <c r="AG25" i="28" s="1"/>
  <c r="AL25" i="28"/>
  <c r="AN25" i="28" s="1"/>
  <c r="AP25" i="28" s="1"/>
  <c r="J25" i="28"/>
  <c r="J33" i="28"/>
  <c r="Q33" i="28"/>
  <c r="L34" i="28"/>
  <c r="G44" i="28"/>
  <c r="H44" i="28" s="1"/>
  <c r="G43" i="28"/>
  <c r="H43" i="28" s="1"/>
  <c r="H37" i="28"/>
  <c r="O37" i="28" s="1"/>
  <c r="AM46" i="28"/>
  <c r="AN46" i="28" s="1"/>
  <c r="AN37" i="28"/>
  <c r="AP37" i="28" s="1"/>
  <c r="S18" i="29"/>
  <c r="S19" i="29"/>
  <c r="AL24" i="29"/>
  <c r="AN24" i="29" s="1"/>
  <c r="L40" i="31"/>
  <c r="AL16" i="26"/>
  <c r="AN16" i="26" s="1"/>
  <c r="AP16" i="26" s="1"/>
  <c r="AL15" i="27"/>
  <c r="AN15" i="27" s="1"/>
  <c r="L18" i="27"/>
  <c r="J22" i="27"/>
  <c r="X22" i="27"/>
  <c r="Z22" i="27" s="1"/>
  <c r="F22" i="27"/>
  <c r="H22" i="27" s="1"/>
  <c r="O22" i="27" s="1"/>
  <c r="AE23" i="27"/>
  <c r="AG23" i="27" s="1"/>
  <c r="AE26" i="27"/>
  <c r="AG26" i="27" s="1"/>
  <c r="AG27" i="27"/>
  <c r="X31" i="27"/>
  <c r="Z31" i="27" s="1"/>
  <c r="J36" i="27"/>
  <c r="AL36" i="27"/>
  <c r="AN36" i="27" s="1"/>
  <c r="AP36" i="27" s="1"/>
  <c r="J41" i="27"/>
  <c r="L41" i="27" s="1"/>
  <c r="X45" i="27"/>
  <c r="Z45" i="27" s="1"/>
  <c r="F45" i="27"/>
  <c r="H45" i="27" s="1"/>
  <c r="AE21" i="28"/>
  <c r="AG21" i="28" s="1"/>
  <c r="AN26" i="28"/>
  <c r="AP26" i="28" s="1"/>
  <c r="AN30" i="28"/>
  <c r="AP30" i="28" s="1"/>
  <c r="X36" i="28"/>
  <c r="Z36" i="28" s="1"/>
  <c r="J36" i="28"/>
  <c r="L36" i="28" s="1"/>
  <c r="Q40" i="28"/>
  <c r="S40" i="28" s="1"/>
  <c r="X45" i="28"/>
  <c r="Z45" i="28" s="1"/>
  <c r="F45" i="28"/>
  <c r="H45" i="28" s="1"/>
  <c r="J45" i="28"/>
  <c r="L45" i="28" s="1"/>
  <c r="AE45" i="28"/>
  <c r="AG45" i="28" s="1"/>
  <c r="S27" i="30"/>
  <c r="Q40" i="26"/>
  <c r="Q45" i="26"/>
  <c r="AE21" i="27"/>
  <c r="AG21" i="27" s="1"/>
  <c r="X21" i="27"/>
  <c r="Z21" i="27" s="1"/>
  <c r="J23" i="27"/>
  <c r="L23" i="27" s="1"/>
  <c r="J25" i="27"/>
  <c r="L25" i="27" s="1"/>
  <c r="AL27" i="27"/>
  <c r="AN27" i="27" s="1"/>
  <c r="F31" i="27"/>
  <c r="H31" i="27" s="1"/>
  <c r="O31" i="27" s="1"/>
  <c r="AN34" i="27"/>
  <c r="F36" i="27"/>
  <c r="H36" i="27" s="1"/>
  <c r="AL38" i="27"/>
  <c r="AN38" i="27" s="1"/>
  <c r="AP38" i="27" s="1"/>
  <c r="G46" i="27"/>
  <c r="H46" i="27" s="1"/>
  <c r="Q26" i="28"/>
  <c r="S26" i="28" s="1"/>
  <c r="Q30" i="28"/>
  <c r="S30" i="28" s="1"/>
  <c r="AL33" i="28"/>
  <c r="AN33" i="28" s="1"/>
  <c r="F36" i="28"/>
  <c r="H36" i="28" s="1"/>
  <c r="AE36" i="28"/>
  <c r="AG36" i="28" s="1"/>
  <c r="X21" i="29"/>
  <c r="Z21" i="29" s="1"/>
  <c r="AG21" i="29"/>
  <c r="Q36" i="29"/>
  <c r="S36" i="29" s="1"/>
  <c r="S23" i="31"/>
  <c r="S18" i="27"/>
  <c r="AE30" i="27"/>
  <c r="AG30" i="27" s="1"/>
  <c r="J30" i="27"/>
  <c r="L30" i="27" s="1"/>
  <c r="F30" i="27"/>
  <c r="R43" i="27"/>
  <c r="Z44" i="27"/>
  <c r="Z19" i="28"/>
  <c r="H20" i="28"/>
  <c r="O20" i="28" s="1"/>
  <c r="Z23" i="28"/>
  <c r="Z27" i="28"/>
  <c r="H28" i="28"/>
  <c r="O28" i="28" s="1"/>
  <c r="X31" i="28"/>
  <c r="Z31" i="28" s="1"/>
  <c r="F31" i="28"/>
  <c r="H31" i="28" s="1"/>
  <c r="O31" i="28" s="1"/>
  <c r="AL31" i="28"/>
  <c r="U37" i="28"/>
  <c r="Q41" i="28"/>
  <c r="S41" i="28" s="1"/>
  <c r="AE41" i="28"/>
  <c r="AG41" i="28" s="1"/>
  <c r="S43" i="28"/>
  <c r="AG24" i="29"/>
  <c r="S26" i="29"/>
  <c r="AL28" i="29"/>
  <c r="AN28" i="29" s="1"/>
  <c r="AP28" i="29" s="1"/>
  <c r="Z34" i="29"/>
  <c r="H36" i="29"/>
  <c r="Z40" i="29"/>
  <c r="U37" i="27"/>
  <c r="AG40" i="27"/>
  <c r="AE44" i="27"/>
  <c r="AN16" i="28"/>
  <c r="AP16" i="28" s="1"/>
  <c r="S17" i="28"/>
  <c r="J23" i="28"/>
  <c r="L23" i="28" s="1"/>
  <c r="Q27" i="28"/>
  <c r="S27" i="28" s="1"/>
  <c r="L28" i="28"/>
  <c r="AE35" i="28"/>
  <c r="AG35" i="28" s="1"/>
  <c r="AL35" i="28"/>
  <c r="AN35" i="28" s="1"/>
  <c r="AP35" i="28" s="1"/>
  <c r="Q35" i="28"/>
  <c r="S35" i="28" s="1"/>
  <c r="J35" i="28"/>
  <c r="L35" i="28" s="1"/>
  <c r="Y44" i="28"/>
  <c r="Z44" i="28" s="1"/>
  <c r="Y46" i="28"/>
  <c r="Z46" i="28" s="1"/>
  <c r="F41" i="28"/>
  <c r="H41" i="28" s="1"/>
  <c r="Y43" i="28"/>
  <c r="Z43" i="28" s="1"/>
  <c r="AN45" i="28"/>
  <c r="AP45" i="28" s="1"/>
  <c r="H23" i="29"/>
  <c r="O23" i="29" s="1"/>
  <c r="AN15" i="31"/>
  <c r="L16" i="27"/>
  <c r="Q25" i="27"/>
  <c r="S25" i="27" s="1"/>
  <c r="AL25" i="27"/>
  <c r="AL26" i="27"/>
  <c r="AN33" i="27"/>
  <c r="F44" i="27"/>
  <c r="H44" i="27" s="1"/>
  <c r="Z18" i="28"/>
  <c r="F23" i="28"/>
  <c r="H23" i="28" s="1"/>
  <c r="O23" i="28" s="1"/>
  <c r="AE23" i="28"/>
  <c r="L24" i="28"/>
  <c r="F27" i="28"/>
  <c r="H27" i="28" s="1"/>
  <c r="O27" i="28" s="1"/>
  <c r="AE27" i="28"/>
  <c r="X30" i="28"/>
  <c r="AE31" i="28"/>
  <c r="AG31" i="28" s="1"/>
  <c r="AG32" i="28"/>
  <c r="AE34" i="28"/>
  <c r="AG34" i="28" s="1"/>
  <c r="F35" i="28"/>
  <c r="H35" i="28" s="1"/>
  <c r="O35" i="28" s="1"/>
  <c r="Z37" i="28"/>
  <c r="Q18" i="29"/>
  <c r="AE18" i="29"/>
  <c r="AG18" i="29" s="1"/>
  <c r="J18" i="29"/>
  <c r="L18" i="29" s="1"/>
  <c r="X18" i="29"/>
  <c r="U21" i="30"/>
  <c r="L26" i="30"/>
  <c r="X19" i="27"/>
  <c r="Z19" i="27" s="1"/>
  <c r="F19" i="27"/>
  <c r="H19" i="27" s="1"/>
  <c r="Q19" i="27"/>
  <c r="S19" i="27" s="1"/>
  <c r="Q23" i="27"/>
  <c r="S23" i="27" s="1"/>
  <c r="AN25" i="27"/>
  <c r="AN26" i="27"/>
  <c r="AP26" i="27" s="1"/>
  <c r="AG23" i="28"/>
  <c r="Z30" i="28"/>
  <c r="J31" i="28"/>
  <c r="J41" i="28"/>
  <c r="AF43" i="28"/>
  <c r="AG43" i="28" s="1"/>
  <c r="S23" i="29"/>
  <c r="Q16" i="29"/>
  <c r="S16" i="29" s="1"/>
  <c r="AE16" i="29"/>
  <c r="AG16" i="29" s="1"/>
  <c r="J16" i="29"/>
  <c r="L16" i="29" s="1"/>
  <c r="G44" i="29"/>
  <c r="H44" i="29" s="1"/>
  <c r="G46" i="29"/>
  <c r="H46" i="29" s="1"/>
  <c r="G43" i="29"/>
  <c r="H37" i="29"/>
  <c r="O37" i="29" s="1"/>
  <c r="Z17" i="30"/>
  <c r="Z24" i="30"/>
  <c r="L30" i="30"/>
  <c r="AN36" i="30"/>
  <c r="AP36" i="30" s="1"/>
  <c r="AN45" i="30"/>
  <c r="L27" i="33"/>
  <c r="AE28" i="29"/>
  <c r="AG28" i="29" s="1"/>
  <c r="J28" i="29"/>
  <c r="L28" i="29" s="1"/>
  <c r="X28" i="29"/>
  <c r="Z28" i="29" s="1"/>
  <c r="F28" i="29"/>
  <c r="H28" i="29" s="1"/>
  <c r="O28" i="29" s="1"/>
  <c r="AE33" i="29"/>
  <c r="J33" i="29"/>
  <c r="L33" i="29" s="1"/>
  <c r="X33" i="29"/>
  <c r="Z33" i="29" s="1"/>
  <c r="F33" i="29"/>
  <c r="H33" i="29" s="1"/>
  <c r="L41" i="29"/>
  <c r="L37" i="29"/>
  <c r="U37" i="29" s="1"/>
  <c r="K46" i="29"/>
  <c r="K43" i="29"/>
  <c r="K44" i="29"/>
  <c r="L44" i="29" s="1"/>
  <c r="S31" i="30"/>
  <c r="S20" i="31"/>
  <c r="AL34" i="29"/>
  <c r="AN34" i="29" s="1"/>
  <c r="Z38" i="29"/>
  <c r="S15" i="30"/>
  <c r="AG17" i="30"/>
  <c r="S22" i="30"/>
  <c r="Z23" i="30"/>
  <c r="S30" i="30"/>
  <c r="Z35" i="30"/>
  <c r="AN40" i="30"/>
  <c r="AP40" i="30" s="1"/>
  <c r="S46" i="30"/>
  <c r="S15" i="32"/>
  <c r="AE23" i="29"/>
  <c r="AG23" i="29" s="1"/>
  <c r="L32" i="29"/>
  <c r="X35" i="29"/>
  <c r="Z35" i="29" s="1"/>
  <c r="AL35" i="29"/>
  <c r="AN35" i="29" s="1"/>
  <c r="AP35" i="29" s="1"/>
  <c r="Q35" i="29"/>
  <c r="S35" i="29" s="1"/>
  <c r="AE35" i="29"/>
  <c r="AG35" i="29" s="1"/>
  <c r="AG16" i="30"/>
  <c r="S20" i="30"/>
  <c r="N21" i="30"/>
  <c r="O21" i="30" s="1"/>
  <c r="AG32" i="30"/>
  <c r="H34" i="30"/>
  <c r="AG38" i="30"/>
  <c r="H44" i="30"/>
  <c r="AL25" i="31"/>
  <c r="AN25" i="31" s="1"/>
  <c r="AP25" i="31" s="1"/>
  <c r="AL19" i="28"/>
  <c r="AN19" i="28" s="1"/>
  <c r="AP19" i="28" s="1"/>
  <c r="J28" i="28"/>
  <c r="X28" i="28"/>
  <c r="AL17" i="29"/>
  <c r="AN17" i="29" s="1"/>
  <c r="AL19" i="29"/>
  <c r="AN19" i="29" s="1"/>
  <c r="AP19" i="29" s="1"/>
  <c r="H24" i="29"/>
  <c r="O24" i="29" s="1"/>
  <c r="S28" i="29"/>
  <c r="S33" i="29"/>
  <c r="L34" i="29"/>
  <c r="J35" i="29"/>
  <c r="Y46" i="29"/>
  <c r="Y43" i="29"/>
  <c r="Z43" i="29" s="1"/>
  <c r="Y44" i="29"/>
  <c r="Z37" i="29"/>
  <c r="L45" i="29"/>
  <c r="AL17" i="30"/>
  <c r="AN17" i="30" s="1"/>
  <c r="AP17" i="30" s="1"/>
  <c r="Q17" i="30"/>
  <c r="S17" i="30" s="1"/>
  <c r="X17" i="30"/>
  <c r="F17" i="30"/>
  <c r="AN23" i="30"/>
  <c r="AP23" i="30" s="1"/>
  <c r="L25" i="30"/>
  <c r="H33" i="30"/>
  <c r="AG46" i="30"/>
  <c r="AL45" i="30"/>
  <c r="AL36" i="31"/>
  <c r="H43" i="31"/>
  <c r="S15" i="27"/>
  <c r="H21" i="27"/>
  <c r="AN31" i="27"/>
  <c r="Q46" i="27"/>
  <c r="S46" i="27" s="1"/>
  <c r="X46" i="27"/>
  <c r="Z46" i="27" s="1"/>
  <c r="AE20" i="28"/>
  <c r="AG20" i="28" s="1"/>
  <c r="X20" i="28"/>
  <c r="Z20" i="28" s="1"/>
  <c r="L25" i="28"/>
  <c r="F28" i="28"/>
  <c r="Z28" i="28"/>
  <c r="AN31" i="28"/>
  <c r="AP31" i="28" s="1"/>
  <c r="AL43" i="28"/>
  <c r="AN43" i="28" s="1"/>
  <c r="F46" i="28"/>
  <c r="H46" i="28" s="1"/>
  <c r="Q46" i="28"/>
  <c r="S46" i="28" s="1"/>
  <c r="H17" i="29"/>
  <c r="O17" i="29" s="1"/>
  <c r="Q25" i="29"/>
  <c r="S25" i="29" s="1"/>
  <c r="AE25" i="29"/>
  <c r="AG25" i="29" s="1"/>
  <c r="J25" i="29"/>
  <c r="X25" i="29"/>
  <c r="AL25" i="29"/>
  <c r="AN25" i="29" s="1"/>
  <c r="AP25" i="29" s="1"/>
  <c r="Z27" i="29"/>
  <c r="Q30" i="29"/>
  <c r="S30" i="29" s="1"/>
  <c r="AE30" i="29"/>
  <c r="AG30" i="29" s="1"/>
  <c r="J30" i="29"/>
  <c r="L30" i="29" s="1"/>
  <c r="X30" i="29"/>
  <c r="Z30" i="29" s="1"/>
  <c r="AL30" i="29"/>
  <c r="Z32" i="29"/>
  <c r="L35" i="29"/>
  <c r="H17" i="30"/>
  <c r="O17" i="30" s="1"/>
  <c r="X24" i="30"/>
  <c r="Q32" i="30"/>
  <c r="S32" i="30" s="1"/>
  <c r="H45" i="30"/>
  <c r="L16" i="31"/>
  <c r="AG15" i="29"/>
  <c r="AG26" i="29"/>
  <c r="AN30" i="29"/>
  <c r="Q38" i="29"/>
  <c r="S38" i="29" s="1"/>
  <c r="AN41" i="29"/>
  <c r="S45" i="29"/>
  <c r="Z19" i="30"/>
  <c r="AG21" i="30"/>
  <c r="H24" i="30"/>
  <c r="O24" i="30" s="1"/>
  <c r="Z25" i="30"/>
  <c r="AL31" i="30"/>
  <c r="AN31" i="30" s="1"/>
  <c r="AP31" i="30" s="1"/>
  <c r="L33" i="30"/>
  <c r="Z41" i="30"/>
  <c r="AL33" i="31"/>
  <c r="AN33" i="31" s="1"/>
  <c r="AP33" i="31" s="1"/>
  <c r="AN43" i="31"/>
  <c r="X16" i="29"/>
  <c r="Z16" i="29" s="1"/>
  <c r="Q40" i="29"/>
  <c r="S40" i="29" s="1"/>
  <c r="AL40" i="29"/>
  <c r="AN40" i="29" s="1"/>
  <c r="AE40" i="29"/>
  <c r="J40" i="29"/>
  <c r="L40" i="29" s="1"/>
  <c r="F40" i="29"/>
  <c r="H40" i="29" s="1"/>
  <c r="AL15" i="30"/>
  <c r="AN15" i="30" s="1"/>
  <c r="AE21" i="30"/>
  <c r="H23" i="30"/>
  <c r="O23" i="30" s="1"/>
  <c r="Q28" i="30"/>
  <c r="S28" i="30" s="1"/>
  <c r="AE28" i="30"/>
  <c r="J28" i="30"/>
  <c r="L28" i="30" s="1"/>
  <c r="X28" i="30"/>
  <c r="Z28" i="30" s="1"/>
  <c r="F28" i="30"/>
  <c r="H28" i="30" s="1"/>
  <c r="O28" i="30" s="1"/>
  <c r="AL28" i="30"/>
  <c r="AN28" i="30" s="1"/>
  <c r="AP28" i="30" s="1"/>
  <c r="S45" i="30"/>
  <c r="N21" i="31"/>
  <c r="O21" i="31" s="1"/>
  <c r="S46" i="31"/>
  <c r="AE16" i="27"/>
  <c r="AG16" i="27" s="1"/>
  <c r="X16" i="27"/>
  <c r="Z16" i="27" s="1"/>
  <c r="AL24" i="27"/>
  <c r="AN24" i="27" s="1"/>
  <c r="AP24" i="27" s="1"/>
  <c r="S34" i="27"/>
  <c r="Q22" i="28"/>
  <c r="S22" i="28" s="1"/>
  <c r="AG27" i="28"/>
  <c r="AE28" i="28"/>
  <c r="AG28" i="28" s="1"/>
  <c r="Q32" i="28"/>
  <c r="S32" i="28" s="1"/>
  <c r="X32" i="28"/>
  <c r="Z32" i="28" s="1"/>
  <c r="J46" i="28"/>
  <c r="L46" i="28" s="1"/>
  <c r="AE46" i="28"/>
  <c r="F26" i="29"/>
  <c r="H26" i="29" s="1"/>
  <c r="O26" i="29" s="1"/>
  <c r="F31" i="29"/>
  <c r="H31" i="29" s="1"/>
  <c r="O31" i="29" s="1"/>
  <c r="Z36" i="29"/>
  <c r="H38" i="29"/>
  <c r="O38" i="29" s="1"/>
  <c r="AN19" i="30"/>
  <c r="AP19" i="30" s="1"/>
  <c r="AG25" i="30"/>
  <c r="Z36" i="30"/>
  <c r="Z45" i="30"/>
  <c r="X20" i="31"/>
  <c r="AL26" i="31"/>
  <c r="AN26" i="31" s="1"/>
  <c r="Z18" i="29"/>
  <c r="Q20" i="29"/>
  <c r="S20" i="29" s="1"/>
  <c r="AE20" i="29"/>
  <c r="AG20" i="29" s="1"/>
  <c r="F22" i="29"/>
  <c r="H22" i="29" s="1"/>
  <c r="O22" i="29" s="1"/>
  <c r="Z23" i="29"/>
  <c r="L25" i="29"/>
  <c r="AL27" i="29"/>
  <c r="AN27" i="29" s="1"/>
  <c r="AP27" i="29" s="1"/>
  <c r="AL32" i="29"/>
  <c r="AN32" i="29" s="1"/>
  <c r="AP32" i="29" s="1"/>
  <c r="L38" i="29"/>
  <c r="X20" i="30"/>
  <c r="Z20" i="30" s="1"/>
  <c r="F20" i="30"/>
  <c r="H20" i="30" s="1"/>
  <c r="O20" i="30" s="1"/>
  <c r="AE20" i="30"/>
  <c r="AG20" i="30" s="1"/>
  <c r="J20" i="30"/>
  <c r="L20" i="30" s="1"/>
  <c r="AL20" i="30"/>
  <c r="AN20" i="30" s="1"/>
  <c r="H35" i="30"/>
  <c r="O35" i="30" s="1"/>
  <c r="AG45" i="30"/>
  <c r="AG36" i="31"/>
  <c r="Y43" i="30"/>
  <c r="Z43" i="30" s="1"/>
  <c r="Y46" i="30"/>
  <c r="Z46" i="30" s="1"/>
  <c r="L40" i="30"/>
  <c r="AG44" i="30"/>
  <c r="AL21" i="31"/>
  <c r="AN21" i="31" s="1"/>
  <c r="AP21" i="31" s="1"/>
  <c r="AG26" i="31"/>
  <c r="F38" i="31"/>
  <c r="H38" i="31" s="1"/>
  <c r="O38" i="31" s="1"/>
  <c r="AL38" i="31"/>
  <c r="J38" i="31"/>
  <c r="L38" i="31" s="1"/>
  <c r="N38" i="31" s="1"/>
  <c r="AE38" i="31"/>
  <c r="AG38" i="31" s="1"/>
  <c r="X38" i="31"/>
  <c r="Q38" i="31"/>
  <c r="L41" i="31"/>
  <c r="AM44" i="31"/>
  <c r="AN44" i="31" s="1"/>
  <c r="AM46" i="31"/>
  <c r="AN46" i="31" s="1"/>
  <c r="AP46" i="31" s="1"/>
  <c r="AL33" i="32"/>
  <c r="S34" i="33"/>
  <c r="AE26" i="30"/>
  <c r="AG26" i="30" s="1"/>
  <c r="X26" i="30"/>
  <c r="Z26" i="30" s="1"/>
  <c r="H32" i="30"/>
  <c r="F33" i="30"/>
  <c r="X33" i="30"/>
  <c r="Z33" i="30" s="1"/>
  <c r="S35" i="30"/>
  <c r="Z37" i="30"/>
  <c r="L38" i="30"/>
  <c r="H20" i="31"/>
  <c r="O20" i="31" s="1"/>
  <c r="H45" i="31"/>
  <c r="Z19" i="32"/>
  <c r="AE21" i="32"/>
  <c r="AG21" i="32" s="1"/>
  <c r="AL21" i="32"/>
  <c r="AN21" i="32" s="1"/>
  <c r="AP21" i="32" s="1"/>
  <c r="X21" i="32"/>
  <c r="Z21" i="32" s="1"/>
  <c r="AL22" i="32"/>
  <c r="AQ37" i="32"/>
  <c r="AI37" i="32"/>
  <c r="Z34" i="33"/>
  <c r="AL18" i="30"/>
  <c r="AN18" i="30" s="1"/>
  <c r="AP18" i="30" s="1"/>
  <c r="X18" i="30"/>
  <c r="Z18" i="30" s="1"/>
  <c r="F26" i="30"/>
  <c r="H26" i="30" s="1"/>
  <c r="O26" i="30" s="1"/>
  <c r="AN27" i="30"/>
  <c r="J34" i="30"/>
  <c r="L34" i="30" s="1"/>
  <c r="X18" i="31"/>
  <c r="Z18" i="31" s="1"/>
  <c r="AL18" i="31"/>
  <c r="AN18" i="31" s="1"/>
  <c r="AP18" i="31" s="1"/>
  <c r="Q18" i="31"/>
  <c r="S18" i="31" s="1"/>
  <c r="AE18" i="31"/>
  <c r="AG18" i="31" s="1"/>
  <c r="F18" i="31"/>
  <c r="AL27" i="31"/>
  <c r="AN27" i="31" s="1"/>
  <c r="Q27" i="31"/>
  <c r="S27" i="31" s="1"/>
  <c r="X27" i="31"/>
  <c r="Z27" i="31" s="1"/>
  <c r="F27" i="31"/>
  <c r="H27" i="31" s="1"/>
  <c r="O27" i="31" s="1"/>
  <c r="Z43" i="31"/>
  <c r="L30" i="32"/>
  <c r="O21" i="33"/>
  <c r="L25" i="33"/>
  <c r="AL23" i="29"/>
  <c r="AN23" i="29" s="1"/>
  <c r="AP23" i="29" s="1"/>
  <c r="H35" i="29"/>
  <c r="O35" i="29" s="1"/>
  <c r="F36" i="29"/>
  <c r="X36" i="29"/>
  <c r="J41" i="29"/>
  <c r="X41" i="29"/>
  <c r="F18" i="30"/>
  <c r="H18" i="30" s="1"/>
  <c r="O18" i="30" s="1"/>
  <c r="AE19" i="30"/>
  <c r="AG19" i="30" s="1"/>
  <c r="X19" i="30"/>
  <c r="AL21" i="30"/>
  <c r="AN21" i="30" s="1"/>
  <c r="AP21" i="30" s="1"/>
  <c r="L24" i="30"/>
  <c r="X27" i="30"/>
  <c r="Z27" i="30" s="1"/>
  <c r="F34" i="30"/>
  <c r="X34" i="30"/>
  <c r="Z34" i="30" s="1"/>
  <c r="AL35" i="30"/>
  <c r="AG37" i="30"/>
  <c r="AL16" i="31"/>
  <c r="Q17" i="31"/>
  <c r="S17" i="31" s="1"/>
  <c r="F17" i="31"/>
  <c r="H17" i="31" s="1"/>
  <c r="O17" i="31" s="1"/>
  <c r="X17" i="31"/>
  <c r="Z17" i="31" s="1"/>
  <c r="AL17" i="31"/>
  <c r="AN17" i="31" s="1"/>
  <c r="AE17" i="31"/>
  <c r="AG17" i="31" s="1"/>
  <c r="J17" i="31"/>
  <c r="L17" i="31" s="1"/>
  <c r="AN23" i="31"/>
  <c r="AP23" i="31" s="1"/>
  <c r="AN24" i="31"/>
  <c r="AP24" i="31" s="1"/>
  <c r="AL34" i="31"/>
  <c r="AN34" i="31" s="1"/>
  <c r="AP34" i="31" s="1"/>
  <c r="X35" i="31"/>
  <c r="Z35" i="31" s="1"/>
  <c r="AN24" i="32"/>
  <c r="AL28" i="32"/>
  <c r="AN28" i="32" s="1"/>
  <c r="AL21" i="29"/>
  <c r="AN21" i="29" s="1"/>
  <c r="AP21" i="29" s="1"/>
  <c r="AE22" i="29"/>
  <c r="AG22" i="29" s="1"/>
  <c r="X23" i="29"/>
  <c r="H41" i="29"/>
  <c r="AE43" i="29"/>
  <c r="X43" i="29"/>
  <c r="Q45" i="29"/>
  <c r="X45" i="29"/>
  <c r="Z45" i="29" s="1"/>
  <c r="J26" i="30"/>
  <c r="H27" i="30"/>
  <c r="O27" i="30" s="1"/>
  <c r="K44" i="30"/>
  <c r="K46" i="30"/>
  <c r="L46" i="30" s="1"/>
  <c r="AM44" i="30"/>
  <c r="AN44" i="30" s="1"/>
  <c r="AM43" i="30"/>
  <c r="AN43" i="30" s="1"/>
  <c r="G43" i="30"/>
  <c r="H43" i="30" s="1"/>
  <c r="G46" i="30"/>
  <c r="H46" i="30" s="1"/>
  <c r="H37" i="30"/>
  <c r="O37" i="30" s="1"/>
  <c r="L18" i="31"/>
  <c r="H26" i="31"/>
  <c r="O26" i="31" s="1"/>
  <c r="L27" i="31"/>
  <c r="L28" i="31"/>
  <c r="H35" i="31"/>
  <c r="O35" i="31" s="1"/>
  <c r="F20" i="32"/>
  <c r="H20" i="32" s="1"/>
  <c r="O20" i="32" s="1"/>
  <c r="Z23" i="32"/>
  <c r="X32" i="32"/>
  <c r="AN36" i="32"/>
  <c r="AP36" i="32" s="1"/>
  <c r="AL26" i="29"/>
  <c r="AN26" i="29" s="1"/>
  <c r="AE27" i="29"/>
  <c r="AG27" i="29" s="1"/>
  <c r="AL31" i="29"/>
  <c r="AN31" i="29" s="1"/>
  <c r="AP31" i="29" s="1"/>
  <c r="AE32" i="29"/>
  <c r="AG32" i="29" s="1"/>
  <c r="Q34" i="29"/>
  <c r="S34" i="29" s="1"/>
  <c r="J36" i="29"/>
  <c r="L36" i="29" s="1"/>
  <c r="F43" i="29"/>
  <c r="X44" i="29"/>
  <c r="F44" i="29"/>
  <c r="F45" i="29"/>
  <c r="H45" i="29" s="1"/>
  <c r="J18" i="30"/>
  <c r="L18" i="30" s="1"/>
  <c r="X21" i="30"/>
  <c r="Z21" i="30" s="1"/>
  <c r="Q24" i="30"/>
  <c r="S24" i="30" s="1"/>
  <c r="J27" i="30"/>
  <c r="L27" i="30" s="1"/>
  <c r="AE33" i="30"/>
  <c r="AG33" i="30" s="1"/>
  <c r="AE34" i="30"/>
  <c r="AG34" i="30" s="1"/>
  <c r="L37" i="30"/>
  <c r="AN37" i="30"/>
  <c r="AP37" i="30" s="1"/>
  <c r="AN38" i="30"/>
  <c r="AP38" i="30" s="1"/>
  <c r="AE41" i="30"/>
  <c r="AG41" i="30" s="1"/>
  <c r="Q41" i="30"/>
  <c r="S41" i="30" s="1"/>
  <c r="J41" i="30"/>
  <c r="L41" i="30" s="1"/>
  <c r="L25" i="31"/>
  <c r="J30" i="31"/>
  <c r="L30" i="31" s="1"/>
  <c r="AE30" i="31"/>
  <c r="AG30" i="31" s="1"/>
  <c r="F30" i="31"/>
  <c r="AL30" i="31"/>
  <c r="AN30" i="31" s="1"/>
  <c r="AP30" i="31" s="1"/>
  <c r="AE31" i="31"/>
  <c r="AG31" i="31" s="1"/>
  <c r="J31" i="31"/>
  <c r="L31" i="31" s="1"/>
  <c r="X31" i="31"/>
  <c r="Z31" i="31" s="1"/>
  <c r="F31" i="31"/>
  <c r="H31" i="31" s="1"/>
  <c r="O31" i="31" s="1"/>
  <c r="AL31" i="31"/>
  <c r="AN31" i="31" s="1"/>
  <c r="Q31" i="31"/>
  <c r="L33" i="31"/>
  <c r="AN33" i="32"/>
  <c r="Q22" i="29"/>
  <c r="S22" i="29" s="1"/>
  <c r="J23" i="29"/>
  <c r="L23" i="29" s="1"/>
  <c r="AG40" i="29"/>
  <c r="AE41" i="29"/>
  <c r="AG41" i="29" s="1"/>
  <c r="J46" i="29"/>
  <c r="X46" i="29"/>
  <c r="AE18" i="30"/>
  <c r="AG18" i="30" s="1"/>
  <c r="J19" i="30"/>
  <c r="L19" i="30" s="1"/>
  <c r="AL24" i="30"/>
  <c r="AN24" i="30" s="1"/>
  <c r="AL40" i="30"/>
  <c r="F41" i="30"/>
  <c r="H41" i="30" s="1"/>
  <c r="AL41" i="30"/>
  <c r="AN41" i="30" s="1"/>
  <c r="AL43" i="30"/>
  <c r="AF43" i="30"/>
  <c r="AG43" i="30" s="1"/>
  <c r="L24" i="31"/>
  <c r="H32" i="31"/>
  <c r="G46" i="31"/>
  <c r="G44" i="31"/>
  <c r="H37" i="31"/>
  <c r="X27" i="32"/>
  <c r="Z27" i="32" s="1"/>
  <c r="F27" i="32"/>
  <c r="H27" i="32" s="1"/>
  <c r="O27" i="32" s="1"/>
  <c r="Q27" i="32"/>
  <c r="S27" i="32" s="1"/>
  <c r="AE27" i="32"/>
  <c r="AG27" i="32" s="1"/>
  <c r="J27" i="32"/>
  <c r="L27" i="32" s="1"/>
  <c r="AL27" i="32"/>
  <c r="AN27" i="32" s="1"/>
  <c r="AE34" i="32"/>
  <c r="AG34" i="32" s="1"/>
  <c r="F34" i="32"/>
  <c r="H34" i="32" s="1"/>
  <c r="O34" i="32" s="1"/>
  <c r="X34" i="32"/>
  <c r="Z34" i="32" s="1"/>
  <c r="AL34" i="32"/>
  <c r="AN34" i="32" s="1"/>
  <c r="AP34" i="32" s="1"/>
  <c r="Q34" i="32"/>
  <c r="S34" i="32" s="1"/>
  <c r="J34" i="32"/>
  <c r="S35" i="32"/>
  <c r="AC35" i="32" s="1"/>
  <c r="J41" i="32"/>
  <c r="L41" i="32" s="1"/>
  <c r="AE41" i="32"/>
  <c r="Q41" i="32"/>
  <c r="S41" i="32" s="1"/>
  <c r="AL41" i="32"/>
  <c r="AN41" i="32" s="1"/>
  <c r="AP41" i="32" s="1"/>
  <c r="F41" i="32"/>
  <c r="H17" i="33"/>
  <c r="O17" i="33" s="1"/>
  <c r="AE36" i="29"/>
  <c r="S16" i="30"/>
  <c r="J22" i="30"/>
  <c r="L22" i="30" s="1"/>
  <c r="X22" i="30"/>
  <c r="Q26" i="30"/>
  <c r="S26" i="30" s="1"/>
  <c r="AE27" i="30"/>
  <c r="AG27" i="30" s="1"/>
  <c r="F30" i="30"/>
  <c r="H30" i="30" s="1"/>
  <c r="R43" i="30"/>
  <c r="S43" i="30" s="1"/>
  <c r="R44" i="30"/>
  <c r="S44" i="30" s="1"/>
  <c r="Y44" i="30"/>
  <c r="S16" i="31"/>
  <c r="S33" i="31"/>
  <c r="AN38" i="31"/>
  <c r="X19" i="32"/>
  <c r="J24" i="32"/>
  <c r="L24" i="32" s="1"/>
  <c r="AL24" i="32"/>
  <c r="Q24" i="32"/>
  <c r="S24" i="32" s="1"/>
  <c r="F24" i="32"/>
  <c r="H24" i="32" s="1"/>
  <c r="O24" i="32" s="1"/>
  <c r="AE24" i="32"/>
  <c r="AG24" i="32" s="1"/>
  <c r="X24" i="32"/>
  <c r="Z24" i="32" s="1"/>
  <c r="AE34" i="29"/>
  <c r="AG34" i="29" s="1"/>
  <c r="AG36" i="29"/>
  <c r="J43" i="29"/>
  <c r="J45" i="29"/>
  <c r="J15" i="30"/>
  <c r="L15" i="30" s="1"/>
  <c r="Z22" i="30"/>
  <c r="AE31" i="30"/>
  <c r="AG31" i="30" s="1"/>
  <c r="X31" i="30"/>
  <c r="Z31" i="30" s="1"/>
  <c r="AL33" i="30"/>
  <c r="AN33" i="30" s="1"/>
  <c r="AP33" i="30" s="1"/>
  <c r="X38" i="30"/>
  <c r="Z38" i="30" s="1"/>
  <c r="S25" i="31"/>
  <c r="AE27" i="31"/>
  <c r="AG15" i="32"/>
  <c r="H19" i="32"/>
  <c r="K44" i="32"/>
  <c r="L44" i="32" s="1"/>
  <c r="L37" i="32"/>
  <c r="K43" i="32"/>
  <c r="L43" i="32" s="1"/>
  <c r="K46" i="32"/>
  <c r="Z20" i="33"/>
  <c r="AL22" i="29"/>
  <c r="AN22" i="29" s="1"/>
  <c r="Q41" i="29"/>
  <c r="S41" i="29" s="1"/>
  <c r="AE45" i="29"/>
  <c r="AL16" i="30"/>
  <c r="AN16" i="30" s="1"/>
  <c r="AP16" i="30" s="1"/>
  <c r="Q19" i="30"/>
  <c r="S19" i="30" s="1"/>
  <c r="H22" i="30"/>
  <c r="O22" i="30" s="1"/>
  <c r="AL26" i="30"/>
  <c r="AN26" i="30" s="1"/>
  <c r="AP26" i="30" s="1"/>
  <c r="AN32" i="30"/>
  <c r="AP32" i="30" s="1"/>
  <c r="Q34" i="30"/>
  <c r="S34" i="30" s="1"/>
  <c r="K43" i="30"/>
  <c r="AE46" i="30"/>
  <c r="X46" i="30"/>
  <c r="F46" i="30"/>
  <c r="AL46" i="30"/>
  <c r="Z24" i="31"/>
  <c r="Z26" i="31"/>
  <c r="AG27" i="31"/>
  <c r="S30" i="31"/>
  <c r="AQ37" i="31"/>
  <c r="AI37" i="31"/>
  <c r="Z46" i="31"/>
  <c r="AG30" i="33"/>
  <c r="X34" i="29"/>
  <c r="AL36" i="29"/>
  <c r="AN36" i="29" s="1"/>
  <c r="AG45" i="29"/>
  <c r="Z15" i="30"/>
  <c r="Q18" i="30"/>
  <c r="S18" i="30" s="1"/>
  <c r="AL19" i="30"/>
  <c r="F24" i="30"/>
  <c r="Q27" i="30"/>
  <c r="AG28" i="30"/>
  <c r="X32" i="30"/>
  <c r="Z32" i="30" s="1"/>
  <c r="AL34" i="30"/>
  <c r="AN34" i="30" s="1"/>
  <c r="H38" i="30"/>
  <c r="O38" i="30" s="1"/>
  <c r="Q44" i="30"/>
  <c r="J46" i="30"/>
  <c r="AM46" i="30"/>
  <c r="AN46" i="30" s="1"/>
  <c r="J20" i="31"/>
  <c r="L20" i="31" s="1"/>
  <c r="AE20" i="31"/>
  <c r="AG20" i="31" s="1"/>
  <c r="AL20" i="31"/>
  <c r="AN20" i="31" s="1"/>
  <c r="AP20" i="31" s="1"/>
  <c r="Z21" i="31"/>
  <c r="AN37" i="31"/>
  <c r="AP37" i="31" s="1"/>
  <c r="L46" i="31"/>
  <c r="AF46" i="31"/>
  <c r="AG46" i="31" s="1"/>
  <c r="AF43" i="31"/>
  <c r="AF44" i="31"/>
  <c r="AN32" i="32"/>
  <c r="AP32" i="32" s="1"/>
  <c r="AG46" i="32"/>
  <c r="H16" i="33"/>
  <c r="O16" i="33" s="1"/>
  <c r="S16" i="32"/>
  <c r="J17" i="32"/>
  <c r="L17" i="32" s="1"/>
  <c r="X17" i="32"/>
  <c r="F17" i="32"/>
  <c r="AL17" i="32"/>
  <c r="AN17" i="32" s="1"/>
  <c r="AP17" i="32" s="1"/>
  <c r="Q17" i="32"/>
  <c r="S17" i="32" s="1"/>
  <c r="AE26" i="32"/>
  <c r="AG26" i="32" s="1"/>
  <c r="X26" i="32"/>
  <c r="Z26" i="32" s="1"/>
  <c r="AL26" i="32"/>
  <c r="Q26" i="32"/>
  <c r="S26" i="32" s="1"/>
  <c r="F26" i="32"/>
  <c r="H26" i="32" s="1"/>
  <c r="O26" i="32" s="1"/>
  <c r="S43" i="32"/>
  <c r="AE27" i="33"/>
  <c r="AG27" i="33" s="1"/>
  <c r="Q19" i="31"/>
  <c r="S19" i="31" s="1"/>
  <c r="F28" i="31"/>
  <c r="H28" i="31" s="1"/>
  <c r="O28" i="31" s="1"/>
  <c r="AJ37" i="31"/>
  <c r="S38" i="31"/>
  <c r="AC38" i="31" s="1"/>
  <c r="Q43" i="31"/>
  <c r="J43" i="31"/>
  <c r="AE43" i="31"/>
  <c r="H17" i="32"/>
  <c r="O17" i="32" s="1"/>
  <c r="Z36" i="32"/>
  <c r="X38" i="32"/>
  <c r="L45" i="32"/>
  <c r="Q17" i="33"/>
  <c r="S17" i="33" s="1"/>
  <c r="J17" i="33"/>
  <c r="AL17" i="33"/>
  <c r="X17" i="33"/>
  <c r="Z17" i="33" s="1"/>
  <c r="Z25" i="33"/>
  <c r="S32" i="33"/>
  <c r="AG35" i="33"/>
  <c r="H18" i="31"/>
  <c r="O18" i="31" s="1"/>
  <c r="U21" i="31"/>
  <c r="V21" i="31" s="1"/>
  <c r="S31" i="31"/>
  <c r="AE34" i="31"/>
  <c r="AG34" i="31" s="1"/>
  <c r="K43" i="31"/>
  <c r="K44" i="31"/>
  <c r="L44" i="31" s="1"/>
  <c r="F43" i="31"/>
  <c r="AE45" i="31"/>
  <c r="AG45" i="31" s="1"/>
  <c r="J45" i="31"/>
  <c r="L45" i="31" s="1"/>
  <c r="AN15" i="32"/>
  <c r="H25" i="32"/>
  <c r="O25" i="32" s="1"/>
  <c r="J26" i="32"/>
  <c r="L26" i="32" s="1"/>
  <c r="AL30" i="32"/>
  <c r="AN30" i="32" s="1"/>
  <c r="AL31" i="32"/>
  <c r="AN31" i="32" s="1"/>
  <c r="F17" i="33"/>
  <c r="AL25" i="30"/>
  <c r="AN25" i="30" s="1"/>
  <c r="AP25" i="30" s="1"/>
  <c r="AL30" i="30"/>
  <c r="AN30" i="30" s="1"/>
  <c r="AP30" i="30" s="1"/>
  <c r="AE15" i="31"/>
  <c r="AG15" i="31" s="1"/>
  <c r="X15" i="31"/>
  <c r="Z15" i="31" s="1"/>
  <c r="J19" i="31"/>
  <c r="L19" i="31" s="1"/>
  <c r="Z20" i="31"/>
  <c r="AE22" i="31"/>
  <c r="AG22" i="31" s="1"/>
  <c r="X22" i="31"/>
  <c r="Z22" i="31" s="1"/>
  <c r="Z30" i="31"/>
  <c r="AL35" i="31"/>
  <c r="AN35" i="31" s="1"/>
  <c r="Y44" i="31"/>
  <c r="Z44" i="31" s="1"/>
  <c r="AL45" i="31"/>
  <c r="AN45" i="31" s="1"/>
  <c r="AL18" i="32"/>
  <c r="AN18" i="32" s="1"/>
  <c r="AP18" i="32" s="1"/>
  <c r="Q18" i="32"/>
  <c r="S18" i="32" s="1"/>
  <c r="AE18" i="32"/>
  <c r="AG18" i="32" s="1"/>
  <c r="X18" i="32"/>
  <c r="Z18" i="32" s="1"/>
  <c r="F18" i="32"/>
  <c r="H18" i="32" s="1"/>
  <c r="O18" i="32" s="1"/>
  <c r="H21" i="32"/>
  <c r="L31" i="32"/>
  <c r="H33" i="32"/>
  <c r="G44" i="32"/>
  <c r="G43" i="32"/>
  <c r="H43" i="32" s="1"/>
  <c r="H37" i="32"/>
  <c r="O37" i="32" s="1"/>
  <c r="G46" i="32"/>
  <c r="H46" i="32" s="1"/>
  <c r="AG41" i="32"/>
  <c r="S44" i="32"/>
  <c r="AG45" i="32"/>
  <c r="Z24" i="33"/>
  <c r="F15" i="31"/>
  <c r="H15" i="31" s="1"/>
  <c r="AN16" i="31"/>
  <c r="AP16" i="31" s="1"/>
  <c r="F22" i="31"/>
  <c r="H22" i="31" s="1"/>
  <c r="O22" i="31" s="1"/>
  <c r="X23" i="31"/>
  <c r="Z23" i="31" s="1"/>
  <c r="F23" i="31"/>
  <c r="H23" i="31" s="1"/>
  <c r="O23" i="31" s="1"/>
  <c r="Q26" i="31"/>
  <c r="H30" i="31"/>
  <c r="AE32" i="31"/>
  <c r="AG32" i="31" s="1"/>
  <c r="Q35" i="31"/>
  <c r="S35" i="31" s="1"/>
  <c r="AC35" i="31" s="1"/>
  <c r="Q36" i="31"/>
  <c r="S36" i="31" s="1"/>
  <c r="U37" i="31"/>
  <c r="S40" i="31"/>
  <c r="R43" i="31"/>
  <c r="Q45" i="31"/>
  <c r="S45" i="31" s="1"/>
  <c r="Z15" i="32"/>
  <c r="L32" i="32"/>
  <c r="N32" i="32" s="1"/>
  <c r="H15" i="33"/>
  <c r="L26" i="33"/>
  <c r="F30" i="33"/>
  <c r="H30" i="33" s="1"/>
  <c r="AN44" i="33"/>
  <c r="AP44" i="33" s="1"/>
  <c r="X16" i="31"/>
  <c r="Z16" i="31" s="1"/>
  <c r="AE19" i="31"/>
  <c r="AG19" i="31" s="1"/>
  <c r="Q24" i="31"/>
  <c r="S24" i="31" s="1"/>
  <c r="X24" i="31"/>
  <c r="S26" i="31"/>
  <c r="X33" i="31"/>
  <c r="Z33" i="31" s="1"/>
  <c r="X41" i="31"/>
  <c r="Z41" i="31" s="1"/>
  <c r="AL41" i="31"/>
  <c r="AN41" i="31" s="1"/>
  <c r="AP41" i="31" s="1"/>
  <c r="Q41" i="31"/>
  <c r="S41" i="31" s="1"/>
  <c r="N21" i="32"/>
  <c r="J22" i="32"/>
  <c r="L22" i="32" s="1"/>
  <c r="X22" i="32"/>
  <c r="Z22" i="32" s="1"/>
  <c r="Q22" i="32"/>
  <c r="S22" i="32" s="1"/>
  <c r="AE22" i="32"/>
  <c r="AG22" i="32" s="1"/>
  <c r="Z25" i="32"/>
  <c r="S31" i="32"/>
  <c r="Z38" i="32"/>
  <c r="Z40" i="32"/>
  <c r="AG24" i="33"/>
  <c r="AC21" i="31"/>
  <c r="Q34" i="31"/>
  <c r="S34" i="31" s="1"/>
  <c r="AN36" i="31"/>
  <c r="AP36" i="31" s="1"/>
  <c r="F44" i="31"/>
  <c r="Q23" i="32"/>
  <c r="S23" i="32" s="1"/>
  <c r="AL23" i="32"/>
  <c r="AE23" i="32"/>
  <c r="J23" i="32"/>
  <c r="L23" i="32" s="1"/>
  <c r="AG23" i="32"/>
  <c r="AG28" i="32"/>
  <c r="AL36" i="32"/>
  <c r="AE36" i="32"/>
  <c r="AG36" i="32" s="1"/>
  <c r="J36" i="32"/>
  <c r="F36" i="32"/>
  <c r="H36" i="32" s="1"/>
  <c r="Q36" i="32"/>
  <c r="AG38" i="32"/>
  <c r="AE17" i="33"/>
  <c r="AG17" i="33" s="1"/>
  <c r="L30" i="33"/>
  <c r="J25" i="31"/>
  <c r="X25" i="31"/>
  <c r="Z25" i="31" s="1"/>
  <c r="H33" i="31"/>
  <c r="F34" i="31"/>
  <c r="H34" i="31" s="1"/>
  <c r="O34" i="31" s="1"/>
  <c r="X34" i="31"/>
  <c r="Z34" i="31" s="1"/>
  <c r="AE41" i="31"/>
  <c r="AG41" i="31" s="1"/>
  <c r="AN16" i="32"/>
  <c r="Z17" i="32"/>
  <c r="L18" i="32"/>
  <c r="AL19" i="32"/>
  <c r="AN19" i="32" s="1"/>
  <c r="AP19" i="32" s="1"/>
  <c r="AE19" i="32"/>
  <c r="AG19" i="32" s="1"/>
  <c r="J19" i="32"/>
  <c r="F23" i="32"/>
  <c r="H23" i="32" s="1"/>
  <c r="O23" i="32" s="1"/>
  <c r="AN23" i="32"/>
  <c r="AP23" i="32" s="1"/>
  <c r="AL32" i="34"/>
  <c r="L35" i="34"/>
  <c r="AL19" i="31"/>
  <c r="AN19" i="31" s="1"/>
  <c r="AP19" i="31" s="1"/>
  <c r="L22" i="31"/>
  <c r="AE35" i="31"/>
  <c r="AG35" i="31" s="1"/>
  <c r="J35" i="31"/>
  <c r="L35" i="31" s="1"/>
  <c r="N35" i="31" s="1"/>
  <c r="X36" i="31"/>
  <c r="Z36" i="31" s="1"/>
  <c r="F36" i="31"/>
  <c r="H36" i="31" s="1"/>
  <c r="X43" i="31"/>
  <c r="X46" i="31"/>
  <c r="J46" i="31"/>
  <c r="F46" i="31"/>
  <c r="AE17" i="32"/>
  <c r="AG17" i="32" s="1"/>
  <c r="F19" i="32"/>
  <c r="AC21" i="32"/>
  <c r="U21" i="32"/>
  <c r="V21" i="32" s="1"/>
  <c r="AG25" i="32"/>
  <c r="AN26" i="32"/>
  <c r="L36" i="32"/>
  <c r="AN17" i="33"/>
  <c r="J15" i="33"/>
  <c r="L15" i="33" s="1"/>
  <c r="AL15" i="33"/>
  <c r="AN15" i="33" s="1"/>
  <c r="Q15" i="33"/>
  <c r="S15" i="33" s="1"/>
  <c r="Z15" i="33"/>
  <c r="AL18" i="33"/>
  <c r="AN18" i="33" s="1"/>
  <c r="AP18" i="33" s="1"/>
  <c r="AE18" i="33"/>
  <c r="AG18" i="33" s="1"/>
  <c r="J18" i="33"/>
  <c r="L18" i="33" s="1"/>
  <c r="AE26" i="33"/>
  <c r="AG26" i="33" s="1"/>
  <c r="X26" i="33"/>
  <c r="Z26" i="33" s="1"/>
  <c r="AL26" i="33"/>
  <c r="AN26" i="33" s="1"/>
  <c r="F26" i="33"/>
  <c r="H26" i="33" s="1"/>
  <c r="O26" i="33" s="1"/>
  <c r="AN22" i="32"/>
  <c r="AL25" i="32"/>
  <c r="AN25" i="32" s="1"/>
  <c r="AP25" i="32" s="1"/>
  <c r="L34" i="32"/>
  <c r="Y46" i="32"/>
  <c r="Z46" i="32" s="1"/>
  <c r="Y43" i="32"/>
  <c r="Z43" i="32" s="1"/>
  <c r="Y44" i="32"/>
  <c r="Z44" i="32" s="1"/>
  <c r="F15" i="33"/>
  <c r="F18" i="33"/>
  <c r="H22" i="33"/>
  <c r="O22" i="33" s="1"/>
  <c r="Q23" i="33"/>
  <c r="S23" i="33" s="1"/>
  <c r="AL23" i="33"/>
  <c r="AN23" i="33" s="1"/>
  <c r="AE23" i="33"/>
  <c r="S40" i="33"/>
  <c r="H33" i="34"/>
  <c r="S36" i="32"/>
  <c r="AE15" i="33"/>
  <c r="AG15" i="33" s="1"/>
  <c r="H18" i="33"/>
  <c r="O18" i="33" s="1"/>
  <c r="AE21" i="33"/>
  <c r="AL21" i="33"/>
  <c r="AN21" i="33" s="1"/>
  <c r="X21" i="33"/>
  <c r="Z21" i="33" s="1"/>
  <c r="X27" i="33"/>
  <c r="Z27" i="33" s="1"/>
  <c r="F27" i="33"/>
  <c r="H27" i="33" s="1"/>
  <c r="O27" i="33" s="1"/>
  <c r="AL27" i="33"/>
  <c r="Q27" i="33"/>
  <c r="S27" i="33" s="1"/>
  <c r="S31" i="33"/>
  <c r="S36" i="33"/>
  <c r="AG41" i="33"/>
  <c r="AN22" i="34"/>
  <c r="AP22" i="34" s="1"/>
  <c r="S27" i="34"/>
  <c r="AB37" i="32"/>
  <c r="J26" i="33"/>
  <c r="Z40" i="33"/>
  <c r="Z17" i="34"/>
  <c r="AL38" i="34"/>
  <c r="AN38" i="34" s="1"/>
  <c r="AP38" i="34" s="1"/>
  <c r="AL28" i="31"/>
  <c r="AN28" i="31" s="1"/>
  <c r="AP28" i="31" s="1"/>
  <c r="H22" i="32"/>
  <c r="O22" i="32" s="1"/>
  <c r="Q32" i="32"/>
  <c r="S32" i="32" s="1"/>
  <c r="AC32" i="32" s="1"/>
  <c r="S33" i="32"/>
  <c r="Q40" i="32"/>
  <c r="S40" i="32" s="1"/>
  <c r="AE40" i="32"/>
  <c r="Q18" i="33"/>
  <c r="AE19" i="33"/>
  <c r="AL19" i="33"/>
  <c r="AN19" i="33" s="1"/>
  <c r="J19" i="33"/>
  <c r="L19" i="33" s="1"/>
  <c r="AG19" i="33"/>
  <c r="L23" i="33"/>
  <c r="S26" i="33"/>
  <c r="AL28" i="33"/>
  <c r="AN28" i="33" s="1"/>
  <c r="AP28" i="33" s="1"/>
  <c r="AM43" i="33"/>
  <c r="AN43" i="33" s="1"/>
  <c r="AM46" i="33"/>
  <c r="AN37" i="33"/>
  <c r="AP37" i="33" s="1"/>
  <c r="J15" i="32"/>
  <c r="L15" i="32" s="1"/>
  <c r="X15" i="32"/>
  <c r="L19" i="32"/>
  <c r="F40" i="32"/>
  <c r="H40" i="32" s="1"/>
  <c r="S18" i="33"/>
  <c r="F19" i="33"/>
  <c r="J24" i="33"/>
  <c r="L24" i="33" s="1"/>
  <c r="AL24" i="33"/>
  <c r="AN24" i="33" s="1"/>
  <c r="Q24" i="33"/>
  <c r="S24" i="33" s="1"/>
  <c r="AG28" i="33"/>
  <c r="AG16" i="34"/>
  <c r="Z19" i="34"/>
  <c r="F35" i="32"/>
  <c r="H35" i="32" s="1"/>
  <c r="O35" i="32" s="1"/>
  <c r="AL16" i="33"/>
  <c r="AN16" i="33" s="1"/>
  <c r="AP16" i="33" s="1"/>
  <c r="H19" i="33"/>
  <c r="X31" i="33"/>
  <c r="Z31" i="33" s="1"/>
  <c r="AN35" i="33"/>
  <c r="AP35" i="33" s="1"/>
  <c r="X38" i="33"/>
  <c r="Z38" i="33" s="1"/>
  <c r="F38" i="33"/>
  <c r="H38" i="33" s="1"/>
  <c r="O38" i="33" s="1"/>
  <c r="Q38" i="33"/>
  <c r="S38" i="33" s="1"/>
  <c r="AE38" i="33"/>
  <c r="AG38" i="33" s="1"/>
  <c r="J38" i="33"/>
  <c r="L38" i="33" s="1"/>
  <c r="L25" i="34"/>
  <c r="H34" i="34"/>
  <c r="O34" i="34" s="1"/>
  <c r="Z38" i="31"/>
  <c r="AE40" i="31"/>
  <c r="AG40" i="31" s="1"/>
  <c r="X40" i="31"/>
  <c r="Z40" i="31" s="1"/>
  <c r="S30" i="32"/>
  <c r="X18" i="33"/>
  <c r="Z18" i="33" s="1"/>
  <c r="AN31" i="33"/>
  <c r="AN33" i="33"/>
  <c r="J40" i="33"/>
  <c r="AL40" i="33"/>
  <c r="AN40" i="33" s="1"/>
  <c r="Q40" i="33"/>
  <c r="AE40" i="33"/>
  <c r="AG40" i="33" s="1"/>
  <c r="L41" i="33"/>
  <c r="S25" i="32"/>
  <c r="Z32" i="32"/>
  <c r="J38" i="32"/>
  <c r="L38" i="32" s="1"/>
  <c r="N38" i="32" s="1"/>
  <c r="AL38" i="32"/>
  <c r="AN38" i="32" s="1"/>
  <c r="AP38" i="32" s="1"/>
  <c r="Q38" i="32"/>
  <c r="S38" i="32" s="1"/>
  <c r="AC38" i="32" s="1"/>
  <c r="X23" i="33"/>
  <c r="Z23" i="33" s="1"/>
  <c r="AL32" i="33"/>
  <c r="AL34" i="33"/>
  <c r="AN34" i="33" s="1"/>
  <c r="AP34" i="33" s="1"/>
  <c r="AE24" i="34"/>
  <c r="AG24" i="34" s="1"/>
  <c r="Z33" i="35"/>
  <c r="Q28" i="32"/>
  <c r="S28" i="32" s="1"/>
  <c r="X28" i="32"/>
  <c r="Z28" i="32" s="1"/>
  <c r="AE31" i="32"/>
  <c r="AG31" i="32" s="1"/>
  <c r="F32" i="32"/>
  <c r="H32" i="32" s="1"/>
  <c r="F38" i="32"/>
  <c r="H38" i="32" s="1"/>
  <c r="O38" i="32" s="1"/>
  <c r="AE38" i="32"/>
  <c r="L40" i="32"/>
  <c r="X15" i="33"/>
  <c r="X20" i="33"/>
  <c r="AN20" i="33"/>
  <c r="AP20" i="33" s="1"/>
  <c r="J22" i="33"/>
  <c r="L22" i="33" s="1"/>
  <c r="X22" i="33"/>
  <c r="Z22" i="33" s="1"/>
  <c r="Q22" i="33"/>
  <c r="S22" i="33" s="1"/>
  <c r="AE22" i="33"/>
  <c r="AG22" i="33" s="1"/>
  <c r="AL22" i="33"/>
  <c r="AN22" i="33" s="1"/>
  <c r="AP22" i="33" s="1"/>
  <c r="H32" i="33"/>
  <c r="H35" i="33"/>
  <c r="O35" i="33" s="1"/>
  <c r="V37" i="33"/>
  <c r="H40" i="33"/>
  <c r="Z41" i="33"/>
  <c r="AG15" i="34"/>
  <c r="S41" i="33"/>
  <c r="J46" i="33"/>
  <c r="L46" i="33" s="1"/>
  <c r="AL46" i="33"/>
  <c r="Q46" i="33"/>
  <c r="S46" i="33" s="1"/>
  <c r="X27" i="34"/>
  <c r="Z27" i="34" s="1"/>
  <c r="F27" i="34"/>
  <c r="H27" i="34" s="1"/>
  <c r="O27" i="34" s="1"/>
  <c r="AL27" i="34"/>
  <c r="AN27" i="34" s="1"/>
  <c r="Q27" i="34"/>
  <c r="AE27" i="34"/>
  <c r="AG27" i="34" s="1"/>
  <c r="AL28" i="34"/>
  <c r="AN28" i="34" s="1"/>
  <c r="AP28" i="34" s="1"/>
  <c r="AG30" i="34"/>
  <c r="AG33" i="34"/>
  <c r="AN21" i="35"/>
  <c r="AP21" i="35" s="1"/>
  <c r="AL33" i="35"/>
  <c r="AN33" i="35" s="1"/>
  <c r="AP33" i="35" s="1"/>
  <c r="F25" i="33"/>
  <c r="H25" i="33" s="1"/>
  <c r="O25" i="33" s="1"/>
  <c r="F46" i="33"/>
  <c r="H46" i="33" s="1"/>
  <c r="H19" i="34"/>
  <c r="AL20" i="34"/>
  <c r="AN20" i="34" s="1"/>
  <c r="AN24" i="34"/>
  <c r="AP24" i="34" s="1"/>
  <c r="AN33" i="34"/>
  <c r="AP33" i="34" s="1"/>
  <c r="X36" i="34"/>
  <c r="Z36" i="34" s="1"/>
  <c r="H40" i="34"/>
  <c r="G46" i="34"/>
  <c r="G44" i="34"/>
  <c r="H41" i="35"/>
  <c r="L18" i="34"/>
  <c r="AL21" i="34"/>
  <c r="AN21" i="34" s="1"/>
  <c r="AP21" i="34" s="1"/>
  <c r="AE21" i="34"/>
  <c r="F25" i="34"/>
  <c r="H25" i="34" s="1"/>
  <c r="O25" i="34" s="1"/>
  <c r="J27" i="34"/>
  <c r="L27" i="34" s="1"/>
  <c r="AN31" i="34"/>
  <c r="X35" i="34"/>
  <c r="AG37" i="34"/>
  <c r="AF43" i="34"/>
  <c r="H46" i="35"/>
  <c r="L36" i="33"/>
  <c r="F41" i="33"/>
  <c r="H41" i="33" s="1"/>
  <c r="J43" i="33"/>
  <c r="L43" i="33" s="1"/>
  <c r="X43" i="33"/>
  <c r="AG44" i="33"/>
  <c r="AL45" i="33"/>
  <c r="AN45" i="33" s="1"/>
  <c r="L28" i="34"/>
  <c r="AE31" i="34"/>
  <c r="AG31" i="34" s="1"/>
  <c r="F31" i="34"/>
  <c r="H31" i="34" s="1"/>
  <c r="O31" i="34" s="1"/>
  <c r="AL31" i="34"/>
  <c r="J31" i="34"/>
  <c r="L31" i="34" s="1"/>
  <c r="AL34" i="34"/>
  <c r="AN34" i="34" s="1"/>
  <c r="AP34" i="34" s="1"/>
  <c r="H36" i="34"/>
  <c r="S41" i="34"/>
  <c r="AE26" i="35"/>
  <c r="AL26" i="35"/>
  <c r="AN26" i="35" s="1"/>
  <c r="AP26" i="35" s="1"/>
  <c r="Q26" i="35"/>
  <c r="S26" i="35" s="1"/>
  <c r="X26" i="35"/>
  <c r="J26" i="35"/>
  <c r="L26" i="35" s="1"/>
  <c r="F26" i="35"/>
  <c r="H26" i="35" s="1"/>
  <c r="O26" i="35" s="1"/>
  <c r="AG31" i="35"/>
  <c r="S33" i="35"/>
  <c r="L44" i="35"/>
  <c r="AL34" i="36"/>
  <c r="AN34" i="36" s="1"/>
  <c r="AP34" i="36" s="1"/>
  <c r="X16" i="34"/>
  <c r="Z16" i="34" s="1"/>
  <c r="X23" i="34"/>
  <c r="Z23" i="34" s="1"/>
  <c r="H24" i="34"/>
  <c r="O24" i="34" s="1"/>
  <c r="S25" i="34"/>
  <c r="AC37" i="34"/>
  <c r="AG38" i="34"/>
  <c r="Z40" i="34"/>
  <c r="Q46" i="34"/>
  <c r="S46" i="34" s="1"/>
  <c r="AE46" i="34"/>
  <c r="J46" i="34"/>
  <c r="AL46" i="34"/>
  <c r="X46" i="34"/>
  <c r="F46" i="34"/>
  <c r="L20" i="35"/>
  <c r="AL28" i="35"/>
  <c r="AL44" i="31"/>
  <c r="AL20" i="32"/>
  <c r="AN20" i="32" s="1"/>
  <c r="X35" i="32"/>
  <c r="Z35" i="32" s="1"/>
  <c r="AN44" i="32"/>
  <c r="AP44" i="32" s="1"/>
  <c r="H41" i="32"/>
  <c r="AE43" i="32"/>
  <c r="AG43" i="32" s="1"/>
  <c r="X43" i="32"/>
  <c r="Q45" i="32"/>
  <c r="S45" i="32" s="1"/>
  <c r="X45" i="32"/>
  <c r="Z45" i="32" s="1"/>
  <c r="L17" i="33"/>
  <c r="Y44" i="33"/>
  <c r="Z44" i="33" s="1"/>
  <c r="Y43" i="33"/>
  <c r="Z37" i="33"/>
  <c r="AE15" i="34"/>
  <c r="J15" i="34"/>
  <c r="L15" i="34" s="1"/>
  <c r="AL15" i="34"/>
  <c r="AN15" i="34" s="1"/>
  <c r="Q15" i="34"/>
  <c r="S15" i="34" s="1"/>
  <c r="L21" i="34"/>
  <c r="AL22" i="34"/>
  <c r="H23" i="34"/>
  <c r="O23" i="34" s="1"/>
  <c r="Z28" i="34"/>
  <c r="Q31" i="34"/>
  <c r="S31" i="34" s="1"/>
  <c r="Y46" i="34"/>
  <c r="Z43" i="34"/>
  <c r="Y44" i="34"/>
  <c r="L16" i="35"/>
  <c r="Z26" i="35"/>
  <c r="AE34" i="35"/>
  <c r="AG34" i="35" s="1"/>
  <c r="J34" i="35"/>
  <c r="L34" i="35" s="1"/>
  <c r="AL34" i="35"/>
  <c r="Q34" i="35"/>
  <c r="S34" i="35" s="1"/>
  <c r="X34" i="35"/>
  <c r="F34" i="35"/>
  <c r="AN37" i="32"/>
  <c r="AP37" i="32" s="1"/>
  <c r="F43" i="32"/>
  <c r="X44" i="32"/>
  <c r="F44" i="32"/>
  <c r="F45" i="32"/>
  <c r="H45" i="32" s="1"/>
  <c r="AG21" i="33"/>
  <c r="AG23" i="33"/>
  <c r="AN32" i="33"/>
  <c r="AP32" i="33" s="1"/>
  <c r="S35" i="33"/>
  <c r="L40" i="33"/>
  <c r="X46" i="33"/>
  <c r="F15" i="34"/>
  <c r="H15" i="34" s="1"/>
  <c r="L23" i="34"/>
  <c r="Z35" i="34"/>
  <c r="AB37" i="34"/>
  <c r="AJ37" i="34"/>
  <c r="H19" i="35"/>
  <c r="H25" i="35"/>
  <c r="O25" i="35" s="1"/>
  <c r="AG28" i="36"/>
  <c r="S31" i="36"/>
  <c r="AG40" i="32"/>
  <c r="J46" i="32"/>
  <c r="X46" i="32"/>
  <c r="N21" i="33"/>
  <c r="AN27" i="33"/>
  <c r="AP27" i="33" s="1"/>
  <c r="Q43" i="33"/>
  <c r="AL43" i="33"/>
  <c r="Z46" i="33"/>
  <c r="AL17" i="34"/>
  <c r="AN17" i="34" s="1"/>
  <c r="AP17" i="34" s="1"/>
  <c r="Q17" i="34"/>
  <c r="S17" i="34" s="1"/>
  <c r="AE17" i="34"/>
  <c r="AG17" i="34" s="1"/>
  <c r="AG18" i="34"/>
  <c r="S30" i="34"/>
  <c r="X31" i="34"/>
  <c r="Z16" i="35"/>
  <c r="X24" i="35"/>
  <c r="Z24" i="35" s="1"/>
  <c r="S28" i="35"/>
  <c r="S16" i="33"/>
  <c r="S25" i="33"/>
  <c r="Q33" i="33"/>
  <c r="S33" i="33" s="1"/>
  <c r="X33" i="33"/>
  <c r="Z33" i="33" s="1"/>
  <c r="AL35" i="33"/>
  <c r="AE36" i="33"/>
  <c r="AG36" i="33" s="1"/>
  <c r="X36" i="33"/>
  <c r="Z36" i="33" s="1"/>
  <c r="R43" i="33"/>
  <c r="S43" i="33" s="1"/>
  <c r="H37" i="33"/>
  <c r="G43" i="33"/>
  <c r="H43" i="33" s="1"/>
  <c r="L16" i="34"/>
  <c r="X18" i="34"/>
  <c r="Z18" i="34" s="1"/>
  <c r="AL18" i="34"/>
  <c r="AN18" i="34" s="1"/>
  <c r="AP18" i="34" s="1"/>
  <c r="Q18" i="34"/>
  <c r="S18" i="34" s="1"/>
  <c r="AE18" i="34"/>
  <c r="J18" i="34"/>
  <c r="U21" i="34"/>
  <c r="Z24" i="34"/>
  <c r="Z31" i="34"/>
  <c r="AG35" i="34"/>
  <c r="AP37" i="34"/>
  <c r="AN40" i="34"/>
  <c r="AP40" i="34" s="1"/>
  <c r="X18" i="35"/>
  <c r="Z18" i="35" s="1"/>
  <c r="AL18" i="35"/>
  <c r="Q18" i="35"/>
  <c r="AE18" i="35"/>
  <c r="AG18" i="35" s="1"/>
  <c r="F18" i="35"/>
  <c r="H18" i="35" s="1"/>
  <c r="O18" i="35" s="1"/>
  <c r="J18" i="35"/>
  <c r="L18" i="35" s="1"/>
  <c r="S25" i="35"/>
  <c r="AG32" i="35"/>
  <c r="L27" i="36"/>
  <c r="H19" i="37"/>
  <c r="Q28" i="33"/>
  <c r="S28" i="33" s="1"/>
  <c r="X28" i="33"/>
  <c r="Z28" i="33" s="1"/>
  <c r="AE31" i="33"/>
  <c r="AG31" i="33" s="1"/>
  <c r="X32" i="33"/>
  <c r="Z32" i="33" s="1"/>
  <c r="F32" i="33"/>
  <c r="F33" i="33"/>
  <c r="H33" i="33" s="1"/>
  <c r="J34" i="33"/>
  <c r="L34" i="33" s="1"/>
  <c r="X34" i="33"/>
  <c r="F36" i="33"/>
  <c r="H36" i="33" s="1"/>
  <c r="Q44" i="33"/>
  <c r="S44" i="33" s="1"/>
  <c r="L45" i="33"/>
  <c r="AE46" i="33"/>
  <c r="AG46" i="33" s="1"/>
  <c r="H17" i="34"/>
  <c r="O17" i="34" s="1"/>
  <c r="F18" i="34"/>
  <c r="H18" i="34" s="1"/>
  <c r="O18" i="34" s="1"/>
  <c r="Q19" i="34"/>
  <c r="S19" i="34" s="1"/>
  <c r="AE19" i="34"/>
  <c r="X19" i="34"/>
  <c r="AL19" i="34"/>
  <c r="AN19" i="34" s="1"/>
  <c r="AP19" i="34" s="1"/>
  <c r="AG20" i="34"/>
  <c r="X21" i="34"/>
  <c r="Z21" i="34" s="1"/>
  <c r="S22" i="34"/>
  <c r="AN26" i="34"/>
  <c r="X38" i="34"/>
  <c r="Z38" i="34" s="1"/>
  <c r="Q38" i="34"/>
  <c r="S38" i="34" s="1"/>
  <c r="J38" i="34"/>
  <c r="L38" i="34" s="1"/>
  <c r="F38" i="34"/>
  <c r="H38" i="34" s="1"/>
  <c r="O38" i="34" s="1"/>
  <c r="F41" i="34"/>
  <c r="L24" i="34"/>
  <c r="L36" i="34"/>
  <c r="X21" i="35"/>
  <c r="Z21" i="35" s="1"/>
  <c r="AN31" i="35"/>
  <c r="AP31" i="35" s="1"/>
  <c r="Z44" i="35"/>
  <c r="S40" i="35"/>
  <c r="Q43" i="34"/>
  <c r="S43" i="34" s="1"/>
  <c r="AL43" i="34"/>
  <c r="AN43" i="34" s="1"/>
  <c r="AE43" i="34"/>
  <c r="J43" i="34"/>
  <c r="AG25" i="35"/>
  <c r="AN28" i="35"/>
  <c r="AG30" i="35"/>
  <c r="X32" i="35"/>
  <c r="Z32" i="35" s="1"/>
  <c r="F32" i="35"/>
  <c r="H32" i="35" s="1"/>
  <c r="AE32" i="35"/>
  <c r="J32" i="35"/>
  <c r="L32" i="35" s="1"/>
  <c r="H33" i="35"/>
  <c r="Z38" i="35"/>
  <c r="Q45" i="35"/>
  <c r="AG19" i="34"/>
  <c r="AG21" i="34"/>
  <c r="AL23" i="34"/>
  <c r="AN23" i="34" s="1"/>
  <c r="AP23" i="34" s="1"/>
  <c r="AG28" i="34"/>
  <c r="L40" i="34"/>
  <c r="F43" i="34"/>
  <c r="H43" i="34" s="1"/>
  <c r="X17" i="35"/>
  <c r="Z17" i="35" s="1"/>
  <c r="F17" i="35"/>
  <c r="H17" i="35" s="1"/>
  <c r="O17" i="35" s="1"/>
  <c r="AL17" i="35"/>
  <c r="AN17" i="35" s="1"/>
  <c r="AP17" i="35" s="1"/>
  <c r="AE17" i="35"/>
  <c r="AG17" i="35" s="1"/>
  <c r="Q19" i="35"/>
  <c r="S19" i="35" s="1"/>
  <c r="AL19" i="35"/>
  <c r="AN19" i="35" s="1"/>
  <c r="AE19" i="35"/>
  <c r="J19" i="35"/>
  <c r="L19" i="35" s="1"/>
  <c r="F19" i="35"/>
  <c r="H21" i="35"/>
  <c r="AG26" i="35"/>
  <c r="Z34" i="35"/>
  <c r="Z46" i="35"/>
  <c r="S23" i="36"/>
  <c r="AL20" i="33"/>
  <c r="AG45" i="33"/>
  <c r="L17" i="34"/>
  <c r="L19" i="34"/>
  <c r="S23" i="34"/>
  <c r="Q34" i="34"/>
  <c r="S34" i="34" s="1"/>
  <c r="J44" i="34"/>
  <c r="F44" i="34"/>
  <c r="AL44" i="34"/>
  <c r="AN44" i="34" s="1"/>
  <c r="Q44" i="34"/>
  <c r="AE44" i="34"/>
  <c r="N21" i="35"/>
  <c r="AE22" i="35"/>
  <c r="AG22" i="35" s="1"/>
  <c r="J22" i="35"/>
  <c r="F22" i="35"/>
  <c r="AL22" i="35"/>
  <c r="AN22" i="35" s="1"/>
  <c r="AP22" i="35" s="1"/>
  <c r="AE31" i="35"/>
  <c r="AL31" i="35"/>
  <c r="Q31" i="35"/>
  <c r="S31" i="35" s="1"/>
  <c r="J31" i="35"/>
  <c r="L31" i="35" s="1"/>
  <c r="Q32" i="35"/>
  <c r="F20" i="33"/>
  <c r="H20" i="33" s="1"/>
  <c r="O20" i="33" s="1"/>
  <c r="AL25" i="33"/>
  <c r="AN25" i="33" s="1"/>
  <c r="AP25" i="33" s="1"/>
  <c r="AL30" i="33"/>
  <c r="AN30" i="33" s="1"/>
  <c r="AP30" i="33" s="1"/>
  <c r="AL41" i="33"/>
  <c r="AN41" i="33" s="1"/>
  <c r="AP41" i="33" s="1"/>
  <c r="Q20" i="34"/>
  <c r="S20" i="34" s="1"/>
  <c r="Q32" i="34"/>
  <c r="S32" i="34" s="1"/>
  <c r="AL45" i="34"/>
  <c r="AN45" i="34" s="1"/>
  <c r="AP45" i="34" s="1"/>
  <c r="Q45" i="34"/>
  <c r="S45" i="34" s="1"/>
  <c r="AE45" i="34"/>
  <c r="AG45" i="34" s="1"/>
  <c r="J45" i="34"/>
  <c r="L45" i="34" s="1"/>
  <c r="J17" i="35"/>
  <c r="L17" i="35" s="1"/>
  <c r="S24" i="35"/>
  <c r="H28" i="35"/>
  <c r="O28" i="35" s="1"/>
  <c r="F31" i="35"/>
  <c r="S32" i="35"/>
  <c r="AN34" i="35"/>
  <c r="S45" i="35"/>
  <c r="S16" i="36"/>
  <c r="S22" i="36"/>
  <c r="S35" i="34"/>
  <c r="F45" i="34"/>
  <c r="H45" i="34" s="1"/>
  <c r="AL30" i="35"/>
  <c r="AN30" i="35" s="1"/>
  <c r="AP30" i="35" s="1"/>
  <c r="H31" i="35"/>
  <c r="O31" i="35" s="1"/>
  <c r="Z22" i="36"/>
  <c r="AG26" i="36"/>
  <c r="F23" i="34"/>
  <c r="X24" i="34"/>
  <c r="AE26" i="34"/>
  <c r="AG26" i="34" s="1"/>
  <c r="X26" i="34"/>
  <c r="Z26" i="34" s="1"/>
  <c r="AN32" i="34"/>
  <c r="Q36" i="34"/>
  <c r="S36" i="34" s="1"/>
  <c r="AE36" i="34"/>
  <c r="L37" i="34"/>
  <c r="U37" i="34" s="1"/>
  <c r="K43" i="34"/>
  <c r="S16" i="35"/>
  <c r="S15" i="36"/>
  <c r="H22" i="37"/>
  <c r="O22" i="37" s="1"/>
  <c r="Z15" i="36"/>
  <c r="Z20" i="36"/>
  <c r="L28" i="36"/>
  <c r="AG16" i="37"/>
  <c r="S16" i="34"/>
  <c r="J22" i="34"/>
  <c r="L22" i="34" s="1"/>
  <c r="Z22" i="34"/>
  <c r="F30" i="34"/>
  <c r="X32" i="34"/>
  <c r="Z32" i="34" s="1"/>
  <c r="AL33" i="34"/>
  <c r="AE34" i="34"/>
  <c r="AG34" i="34" s="1"/>
  <c r="J34" i="34"/>
  <c r="L34" i="34" s="1"/>
  <c r="X34" i="34"/>
  <c r="Z34" i="34" s="1"/>
  <c r="Q40" i="34"/>
  <c r="S40" i="34" s="1"/>
  <c r="H41" i="34"/>
  <c r="S17" i="35"/>
  <c r="AL32" i="35"/>
  <c r="AG20" i="36"/>
  <c r="L24" i="36"/>
  <c r="S28" i="36"/>
  <c r="L18" i="37"/>
  <c r="Q45" i="33"/>
  <c r="S45" i="33" s="1"/>
  <c r="J20" i="34"/>
  <c r="L20" i="34" s="1"/>
  <c r="X20" i="34"/>
  <c r="Z20" i="34" s="1"/>
  <c r="F20" i="34"/>
  <c r="H20" i="34" s="1"/>
  <c r="O20" i="34" s="1"/>
  <c r="F22" i="34"/>
  <c r="H22" i="34" s="1"/>
  <c r="O22" i="34" s="1"/>
  <c r="J23" i="34"/>
  <c r="H30" i="34"/>
  <c r="F32" i="34"/>
  <c r="H32" i="34" s="1"/>
  <c r="F34" i="34"/>
  <c r="AG36" i="34"/>
  <c r="R44" i="34"/>
  <c r="S44" i="34" s="1"/>
  <c r="F40" i="34"/>
  <c r="AM46" i="34"/>
  <c r="AN46" i="34" s="1"/>
  <c r="X19" i="35"/>
  <c r="Z19" i="35" s="1"/>
  <c r="H40" i="35"/>
  <c r="AL46" i="35"/>
  <c r="L18" i="36"/>
  <c r="AN30" i="36"/>
  <c r="AN27" i="35"/>
  <c r="AN32" i="35"/>
  <c r="AI37" i="35"/>
  <c r="AE43" i="35"/>
  <c r="X43" i="35"/>
  <c r="Z43" i="35" s="1"/>
  <c r="F43" i="35"/>
  <c r="H43" i="35" s="1"/>
  <c r="AF43" i="35"/>
  <c r="J18" i="36"/>
  <c r="AL18" i="36"/>
  <c r="AN18" i="36" s="1"/>
  <c r="AP18" i="36" s="1"/>
  <c r="Q18" i="36"/>
  <c r="AG21" i="36"/>
  <c r="H23" i="36"/>
  <c r="O23" i="36" s="1"/>
  <c r="AL24" i="36"/>
  <c r="AN24" i="36" s="1"/>
  <c r="Z27" i="36"/>
  <c r="AB37" i="36"/>
  <c r="AJ37" i="36"/>
  <c r="AG40" i="36"/>
  <c r="J16" i="37"/>
  <c r="L16" i="37" s="1"/>
  <c r="X16" i="37"/>
  <c r="F16" i="37"/>
  <c r="H16" i="37" s="1"/>
  <c r="O16" i="37" s="1"/>
  <c r="AL16" i="37"/>
  <c r="AN16" i="37" s="1"/>
  <c r="Q16" i="37"/>
  <c r="S16" i="37" s="1"/>
  <c r="AE16" i="37"/>
  <c r="L17" i="37"/>
  <c r="Q34" i="37"/>
  <c r="S34" i="37" s="1"/>
  <c r="AE34" i="37"/>
  <c r="AL34" i="37"/>
  <c r="AN34" i="37" s="1"/>
  <c r="J34" i="37"/>
  <c r="L34" i="37" s="1"/>
  <c r="F34" i="37"/>
  <c r="X34" i="37"/>
  <c r="N46" i="37"/>
  <c r="O46" i="37" s="1"/>
  <c r="X27" i="35"/>
  <c r="Z27" i="35" s="1"/>
  <c r="S30" i="35"/>
  <c r="X35" i="35"/>
  <c r="Z35" i="35" s="1"/>
  <c r="AE36" i="35"/>
  <c r="AG36" i="35" s="1"/>
  <c r="X36" i="35"/>
  <c r="Z36" i="35" s="1"/>
  <c r="AL41" i="35"/>
  <c r="AN41" i="35" s="1"/>
  <c r="J43" i="35"/>
  <c r="L43" i="35" s="1"/>
  <c r="F18" i="36"/>
  <c r="H18" i="36" s="1"/>
  <c r="O18" i="36" s="1"/>
  <c r="L20" i="36"/>
  <c r="AN32" i="36"/>
  <c r="AP32" i="36" s="1"/>
  <c r="L36" i="36"/>
  <c r="J20" i="35"/>
  <c r="F20" i="35"/>
  <c r="H20" i="35" s="1"/>
  <c r="O20" i="35" s="1"/>
  <c r="Z20" i="35"/>
  <c r="F27" i="35"/>
  <c r="H27" i="35" s="1"/>
  <c r="O27" i="35" s="1"/>
  <c r="F35" i="35"/>
  <c r="H35" i="35" s="1"/>
  <c r="O35" i="35" s="1"/>
  <c r="F36" i="35"/>
  <c r="H36" i="35" s="1"/>
  <c r="K46" i="35"/>
  <c r="L46" i="35" s="1"/>
  <c r="H16" i="36"/>
  <c r="O16" i="36" s="1"/>
  <c r="V21" i="36"/>
  <c r="N21" i="36"/>
  <c r="O21" i="36" s="1"/>
  <c r="AN33" i="36"/>
  <c r="L35" i="36"/>
  <c r="AG43" i="36"/>
  <c r="AF46" i="36"/>
  <c r="AF44" i="36"/>
  <c r="Z17" i="37"/>
  <c r="AL19" i="36"/>
  <c r="AN19" i="36" s="1"/>
  <c r="AP19" i="36" s="1"/>
  <c r="AL22" i="36"/>
  <c r="AG25" i="36"/>
  <c r="AL25" i="34"/>
  <c r="AN25" i="34" s="1"/>
  <c r="AP25" i="34" s="1"/>
  <c r="AL30" i="34"/>
  <c r="AN30" i="34" s="1"/>
  <c r="AL41" i="34"/>
  <c r="AN41" i="34" s="1"/>
  <c r="AP41" i="34" s="1"/>
  <c r="AE20" i="35"/>
  <c r="AG20" i="35" s="1"/>
  <c r="F23" i="35"/>
  <c r="H23" i="35" s="1"/>
  <c r="O23" i="35" s="1"/>
  <c r="X23" i="35"/>
  <c r="Z23" i="35" s="1"/>
  <c r="AL24" i="35"/>
  <c r="AN24" i="35" s="1"/>
  <c r="AP24" i="35" s="1"/>
  <c r="J27" i="35"/>
  <c r="L27" i="35" s="1"/>
  <c r="H34" i="35"/>
  <c r="O34" i="35" s="1"/>
  <c r="J35" i="35"/>
  <c r="L35" i="35" s="1"/>
  <c r="J36" i="35"/>
  <c r="L36" i="35" s="1"/>
  <c r="X38" i="35"/>
  <c r="Q38" i="35"/>
  <c r="S38" i="35" s="1"/>
  <c r="AE38" i="35"/>
  <c r="AG38" i="35" s="1"/>
  <c r="AG41" i="35"/>
  <c r="Q43" i="35"/>
  <c r="S43" i="35" s="1"/>
  <c r="AM43" i="35"/>
  <c r="X17" i="36"/>
  <c r="Z17" i="36" s="1"/>
  <c r="F17" i="36"/>
  <c r="H17" i="36" s="1"/>
  <c r="O17" i="36" s="1"/>
  <c r="AL17" i="36"/>
  <c r="AN17" i="36" s="1"/>
  <c r="AP17" i="36" s="1"/>
  <c r="Q17" i="36"/>
  <c r="S17" i="36" s="1"/>
  <c r="AG19" i="36"/>
  <c r="AG30" i="36"/>
  <c r="Z35" i="36"/>
  <c r="X38" i="36"/>
  <c r="Z38" i="36" s="1"/>
  <c r="H15" i="37"/>
  <c r="J18" i="37"/>
  <c r="X18" i="37"/>
  <c r="F18" i="37"/>
  <c r="H18" i="37" s="1"/>
  <c r="O18" i="37" s="1"/>
  <c r="AL18" i="37"/>
  <c r="AN18" i="37" s="1"/>
  <c r="AP18" i="37" s="1"/>
  <c r="Q18" i="37"/>
  <c r="S18" i="37" s="1"/>
  <c r="AE18" i="37"/>
  <c r="AG18" i="37" s="1"/>
  <c r="Z31" i="37"/>
  <c r="Z34" i="37"/>
  <c r="AL16" i="34"/>
  <c r="AN16" i="34" s="1"/>
  <c r="AP16" i="34" s="1"/>
  <c r="AL35" i="34"/>
  <c r="AN35" i="34" s="1"/>
  <c r="AP35" i="34" s="1"/>
  <c r="AE15" i="35"/>
  <c r="AG15" i="35" s="1"/>
  <c r="J15" i="35"/>
  <c r="L15" i="35" s="1"/>
  <c r="X15" i="35"/>
  <c r="Z15" i="35" s="1"/>
  <c r="X16" i="35"/>
  <c r="AG19" i="35"/>
  <c r="H22" i="35"/>
  <c r="O22" i="35" s="1"/>
  <c r="AE27" i="35"/>
  <c r="AG27" i="35" s="1"/>
  <c r="H30" i="35"/>
  <c r="AE35" i="35"/>
  <c r="AG35" i="35" s="1"/>
  <c r="F38" i="35"/>
  <c r="H38" i="35" s="1"/>
  <c r="O38" i="35" s="1"/>
  <c r="S18" i="36"/>
  <c r="H19" i="36"/>
  <c r="S34" i="36"/>
  <c r="X18" i="36"/>
  <c r="S32" i="36"/>
  <c r="Y46" i="36"/>
  <c r="Y44" i="36"/>
  <c r="Z44" i="36" s="1"/>
  <c r="Z43" i="36"/>
  <c r="G43" i="36"/>
  <c r="H37" i="36"/>
  <c r="O37" i="36" s="1"/>
  <c r="AG20" i="37"/>
  <c r="L22" i="35"/>
  <c r="J23" i="35"/>
  <c r="L23" i="35" s="1"/>
  <c r="F24" i="35"/>
  <c r="H24" i="35" s="1"/>
  <c r="O24" i="35" s="1"/>
  <c r="Q36" i="35"/>
  <c r="S36" i="35" s="1"/>
  <c r="AL36" i="35"/>
  <c r="AN36" i="35" s="1"/>
  <c r="AP36" i="35" s="1"/>
  <c r="AG45" i="35"/>
  <c r="J17" i="36"/>
  <c r="L17" i="36" s="1"/>
  <c r="Z18" i="36"/>
  <c r="L19" i="36"/>
  <c r="AE20" i="36"/>
  <c r="AL20" i="36"/>
  <c r="Q20" i="36"/>
  <c r="S20" i="36" s="1"/>
  <c r="AN22" i="36"/>
  <c r="AP22" i="36" s="1"/>
  <c r="Q30" i="36"/>
  <c r="S30" i="36" s="1"/>
  <c r="L40" i="36"/>
  <c r="AN40" i="37"/>
  <c r="AI48" i="37"/>
  <c r="AQ48" i="37"/>
  <c r="AL22" i="38"/>
  <c r="Q20" i="35"/>
  <c r="S20" i="35" s="1"/>
  <c r="AG28" i="35"/>
  <c r="AL35" i="35"/>
  <c r="AN35" i="35" s="1"/>
  <c r="AP35" i="35" s="1"/>
  <c r="S41" i="35"/>
  <c r="H44" i="35"/>
  <c r="AN20" i="36"/>
  <c r="AP20" i="36" s="1"/>
  <c r="L22" i="36"/>
  <c r="AG34" i="36"/>
  <c r="AE44" i="36"/>
  <c r="J44" i="36"/>
  <c r="AL44" i="36"/>
  <c r="Q44" i="36"/>
  <c r="X44" i="36"/>
  <c r="F44" i="36"/>
  <c r="AG25" i="37"/>
  <c r="S18" i="35"/>
  <c r="AN18" i="35"/>
  <c r="AP18" i="35" s="1"/>
  <c r="AL20" i="35"/>
  <c r="AN20" i="35" s="1"/>
  <c r="AP20" i="35" s="1"/>
  <c r="AL25" i="35"/>
  <c r="AN25" i="35" s="1"/>
  <c r="Q27" i="35"/>
  <c r="S27" i="35" s="1"/>
  <c r="Q35" i="35"/>
  <c r="S35" i="35" s="1"/>
  <c r="Z37" i="35"/>
  <c r="L38" i="35"/>
  <c r="Z16" i="36"/>
  <c r="X21" i="36"/>
  <c r="Z21" i="36" s="1"/>
  <c r="AL21" i="36"/>
  <c r="AN21" i="36" s="1"/>
  <c r="AP21" i="36" s="1"/>
  <c r="AE23" i="36"/>
  <c r="AG23" i="36" s="1"/>
  <c r="J23" i="36"/>
  <c r="L23" i="36" s="1"/>
  <c r="Q23" i="36"/>
  <c r="AL23" i="36"/>
  <c r="AN23" i="36" s="1"/>
  <c r="AP23" i="36" s="1"/>
  <c r="S27" i="36"/>
  <c r="Z32" i="36"/>
  <c r="K43" i="36"/>
  <c r="L37" i="36"/>
  <c r="Z34" i="36"/>
  <c r="H34" i="37"/>
  <c r="O34" i="37" s="1"/>
  <c r="H32" i="38"/>
  <c r="H43" i="38"/>
  <c r="Q46" i="36"/>
  <c r="AE46" i="36"/>
  <c r="X46" i="36"/>
  <c r="AL46" i="36"/>
  <c r="X19" i="37"/>
  <c r="Z19" i="37" s="1"/>
  <c r="L21" i="37"/>
  <c r="R44" i="37"/>
  <c r="S44" i="37" s="1"/>
  <c r="R43" i="37"/>
  <c r="S43" i="37" s="1"/>
  <c r="F46" i="36"/>
  <c r="Q15" i="37"/>
  <c r="S15" i="37" s="1"/>
  <c r="AE15" i="37"/>
  <c r="AG15" i="37" s="1"/>
  <c r="AL15" i="37"/>
  <c r="AN15" i="37" s="1"/>
  <c r="X22" i="37"/>
  <c r="Z22" i="37" s="1"/>
  <c r="AN30" i="37"/>
  <c r="AP30" i="37" s="1"/>
  <c r="Y43" i="37"/>
  <c r="Z43" i="37" s="1"/>
  <c r="Z37" i="37"/>
  <c r="Y44" i="37"/>
  <c r="Z44" i="37" s="1"/>
  <c r="O21" i="38"/>
  <c r="F15" i="36"/>
  <c r="H15" i="36" s="1"/>
  <c r="Q15" i="36"/>
  <c r="AE32" i="36"/>
  <c r="AG32" i="36" s="1"/>
  <c r="AE33" i="36"/>
  <c r="AG33" i="36" s="1"/>
  <c r="X33" i="36"/>
  <c r="Z33" i="36" s="1"/>
  <c r="F36" i="36"/>
  <c r="H36" i="36" s="1"/>
  <c r="AG36" i="36"/>
  <c r="S38" i="36"/>
  <c r="J46" i="36"/>
  <c r="X20" i="37"/>
  <c r="Z20" i="37" s="1"/>
  <c r="Z26" i="37"/>
  <c r="Q44" i="37"/>
  <c r="AE44" i="37"/>
  <c r="X44" i="37"/>
  <c r="AL44" i="37"/>
  <c r="AN44" i="37" s="1"/>
  <c r="AP44" i="37" s="1"/>
  <c r="F44" i="37"/>
  <c r="H44" i="37" s="1"/>
  <c r="S45" i="37"/>
  <c r="V48" i="37"/>
  <c r="AP49" i="37"/>
  <c r="AN50" i="37"/>
  <c r="AN28" i="38"/>
  <c r="AP28" i="38" s="1"/>
  <c r="Q28" i="35"/>
  <c r="Q33" i="35"/>
  <c r="J16" i="36"/>
  <c r="L16" i="36" s="1"/>
  <c r="X16" i="36"/>
  <c r="Z31" i="36"/>
  <c r="F32" i="36"/>
  <c r="H32" i="36" s="1"/>
  <c r="F33" i="36"/>
  <c r="H33" i="36" s="1"/>
  <c r="AG37" i="36"/>
  <c r="J15" i="37"/>
  <c r="L15" i="37" s="1"/>
  <c r="Z18" i="37"/>
  <c r="H23" i="37"/>
  <c r="O23" i="37" s="1"/>
  <c r="Z41" i="37"/>
  <c r="N48" i="37"/>
  <c r="O48" i="37" s="1"/>
  <c r="L17" i="38"/>
  <c r="L20" i="38"/>
  <c r="X30" i="36"/>
  <c r="Z30" i="36" s="1"/>
  <c r="J31" i="36"/>
  <c r="L31" i="36" s="1"/>
  <c r="AM44" i="36"/>
  <c r="AN44" i="36" s="1"/>
  <c r="AM46" i="36"/>
  <c r="AN46" i="36" s="1"/>
  <c r="R43" i="36"/>
  <c r="S37" i="36"/>
  <c r="Z38" i="37"/>
  <c r="J44" i="37"/>
  <c r="L44" i="37" s="1"/>
  <c r="Z45" i="37"/>
  <c r="AN25" i="38"/>
  <c r="Z27" i="38"/>
  <c r="AE27" i="36"/>
  <c r="AG27" i="36" s="1"/>
  <c r="X28" i="36"/>
  <c r="Z28" i="36" s="1"/>
  <c r="F30" i="36"/>
  <c r="H30" i="36" s="1"/>
  <c r="AL43" i="36"/>
  <c r="AN43" i="36"/>
  <c r="AL17" i="37"/>
  <c r="AN17" i="37" s="1"/>
  <c r="AP17" i="37" s="1"/>
  <c r="L20" i="37"/>
  <c r="X21" i="37"/>
  <c r="Z21" i="37" s="1"/>
  <c r="L23" i="37"/>
  <c r="H24" i="37"/>
  <c r="O24" i="37" s="1"/>
  <c r="AG26" i="37"/>
  <c r="AG33" i="37"/>
  <c r="H50" i="37"/>
  <c r="O50" i="37" s="1"/>
  <c r="AE15" i="36"/>
  <c r="AG15" i="36" s="1"/>
  <c r="S19" i="36"/>
  <c r="Z26" i="36"/>
  <c r="F27" i="36"/>
  <c r="H27" i="36" s="1"/>
  <c r="O27" i="36" s="1"/>
  <c r="F28" i="36"/>
  <c r="H28" i="36" s="1"/>
  <c r="O28" i="36" s="1"/>
  <c r="J32" i="36"/>
  <c r="L32" i="36" s="1"/>
  <c r="L33" i="36"/>
  <c r="S40" i="36"/>
  <c r="X15" i="37"/>
  <c r="Z15" i="37" s="1"/>
  <c r="AL25" i="37"/>
  <c r="S37" i="37"/>
  <c r="AG38" i="37"/>
  <c r="AG21" i="38"/>
  <c r="S25" i="39"/>
  <c r="X24" i="36"/>
  <c r="Z24" i="36" s="1"/>
  <c r="Q25" i="36"/>
  <c r="S25" i="36" s="1"/>
  <c r="X25" i="36"/>
  <c r="Z25" i="36" s="1"/>
  <c r="J26" i="36"/>
  <c r="L26" i="36" s="1"/>
  <c r="AE30" i="36"/>
  <c r="AL35" i="36"/>
  <c r="AN35" i="36" s="1"/>
  <c r="AP35" i="36" s="1"/>
  <c r="Q35" i="36"/>
  <c r="S35" i="36" s="1"/>
  <c r="X45" i="36"/>
  <c r="Z45" i="36" s="1"/>
  <c r="AL27" i="37"/>
  <c r="AN27" i="37" s="1"/>
  <c r="S30" i="37"/>
  <c r="L36" i="37"/>
  <c r="AF44" i="37"/>
  <c r="AG44" i="37" s="1"/>
  <c r="AF43" i="37"/>
  <c r="AG43" i="37" s="1"/>
  <c r="N47" i="37"/>
  <c r="L26" i="38"/>
  <c r="Z32" i="37"/>
  <c r="AG36" i="37"/>
  <c r="AL41" i="37"/>
  <c r="AN41" i="37" s="1"/>
  <c r="AP41" i="37" s="1"/>
  <c r="Z47" i="37"/>
  <c r="L49" i="37"/>
  <c r="Z50" i="37"/>
  <c r="AE19" i="38"/>
  <c r="AG19" i="38" s="1"/>
  <c r="J19" i="38"/>
  <c r="L19" i="38" s="1"/>
  <c r="AL19" i="38"/>
  <c r="Q19" i="38"/>
  <c r="L27" i="38"/>
  <c r="S28" i="38"/>
  <c r="AN32" i="38"/>
  <c r="AP32" i="38" s="1"/>
  <c r="S17" i="39"/>
  <c r="AE32" i="37"/>
  <c r="AG32" i="37" s="1"/>
  <c r="J32" i="37"/>
  <c r="L32" i="37" s="1"/>
  <c r="J35" i="37"/>
  <c r="L35" i="37" s="1"/>
  <c r="X35" i="37"/>
  <c r="Z35" i="37" s="1"/>
  <c r="F35" i="37"/>
  <c r="H35" i="37" s="1"/>
  <c r="O35" i="37" s="1"/>
  <c r="AE35" i="37"/>
  <c r="AG35" i="37" s="1"/>
  <c r="J18" i="38"/>
  <c r="L18" i="38" s="1"/>
  <c r="AE18" i="38"/>
  <c r="AG18" i="38" s="1"/>
  <c r="AL18" i="38"/>
  <c r="AN18" i="38" s="1"/>
  <c r="AP18" i="38" s="1"/>
  <c r="X20" i="38"/>
  <c r="AG23" i="38"/>
  <c r="H26" i="38"/>
  <c r="O26" i="38" s="1"/>
  <c r="Z30" i="38"/>
  <c r="L28" i="39"/>
  <c r="F32" i="37"/>
  <c r="H32" i="37" s="1"/>
  <c r="AN33" i="37"/>
  <c r="AP33" i="37" s="1"/>
  <c r="H47" i="37"/>
  <c r="L37" i="37"/>
  <c r="F18" i="38"/>
  <c r="H19" i="38"/>
  <c r="AN22" i="38"/>
  <c r="AG28" i="38"/>
  <c r="AL26" i="36"/>
  <c r="AN26" i="36" s="1"/>
  <c r="AP26" i="36" s="1"/>
  <c r="AL31" i="36"/>
  <c r="AN31" i="36" s="1"/>
  <c r="AP31" i="36" s="1"/>
  <c r="Q41" i="36"/>
  <c r="S41" i="36" s="1"/>
  <c r="AE41" i="36"/>
  <c r="AG41" i="36" s="1"/>
  <c r="Q17" i="37"/>
  <c r="S17" i="37" s="1"/>
  <c r="AL19" i="37"/>
  <c r="AN19" i="37" s="1"/>
  <c r="AL20" i="37"/>
  <c r="AN20" i="37" s="1"/>
  <c r="AP20" i="37" s="1"/>
  <c r="Q27" i="37"/>
  <c r="S27" i="37" s="1"/>
  <c r="AL31" i="37"/>
  <c r="AN31" i="37" s="1"/>
  <c r="AP31" i="37" s="1"/>
  <c r="AL32" i="37"/>
  <c r="AN32" i="37" s="1"/>
  <c r="AP32" i="37" s="1"/>
  <c r="S33" i="37"/>
  <c r="J40" i="37"/>
  <c r="L40" i="37" s="1"/>
  <c r="X40" i="37"/>
  <c r="Z40" i="37" s="1"/>
  <c r="F40" i="37"/>
  <c r="H40" i="37" s="1"/>
  <c r="AE40" i="37"/>
  <c r="AG40" i="37" s="1"/>
  <c r="Q18" i="38"/>
  <c r="S18" i="38" s="1"/>
  <c r="H25" i="38"/>
  <c r="O25" i="38" s="1"/>
  <c r="S33" i="38"/>
  <c r="Q38" i="36"/>
  <c r="X40" i="36"/>
  <c r="Z40" i="36" s="1"/>
  <c r="Q25" i="37"/>
  <c r="S25" i="37" s="1"/>
  <c r="Q32" i="37"/>
  <c r="S32" i="37" s="1"/>
  <c r="AG34" i="37"/>
  <c r="AL35" i="37"/>
  <c r="AN35" i="37" s="1"/>
  <c r="AP35" i="37" s="1"/>
  <c r="J45" i="37"/>
  <c r="L45" i="37" s="1"/>
  <c r="X45" i="37"/>
  <c r="F45" i="37"/>
  <c r="H45" i="37" s="1"/>
  <c r="AE45" i="37"/>
  <c r="AG45" i="37" s="1"/>
  <c r="AI46" i="37"/>
  <c r="AJ46" i="37" s="1"/>
  <c r="Z15" i="38"/>
  <c r="AN27" i="38"/>
  <c r="L32" i="38"/>
  <c r="S44" i="38"/>
  <c r="AN19" i="39"/>
  <c r="F34" i="36"/>
  <c r="H34" i="36" s="1"/>
  <c r="O34" i="36" s="1"/>
  <c r="X34" i="36"/>
  <c r="Q35" i="37"/>
  <c r="S35" i="37" s="1"/>
  <c r="G43" i="37"/>
  <c r="H43" i="37" s="1"/>
  <c r="H37" i="37"/>
  <c r="S38" i="37"/>
  <c r="X43" i="37"/>
  <c r="U48" i="37"/>
  <c r="AG15" i="38"/>
  <c r="X18" i="38"/>
  <c r="X19" i="38"/>
  <c r="Z20" i="38"/>
  <c r="AE30" i="38"/>
  <c r="AG30" i="38" s="1"/>
  <c r="J30" i="38"/>
  <c r="L30" i="38" s="1"/>
  <c r="F30" i="38"/>
  <c r="H30" i="38" s="1"/>
  <c r="H31" i="38"/>
  <c r="O31" i="38" s="1"/>
  <c r="X41" i="38"/>
  <c r="Z41" i="38" s="1"/>
  <c r="L18" i="39"/>
  <c r="AN25" i="37"/>
  <c r="AP25" i="37" s="1"/>
  <c r="J30" i="37"/>
  <c r="L30" i="37" s="1"/>
  <c r="X30" i="37"/>
  <c r="Z30" i="37" s="1"/>
  <c r="AL36" i="37"/>
  <c r="AN36" i="37" s="1"/>
  <c r="AP36" i="37" s="1"/>
  <c r="AN43" i="37"/>
  <c r="S41" i="37"/>
  <c r="AP47" i="37"/>
  <c r="AQ47" i="37" s="1"/>
  <c r="AG16" i="38"/>
  <c r="Z18" i="38"/>
  <c r="Z19" i="38"/>
  <c r="AG20" i="38"/>
  <c r="S21" i="38"/>
  <c r="AG26" i="38"/>
  <c r="J41" i="36"/>
  <c r="L41" i="36" s="1"/>
  <c r="AE24" i="37"/>
  <c r="AG24" i="37" s="1"/>
  <c r="X24" i="37"/>
  <c r="Z24" i="37" s="1"/>
  <c r="X28" i="37"/>
  <c r="Z28" i="37" s="1"/>
  <c r="F30" i="37"/>
  <c r="H30" i="37" s="1"/>
  <c r="X33" i="37"/>
  <c r="Z33" i="37" s="1"/>
  <c r="AN37" i="37"/>
  <c r="AP37" i="37" s="1"/>
  <c r="K43" i="37"/>
  <c r="U47" i="37"/>
  <c r="V47" i="37" s="1"/>
  <c r="S22" i="38"/>
  <c r="S45" i="36"/>
  <c r="Z16" i="37"/>
  <c r="AE17" i="37"/>
  <c r="AG17" i="37" s="1"/>
  <c r="X17" i="37"/>
  <c r="Q19" i="37"/>
  <c r="S19" i="37" s="1"/>
  <c r="J20" i="37"/>
  <c r="AL23" i="37"/>
  <c r="AN23" i="37" s="1"/>
  <c r="AP23" i="37" s="1"/>
  <c r="X25" i="37"/>
  <c r="Z25" i="37" s="1"/>
  <c r="AL26" i="37"/>
  <c r="AN26" i="37" s="1"/>
  <c r="AE27" i="37"/>
  <c r="AG27" i="37" s="1"/>
  <c r="J27" i="37"/>
  <c r="L27" i="37" s="1"/>
  <c r="X27" i="37"/>
  <c r="Z27" i="37" s="1"/>
  <c r="AE30" i="37"/>
  <c r="AG30" i="37" s="1"/>
  <c r="X38" i="37"/>
  <c r="U46" i="37"/>
  <c r="V46" i="37" s="1"/>
  <c r="AJ48" i="37"/>
  <c r="AL15" i="38"/>
  <c r="AN15" i="38" s="1"/>
  <c r="AN19" i="38"/>
  <c r="Q27" i="38"/>
  <c r="S27" i="38" s="1"/>
  <c r="AE27" i="38"/>
  <c r="AG27" i="38" s="1"/>
  <c r="X27" i="38"/>
  <c r="J27" i="38"/>
  <c r="F27" i="38"/>
  <c r="H27" i="38" s="1"/>
  <c r="O27" i="38" s="1"/>
  <c r="Q30" i="38"/>
  <c r="S30" i="38" s="1"/>
  <c r="AL34" i="38"/>
  <c r="AN34" i="38" s="1"/>
  <c r="J16" i="38"/>
  <c r="L16" i="38" s="1"/>
  <c r="X16" i="38"/>
  <c r="Z16" i="38" s="1"/>
  <c r="X23" i="38"/>
  <c r="Z23" i="38" s="1"/>
  <c r="S31" i="38"/>
  <c r="Q32" i="38"/>
  <c r="S32" i="38" s="1"/>
  <c r="AE32" i="38"/>
  <c r="AE35" i="38"/>
  <c r="AG35" i="38" s="1"/>
  <c r="J35" i="38"/>
  <c r="H38" i="38"/>
  <c r="O38" i="38" s="1"/>
  <c r="AE40" i="38"/>
  <c r="AG40" i="38" s="1"/>
  <c r="J40" i="38"/>
  <c r="L40" i="38" s="1"/>
  <c r="L46" i="38"/>
  <c r="L26" i="39"/>
  <c r="S32" i="39"/>
  <c r="AC32" i="39" s="1"/>
  <c r="L43" i="39"/>
  <c r="Q17" i="38"/>
  <c r="S17" i="38" s="1"/>
  <c r="Q24" i="38"/>
  <c r="S24" i="38" s="1"/>
  <c r="S20" i="39"/>
  <c r="L35" i="39"/>
  <c r="H16" i="38"/>
  <c r="O16" i="38" s="1"/>
  <c r="S19" i="38"/>
  <c r="H23" i="38"/>
  <c r="O23" i="38" s="1"/>
  <c r="AL26" i="38"/>
  <c r="AN26" i="38" s="1"/>
  <c r="AP26" i="38" s="1"/>
  <c r="S36" i="38"/>
  <c r="H40" i="38"/>
  <c r="J43" i="38"/>
  <c r="X45" i="38"/>
  <c r="Z45" i="38" s="1"/>
  <c r="S46" i="38"/>
  <c r="AE17" i="39"/>
  <c r="AG17" i="39" s="1"/>
  <c r="J17" i="39"/>
  <c r="L17" i="39" s="1"/>
  <c r="F17" i="39"/>
  <c r="H17" i="39" s="1"/>
  <c r="O17" i="39" s="1"/>
  <c r="AL17" i="39"/>
  <c r="Q17" i="39"/>
  <c r="X18" i="39"/>
  <c r="Z18" i="39" s="1"/>
  <c r="AE24" i="39"/>
  <c r="AG24" i="39" s="1"/>
  <c r="J24" i="39"/>
  <c r="L24" i="39" s="1"/>
  <c r="Q24" i="39"/>
  <c r="AL24" i="39"/>
  <c r="AN24" i="39" s="1"/>
  <c r="AP24" i="39" s="1"/>
  <c r="X24" i="39"/>
  <c r="Z24" i="39" s="1"/>
  <c r="S35" i="39"/>
  <c r="N21" i="38"/>
  <c r="AE25" i="38"/>
  <c r="AG25" i="38" s="1"/>
  <c r="J25" i="38"/>
  <c r="L25" i="38" s="1"/>
  <c r="X25" i="38"/>
  <c r="Z25" i="38" s="1"/>
  <c r="AL31" i="38"/>
  <c r="AG32" i="38"/>
  <c r="AN33" i="38"/>
  <c r="Z34" i="38"/>
  <c r="L35" i="38"/>
  <c r="AE44" i="38"/>
  <c r="AG44" i="38" s="1"/>
  <c r="J44" i="38"/>
  <c r="L44" i="38" s="1"/>
  <c r="X44" i="38"/>
  <c r="Z44" i="38" s="1"/>
  <c r="F44" i="38"/>
  <c r="H44" i="38" s="1"/>
  <c r="Q44" i="38"/>
  <c r="AG21" i="39"/>
  <c r="AG22" i="39"/>
  <c r="F24" i="39"/>
  <c r="H24" i="39" s="1"/>
  <c r="O24" i="39" s="1"/>
  <c r="N21" i="40"/>
  <c r="AL36" i="36"/>
  <c r="AN36" i="36" s="1"/>
  <c r="AP36" i="36" s="1"/>
  <c r="Q43" i="36"/>
  <c r="H18" i="38"/>
  <c r="O18" i="38" s="1"/>
  <c r="S35" i="38"/>
  <c r="X36" i="38"/>
  <c r="Z36" i="38" s="1"/>
  <c r="F36" i="38"/>
  <c r="H36" i="38" s="1"/>
  <c r="S40" i="38"/>
  <c r="AN41" i="38"/>
  <c r="S24" i="39"/>
  <c r="AL40" i="36"/>
  <c r="AN40" i="36" s="1"/>
  <c r="AL45" i="36"/>
  <c r="AN45" i="36" s="1"/>
  <c r="AP45" i="36" s="1"/>
  <c r="K50" i="37"/>
  <c r="L50" i="37" s="1"/>
  <c r="R49" i="37"/>
  <c r="S49" i="37" s="1"/>
  <c r="AB49" i="37" s="1"/>
  <c r="AL28" i="37"/>
  <c r="AN28" i="37" s="1"/>
  <c r="AP28" i="37" s="1"/>
  <c r="AL33" i="37"/>
  <c r="Q36" i="37"/>
  <c r="S36" i="37" s="1"/>
  <c r="Q41" i="37"/>
  <c r="AL43" i="37"/>
  <c r="AF49" i="37"/>
  <c r="AG49" i="37" s="1"/>
  <c r="Q16" i="38"/>
  <c r="S16" i="38" s="1"/>
  <c r="AE17" i="38"/>
  <c r="AG17" i="38" s="1"/>
  <c r="F20" i="38"/>
  <c r="H20" i="38" s="1"/>
  <c r="O20" i="38" s="1"/>
  <c r="AE24" i="38"/>
  <c r="AG24" i="38" s="1"/>
  <c r="AE36" i="38"/>
  <c r="AG36" i="38" s="1"/>
  <c r="AN43" i="38"/>
  <c r="Z38" i="38"/>
  <c r="R43" i="38"/>
  <c r="S43" i="38" s="1"/>
  <c r="S28" i="39"/>
  <c r="AM43" i="39"/>
  <c r="AN43" i="39" s="1"/>
  <c r="AM44" i="39"/>
  <c r="AN44" i="39" s="1"/>
  <c r="AP44" i="39" s="1"/>
  <c r="AN37" i="39"/>
  <c r="AP37" i="39" s="1"/>
  <c r="AL38" i="37"/>
  <c r="AN38" i="37" s="1"/>
  <c r="AP38" i="37" s="1"/>
  <c r="AL21" i="38"/>
  <c r="AN21" i="38" s="1"/>
  <c r="Q23" i="38"/>
  <c r="S23" i="38" s="1"/>
  <c r="L41" i="38"/>
  <c r="AN46" i="38"/>
  <c r="S15" i="39"/>
  <c r="X17" i="39"/>
  <c r="Z17" i="39" s="1"/>
  <c r="L36" i="39"/>
  <c r="L40" i="39"/>
  <c r="F38" i="37"/>
  <c r="H38" i="37" s="1"/>
  <c r="O38" i="37" s="1"/>
  <c r="AF50" i="37"/>
  <c r="AG50" i="37" s="1"/>
  <c r="AL16" i="38"/>
  <c r="AN16" i="38" s="1"/>
  <c r="J28" i="38"/>
  <c r="L28" i="38" s="1"/>
  <c r="X28" i="38"/>
  <c r="Z28" i="38" s="1"/>
  <c r="F28" i="38"/>
  <c r="H28" i="38" s="1"/>
  <c r="O28" i="38" s="1"/>
  <c r="X35" i="38"/>
  <c r="Z35" i="38" s="1"/>
  <c r="J36" i="38"/>
  <c r="L36" i="38" s="1"/>
  <c r="S37" i="38"/>
  <c r="X40" i="38"/>
  <c r="Y43" i="38"/>
  <c r="Z43" i="38" s="1"/>
  <c r="X46" i="38"/>
  <c r="AE46" i="38"/>
  <c r="J46" i="38"/>
  <c r="J37" i="38" s="1"/>
  <c r="AL46" i="38"/>
  <c r="AL37" i="38" s="1"/>
  <c r="AN37" i="38" s="1"/>
  <c r="Q15" i="38"/>
  <c r="S15" i="38" s="1"/>
  <c r="X15" i="38"/>
  <c r="AL17" i="38"/>
  <c r="AN17" i="38" s="1"/>
  <c r="AP17" i="38" s="1"/>
  <c r="AE22" i="38"/>
  <c r="AG22" i="38" s="1"/>
  <c r="X22" i="38"/>
  <c r="Z22" i="38" s="1"/>
  <c r="AL23" i="38"/>
  <c r="AN23" i="38" s="1"/>
  <c r="AP23" i="38" s="1"/>
  <c r="AL24" i="38"/>
  <c r="AN24" i="38" s="1"/>
  <c r="Q25" i="38"/>
  <c r="S25" i="38" s="1"/>
  <c r="AL25" i="38"/>
  <c r="AN31" i="38"/>
  <c r="AP31" i="38" s="1"/>
  <c r="J33" i="38"/>
  <c r="L33" i="38" s="1"/>
  <c r="X33" i="38"/>
  <c r="Z33" i="38" s="1"/>
  <c r="F33" i="38"/>
  <c r="H33" i="38" s="1"/>
  <c r="Q33" i="38"/>
  <c r="AE33" i="38"/>
  <c r="AG33" i="38" s="1"/>
  <c r="Z40" i="38"/>
  <c r="H26" i="39"/>
  <c r="O26" i="39" s="1"/>
  <c r="S40" i="39"/>
  <c r="AG23" i="40"/>
  <c r="AN36" i="38"/>
  <c r="F38" i="38"/>
  <c r="S41" i="38"/>
  <c r="AN17" i="39"/>
  <c r="AP17" i="39" s="1"/>
  <c r="N21" i="39"/>
  <c r="O21" i="39" s="1"/>
  <c r="H22" i="40"/>
  <c r="O22" i="40" s="1"/>
  <c r="AE15" i="39"/>
  <c r="AG15" i="39" s="1"/>
  <c r="J15" i="39"/>
  <c r="J33" i="39"/>
  <c r="L33" i="39" s="1"/>
  <c r="AE33" i="39"/>
  <c r="AG33" i="39" s="1"/>
  <c r="X33" i="39"/>
  <c r="F33" i="39"/>
  <c r="H33" i="39" s="1"/>
  <c r="AL33" i="39"/>
  <c r="AN33" i="39"/>
  <c r="AP33" i="39" s="1"/>
  <c r="AG18" i="40"/>
  <c r="Q19" i="39"/>
  <c r="S19" i="39" s="1"/>
  <c r="AE19" i="39"/>
  <c r="Q36" i="39"/>
  <c r="S36" i="39" s="1"/>
  <c r="AL36" i="39"/>
  <c r="AN36" i="39" s="1"/>
  <c r="AP36" i="39" s="1"/>
  <c r="AE36" i="39"/>
  <c r="X36" i="39"/>
  <c r="F36" i="39"/>
  <c r="H36" i="39" s="1"/>
  <c r="H38" i="39"/>
  <c r="AE41" i="39"/>
  <c r="AG41" i="39" s="1"/>
  <c r="AL41" i="39"/>
  <c r="AN41" i="39" s="1"/>
  <c r="AP41" i="39" s="1"/>
  <c r="Q41" i="39"/>
  <c r="S41" i="39" s="1"/>
  <c r="J41" i="39"/>
  <c r="L41" i="39" s="1"/>
  <c r="Z26" i="40"/>
  <c r="H15" i="39"/>
  <c r="F19" i="39"/>
  <c r="H19" i="39" s="1"/>
  <c r="AL26" i="39"/>
  <c r="AN26" i="39" s="1"/>
  <c r="L38" i="39"/>
  <c r="F41" i="39"/>
  <c r="H41" i="39" s="1"/>
  <c r="S46" i="39"/>
  <c r="AE22" i="40"/>
  <c r="AG22" i="40" s="1"/>
  <c r="AE41" i="38"/>
  <c r="AG41" i="38" s="1"/>
  <c r="Q45" i="38"/>
  <c r="S45" i="38" s="1"/>
  <c r="L15" i="39"/>
  <c r="AL19" i="39"/>
  <c r="L23" i="39"/>
  <c r="H34" i="39"/>
  <c r="O34" i="39" s="1"/>
  <c r="AE35" i="39"/>
  <c r="AG35" i="39" s="1"/>
  <c r="AI35" i="39" s="1"/>
  <c r="J36" i="39"/>
  <c r="G43" i="39"/>
  <c r="H43" i="39" s="1"/>
  <c r="G44" i="39"/>
  <c r="Q43" i="39"/>
  <c r="O21" i="40"/>
  <c r="X33" i="40"/>
  <c r="Z33" i="40" s="1"/>
  <c r="AL38" i="38"/>
  <c r="AN38" i="38" s="1"/>
  <c r="AL22" i="39"/>
  <c r="AN22" i="39" s="1"/>
  <c r="AE27" i="39"/>
  <c r="AG27" i="39" s="1"/>
  <c r="J27" i="39"/>
  <c r="L27" i="39" s="1"/>
  <c r="AL27" i="39"/>
  <c r="AN27" i="39" s="1"/>
  <c r="Z32" i="39"/>
  <c r="Z41" i="39"/>
  <c r="AE17" i="40"/>
  <c r="AG17" i="40" s="1"/>
  <c r="J17" i="40"/>
  <c r="L17" i="40" s="1"/>
  <c r="F17" i="40"/>
  <c r="H17" i="40" s="1"/>
  <c r="O17" i="40" s="1"/>
  <c r="X17" i="40"/>
  <c r="Z17" i="40" s="1"/>
  <c r="Q17" i="40"/>
  <c r="AL17" i="40"/>
  <c r="AN17" i="40" s="1"/>
  <c r="AP17" i="40" s="1"/>
  <c r="H24" i="40"/>
  <c r="O24" i="40" s="1"/>
  <c r="Q34" i="38"/>
  <c r="S34" i="38" s="1"/>
  <c r="L37" i="38"/>
  <c r="AL41" i="38"/>
  <c r="K43" i="38"/>
  <c r="L43" i="38" s="1"/>
  <c r="X16" i="39"/>
  <c r="Z16" i="39" s="1"/>
  <c r="F16" i="39"/>
  <c r="H16" i="39" s="1"/>
  <c r="O16" i="39" s="1"/>
  <c r="J20" i="39"/>
  <c r="L20" i="39" s="1"/>
  <c r="AE20" i="39"/>
  <c r="AG20" i="39" s="1"/>
  <c r="X20" i="39"/>
  <c r="F20" i="39"/>
  <c r="H20" i="39" s="1"/>
  <c r="O20" i="39" s="1"/>
  <c r="F27" i="39"/>
  <c r="H27" i="39" s="1"/>
  <c r="O27" i="39" s="1"/>
  <c r="Q30" i="39"/>
  <c r="S30" i="39" s="1"/>
  <c r="AE30" i="39"/>
  <c r="AG30" i="39" s="1"/>
  <c r="X30" i="39"/>
  <c r="Z30" i="39" s="1"/>
  <c r="F30" i="39"/>
  <c r="AN30" i="39"/>
  <c r="Z36" i="39"/>
  <c r="X16" i="40"/>
  <c r="F45" i="38"/>
  <c r="H45" i="38" s="1"/>
  <c r="AE45" i="38"/>
  <c r="AG45" i="38" s="1"/>
  <c r="H30" i="39"/>
  <c r="AG43" i="39"/>
  <c r="X44" i="39"/>
  <c r="Z44" i="39" s="1"/>
  <c r="Q44" i="39"/>
  <c r="AL44" i="39"/>
  <c r="J44" i="39"/>
  <c r="L44" i="39" s="1"/>
  <c r="AE44" i="39"/>
  <c r="AG44" i="39" s="1"/>
  <c r="F41" i="38"/>
  <c r="H41" i="38" s="1"/>
  <c r="AF43" i="38"/>
  <c r="AG43" i="38" s="1"/>
  <c r="X15" i="39"/>
  <c r="Z15" i="39" s="1"/>
  <c r="S21" i="39"/>
  <c r="X25" i="39"/>
  <c r="Z25" i="39" s="1"/>
  <c r="AE31" i="39"/>
  <c r="AG31" i="39" s="1"/>
  <c r="AN31" i="39"/>
  <c r="F44" i="39"/>
  <c r="AE46" i="39"/>
  <c r="AE37" i="39" s="1"/>
  <c r="AG37" i="39" s="1"/>
  <c r="X46" i="39"/>
  <c r="X37" i="39" s="1"/>
  <c r="F46" i="39"/>
  <c r="AL46" i="39"/>
  <c r="AL37" i="39" s="1"/>
  <c r="J46" i="39"/>
  <c r="J37" i="39" s="1"/>
  <c r="L37" i="39" s="1"/>
  <c r="AE15" i="40"/>
  <c r="AG15" i="40" s="1"/>
  <c r="AL15" i="40"/>
  <c r="AN15" i="40" s="1"/>
  <c r="J15" i="40"/>
  <c r="L15" i="40" s="1"/>
  <c r="Q15" i="40"/>
  <c r="S15" i="40" s="1"/>
  <c r="F15" i="40"/>
  <c r="H15" i="40" s="1"/>
  <c r="X15" i="40"/>
  <c r="Z15" i="40" s="1"/>
  <c r="S17" i="40"/>
  <c r="J45" i="38"/>
  <c r="L45" i="38" s="1"/>
  <c r="X19" i="39"/>
  <c r="Z19" i="39" s="1"/>
  <c r="L22" i="39"/>
  <c r="F23" i="39"/>
  <c r="H23" i="39" s="1"/>
  <c r="O23" i="39" s="1"/>
  <c r="AL23" i="39"/>
  <c r="AN23" i="39" s="1"/>
  <c r="AP23" i="39" s="1"/>
  <c r="Q23" i="39"/>
  <c r="S23" i="39" s="1"/>
  <c r="AE23" i="39"/>
  <c r="AG23" i="39" s="1"/>
  <c r="Q27" i="39"/>
  <c r="S27" i="39" s="1"/>
  <c r="L30" i="39"/>
  <c r="AN32" i="39"/>
  <c r="L28" i="40"/>
  <c r="AL31" i="39"/>
  <c r="Z38" i="39"/>
  <c r="S28" i="40"/>
  <c r="AN21" i="40"/>
  <c r="AP21" i="40" s="1"/>
  <c r="H27" i="40"/>
  <c r="O27" i="40" s="1"/>
  <c r="S34" i="39"/>
  <c r="Y43" i="39"/>
  <c r="Z43" i="39" s="1"/>
  <c r="Z37" i="39"/>
  <c r="Z46" i="39"/>
  <c r="J22" i="40"/>
  <c r="L22" i="40" s="1"/>
  <c r="AL22" i="40"/>
  <c r="AN22" i="40" s="1"/>
  <c r="AP22" i="40" s="1"/>
  <c r="Q22" i="40"/>
  <c r="Q43" i="40"/>
  <c r="AE43" i="40"/>
  <c r="J43" i="40"/>
  <c r="AL43" i="40"/>
  <c r="X43" i="40"/>
  <c r="Q22" i="39"/>
  <c r="S22" i="39" s="1"/>
  <c r="AE26" i="39"/>
  <c r="AG26" i="39" s="1"/>
  <c r="X31" i="39"/>
  <c r="Z31" i="39" s="1"/>
  <c r="AL34" i="39"/>
  <c r="AN34" i="39" s="1"/>
  <c r="AP34" i="39" s="1"/>
  <c r="S18" i="40"/>
  <c r="AN19" i="40"/>
  <c r="AN30" i="40"/>
  <c r="U37" i="41"/>
  <c r="V37" i="41" s="1"/>
  <c r="Z20" i="39"/>
  <c r="AL25" i="39"/>
  <c r="AN25" i="39" s="1"/>
  <c r="AP25" i="39" s="1"/>
  <c r="AL28" i="39"/>
  <c r="AN28" i="39" s="1"/>
  <c r="AP28" i="39" s="1"/>
  <c r="AE32" i="39"/>
  <c r="AG32" i="39" s="1"/>
  <c r="AI32" i="39" s="1"/>
  <c r="J32" i="39"/>
  <c r="L32" i="39" s="1"/>
  <c r="N32" i="39" s="1"/>
  <c r="Z33" i="39"/>
  <c r="Q35" i="39"/>
  <c r="AL35" i="39"/>
  <c r="AN35" i="39" s="1"/>
  <c r="AL20" i="40"/>
  <c r="AL24" i="40"/>
  <c r="AN24" i="40" s="1"/>
  <c r="AP24" i="40" s="1"/>
  <c r="F25" i="40"/>
  <c r="H26" i="40"/>
  <c r="O26" i="40" s="1"/>
  <c r="R44" i="40"/>
  <c r="S44" i="40" s="1"/>
  <c r="R43" i="40"/>
  <c r="S43" i="40" s="1"/>
  <c r="AL18" i="39"/>
  <c r="AN18" i="39" s="1"/>
  <c r="AP18" i="39" s="1"/>
  <c r="Q26" i="39"/>
  <c r="S26" i="39" s="1"/>
  <c r="J31" i="39"/>
  <c r="L31" i="39" s="1"/>
  <c r="AG36" i="39"/>
  <c r="AL43" i="39"/>
  <c r="U21" i="40"/>
  <c r="V21" i="40" s="1"/>
  <c r="H25" i="40"/>
  <c r="O25" i="40" s="1"/>
  <c r="L26" i="40"/>
  <c r="AL35" i="40"/>
  <c r="AN35" i="40" s="1"/>
  <c r="AP35" i="40" s="1"/>
  <c r="Z46" i="40"/>
  <c r="F18" i="39"/>
  <c r="H18" i="39" s="1"/>
  <c r="O18" i="39" s="1"/>
  <c r="AG19" i="39"/>
  <c r="F25" i="39"/>
  <c r="H25" i="39" s="1"/>
  <c r="O25" i="39" s="1"/>
  <c r="X30" i="40"/>
  <c r="Z30" i="40" s="1"/>
  <c r="AL41" i="40"/>
  <c r="AN41" i="40" s="1"/>
  <c r="AP41" i="40" s="1"/>
  <c r="Z16" i="40"/>
  <c r="S19" i="40"/>
  <c r="S22" i="40"/>
  <c r="R44" i="39"/>
  <c r="S44" i="39" s="1"/>
  <c r="R43" i="39"/>
  <c r="S43" i="39" s="1"/>
  <c r="F40" i="39"/>
  <c r="H40" i="39" s="1"/>
  <c r="F45" i="39"/>
  <c r="H45" i="39" s="1"/>
  <c r="AN46" i="39"/>
  <c r="AG16" i="40"/>
  <c r="X21" i="40"/>
  <c r="Z21" i="40" s="1"/>
  <c r="X22" i="40"/>
  <c r="Z22" i="40" s="1"/>
  <c r="Z31" i="40"/>
  <c r="F23" i="40"/>
  <c r="H23" i="40" s="1"/>
  <c r="O23" i="40" s="1"/>
  <c r="H30" i="40"/>
  <c r="H46" i="40"/>
  <c r="AL24" i="41"/>
  <c r="AN24" i="41" s="1"/>
  <c r="AP24" i="41" s="1"/>
  <c r="X24" i="40"/>
  <c r="Z24" i="40" s="1"/>
  <c r="Z35" i="40"/>
  <c r="F45" i="40"/>
  <c r="AE45" i="40"/>
  <c r="AG45" i="40" s="1"/>
  <c r="J45" i="40"/>
  <c r="L45" i="40" s="1"/>
  <c r="AL45" i="40"/>
  <c r="AN45" i="40" s="1"/>
  <c r="AP45" i="40" s="1"/>
  <c r="Q45" i="40"/>
  <c r="S45" i="40" s="1"/>
  <c r="X25" i="40"/>
  <c r="Z25" i="40" s="1"/>
  <c r="AE33" i="40"/>
  <c r="AG33" i="40" s="1"/>
  <c r="J33" i="40"/>
  <c r="L33" i="40" s="1"/>
  <c r="AL33" i="40"/>
  <c r="AN33" i="40" s="1"/>
  <c r="AP33" i="40" s="1"/>
  <c r="Y44" i="40"/>
  <c r="Z37" i="40"/>
  <c r="AG40" i="40"/>
  <c r="H45" i="40"/>
  <c r="AB37" i="41"/>
  <c r="AC37" i="41" s="1"/>
  <c r="AL26" i="40"/>
  <c r="AN26" i="40" s="1"/>
  <c r="AP26" i="40" s="1"/>
  <c r="Z27" i="40"/>
  <c r="AN34" i="40"/>
  <c r="AF43" i="40"/>
  <c r="AG43" i="40" s="1"/>
  <c r="AF44" i="40"/>
  <c r="AN38" i="40"/>
  <c r="AL40" i="39"/>
  <c r="AN40" i="39" s="1"/>
  <c r="AP40" i="39" s="1"/>
  <c r="Q20" i="40"/>
  <c r="S20" i="40" s="1"/>
  <c r="L24" i="40"/>
  <c r="AE25" i="40"/>
  <c r="AG25" i="40" s="1"/>
  <c r="S30" i="40"/>
  <c r="AL32" i="40"/>
  <c r="AN32" i="40" s="1"/>
  <c r="Q32" i="40"/>
  <c r="S32" i="40" s="1"/>
  <c r="X32" i="40"/>
  <c r="Z32" i="40" s="1"/>
  <c r="F32" i="40"/>
  <c r="H32" i="40" s="1"/>
  <c r="S34" i="40"/>
  <c r="AL40" i="40"/>
  <c r="AN40" i="40" s="1"/>
  <c r="Z45" i="40"/>
  <c r="AG21" i="41"/>
  <c r="AL21" i="40"/>
  <c r="L27" i="40"/>
  <c r="AE32" i="40"/>
  <c r="AG32" i="40" s="1"/>
  <c r="H40" i="40"/>
  <c r="Y43" i="40"/>
  <c r="Z43" i="40" s="1"/>
  <c r="X18" i="40"/>
  <c r="Z18" i="40" s="1"/>
  <c r="AL18" i="40"/>
  <c r="AN18" i="40" s="1"/>
  <c r="AP18" i="40" s="1"/>
  <c r="AN20" i="40"/>
  <c r="AP20" i="40" s="1"/>
  <c r="Q23" i="40"/>
  <c r="AL23" i="40"/>
  <c r="AN23" i="40" s="1"/>
  <c r="AP23" i="40" s="1"/>
  <c r="Q24" i="40"/>
  <c r="S24" i="40" s="1"/>
  <c r="AL31" i="40"/>
  <c r="AN31" i="40" s="1"/>
  <c r="AP31" i="40" s="1"/>
  <c r="Q33" i="40"/>
  <c r="AN36" i="40"/>
  <c r="S41" i="40"/>
  <c r="F18" i="40"/>
  <c r="H18" i="40" s="1"/>
  <c r="O18" i="40" s="1"/>
  <c r="Q19" i="40"/>
  <c r="AE19" i="40"/>
  <c r="AG19" i="40" s="1"/>
  <c r="X19" i="40"/>
  <c r="Z19" i="40" s="1"/>
  <c r="S23" i="40"/>
  <c r="J32" i="40"/>
  <c r="L32" i="40" s="1"/>
  <c r="S33" i="40"/>
  <c r="S38" i="40"/>
  <c r="J44" i="40"/>
  <c r="AE44" i="40"/>
  <c r="F44" i="40"/>
  <c r="AL44" i="40"/>
  <c r="Q44" i="40"/>
  <c r="J20" i="40"/>
  <c r="L20" i="40" s="1"/>
  <c r="X20" i="40"/>
  <c r="Q25" i="40"/>
  <c r="S25" i="40" s="1"/>
  <c r="AE30" i="40"/>
  <c r="AG30" i="40" s="1"/>
  <c r="G44" i="40"/>
  <c r="H44" i="40" s="1"/>
  <c r="G43" i="40"/>
  <c r="H43" i="40" s="1"/>
  <c r="H37" i="40"/>
  <c r="AL43" i="41"/>
  <c r="F20" i="40"/>
  <c r="H20" i="40" s="1"/>
  <c r="O20" i="40" s="1"/>
  <c r="Z20" i="40"/>
  <c r="X23" i="40"/>
  <c r="Z23" i="40" s="1"/>
  <c r="AL25" i="40"/>
  <c r="AN25" i="40" s="1"/>
  <c r="F30" i="40"/>
  <c r="X34" i="40"/>
  <c r="Z34" i="40" s="1"/>
  <c r="F34" i="40"/>
  <c r="H34" i="40" s="1"/>
  <c r="O34" i="40" s="1"/>
  <c r="AL34" i="40"/>
  <c r="AE34" i="40"/>
  <c r="AG34" i="40" s="1"/>
  <c r="S35" i="40"/>
  <c r="K44" i="40"/>
  <c r="K43" i="40"/>
  <c r="L37" i="40"/>
  <c r="Z40" i="40"/>
  <c r="X44" i="40"/>
  <c r="AC21" i="41"/>
  <c r="AG25" i="41"/>
  <c r="AL27" i="41"/>
  <c r="AN27" i="41" s="1"/>
  <c r="AP27" i="41" s="1"/>
  <c r="O47" i="41"/>
  <c r="AM43" i="40"/>
  <c r="H27" i="41"/>
  <c r="O27" i="41" s="1"/>
  <c r="AG30" i="41"/>
  <c r="J36" i="40"/>
  <c r="L36" i="40" s="1"/>
  <c r="X41" i="40"/>
  <c r="Z41" i="40" s="1"/>
  <c r="AM44" i="40"/>
  <c r="Z21" i="41"/>
  <c r="AG28" i="41"/>
  <c r="Z44" i="41"/>
  <c r="F36" i="40"/>
  <c r="H36" i="40" s="1"/>
  <c r="X36" i="40"/>
  <c r="Z36" i="40" s="1"/>
  <c r="F41" i="40"/>
  <c r="H41" i="40" s="1"/>
  <c r="Z20" i="41"/>
  <c r="AL25" i="41"/>
  <c r="AN25" i="41" s="1"/>
  <c r="AP25" i="41" s="1"/>
  <c r="S27" i="41"/>
  <c r="AG35" i="40"/>
  <c r="AL46" i="40"/>
  <c r="AN18" i="41"/>
  <c r="AP18" i="41" s="1"/>
  <c r="AN20" i="41"/>
  <c r="AP20" i="41" s="1"/>
  <c r="AG27" i="41"/>
  <c r="AL16" i="40"/>
  <c r="AN16" i="40" s="1"/>
  <c r="AP16" i="40" s="1"/>
  <c r="AE36" i="40"/>
  <c r="AG36" i="40" s="1"/>
  <c r="L41" i="40"/>
  <c r="AL22" i="41"/>
  <c r="AN22" i="41" s="1"/>
  <c r="L35" i="41"/>
  <c r="Q17" i="41"/>
  <c r="S17" i="41" s="1"/>
  <c r="AL17" i="41"/>
  <c r="AN17" i="41" s="1"/>
  <c r="AP17" i="41" s="1"/>
  <c r="AE17" i="41"/>
  <c r="J17" i="41"/>
  <c r="F17" i="41"/>
  <c r="H17" i="41" s="1"/>
  <c r="O17" i="41" s="1"/>
  <c r="X17" i="41"/>
  <c r="Z17" i="41" s="1"/>
  <c r="Q18" i="41"/>
  <c r="S18" i="41" s="1"/>
  <c r="AE18" i="41"/>
  <c r="J18" i="41"/>
  <c r="F18" i="41"/>
  <c r="H34" i="41"/>
  <c r="O34" i="41" s="1"/>
  <c r="S40" i="41"/>
  <c r="Q41" i="40"/>
  <c r="Q16" i="41"/>
  <c r="S16" i="41" s="1"/>
  <c r="AL16" i="41"/>
  <c r="AN16" i="41" s="1"/>
  <c r="AP16" i="41" s="1"/>
  <c r="AE16" i="41"/>
  <c r="AG16" i="41" s="1"/>
  <c r="J16" i="41"/>
  <c r="L16" i="41" s="1"/>
  <c r="AE20" i="41"/>
  <c r="AG20" i="41" s="1"/>
  <c r="S24" i="41"/>
  <c r="X38" i="41"/>
  <c r="Z38" i="41" s="1"/>
  <c r="AG43" i="41"/>
  <c r="AE15" i="41"/>
  <c r="AG15" i="41" s="1"/>
  <c r="L17" i="41"/>
  <c r="L18" i="41"/>
  <c r="L19" i="41"/>
  <c r="H20" i="41"/>
  <c r="O20" i="41" s="1"/>
  <c r="L22" i="41"/>
  <c r="L28" i="41"/>
  <c r="AG31" i="41"/>
  <c r="F41" i="41"/>
  <c r="AL44" i="41"/>
  <c r="AI48" i="41"/>
  <c r="AJ48" i="41" s="1"/>
  <c r="AB48" i="41"/>
  <c r="Q35" i="40"/>
  <c r="L46" i="40"/>
  <c r="L21" i="41"/>
  <c r="AN26" i="41"/>
  <c r="AP26" i="41" s="1"/>
  <c r="S34" i="41"/>
  <c r="X34" i="41"/>
  <c r="Z34" i="41" s="1"/>
  <c r="AG35" i="41"/>
  <c r="Q40" i="41"/>
  <c r="J40" i="41"/>
  <c r="L40" i="41" s="1"/>
  <c r="N48" i="41"/>
  <c r="V48" i="41"/>
  <c r="H16" i="41"/>
  <c r="O16" i="41" s="1"/>
  <c r="H24" i="41"/>
  <c r="O24" i="41" s="1"/>
  <c r="Z27" i="41"/>
  <c r="AE30" i="41"/>
  <c r="J30" i="41"/>
  <c r="L30" i="41" s="1"/>
  <c r="X30" i="41"/>
  <c r="Z30" i="41"/>
  <c r="H40" i="41"/>
  <c r="H41" i="41"/>
  <c r="U48" i="41"/>
  <c r="AC48" i="41"/>
  <c r="Q20" i="41"/>
  <c r="S20" i="41" s="1"/>
  <c r="AL20" i="41"/>
  <c r="F30" i="41"/>
  <c r="H30" i="41" s="1"/>
  <c r="Y41" i="41"/>
  <c r="Z41" i="41" s="1"/>
  <c r="Y36" i="41"/>
  <c r="Z36" i="41" s="1"/>
  <c r="Y43" i="41"/>
  <c r="Y40" i="41"/>
  <c r="L41" i="41"/>
  <c r="U46" i="41"/>
  <c r="AQ47" i="41"/>
  <c r="J19" i="41"/>
  <c r="AG24" i="41"/>
  <c r="S28" i="41"/>
  <c r="Q32" i="41"/>
  <c r="X35" i="41"/>
  <c r="F36" i="41"/>
  <c r="AE44" i="41"/>
  <c r="Z46" i="41"/>
  <c r="G50" i="41"/>
  <c r="H50" i="41" s="1"/>
  <c r="O50" i="41" s="1"/>
  <c r="AM50" i="41"/>
  <c r="AN50" i="41" s="1"/>
  <c r="R50" i="41"/>
  <c r="S50" i="41" s="1"/>
  <c r="Y49" i="41"/>
  <c r="Z49" i="41" s="1"/>
  <c r="G49" i="41"/>
  <c r="H49" i="41" s="1"/>
  <c r="AF50" i="41"/>
  <c r="AG50" i="41" s="1"/>
  <c r="AM49" i="41"/>
  <c r="AN49" i="41" s="1"/>
  <c r="K50" i="41"/>
  <c r="L50" i="41" s="1"/>
  <c r="R49" i="41"/>
  <c r="S49" i="41" s="1"/>
  <c r="Y50" i="41"/>
  <c r="Z50" i="41" s="1"/>
  <c r="AF49" i="41"/>
  <c r="AG49" i="41" s="1"/>
  <c r="H18" i="41"/>
  <c r="O18" i="41" s="1"/>
  <c r="AE33" i="41"/>
  <c r="AG33" i="41" s="1"/>
  <c r="F33" i="41"/>
  <c r="H33" i="41" s="1"/>
  <c r="O33" i="41" s="1"/>
  <c r="H35" i="41"/>
  <c r="H36" i="41"/>
  <c r="AG40" i="41"/>
  <c r="Z19" i="41"/>
  <c r="F20" i="41"/>
  <c r="X20" i="41"/>
  <c r="Z28" i="41"/>
  <c r="AL30" i="41"/>
  <c r="AL33" i="41"/>
  <c r="AN33" i="41" s="1"/>
  <c r="AP33" i="41" s="1"/>
  <c r="L36" i="41"/>
  <c r="G44" i="41"/>
  <c r="G43" i="41"/>
  <c r="AI37" i="41"/>
  <c r="AJ37" i="41" s="1"/>
  <c r="X40" i="41"/>
  <c r="AI46" i="41"/>
  <c r="AQ46" i="41"/>
  <c r="N47" i="41"/>
  <c r="AG17" i="41"/>
  <c r="AL21" i="41"/>
  <c r="AN21" i="41" s="1"/>
  <c r="X26" i="41"/>
  <c r="Z26" i="41" s="1"/>
  <c r="L27" i="41"/>
  <c r="AN30" i="41"/>
  <c r="O37" i="41"/>
  <c r="AE40" i="41"/>
  <c r="X44" i="41"/>
  <c r="F44" i="41"/>
  <c r="Q44" i="41"/>
  <c r="S44" i="41" s="1"/>
  <c r="J44" i="41"/>
  <c r="L44" i="41" s="1"/>
  <c r="AE45" i="41"/>
  <c r="AG45" i="41" s="1"/>
  <c r="J45" i="41"/>
  <c r="L45" i="41" s="1"/>
  <c r="X45" i="41"/>
  <c r="Z45" i="41" s="1"/>
  <c r="AN15" i="41"/>
  <c r="AE22" i="41"/>
  <c r="AG22" i="41" s="1"/>
  <c r="F22" i="41"/>
  <c r="H22" i="41" s="1"/>
  <c r="O22" i="41" s="1"/>
  <c r="AN23" i="41"/>
  <c r="AP23" i="41" s="1"/>
  <c r="Q30" i="41"/>
  <c r="S30" i="41" s="1"/>
  <c r="L32" i="41"/>
  <c r="J33" i="41"/>
  <c r="L33" i="41" s="1"/>
  <c r="N37" i="41"/>
  <c r="AN44" i="41"/>
  <c r="AP44" i="41" s="1"/>
  <c r="AE43" i="41"/>
  <c r="J43" i="41"/>
  <c r="X43" i="41"/>
  <c r="F43" i="41"/>
  <c r="Q43" i="41"/>
  <c r="S43" i="41" s="1"/>
  <c r="F45" i="41"/>
  <c r="H45" i="41" s="1"/>
  <c r="S47" i="41"/>
  <c r="AP48" i="41"/>
  <c r="AQ48" i="41" s="1"/>
  <c r="X15" i="41"/>
  <c r="Z15" i="41" s="1"/>
  <c r="AG18" i="41"/>
  <c r="J20" i="41"/>
  <c r="L20" i="41" s="1"/>
  <c r="X23" i="41"/>
  <c r="Z23" i="41" s="1"/>
  <c r="J28" i="41"/>
  <c r="X28" i="41"/>
  <c r="F28" i="41"/>
  <c r="H28" i="41" s="1"/>
  <c r="O28" i="41" s="1"/>
  <c r="AE28" i="41"/>
  <c r="X31" i="41"/>
  <c r="Z31" i="41" s="1"/>
  <c r="S32" i="41"/>
  <c r="AC32" i="41" s="1"/>
  <c r="S35" i="41"/>
  <c r="AL40" i="41"/>
  <c r="AN40" i="41" s="1"/>
  <c r="L43" i="41"/>
  <c r="O48" i="41"/>
  <c r="F15" i="41"/>
  <c r="H15" i="41" s="1"/>
  <c r="F23" i="41"/>
  <c r="H23" i="41" s="1"/>
  <c r="O23" i="41" s="1"/>
  <c r="AE25" i="41"/>
  <c r="J25" i="41"/>
  <c r="L25" i="41" s="1"/>
  <c r="X25" i="41"/>
  <c r="Z25" i="41" s="1"/>
  <c r="AG26" i="41"/>
  <c r="Z32" i="41"/>
  <c r="Q33" i="41"/>
  <c r="S33" i="41" s="1"/>
  <c r="Z35" i="41"/>
  <c r="AJ35" i="41" s="1"/>
  <c r="Q45" i="41"/>
  <c r="S45" i="41" s="1"/>
  <c r="N46" i="41"/>
  <c r="O46" i="41" s="1"/>
  <c r="V46" i="41"/>
  <c r="AJ47" i="41"/>
  <c r="Q26" i="41"/>
  <c r="S26" i="41" s="1"/>
  <c r="AL34" i="41"/>
  <c r="AN34" i="41" s="1"/>
  <c r="AP34" i="41" s="1"/>
  <c r="Q35" i="41"/>
  <c r="R36" i="41"/>
  <c r="S36" i="41" s="1"/>
  <c r="AL38" i="41"/>
  <c r="AN38" i="41" s="1"/>
  <c r="AP38" i="41" s="1"/>
  <c r="R41" i="41"/>
  <c r="S41" i="41" s="1"/>
  <c r="AM43" i="41"/>
  <c r="AN43" i="41" s="1"/>
  <c r="AF44" i="41"/>
  <c r="AG44" i="41" s="1"/>
  <c r="Q24" i="41"/>
  <c r="AL36" i="41"/>
  <c r="AN36" i="41" s="1"/>
  <c r="AP36" i="41" s="1"/>
  <c r="AL41" i="41"/>
  <c r="AL26" i="41"/>
  <c r="AL31" i="41"/>
  <c r="AN31" i="41" s="1"/>
  <c r="AP31" i="41" s="1"/>
  <c r="AM41" i="41"/>
  <c r="AN41" i="41" s="1"/>
  <c r="AP41" i="41" s="1"/>
  <c r="AB36" i="26" l="1"/>
  <c r="U46" i="25"/>
  <c r="AI23" i="22"/>
  <c r="AQ23" i="22"/>
  <c r="AG29" i="22"/>
  <c r="AI15" i="22"/>
  <c r="AC33" i="18"/>
  <c r="U33" i="18"/>
  <c r="AJ32" i="15"/>
  <c r="AB32" i="15"/>
  <c r="AJ17" i="16"/>
  <c r="AB17" i="16"/>
  <c r="AQ25" i="13"/>
  <c r="AI25" i="13"/>
  <c r="AI34" i="11"/>
  <c r="AP15" i="14"/>
  <c r="AQ15" i="14" s="1"/>
  <c r="AN29" i="14"/>
  <c r="N18" i="14"/>
  <c r="AJ30" i="15"/>
  <c r="AB30" i="15"/>
  <c r="AB19" i="40"/>
  <c r="AJ32" i="40"/>
  <c r="AB32" i="40"/>
  <c r="AJ21" i="40"/>
  <c r="AB21" i="40"/>
  <c r="AB44" i="38"/>
  <c r="AP15" i="38"/>
  <c r="AN29" i="38"/>
  <c r="U19" i="37"/>
  <c r="AG29" i="36"/>
  <c r="AI15" i="36"/>
  <c r="AB30" i="36"/>
  <c r="AJ30" i="36"/>
  <c r="AC35" i="35"/>
  <c r="U35" i="35"/>
  <c r="AC38" i="35"/>
  <c r="U38" i="35"/>
  <c r="U44" i="33"/>
  <c r="AP15" i="34"/>
  <c r="AN29" i="34"/>
  <c r="N26" i="35"/>
  <c r="V26" i="35"/>
  <c r="AQ22" i="32"/>
  <c r="AI22" i="32"/>
  <c r="R28" i="3"/>
  <c r="U18" i="32"/>
  <c r="AB20" i="30"/>
  <c r="AJ20" i="30"/>
  <c r="AB28" i="30"/>
  <c r="AJ28" i="30"/>
  <c r="AB16" i="29"/>
  <c r="AJ16" i="29"/>
  <c r="AB30" i="29"/>
  <c r="AJ30" i="29"/>
  <c r="AQ18" i="29"/>
  <c r="AI18" i="29"/>
  <c r="AI41" i="27"/>
  <c r="AB40" i="25"/>
  <c r="U33" i="23"/>
  <c r="AC33" i="23"/>
  <c r="AJ21" i="21"/>
  <c r="AB21" i="21"/>
  <c r="AB43" i="20"/>
  <c r="V26" i="20"/>
  <c r="N26" i="20"/>
  <c r="AQ33" i="17"/>
  <c r="AI33" i="17"/>
  <c r="AI33" i="14"/>
  <c r="AQ33" i="14"/>
  <c r="V25" i="13"/>
  <c r="N25" i="13"/>
  <c r="AQ18" i="12"/>
  <c r="AI18" i="12"/>
  <c r="AQ18" i="14"/>
  <c r="AI18" i="14"/>
  <c r="AQ19" i="13"/>
  <c r="AI19" i="13"/>
  <c r="S29" i="13"/>
  <c r="U15" i="13"/>
  <c r="N32" i="27"/>
  <c r="O32" i="24"/>
  <c r="AQ20" i="21"/>
  <c r="AI20" i="21"/>
  <c r="N36" i="17"/>
  <c r="AB25" i="41"/>
  <c r="AJ25" i="41"/>
  <c r="AB36" i="40"/>
  <c r="AJ34" i="40"/>
  <c r="AB34" i="40"/>
  <c r="AI19" i="40"/>
  <c r="AJ19" i="40" s="1"/>
  <c r="AI30" i="39"/>
  <c r="AQ30" i="39"/>
  <c r="N41" i="39"/>
  <c r="AB36" i="38"/>
  <c r="AI19" i="38"/>
  <c r="AC27" i="35"/>
  <c r="U27" i="35"/>
  <c r="AB26" i="34"/>
  <c r="AJ26" i="34"/>
  <c r="AJ28" i="32"/>
  <c r="AB28" i="32"/>
  <c r="AC22" i="32"/>
  <c r="U22" i="32"/>
  <c r="AI31" i="31"/>
  <c r="AQ31" i="31"/>
  <c r="N30" i="29"/>
  <c r="N41" i="27"/>
  <c r="AP41" i="27"/>
  <c r="AQ41" i="27" s="1"/>
  <c r="AB33" i="27"/>
  <c r="AJ33" i="27"/>
  <c r="N19" i="27"/>
  <c r="N16" i="26"/>
  <c r="V16" i="26"/>
  <c r="U19" i="26"/>
  <c r="N25" i="24"/>
  <c r="V25" i="24"/>
  <c r="AI24" i="23"/>
  <c r="AQ24" i="23"/>
  <c r="U32" i="19"/>
  <c r="AC32" i="19"/>
  <c r="AI36" i="18"/>
  <c r="U16" i="17"/>
  <c r="AC16" i="17"/>
  <c r="N39" i="15"/>
  <c r="AQ22" i="14"/>
  <c r="AI22" i="14"/>
  <c r="AI43" i="14"/>
  <c r="AJ43" i="14" s="1"/>
  <c r="N22" i="13"/>
  <c r="AB36" i="13"/>
  <c r="Z29" i="14"/>
  <c r="AB15" i="14"/>
  <c r="U25" i="13"/>
  <c r="AC25" i="13"/>
  <c r="AQ20" i="15"/>
  <c r="AI20" i="15"/>
  <c r="AI46" i="33"/>
  <c r="AB40" i="31"/>
  <c r="AI36" i="19"/>
  <c r="U38" i="17"/>
  <c r="AQ26" i="15"/>
  <c r="AI26" i="15"/>
  <c r="AJ31" i="41"/>
  <c r="AB31" i="41"/>
  <c r="U40" i="34"/>
  <c r="AJ22" i="33"/>
  <c r="AB22" i="33"/>
  <c r="V38" i="33"/>
  <c r="N38" i="33"/>
  <c r="AB31" i="28"/>
  <c r="AJ31" i="28"/>
  <c r="AJ32" i="27"/>
  <c r="AB32" i="27"/>
  <c r="AQ21" i="26"/>
  <c r="AI21" i="26"/>
  <c r="AI36" i="26"/>
  <c r="AJ36" i="26" s="1"/>
  <c r="V26" i="25"/>
  <c r="N26" i="25"/>
  <c r="AI21" i="24"/>
  <c r="AQ21" i="24"/>
  <c r="AI41" i="17"/>
  <c r="AJ17" i="15"/>
  <c r="AB17" i="15"/>
  <c r="AI34" i="14"/>
  <c r="AP35" i="16"/>
  <c r="AQ35" i="16" s="1"/>
  <c r="U41" i="13"/>
  <c r="AP17" i="12"/>
  <c r="N18" i="13"/>
  <c r="AB38" i="13"/>
  <c r="U43" i="16"/>
  <c r="U41" i="16"/>
  <c r="U17" i="41"/>
  <c r="AJ24" i="36"/>
  <c r="AB24" i="36"/>
  <c r="N34" i="37"/>
  <c r="V34" i="37"/>
  <c r="U18" i="30"/>
  <c r="AJ21" i="32"/>
  <c r="AB21" i="32"/>
  <c r="AJ32" i="28"/>
  <c r="AB32" i="28"/>
  <c r="AC30" i="28"/>
  <c r="U30" i="28"/>
  <c r="AJ17" i="26"/>
  <c r="AB17" i="26"/>
  <c r="AQ28" i="27"/>
  <c r="AI28" i="27"/>
  <c r="AJ16" i="20"/>
  <c r="AB16" i="20"/>
  <c r="AI32" i="18"/>
  <c r="AQ32" i="18"/>
  <c r="U19" i="19"/>
  <c r="V19" i="19" s="1"/>
  <c r="AC19" i="19"/>
  <c r="N41" i="13"/>
  <c r="V41" i="13"/>
  <c r="AB41" i="14"/>
  <c r="AJ20" i="14"/>
  <c r="AB20" i="14"/>
  <c r="AB26" i="13"/>
  <c r="AJ26" i="13"/>
  <c r="U22" i="14"/>
  <c r="V22" i="14" s="1"/>
  <c r="AC22" i="14"/>
  <c r="U45" i="40"/>
  <c r="AC24" i="32"/>
  <c r="U24" i="32"/>
  <c r="U46" i="28"/>
  <c r="AB25" i="26"/>
  <c r="AJ25" i="26"/>
  <c r="AQ36" i="40"/>
  <c r="AI36" i="40"/>
  <c r="AJ36" i="40" s="1"/>
  <c r="V20" i="40"/>
  <c r="N20" i="40"/>
  <c r="U41" i="39"/>
  <c r="V41" i="39" s="1"/>
  <c r="N41" i="36"/>
  <c r="U46" i="33"/>
  <c r="V46" i="33" s="1"/>
  <c r="AJ25" i="22"/>
  <c r="AB25" i="22"/>
  <c r="AQ18" i="23"/>
  <c r="AI18" i="23"/>
  <c r="AB38" i="18"/>
  <c r="AB43" i="18"/>
  <c r="U41" i="17"/>
  <c r="AC34" i="14"/>
  <c r="U34" i="14"/>
  <c r="V34" i="14" s="1"/>
  <c r="AQ16" i="14"/>
  <c r="AI16" i="14"/>
  <c r="AI26" i="16"/>
  <c r="AQ26" i="16"/>
  <c r="AB15" i="11"/>
  <c r="Z29" i="11"/>
  <c r="AQ17" i="12"/>
  <c r="AI17" i="12"/>
  <c r="AC20" i="41"/>
  <c r="U20" i="41"/>
  <c r="U26" i="41"/>
  <c r="AC26" i="41"/>
  <c r="O40" i="39"/>
  <c r="AI41" i="36"/>
  <c r="AI35" i="35"/>
  <c r="AQ35" i="35"/>
  <c r="AB34" i="34"/>
  <c r="AJ34" i="34"/>
  <c r="AJ21" i="35"/>
  <c r="AB21" i="35"/>
  <c r="U18" i="34"/>
  <c r="N43" i="33"/>
  <c r="O43" i="33" s="1"/>
  <c r="N46" i="33"/>
  <c r="O46" i="33" s="1"/>
  <c r="AP40" i="33"/>
  <c r="AJ26" i="32"/>
  <c r="AB26" i="32"/>
  <c r="AC23" i="27"/>
  <c r="U23" i="27"/>
  <c r="AI25" i="28"/>
  <c r="AQ25" i="28"/>
  <c r="N30" i="25"/>
  <c r="O30" i="25" s="1"/>
  <c r="N40" i="27"/>
  <c r="AI38" i="26"/>
  <c r="AQ38" i="26"/>
  <c r="AB38" i="26"/>
  <c r="AJ38" i="26"/>
  <c r="AC36" i="26"/>
  <c r="U36" i="26"/>
  <c r="AJ30" i="22"/>
  <c r="AB30" i="22"/>
  <c r="V25" i="21"/>
  <c r="N25" i="21"/>
  <c r="V31" i="20"/>
  <c r="N31" i="20"/>
  <c r="AI19" i="21"/>
  <c r="AP24" i="23"/>
  <c r="N31" i="24"/>
  <c r="V31" i="24"/>
  <c r="N39" i="18"/>
  <c r="O39" i="18" s="1"/>
  <c r="AB19" i="16"/>
  <c r="AJ19" i="16"/>
  <c r="N43" i="17"/>
  <c r="N34" i="14"/>
  <c r="AQ25" i="12"/>
  <c r="AI25" i="12"/>
  <c r="U43" i="15"/>
  <c r="N16" i="13"/>
  <c r="V16" i="13"/>
  <c r="N22" i="11"/>
  <c r="U38" i="34"/>
  <c r="AC38" i="34"/>
  <c r="AJ26" i="30"/>
  <c r="AB26" i="30"/>
  <c r="N23" i="20"/>
  <c r="V23" i="20"/>
  <c r="AI15" i="20"/>
  <c r="AG29" i="20"/>
  <c r="AB36" i="17"/>
  <c r="N42" i="15"/>
  <c r="U36" i="15"/>
  <c r="AB35" i="13"/>
  <c r="AB33" i="12"/>
  <c r="AJ33" i="12"/>
  <c r="V27" i="14"/>
  <c r="N27" i="14"/>
  <c r="AQ22" i="41"/>
  <c r="AI22" i="41"/>
  <c r="AJ22" i="40"/>
  <c r="AB22" i="40"/>
  <c r="AJ25" i="31"/>
  <c r="AB25" i="31"/>
  <c r="AC32" i="28"/>
  <c r="U32" i="28"/>
  <c r="U36" i="37"/>
  <c r="AC36" i="37"/>
  <c r="AB35" i="37"/>
  <c r="AJ35" i="37"/>
  <c r="N36" i="35"/>
  <c r="N18" i="35"/>
  <c r="AQ40" i="33"/>
  <c r="AI40" i="33"/>
  <c r="AI17" i="33"/>
  <c r="AQ17" i="33"/>
  <c r="AQ17" i="31"/>
  <c r="AI17" i="31"/>
  <c r="N45" i="28"/>
  <c r="AI44" i="28"/>
  <c r="AI43" i="26"/>
  <c r="AI18" i="27"/>
  <c r="AQ18" i="27"/>
  <c r="AI26" i="24"/>
  <c r="AQ26" i="24"/>
  <c r="U25" i="20"/>
  <c r="AC25" i="20"/>
  <c r="AB25" i="18"/>
  <c r="AJ25" i="18"/>
  <c r="AJ34" i="14"/>
  <c r="AB34" i="14"/>
  <c r="AN29" i="13"/>
  <c r="AP15" i="13"/>
  <c r="U41" i="11"/>
  <c r="V41" i="11" s="1"/>
  <c r="AI32" i="10"/>
  <c r="AQ32" i="10"/>
  <c r="U44" i="41"/>
  <c r="N40" i="41"/>
  <c r="AI31" i="39"/>
  <c r="AQ31" i="39"/>
  <c r="N40" i="38"/>
  <c r="AI40" i="37"/>
  <c r="AJ40" i="37" s="1"/>
  <c r="N23" i="36"/>
  <c r="V23" i="36"/>
  <c r="AB20" i="34"/>
  <c r="AJ20" i="34"/>
  <c r="U41" i="31"/>
  <c r="N26" i="32"/>
  <c r="V26" i="32"/>
  <c r="AI22" i="29"/>
  <c r="AQ22" i="29"/>
  <c r="U19" i="27"/>
  <c r="V19" i="27" s="1"/>
  <c r="H29" i="28"/>
  <c r="AB41" i="28"/>
  <c r="AI34" i="26"/>
  <c r="AQ34" i="26"/>
  <c r="H29" i="23"/>
  <c r="AI43" i="22"/>
  <c r="AQ43" i="22"/>
  <c r="AI25" i="21"/>
  <c r="AQ25" i="21"/>
  <c r="AJ30" i="20"/>
  <c r="AB30" i="20"/>
  <c r="AN29" i="18"/>
  <c r="AP15" i="18"/>
  <c r="AB32" i="18"/>
  <c r="AJ32" i="18"/>
  <c r="AB28" i="17"/>
  <c r="AJ28" i="17"/>
  <c r="V24" i="14"/>
  <c r="N24" i="14"/>
  <c r="AQ18" i="13"/>
  <c r="AI18" i="13"/>
  <c r="Z29" i="12"/>
  <c r="AB15" i="12"/>
  <c r="U22" i="9"/>
  <c r="AC22" i="9"/>
  <c r="N22" i="40"/>
  <c r="AJ22" i="38"/>
  <c r="AB22" i="38"/>
  <c r="N36" i="38"/>
  <c r="AI36" i="38"/>
  <c r="AJ36" i="38" s="1"/>
  <c r="AI40" i="38"/>
  <c r="AI27" i="35"/>
  <c r="AQ27" i="35"/>
  <c r="U18" i="37"/>
  <c r="V20" i="34"/>
  <c r="N20" i="34"/>
  <c r="AJ18" i="34"/>
  <c r="AB18" i="34"/>
  <c r="AC18" i="34" s="1"/>
  <c r="N24" i="33"/>
  <c r="V24" i="33"/>
  <c r="U23" i="33"/>
  <c r="AC23" i="33"/>
  <c r="AB26" i="33"/>
  <c r="AJ26" i="33"/>
  <c r="AQ16" i="29"/>
  <c r="AI16" i="29"/>
  <c r="AI15" i="24"/>
  <c r="AJ15" i="24" s="1"/>
  <c r="AG29" i="24"/>
  <c r="AB39" i="21"/>
  <c r="U30" i="20"/>
  <c r="AC30" i="20"/>
  <c r="N24" i="19"/>
  <c r="V24" i="19"/>
  <c r="V19" i="18"/>
  <c r="N19" i="18"/>
  <c r="AB42" i="18"/>
  <c r="AC42" i="18" s="1"/>
  <c r="U28" i="18"/>
  <c r="AC28" i="18"/>
  <c r="AJ25" i="16"/>
  <c r="AB25" i="16"/>
  <c r="N31" i="15"/>
  <c r="V31" i="15"/>
  <c r="AB39" i="12"/>
  <c r="U36" i="14"/>
  <c r="V36" i="14" s="1"/>
  <c r="U26" i="16"/>
  <c r="AC26" i="16"/>
  <c r="U25" i="11"/>
  <c r="AC25" i="11"/>
  <c r="N36" i="14"/>
  <c r="V16" i="41"/>
  <c r="N16" i="41"/>
  <c r="AI16" i="41"/>
  <c r="AQ16" i="41"/>
  <c r="AJ35" i="38"/>
  <c r="AB35" i="38"/>
  <c r="AI24" i="38"/>
  <c r="AQ24" i="38"/>
  <c r="AQ27" i="37"/>
  <c r="AI27" i="37"/>
  <c r="AB40" i="37"/>
  <c r="N15" i="37"/>
  <c r="L29" i="37"/>
  <c r="U45" i="33"/>
  <c r="AJ18" i="35"/>
  <c r="AB18" i="35"/>
  <c r="AC18" i="35" s="1"/>
  <c r="AI41" i="31"/>
  <c r="AQ41" i="31"/>
  <c r="U41" i="32"/>
  <c r="AC16" i="29"/>
  <c r="U16" i="29"/>
  <c r="AI36" i="28"/>
  <c r="AB33" i="26"/>
  <c r="AC33" i="26" s="1"/>
  <c r="AJ33" i="26"/>
  <c r="U36" i="24"/>
  <c r="AJ26" i="21"/>
  <c r="AB26" i="21"/>
  <c r="AQ18" i="18"/>
  <c r="AI18" i="18"/>
  <c r="N22" i="19"/>
  <c r="AB30" i="18"/>
  <c r="AJ30" i="18"/>
  <c r="AJ22" i="16"/>
  <c r="AB22" i="16"/>
  <c r="AJ36" i="18"/>
  <c r="AB36" i="18"/>
  <c r="AQ42" i="12"/>
  <c r="AI42" i="12"/>
  <c r="AC17" i="14"/>
  <c r="U17" i="14"/>
  <c r="V23" i="13"/>
  <c r="N23" i="13"/>
  <c r="AJ27" i="17"/>
  <c r="AB27" i="17"/>
  <c r="AJ18" i="17"/>
  <c r="AB18" i="17"/>
  <c r="N30" i="12"/>
  <c r="AQ32" i="12"/>
  <c r="AI32" i="12"/>
  <c r="U33" i="16"/>
  <c r="AC33" i="16"/>
  <c r="AI42" i="15"/>
  <c r="AI42" i="16"/>
  <c r="AJ42" i="16" s="1"/>
  <c r="U22" i="16"/>
  <c r="AC22" i="16"/>
  <c r="Z29" i="16"/>
  <c r="AB15" i="16"/>
  <c r="AQ30" i="19"/>
  <c r="AI30" i="19"/>
  <c r="U26" i="18"/>
  <c r="AC26" i="18"/>
  <c r="AI42" i="17"/>
  <c r="AQ42" i="17"/>
  <c r="V28" i="21"/>
  <c r="N28" i="21"/>
  <c r="N22" i="20"/>
  <c r="U27" i="20"/>
  <c r="AC27" i="20"/>
  <c r="AC32" i="24"/>
  <c r="U32" i="24"/>
  <c r="AI42" i="22"/>
  <c r="N38" i="21"/>
  <c r="V38" i="21"/>
  <c r="AI25" i="23"/>
  <c r="AQ25" i="23"/>
  <c r="AJ16" i="26"/>
  <c r="AB16" i="26"/>
  <c r="U19" i="28"/>
  <c r="U38" i="27"/>
  <c r="AC38" i="27"/>
  <c r="AQ36" i="27"/>
  <c r="AI36" i="27"/>
  <c r="AB45" i="31"/>
  <c r="AI17" i="29"/>
  <c r="AQ17" i="29"/>
  <c r="U44" i="29"/>
  <c r="N27" i="29"/>
  <c r="V27" i="29"/>
  <c r="AI33" i="32"/>
  <c r="AQ33" i="32"/>
  <c r="O28" i="3"/>
  <c r="AI33" i="33"/>
  <c r="AQ33" i="33"/>
  <c r="U30" i="33"/>
  <c r="AC30" i="33"/>
  <c r="AI24" i="36"/>
  <c r="AQ24" i="36"/>
  <c r="AN29" i="39"/>
  <c r="AP15" i="39"/>
  <c r="AQ15" i="39" s="1"/>
  <c r="AQ34" i="38"/>
  <c r="AI34" i="38"/>
  <c r="AJ23" i="39"/>
  <c r="AB23" i="39"/>
  <c r="V31" i="40"/>
  <c r="N31" i="40"/>
  <c r="V24" i="41"/>
  <c r="N24" i="41"/>
  <c r="N36" i="40"/>
  <c r="AN29" i="40"/>
  <c r="AP15" i="40"/>
  <c r="AQ33" i="38"/>
  <c r="AI33" i="38"/>
  <c r="AB25" i="36"/>
  <c r="AJ25" i="36"/>
  <c r="AG29" i="37"/>
  <c r="AI15" i="37"/>
  <c r="AJ28" i="33"/>
  <c r="AB28" i="33"/>
  <c r="N45" i="31"/>
  <c r="AC20" i="29"/>
  <c r="U20" i="29"/>
  <c r="N40" i="29"/>
  <c r="V40" i="29"/>
  <c r="AN29" i="29"/>
  <c r="AP15" i="29"/>
  <c r="AP28" i="27"/>
  <c r="AI28" i="25"/>
  <c r="AQ28" i="25"/>
  <c r="N45" i="25"/>
  <c r="AI32" i="24"/>
  <c r="AQ32" i="24"/>
  <c r="AP41" i="24"/>
  <c r="AQ41" i="24" s="1"/>
  <c r="AB42" i="23"/>
  <c r="N18" i="22"/>
  <c r="AB16" i="23"/>
  <c r="AJ16" i="23"/>
  <c r="AJ19" i="18"/>
  <c r="AB19" i="18"/>
  <c r="AN29" i="19"/>
  <c r="AP15" i="19"/>
  <c r="AQ15" i="19" s="1"/>
  <c r="N19" i="19"/>
  <c r="U19" i="17"/>
  <c r="AC19" i="17"/>
  <c r="U24" i="16"/>
  <c r="AC24" i="16"/>
  <c r="V20" i="15"/>
  <c r="N20" i="15"/>
  <c r="N19" i="15"/>
  <c r="V19" i="15"/>
  <c r="AJ34" i="12"/>
  <c r="AB34" i="12"/>
  <c r="AI34" i="13"/>
  <c r="N43" i="12"/>
  <c r="AG29" i="14"/>
  <c r="AI15" i="14"/>
  <c r="AJ15" i="14" s="1"/>
  <c r="U38" i="13"/>
  <c r="AC38" i="13"/>
  <c r="AI23" i="11"/>
  <c r="AQ23" i="11"/>
  <c r="AQ33" i="12"/>
  <c r="AI33" i="12"/>
  <c r="AG29" i="39"/>
  <c r="AI15" i="39"/>
  <c r="AI17" i="38"/>
  <c r="AQ17" i="38"/>
  <c r="AB43" i="35"/>
  <c r="AQ27" i="34"/>
  <c r="AI27" i="34"/>
  <c r="AQ24" i="32"/>
  <c r="AI24" i="32"/>
  <c r="AI41" i="30"/>
  <c r="AJ22" i="27"/>
  <c r="AB22" i="27"/>
  <c r="AB36" i="25"/>
  <c r="AC36" i="25" s="1"/>
  <c r="U19" i="24"/>
  <c r="N27" i="23"/>
  <c r="V27" i="23"/>
  <c r="AB34" i="23"/>
  <c r="N20" i="23"/>
  <c r="V20" i="23"/>
  <c r="AQ34" i="21"/>
  <c r="AI34" i="21"/>
  <c r="AB39" i="22"/>
  <c r="AB16" i="18"/>
  <c r="AJ16" i="18"/>
  <c r="U17" i="20"/>
  <c r="U18" i="19"/>
  <c r="AQ25" i="38"/>
  <c r="AI25" i="38"/>
  <c r="AI36" i="35"/>
  <c r="AQ36" i="35"/>
  <c r="AJ16" i="35"/>
  <c r="AB16" i="35"/>
  <c r="AB28" i="26"/>
  <c r="AJ28" i="26"/>
  <c r="AC33" i="41"/>
  <c r="U33" i="41"/>
  <c r="AB31" i="39"/>
  <c r="AJ31" i="39"/>
  <c r="AB46" i="39"/>
  <c r="AC46" i="39" s="1"/>
  <c r="U36" i="39"/>
  <c r="Z46" i="38"/>
  <c r="X37" i="38"/>
  <c r="Z37" i="38" s="1"/>
  <c r="AJ23" i="38"/>
  <c r="AB23" i="38"/>
  <c r="AC30" i="41"/>
  <c r="U30" i="41"/>
  <c r="AQ24" i="41"/>
  <c r="AI24" i="41"/>
  <c r="AI26" i="39"/>
  <c r="AQ26" i="39"/>
  <c r="AJ25" i="39"/>
  <c r="AB25" i="39"/>
  <c r="AQ27" i="39"/>
  <c r="AI27" i="39"/>
  <c r="H29" i="39"/>
  <c r="N40" i="39"/>
  <c r="AQ23" i="36"/>
  <c r="AI23" i="36"/>
  <c r="U18" i="35"/>
  <c r="V18" i="35" s="1"/>
  <c r="U41" i="35"/>
  <c r="AQ20" i="37"/>
  <c r="AI20" i="37"/>
  <c r="AQ16" i="37"/>
  <c r="AI16" i="37"/>
  <c r="O33" i="35"/>
  <c r="AJ46" i="33"/>
  <c r="AB46" i="33"/>
  <c r="AC46" i="33" s="1"/>
  <c r="V16" i="35"/>
  <c r="N16" i="35"/>
  <c r="N15" i="34"/>
  <c r="L29" i="34"/>
  <c r="AB35" i="32"/>
  <c r="AJ35" i="32"/>
  <c r="AQ38" i="34"/>
  <c r="AI38" i="34"/>
  <c r="V28" i="34"/>
  <c r="N28" i="34"/>
  <c r="AQ22" i="33"/>
  <c r="AI22" i="33"/>
  <c r="U30" i="32"/>
  <c r="F27" i="3" s="1"/>
  <c r="AC30" i="32"/>
  <c r="F26" i="3"/>
  <c r="AP43" i="33"/>
  <c r="U33" i="32"/>
  <c r="V33" i="32" s="1"/>
  <c r="U27" i="34"/>
  <c r="AC27" i="34"/>
  <c r="AB43" i="32"/>
  <c r="AQ35" i="31"/>
  <c r="AI35" i="31"/>
  <c r="N18" i="32"/>
  <c r="V18" i="32"/>
  <c r="AQ38" i="32"/>
  <c r="AI38" i="32"/>
  <c r="AJ22" i="32"/>
  <c r="AB22" i="32"/>
  <c r="AQ45" i="32"/>
  <c r="AI45" i="32"/>
  <c r="AJ18" i="32"/>
  <c r="AB18" i="32"/>
  <c r="AC18" i="32" s="1"/>
  <c r="N19" i="31"/>
  <c r="N20" i="31"/>
  <c r="V20" i="31"/>
  <c r="AJ26" i="31"/>
  <c r="AB26" i="31"/>
  <c r="U19" i="30"/>
  <c r="AI15" i="32"/>
  <c r="AI34" i="29"/>
  <c r="AQ34" i="29"/>
  <c r="U16" i="31"/>
  <c r="AC16" i="31"/>
  <c r="V24" i="31"/>
  <c r="N24" i="31"/>
  <c r="AI40" i="29"/>
  <c r="AJ40" i="29" s="1"/>
  <c r="AI33" i="30"/>
  <c r="AQ33" i="30"/>
  <c r="N27" i="31"/>
  <c r="V27" i="31"/>
  <c r="AB34" i="30"/>
  <c r="AJ34" i="30"/>
  <c r="AC27" i="31"/>
  <c r="U27" i="31"/>
  <c r="AB34" i="33"/>
  <c r="AJ34" i="33"/>
  <c r="U35" i="30"/>
  <c r="AC35" i="30"/>
  <c r="N41" i="31"/>
  <c r="V41" i="31"/>
  <c r="AB46" i="30"/>
  <c r="AB45" i="30"/>
  <c r="U45" i="30"/>
  <c r="AC45" i="30"/>
  <c r="AI30" i="29"/>
  <c r="AQ30" i="29"/>
  <c r="AP17" i="29"/>
  <c r="V44" i="29"/>
  <c r="N44" i="29"/>
  <c r="N28" i="29"/>
  <c r="V28" i="29"/>
  <c r="AQ23" i="28"/>
  <c r="AI23" i="28"/>
  <c r="U17" i="28"/>
  <c r="AI24" i="29"/>
  <c r="AQ24" i="29"/>
  <c r="AB23" i="28"/>
  <c r="AJ23" i="28"/>
  <c r="AB21" i="29"/>
  <c r="AC21" i="29" s="1"/>
  <c r="AJ21" i="29"/>
  <c r="N21" i="28"/>
  <c r="O21" i="28" s="1"/>
  <c r="V21" i="28"/>
  <c r="U21" i="28"/>
  <c r="AQ45" i="26"/>
  <c r="AI45" i="26"/>
  <c r="AJ45" i="26" s="1"/>
  <c r="N41" i="25"/>
  <c r="V41" i="25"/>
  <c r="AI20" i="27"/>
  <c r="AQ20" i="27"/>
  <c r="AJ20" i="25"/>
  <c r="AB20" i="25"/>
  <c r="AB46" i="25"/>
  <c r="AC46" i="25" s="1"/>
  <c r="AQ33" i="27"/>
  <c r="AI33" i="27"/>
  <c r="Q23" i="3"/>
  <c r="AI46" i="27"/>
  <c r="AB45" i="26"/>
  <c r="AC45" i="26" s="1"/>
  <c r="AP36" i="26"/>
  <c r="AQ36" i="26" s="1"/>
  <c r="AQ18" i="25"/>
  <c r="AI18" i="25"/>
  <c r="AI28" i="26"/>
  <c r="AQ28" i="26"/>
  <c r="AB41" i="22"/>
  <c r="AC41" i="22" s="1"/>
  <c r="N48" i="24"/>
  <c r="O48" i="24" s="1"/>
  <c r="U48" i="24"/>
  <c r="V48" i="24" s="1"/>
  <c r="Z29" i="23"/>
  <c r="AB15" i="23"/>
  <c r="AI19" i="25"/>
  <c r="AQ19" i="25"/>
  <c r="U36" i="23"/>
  <c r="N32" i="23"/>
  <c r="U41" i="22"/>
  <c r="N24" i="24"/>
  <c r="V24" i="24"/>
  <c r="U34" i="23"/>
  <c r="AC34" i="23"/>
  <c r="L41" i="22"/>
  <c r="AJ17" i="21"/>
  <c r="AB17" i="21"/>
  <c r="N15" i="23"/>
  <c r="O15" i="23" s="1"/>
  <c r="L29" i="23"/>
  <c r="U18" i="22"/>
  <c r="V18" i="22" s="1"/>
  <c r="AC24" i="24"/>
  <c r="U24" i="24"/>
  <c r="N38" i="23"/>
  <c r="AJ43" i="26"/>
  <c r="AB18" i="22"/>
  <c r="AC18" i="22" s="1"/>
  <c r="AJ18" i="22"/>
  <c r="AB18" i="23"/>
  <c r="AJ18" i="23"/>
  <c r="AC22" i="21"/>
  <c r="U22" i="21"/>
  <c r="AQ16" i="23"/>
  <c r="AI16" i="23"/>
  <c r="AJ22" i="21"/>
  <c r="AB22" i="21"/>
  <c r="AI19" i="19"/>
  <c r="U19" i="22"/>
  <c r="AB26" i="20"/>
  <c r="AJ26" i="20"/>
  <c r="AQ19" i="24"/>
  <c r="AI19" i="24"/>
  <c r="AI39" i="19"/>
  <c r="AQ20" i="17"/>
  <c r="AI20" i="17"/>
  <c r="AC24" i="19"/>
  <c r="U24" i="19"/>
  <c r="V41" i="19"/>
  <c r="N41" i="19"/>
  <c r="AP41" i="19"/>
  <c r="AI28" i="22"/>
  <c r="AQ28" i="22"/>
  <c r="L29" i="22"/>
  <c r="N15" i="22"/>
  <c r="AQ17" i="22"/>
  <c r="AI17" i="22"/>
  <c r="N24" i="20"/>
  <c r="V24" i="20"/>
  <c r="AJ30" i="19"/>
  <c r="AB30" i="19"/>
  <c r="N43" i="18"/>
  <c r="AI39" i="20"/>
  <c r="U47" i="17"/>
  <c r="V31" i="19"/>
  <c r="N31" i="19"/>
  <c r="AB43" i="17"/>
  <c r="AP15" i="17"/>
  <c r="AN29" i="17"/>
  <c r="AJ30" i="17"/>
  <c r="AB30" i="17"/>
  <c r="U26" i="19"/>
  <c r="AC26" i="19"/>
  <c r="V28" i="19"/>
  <c r="N28" i="19"/>
  <c r="N32" i="16"/>
  <c r="AB44" i="16"/>
  <c r="AC44" i="16" s="1"/>
  <c r="AB47" i="14"/>
  <c r="N30" i="17"/>
  <c r="AJ27" i="15"/>
  <c r="AB27" i="15"/>
  <c r="AJ18" i="21"/>
  <c r="AB18" i="21"/>
  <c r="AI22" i="15"/>
  <c r="AQ22" i="15"/>
  <c r="AB48" i="16"/>
  <c r="AI38" i="15"/>
  <c r="AN39" i="17"/>
  <c r="AJ16" i="17"/>
  <c r="AB16" i="17"/>
  <c r="AQ35" i="15"/>
  <c r="AI35" i="15"/>
  <c r="AB15" i="17"/>
  <c r="Z29" i="17"/>
  <c r="AC30" i="16"/>
  <c r="U30" i="16"/>
  <c r="U18" i="16"/>
  <c r="AJ21" i="13"/>
  <c r="AB21" i="13"/>
  <c r="N43" i="14"/>
  <c r="O43" i="14" s="1"/>
  <c r="V43" i="14"/>
  <c r="AC26" i="14"/>
  <c r="U26" i="14"/>
  <c r="AB32" i="13"/>
  <c r="AJ32" i="13"/>
  <c r="AJ26" i="15"/>
  <c r="AB26" i="15"/>
  <c r="N22" i="14"/>
  <c r="AP43" i="13"/>
  <c r="N34" i="13"/>
  <c r="V34" i="13"/>
  <c r="AQ21" i="15"/>
  <c r="AI21" i="15"/>
  <c r="R8" i="3"/>
  <c r="AP22" i="14"/>
  <c r="U18" i="13"/>
  <c r="V18" i="13" s="1"/>
  <c r="AI45" i="14"/>
  <c r="AJ45" i="14" s="1"/>
  <c r="AB20" i="15"/>
  <c r="AJ20" i="15"/>
  <c r="U42" i="14"/>
  <c r="V42" i="14" s="1"/>
  <c r="AQ23" i="13"/>
  <c r="AI23" i="13"/>
  <c r="U33" i="13"/>
  <c r="AC33" i="13"/>
  <c r="AB19" i="11"/>
  <c r="AJ19" i="11"/>
  <c r="AJ42" i="12"/>
  <c r="AB42" i="12"/>
  <c r="U17" i="12"/>
  <c r="AC17" i="12"/>
  <c r="AC24" i="9"/>
  <c r="U24" i="9"/>
  <c r="AI33" i="11"/>
  <c r="AQ33" i="11"/>
  <c r="AJ30" i="9"/>
  <c r="AB30" i="9"/>
  <c r="AI35" i="10"/>
  <c r="AP35" i="10"/>
  <c r="AQ35" i="10" s="1"/>
  <c r="AB48" i="9"/>
  <c r="AJ48" i="9"/>
  <c r="AI48" i="9"/>
  <c r="AB48" i="12"/>
  <c r="AJ48" i="12"/>
  <c r="AB36" i="10"/>
  <c r="O48" i="10"/>
  <c r="N48" i="10"/>
  <c r="L29" i="10"/>
  <c r="N15" i="10"/>
  <c r="O15" i="10" s="1"/>
  <c r="U31" i="9"/>
  <c r="AC31" i="9"/>
  <c r="AB25" i="14"/>
  <c r="AJ25" i="14"/>
  <c r="AJ20" i="12"/>
  <c r="AB20" i="12"/>
  <c r="AJ26" i="11"/>
  <c r="AB26" i="11"/>
  <c r="AI19" i="10"/>
  <c r="AQ19" i="10"/>
  <c r="U43" i="11"/>
  <c r="N22" i="10"/>
  <c r="AB36" i="9"/>
  <c r="V43" i="11"/>
  <c r="N43" i="11"/>
  <c r="U18" i="11"/>
  <c r="V26" i="10"/>
  <c r="N26" i="10"/>
  <c r="L29" i="9"/>
  <c r="N15" i="9"/>
  <c r="O15" i="9" s="1"/>
  <c r="V17" i="12"/>
  <c r="N17" i="12"/>
  <c r="V19" i="13"/>
  <c r="N19" i="13"/>
  <c r="AP24" i="14"/>
  <c r="U39" i="13"/>
  <c r="AQ25" i="15"/>
  <c r="AI25" i="15"/>
  <c r="O42" i="15"/>
  <c r="U15" i="16"/>
  <c r="S29" i="16"/>
  <c r="AC15" i="16"/>
  <c r="AP25" i="14"/>
  <c r="V33" i="16"/>
  <c r="N33" i="16"/>
  <c r="N42" i="20"/>
  <c r="AB17" i="19"/>
  <c r="AJ17" i="19"/>
  <c r="AP23" i="17"/>
  <c r="AP30" i="19"/>
  <c r="U16" i="18"/>
  <c r="AC16" i="18"/>
  <c r="AB27" i="19"/>
  <c r="AJ27" i="19"/>
  <c r="AC36" i="18"/>
  <c r="U36" i="18"/>
  <c r="AJ17" i="18"/>
  <c r="AB17" i="18"/>
  <c r="AQ23" i="18"/>
  <c r="AI23" i="18"/>
  <c r="AQ21" i="18"/>
  <c r="AI21" i="18"/>
  <c r="AP30" i="20"/>
  <c r="AI25" i="20"/>
  <c r="AQ25" i="20"/>
  <c r="AI23" i="19"/>
  <c r="AQ23" i="19"/>
  <c r="V30" i="20"/>
  <c r="N30" i="20"/>
  <c r="N20" i="20"/>
  <c r="V20" i="20"/>
  <c r="AI33" i="21"/>
  <c r="AQ33" i="21"/>
  <c r="AP30" i="21"/>
  <c r="AQ31" i="22"/>
  <c r="AI31" i="22"/>
  <c r="AP19" i="22"/>
  <c r="AB30" i="23"/>
  <c r="AJ30" i="23"/>
  <c r="AC16" i="24"/>
  <c r="U16" i="24"/>
  <c r="V31" i="23"/>
  <c r="N31" i="23"/>
  <c r="AB34" i="22"/>
  <c r="AJ42" i="22"/>
  <c r="AB42" i="22"/>
  <c r="U41" i="25"/>
  <c r="AP35" i="25"/>
  <c r="AC24" i="26"/>
  <c r="U24" i="26"/>
  <c r="AP15" i="26"/>
  <c r="AN29" i="26"/>
  <c r="H29" i="25"/>
  <c r="AP25" i="26"/>
  <c r="AQ22" i="30"/>
  <c r="AI22" i="30"/>
  <c r="U26" i="27"/>
  <c r="AC26" i="27"/>
  <c r="AI15" i="27"/>
  <c r="AJ15" i="27" s="1"/>
  <c r="AI17" i="28"/>
  <c r="AQ17" i="28"/>
  <c r="H29" i="27"/>
  <c r="O19" i="31"/>
  <c r="N45" i="30"/>
  <c r="V45" i="30"/>
  <c r="AQ23" i="31"/>
  <c r="AI23" i="31"/>
  <c r="N16" i="33"/>
  <c r="V16" i="33"/>
  <c r="AP36" i="33"/>
  <c r="AQ43" i="33"/>
  <c r="N35" i="32"/>
  <c r="AQ25" i="34"/>
  <c r="AI25" i="34"/>
  <c r="AP28" i="36"/>
  <c r="V25" i="35"/>
  <c r="N25" i="35"/>
  <c r="AB19" i="36"/>
  <c r="AB40" i="35"/>
  <c r="L29" i="36"/>
  <c r="N15" i="36"/>
  <c r="U28" i="37"/>
  <c r="AC28" i="37"/>
  <c r="AP40" i="38"/>
  <c r="AQ40" i="38" s="1"/>
  <c r="U31" i="37"/>
  <c r="AC31" i="37"/>
  <c r="AP45" i="38"/>
  <c r="U45" i="39"/>
  <c r="V23" i="40"/>
  <c r="N23" i="40"/>
  <c r="AQ34" i="39"/>
  <c r="AI34" i="39"/>
  <c r="AC27" i="40"/>
  <c r="U27" i="40"/>
  <c r="AI41" i="40"/>
  <c r="AQ41" i="40"/>
  <c r="AI32" i="41"/>
  <c r="U23" i="41"/>
  <c r="AC23" i="41"/>
  <c r="AQ41" i="41"/>
  <c r="AI41" i="41"/>
  <c r="AJ16" i="12"/>
  <c r="AB16" i="12"/>
  <c r="AJ25" i="11"/>
  <c r="AB25" i="11"/>
  <c r="AQ33" i="10"/>
  <c r="AI33" i="10"/>
  <c r="AJ19" i="10"/>
  <c r="AB19" i="10"/>
  <c r="AI19" i="12"/>
  <c r="AQ19" i="12"/>
  <c r="AG29" i="9"/>
  <c r="AQ21" i="41"/>
  <c r="AI21" i="41"/>
  <c r="AI45" i="31"/>
  <c r="AJ45" i="31" s="1"/>
  <c r="N22" i="25"/>
  <c r="N21" i="41"/>
  <c r="U26" i="39"/>
  <c r="AC26" i="39"/>
  <c r="AC30" i="39"/>
  <c r="U30" i="39"/>
  <c r="AP33" i="38"/>
  <c r="N19" i="41"/>
  <c r="L43" i="40"/>
  <c r="AP36" i="40"/>
  <c r="AQ33" i="40"/>
  <c r="AI33" i="40"/>
  <c r="AC15" i="40"/>
  <c r="S29" i="40"/>
  <c r="U15" i="40"/>
  <c r="V23" i="39"/>
  <c r="N23" i="39"/>
  <c r="AP24" i="38"/>
  <c r="AP41" i="38"/>
  <c r="N26" i="39"/>
  <c r="V26" i="39"/>
  <c r="AC38" i="36"/>
  <c r="U38" i="36"/>
  <c r="AB37" i="37"/>
  <c r="AJ34" i="37"/>
  <c r="AB34" i="37"/>
  <c r="AQ19" i="36"/>
  <c r="AI19" i="36"/>
  <c r="AJ19" i="36" s="1"/>
  <c r="U28" i="33"/>
  <c r="AC28" i="33"/>
  <c r="U36" i="41"/>
  <c r="AC36" i="41"/>
  <c r="AQ26" i="41"/>
  <c r="AI26" i="41"/>
  <c r="H43" i="41"/>
  <c r="AB49" i="41"/>
  <c r="N46" i="40"/>
  <c r="N18" i="41"/>
  <c r="U16" i="41"/>
  <c r="AC16" i="41"/>
  <c r="AI32" i="40"/>
  <c r="AQ32" i="40"/>
  <c r="AP32" i="40"/>
  <c r="AB25" i="40"/>
  <c r="AJ25" i="40"/>
  <c r="U43" i="40"/>
  <c r="AC22" i="39"/>
  <c r="U22" i="39"/>
  <c r="AB43" i="39"/>
  <c r="AC43" i="39" s="1"/>
  <c r="AC27" i="39"/>
  <c r="U27" i="39"/>
  <c r="N15" i="40"/>
  <c r="L29" i="40"/>
  <c r="V15" i="40"/>
  <c r="U21" i="39"/>
  <c r="V21" i="39" s="1"/>
  <c r="AC21" i="39"/>
  <c r="AP22" i="39"/>
  <c r="U19" i="39"/>
  <c r="AB40" i="38"/>
  <c r="AC40" i="38" s="1"/>
  <c r="AJ40" i="38"/>
  <c r="N36" i="39"/>
  <c r="O36" i="39" s="1"/>
  <c r="V36" i="39"/>
  <c r="AP43" i="39"/>
  <c r="AI49" i="37"/>
  <c r="AJ49" i="37" s="1"/>
  <c r="AQ49" i="37"/>
  <c r="U40" i="38"/>
  <c r="V40" i="38" s="1"/>
  <c r="V16" i="38"/>
  <c r="N16" i="38"/>
  <c r="AI17" i="37"/>
  <c r="AQ17" i="37"/>
  <c r="AJ28" i="37"/>
  <c r="AB28" i="37"/>
  <c r="O30" i="38"/>
  <c r="V26" i="36"/>
  <c r="N26" i="36"/>
  <c r="N33" i="36"/>
  <c r="V23" i="37"/>
  <c r="N23" i="37"/>
  <c r="V20" i="38"/>
  <c r="N20" i="38"/>
  <c r="AI36" i="36"/>
  <c r="AQ36" i="36"/>
  <c r="AB43" i="37"/>
  <c r="AC43" i="37" s="1"/>
  <c r="U44" i="37"/>
  <c r="AQ25" i="37"/>
  <c r="AI25" i="37"/>
  <c r="AJ31" i="37"/>
  <c r="AB31" i="37"/>
  <c r="U17" i="36"/>
  <c r="AQ25" i="36"/>
  <c r="AI25" i="36"/>
  <c r="V43" i="35"/>
  <c r="N43" i="35"/>
  <c r="AP34" i="37"/>
  <c r="V28" i="36"/>
  <c r="N28" i="36"/>
  <c r="U36" i="34"/>
  <c r="AB46" i="35"/>
  <c r="N32" i="35"/>
  <c r="AB38" i="34"/>
  <c r="AJ38" i="34"/>
  <c r="V16" i="34"/>
  <c r="N16" i="34"/>
  <c r="U28" i="35"/>
  <c r="AC28" i="35"/>
  <c r="Z44" i="34"/>
  <c r="AP45" i="33"/>
  <c r="AB36" i="34"/>
  <c r="AC36" i="34" s="1"/>
  <c r="AI33" i="34"/>
  <c r="AQ33" i="34"/>
  <c r="AC22" i="33"/>
  <c r="U22" i="33"/>
  <c r="U28" i="32"/>
  <c r="AC28" i="32"/>
  <c r="AB32" i="32"/>
  <c r="AJ32" i="32"/>
  <c r="AB31" i="33"/>
  <c r="AJ31" i="33"/>
  <c r="AG29" i="33"/>
  <c r="AI15" i="33"/>
  <c r="AB46" i="32"/>
  <c r="AC46" i="32" s="1"/>
  <c r="N18" i="33"/>
  <c r="AB17" i="32"/>
  <c r="AJ17" i="32"/>
  <c r="N22" i="32"/>
  <c r="V22" i="32"/>
  <c r="U44" i="32"/>
  <c r="AI18" i="32"/>
  <c r="AQ18" i="32"/>
  <c r="Z29" i="31"/>
  <c r="AB15" i="31"/>
  <c r="AJ15" i="31"/>
  <c r="AI35" i="33"/>
  <c r="AQ35" i="33"/>
  <c r="AC26" i="32"/>
  <c r="U26" i="32"/>
  <c r="AB15" i="30"/>
  <c r="Z29" i="30"/>
  <c r="AB24" i="31"/>
  <c r="AJ24" i="31"/>
  <c r="Z44" i="30"/>
  <c r="AQ34" i="32"/>
  <c r="AI34" i="32"/>
  <c r="Q28" i="3"/>
  <c r="AI43" i="30"/>
  <c r="N23" i="29"/>
  <c r="V23" i="29"/>
  <c r="N27" i="30"/>
  <c r="V27" i="30"/>
  <c r="AB45" i="29"/>
  <c r="AJ45" i="29"/>
  <c r="AP27" i="31"/>
  <c r="AJ33" i="30"/>
  <c r="AB33" i="30"/>
  <c r="AJ43" i="30"/>
  <c r="AB43" i="30"/>
  <c r="AB36" i="30"/>
  <c r="AQ21" i="30"/>
  <c r="AI21" i="30"/>
  <c r="V16" i="31"/>
  <c r="N16" i="31"/>
  <c r="AC30" i="29"/>
  <c r="U30" i="29"/>
  <c r="V30" i="29" s="1"/>
  <c r="AJ28" i="28"/>
  <c r="AB28" i="28"/>
  <c r="N45" i="29"/>
  <c r="AQ16" i="30"/>
  <c r="AI16" i="30"/>
  <c r="U30" i="30"/>
  <c r="AC30" i="30"/>
  <c r="L43" i="29"/>
  <c r="AQ28" i="29"/>
  <c r="AI28" i="29"/>
  <c r="AB43" i="28"/>
  <c r="AP34" i="27"/>
  <c r="O45" i="28"/>
  <c r="N40" i="31"/>
  <c r="AG29" i="28"/>
  <c r="AI15" i="28"/>
  <c r="AI45" i="25"/>
  <c r="AJ45" i="25" s="1"/>
  <c r="N37" i="26"/>
  <c r="V37" i="26"/>
  <c r="U33" i="30"/>
  <c r="AC33" i="30"/>
  <c r="AP15" i="25"/>
  <c r="AB21" i="25"/>
  <c r="AC21" i="25" s="1"/>
  <c r="AJ21" i="25"/>
  <c r="AC28" i="28"/>
  <c r="U28" i="28"/>
  <c r="N20" i="27"/>
  <c r="V20" i="27"/>
  <c r="U31" i="29"/>
  <c r="AC31" i="29"/>
  <c r="AG46" i="26"/>
  <c r="N20" i="26"/>
  <c r="V20" i="26"/>
  <c r="L32" i="25"/>
  <c r="AJ38" i="28"/>
  <c r="AB38" i="28"/>
  <c r="AQ43" i="27"/>
  <c r="AI43" i="27"/>
  <c r="AJ21" i="26"/>
  <c r="AB21" i="26"/>
  <c r="AC21" i="26" s="1"/>
  <c r="AB15" i="29"/>
  <c r="Z29" i="29"/>
  <c r="U40" i="25"/>
  <c r="AC40" i="25"/>
  <c r="AB43" i="23"/>
  <c r="V36" i="26"/>
  <c r="N36" i="26"/>
  <c r="AQ46" i="24"/>
  <c r="AI46" i="24"/>
  <c r="AJ46" i="24" s="1"/>
  <c r="AJ31" i="25"/>
  <c r="AB31" i="25"/>
  <c r="Z29" i="25"/>
  <c r="AB15" i="25"/>
  <c r="AP34" i="23"/>
  <c r="U34" i="24"/>
  <c r="V34" i="24" s="1"/>
  <c r="U38" i="24"/>
  <c r="N26" i="26"/>
  <c r="V26" i="26"/>
  <c r="O47" i="23"/>
  <c r="U19" i="23"/>
  <c r="AP23" i="24"/>
  <c r="AP28" i="23"/>
  <c r="AI21" i="21"/>
  <c r="AQ21" i="21"/>
  <c r="AC27" i="23"/>
  <c r="U27" i="23"/>
  <c r="H29" i="22"/>
  <c r="O15" i="22"/>
  <c r="AI20" i="23"/>
  <c r="AQ20" i="23"/>
  <c r="AQ20" i="24"/>
  <c r="AI20" i="24"/>
  <c r="Z44" i="26"/>
  <c r="AB35" i="21"/>
  <c r="AC35" i="21" s="1"/>
  <c r="AB48" i="20"/>
  <c r="AC48" i="20" s="1"/>
  <c r="AB41" i="21"/>
  <c r="N22" i="21"/>
  <c r="V22" i="21"/>
  <c r="AJ31" i="23"/>
  <c r="AB31" i="23"/>
  <c r="AI41" i="19"/>
  <c r="AQ41" i="19"/>
  <c r="U16" i="23"/>
  <c r="AC16" i="23"/>
  <c r="AP19" i="21"/>
  <c r="AQ19" i="21" s="1"/>
  <c r="AI16" i="20"/>
  <c r="AQ16" i="20"/>
  <c r="AJ27" i="18"/>
  <c r="AB27" i="18"/>
  <c r="U38" i="20"/>
  <c r="V24" i="23"/>
  <c r="N24" i="23"/>
  <c r="AB16" i="22"/>
  <c r="AJ16" i="22"/>
  <c r="AI36" i="23"/>
  <c r="AQ36" i="23"/>
  <c r="U27" i="21"/>
  <c r="AC27" i="21"/>
  <c r="AP15" i="21"/>
  <c r="AN29" i="21"/>
  <c r="AB21" i="18"/>
  <c r="AJ21" i="18"/>
  <c r="AI20" i="20"/>
  <c r="AQ20" i="20"/>
  <c r="V32" i="19"/>
  <c r="N32" i="19"/>
  <c r="O32" i="19" s="1"/>
  <c r="U35" i="19"/>
  <c r="AP34" i="15"/>
  <c r="H38" i="18"/>
  <c r="O21" i="20"/>
  <c r="AQ22" i="19"/>
  <c r="AI22" i="19"/>
  <c r="U32" i="20"/>
  <c r="AC32" i="20"/>
  <c r="AP48" i="17"/>
  <c r="AQ27" i="19"/>
  <c r="AI27" i="19"/>
  <c r="AB39" i="17"/>
  <c r="Z35" i="16"/>
  <c r="AJ18" i="20"/>
  <c r="AB18" i="20"/>
  <c r="U23" i="19"/>
  <c r="AC23" i="19"/>
  <c r="U23" i="23"/>
  <c r="AC23" i="23"/>
  <c r="AJ24" i="19"/>
  <c r="AB24" i="19"/>
  <c r="AQ25" i="16"/>
  <c r="AI25" i="16"/>
  <c r="AJ27" i="16"/>
  <c r="AB27" i="16"/>
  <c r="L34" i="18"/>
  <c r="N48" i="18"/>
  <c r="O48" i="18" s="1"/>
  <c r="N47" i="14"/>
  <c r="O47" i="14" s="1"/>
  <c r="L29" i="17"/>
  <c r="N15" i="17"/>
  <c r="AB43" i="15"/>
  <c r="AC43" i="15" s="1"/>
  <c r="AI47" i="15"/>
  <c r="O30" i="16"/>
  <c r="AP27" i="15"/>
  <c r="V24" i="16"/>
  <c r="N24" i="16"/>
  <c r="AB24" i="15"/>
  <c r="AJ24" i="15"/>
  <c r="AB47" i="17"/>
  <c r="AC47" i="17" s="1"/>
  <c r="AB16" i="15"/>
  <c r="AJ16" i="15"/>
  <c r="AP41" i="17"/>
  <c r="AQ41" i="17" s="1"/>
  <c r="AP41" i="16"/>
  <c r="AQ41" i="16" s="1"/>
  <c r="AI27" i="16"/>
  <c r="AQ27" i="16"/>
  <c r="AQ23" i="16"/>
  <c r="AI23" i="16"/>
  <c r="AP18" i="16"/>
  <c r="V26" i="14"/>
  <c r="N26" i="14"/>
  <c r="AJ20" i="13"/>
  <c r="AB20" i="13"/>
  <c r="AQ32" i="13"/>
  <c r="AI32" i="13"/>
  <c r="U25" i="15"/>
  <c r="AC25" i="15"/>
  <c r="AB43" i="14"/>
  <c r="V33" i="12"/>
  <c r="N33" i="12"/>
  <c r="AQ28" i="15"/>
  <c r="AI28" i="15"/>
  <c r="N28" i="14"/>
  <c r="V28" i="14"/>
  <c r="AI28" i="13"/>
  <c r="AQ28" i="13"/>
  <c r="L29" i="12"/>
  <c r="N15" i="12"/>
  <c r="AB28" i="12"/>
  <c r="AJ28" i="12"/>
  <c r="U31" i="13"/>
  <c r="AC31" i="13"/>
  <c r="U43" i="12"/>
  <c r="V43" i="12" s="1"/>
  <c r="L34" i="11"/>
  <c r="AB16" i="13"/>
  <c r="AJ16" i="13"/>
  <c r="AB28" i="10"/>
  <c r="AJ28" i="10"/>
  <c r="AP33" i="11"/>
  <c r="AI47" i="10"/>
  <c r="AP47" i="10"/>
  <c r="AQ47" i="10" s="1"/>
  <c r="AJ31" i="10"/>
  <c r="AB31" i="10"/>
  <c r="U30" i="9"/>
  <c r="AC30" i="9"/>
  <c r="AB23" i="12"/>
  <c r="AJ23" i="12"/>
  <c r="AJ21" i="11"/>
  <c r="AB21" i="11"/>
  <c r="N46" i="9"/>
  <c r="O46" i="9" s="1"/>
  <c r="U46" i="9"/>
  <c r="V46" i="9" s="1"/>
  <c r="V15" i="14"/>
  <c r="N15" i="14"/>
  <c r="L29" i="14"/>
  <c r="AP47" i="12"/>
  <c r="AQ22" i="11"/>
  <c r="AI22" i="11"/>
  <c r="U15" i="9"/>
  <c r="V15" i="9" s="1"/>
  <c r="S29" i="9"/>
  <c r="U42" i="9"/>
  <c r="AJ27" i="9"/>
  <c r="AB27" i="9"/>
  <c r="AJ18" i="14"/>
  <c r="AB18" i="14"/>
  <c r="N38" i="9"/>
  <c r="AB18" i="9"/>
  <c r="AJ18" i="9"/>
  <c r="AB41" i="11"/>
  <c r="AC41" i="11" s="1"/>
  <c r="AJ18" i="11"/>
  <c r="AB18" i="11"/>
  <c r="AC18" i="11" s="1"/>
  <c r="AQ21" i="10"/>
  <c r="AI21" i="10"/>
  <c r="AI35" i="9"/>
  <c r="AJ35" i="9" s="1"/>
  <c r="AB35" i="9"/>
  <c r="AC35" i="9" s="1"/>
  <c r="U42" i="11"/>
  <c r="V42" i="11" s="1"/>
  <c r="AQ25" i="11"/>
  <c r="AI25" i="11"/>
  <c r="U19" i="14"/>
  <c r="AC19" i="14"/>
  <c r="AI43" i="15"/>
  <c r="AJ43" i="15" s="1"/>
  <c r="AQ43" i="15"/>
  <c r="AB19" i="24"/>
  <c r="AC19" i="24" s="1"/>
  <c r="AJ19" i="24"/>
  <c r="AQ21" i="40"/>
  <c r="AI21" i="40"/>
  <c r="AP22" i="11"/>
  <c r="V33" i="10"/>
  <c r="N33" i="10"/>
  <c r="AB21" i="12"/>
  <c r="AJ21" i="12"/>
  <c r="AB28" i="9"/>
  <c r="AJ28" i="9"/>
  <c r="AC36" i="9"/>
  <c r="U36" i="9"/>
  <c r="AC24" i="40"/>
  <c r="U24" i="40"/>
  <c r="AI44" i="37"/>
  <c r="AQ44" i="37"/>
  <c r="AB31" i="36"/>
  <c r="AJ31" i="36"/>
  <c r="AJ34" i="36"/>
  <c r="AB34" i="36"/>
  <c r="AB18" i="36"/>
  <c r="AJ18" i="36"/>
  <c r="AB32" i="35"/>
  <c r="AJ32" i="35"/>
  <c r="V35" i="34"/>
  <c r="N35" i="34"/>
  <c r="AB23" i="29"/>
  <c r="AJ23" i="29"/>
  <c r="AC41" i="28"/>
  <c r="U41" i="28"/>
  <c r="U41" i="41"/>
  <c r="AC41" i="41"/>
  <c r="AI50" i="41"/>
  <c r="AQ50" i="41"/>
  <c r="AJ27" i="41"/>
  <c r="AB27" i="41"/>
  <c r="N41" i="40"/>
  <c r="O41" i="40" s="1"/>
  <c r="N37" i="40"/>
  <c r="AB43" i="40"/>
  <c r="AC43" i="40" s="1"/>
  <c r="N33" i="40"/>
  <c r="O33" i="40" s="1"/>
  <c r="U43" i="39"/>
  <c r="AI19" i="39"/>
  <c r="H29" i="40"/>
  <c r="O15" i="40"/>
  <c r="AI43" i="39"/>
  <c r="AJ43" i="39" s="1"/>
  <c r="AQ43" i="39"/>
  <c r="O19" i="39"/>
  <c r="U25" i="38"/>
  <c r="AC25" i="38"/>
  <c r="AI22" i="39"/>
  <c r="AQ22" i="39"/>
  <c r="AJ33" i="37"/>
  <c r="AB33" i="37"/>
  <c r="AJ32" i="41"/>
  <c r="AB32" i="41"/>
  <c r="U47" i="41"/>
  <c r="V47" i="41" s="1"/>
  <c r="O36" i="41"/>
  <c r="AQ30" i="41"/>
  <c r="AI30" i="41"/>
  <c r="U32" i="40"/>
  <c r="AC32" i="40"/>
  <c r="AP34" i="40"/>
  <c r="O46" i="40"/>
  <c r="U44" i="39"/>
  <c r="AB37" i="39"/>
  <c r="N30" i="39"/>
  <c r="O30" i="39" s="1"/>
  <c r="V30" i="39"/>
  <c r="AJ43" i="38"/>
  <c r="AB43" i="38"/>
  <c r="U16" i="38"/>
  <c r="AC16" i="38"/>
  <c r="AQ21" i="39"/>
  <c r="AI21" i="39"/>
  <c r="AJ16" i="38"/>
  <c r="AB16" i="38"/>
  <c r="U40" i="36"/>
  <c r="AQ37" i="36"/>
  <c r="AP37" i="36"/>
  <c r="AI37" i="36"/>
  <c r="AC20" i="36"/>
  <c r="U20" i="36"/>
  <c r="N35" i="35"/>
  <c r="V35" i="35"/>
  <c r="U23" i="36"/>
  <c r="AC23" i="36"/>
  <c r="U43" i="41"/>
  <c r="AP30" i="41"/>
  <c r="H44" i="41"/>
  <c r="AC50" i="41"/>
  <c r="U50" i="41"/>
  <c r="N17" i="41"/>
  <c r="V17" i="41"/>
  <c r="AN43" i="40"/>
  <c r="O37" i="40"/>
  <c r="AC38" i="40"/>
  <c r="U38" i="40"/>
  <c r="N27" i="40"/>
  <c r="V27" i="40"/>
  <c r="U30" i="40"/>
  <c r="AC30" i="40"/>
  <c r="AJ27" i="40"/>
  <c r="AB27" i="40"/>
  <c r="AC22" i="40"/>
  <c r="U22" i="40"/>
  <c r="V22" i="40" s="1"/>
  <c r="U34" i="39"/>
  <c r="AC34" i="39"/>
  <c r="AI23" i="39"/>
  <c r="AQ23" i="39"/>
  <c r="Z29" i="39"/>
  <c r="AB15" i="39"/>
  <c r="AC15" i="39" s="1"/>
  <c r="AJ15" i="39"/>
  <c r="AI45" i="38"/>
  <c r="AQ45" i="38"/>
  <c r="U37" i="38"/>
  <c r="AB17" i="39"/>
  <c r="AJ17" i="39"/>
  <c r="AB25" i="38"/>
  <c r="AJ25" i="38"/>
  <c r="AP34" i="38"/>
  <c r="AJ16" i="37"/>
  <c r="AB16" i="37"/>
  <c r="AB24" i="37"/>
  <c r="AJ24" i="37"/>
  <c r="U41" i="37"/>
  <c r="N30" i="38"/>
  <c r="U35" i="37"/>
  <c r="AC35" i="37"/>
  <c r="O47" i="37"/>
  <c r="N32" i="36"/>
  <c r="O32" i="36" s="1"/>
  <c r="AJ21" i="37"/>
  <c r="AB21" i="37"/>
  <c r="AB45" i="37"/>
  <c r="O33" i="36"/>
  <c r="AC45" i="37"/>
  <c r="U45" i="37"/>
  <c r="H43" i="36"/>
  <c r="G44" i="36"/>
  <c r="H44" i="36" s="1"/>
  <c r="G46" i="36"/>
  <c r="H46" i="36" s="1"/>
  <c r="AQ18" i="37"/>
  <c r="AI18" i="37"/>
  <c r="N27" i="35"/>
  <c r="V27" i="35"/>
  <c r="N46" i="35"/>
  <c r="AJ27" i="36"/>
  <c r="AB27" i="36"/>
  <c r="AP32" i="35"/>
  <c r="AJ20" i="36"/>
  <c r="AB20" i="36"/>
  <c r="AP32" i="34"/>
  <c r="U24" i="35"/>
  <c r="AC24" i="35"/>
  <c r="AB17" i="35"/>
  <c r="AJ17" i="35"/>
  <c r="U40" i="35"/>
  <c r="AC40" i="35"/>
  <c r="N45" i="33"/>
  <c r="V45" i="33"/>
  <c r="AB43" i="34"/>
  <c r="AC43" i="34" s="1"/>
  <c r="AQ44" i="33"/>
  <c r="AI44" i="33"/>
  <c r="AP31" i="34"/>
  <c r="AQ30" i="34"/>
  <c r="AI30" i="34"/>
  <c r="H32" i="3" s="1"/>
  <c r="H31" i="3"/>
  <c r="U41" i="33"/>
  <c r="U25" i="32"/>
  <c r="AC25" i="32"/>
  <c r="AI40" i="31"/>
  <c r="AJ40" i="31" s="1"/>
  <c r="AC26" i="33"/>
  <c r="U26" i="33"/>
  <c r="AI41" i="33"/>
  <c r="AQ41" i="33"/>
  <c r="U36" i="32"/>
  <c r="V36" i="32" s="1"/>
  <c r="N34" i="32"/>
  <c r="V34" i="32"/>
  <c r="AI18" i="33"/>
  <c r="AQ18" i="33"/>
  <c r="N22" i="31"/>
  <c r="AP16" i="32"/>
  <c r="U34" i="31"/>
  <c r="AC34" i="31"/>
  <c r="N26" i="33"/>
  <c r="V26" i="33"/>
  <c r="AQ41" i="32"/>
  <c r="AI41" i="32"/>
  <c r="AG29" i="31"/>
  <c r="AI15" i="31"/>
  <c r="AP15" i="32"/>
  <c r="AQ15" i="32" s="1"/>
  <c r="AN29" i="32"/>
  <c r="U32" i="33"/>
  <c r="AC32" i="33"/>
  <c r="AI46" i="32"/>
  <c r="AJ46" i="32" s="1"/>
  <c r="AP46" i="30"/>
  <c r="AI45" i="29"/>
  <c r="U25" i="31"/>
  <c r="AC25" i="31"/>
  <c r="AB24" i="32"/>
  <c r="AJ24" i="32"/>
  <c r="AP27" i="32"/>
  <c r="U22" i="29"/>
  <c r="AC22" i="29"/>
  <c r="AQ30" i="31"/>
  <c r="AI30" i="31"/>
  <c r="N18" i="31"/>
  <c r="AB27" i="30"/>
  <c r="AJ27" i="30"/>
  <c r="V25" i="33"/>
  <c r="N25" i="33"/>
  <c r="AQ36" i="31"/>
  <c r="AI36" i="31"/>
  <c r="AI25" i="30"/>
  <c r="AQ25" i="30"/>
  <c r="AP40" i="29"/>
  <c r="AQ40" i="29" s="1"/>
  <c r="AJ19" i="30"/>
  <c r="AB19" i="30"/>
  <c r="AC19" i="30" s="1"/>
  <c r="O45" i="30"/>
  <c r="AJ27" i="29"/>
  <c r="AB27" i="29"/>
  <c r="AI35" i="29"/>
  <c r="AQ35" i="29"/>
  <c r="AJ23" i="30"/>
  <c r="AB23" i="30"/>
  <c r="L46" i="29"/>
  <c r="V27" i="33"/>
  <c r="N27" i="33"/>
  <c r="N16" i="29"/>
  <c r="V16" i="29"/>
  <c r="AP25" i="27"/>
  <c r="U43" i="28"/>
  <c r="AC43" i="28"/>
  <c r="AB19" i="28"/>
  <c r="AC19" i="28" s="1"/>
  <c r="AB45" i="28"/>
  <c r="AP24" i="29"/>
  <c r="AP43" i="29"/>
  <c r="AQ44" i="29"/>
  <c r="AI26" i="28"/>
  <c r="AQ26" i="28"/>
  <c r="AC27" i="27"/>
  <c r="U27" i="27"/>
  <c r="L29" i="29"/>
  <c r="N15" i="29"/>
  <c r="V15" i="29"/>
  <c r="AQ18" i="28"/>
  <c r="AI18" i="28"/>
  <c r="U36" i="25"/>
  <c r="N44" i="26"/>
  <c r="N22" i="27"/>
  <c r="AB41" i="29"/>
  <c r="N35" i="26"/>
  <c r="V35" i="26"/>
  <c r="AC31" i="28"/>
  <c r="U31" i="28"/>
  <c r="AC20" i="27"/>
  <c r="U20" i="27"/>
  <c r="AP16" i="29"/>
  <c r="N30" i="26"/>
  <c r="U33" i="26"/>
  <c r="U16" i="26"/>
  <c r="AC16" i="26"/>
  <c r="AI32" i="25"/>
  <c r="AQ32" i="25"/>
  <c r="AJ32" i="25"/>
  <c r="AI38" i="28"/>
  <c r="AQ38" i="28"/>
  <c r="AC25" i="25"/>
  <c r="U25" i="25"/>
  <c r="AG44" i="27"/>
  <c r="AC20" i="26"/>
  <c r="U20" i="26"/>
  <c r="N19" i="26"/>
  <c r="O19" i="26" s="1"/>
  <c r="V19" i="26"/>
  <c r="AI35" i="25"/>
  <c r="AQ35" i="25"/>
  <c r="AB27" i="26"/>
  <c r="AJ27" i="26"/>
  <c r="AB36" i="24"/>
  <c r="AC36" i="24" s="1"/>
  <c r="U24" i="25"/>
  <c r="AC24" i="25"/>
  <c r="AP45" i="25"/>
  <c r="AQ45" i="25" s="1"/>
  <c r="AB47" i="24"/>
  <c r="AC47" i="24" s="1"/>
  <c r="AI16" i="24"/>
  <c r="AQ16" i="24"/>
  <c r="AB46" i="22"/>
  <c r="AC46" i="22" s="1"/>
  <c r="AI46" i="22"/>
  <c r="AJ46" i="22" s="1"/>
  <c r="AI41" i="24"/>
  <c r="AC32" i="23"/>
  <c r="U32" i="23"/>
  <c r="V32" i="23" s="1"/>
  <c r="AI20" i="26"/>
  <c r="AQ20" i="26"/>
  <c r="AI44" i="25"/>
  <c r="AQ44" i="25"/>
  <c r="U23" i="24"/>
  <c r="AC23" i="24"/>
  <c r="V32" i="24"/>
  <c r="N32" i="24"/>
  <c r="V33" i="23"/>
  <c r="N33" i="23"/>
  <c r="U26" i="23"/>
  <c r="AC26" i="23"/>
  <c r="AP47" i="21"/>
  <c r="AQ47" i="21" s="1"/>
  <c r="AQ38" i="23"/>
  <c r="V28" i="23"/>
  <c r="N28" i="23"/>
  <c r="AB46" i="26"/>
  <c r="N30" i="22"/>
  <c r="AC22" i="24"/>
  <c r="U22" i="24"/>
  <c r="O48" i="20"/>
  <c r="AI48" i="19"/>
  <c r="AJ48" i="19" s="1"/>
  <c r="AQ48" i="19"/>
  <c r="AP20" i="21"/>
  <c r="AP42" i="22"/>
  <c r="AQ42" i="22" s="1"/>
  <c r="H29" i="21"/>
  <c r="AB42" i="19"/>
  <c r="AB38" i="22"/>
  <c r="O38" i="21"/>
  <c r="V31" i="22"/>
  <c r="N31" i="22"/>
  <c r="N38" i="20"/>
  <c r="V38" i="20"/>
  <c r="U24" i="23"/>
  <c r="AC24" i="23"/>
  <c r="AP48" i="21"/>
  <c r="N22" i="23"/>
  <c r="AP18" i="23"/>
  <c r="AB20" i="18"/>
  <c r="AJ20" i="18"/>
  <c r="AP34" i="24"/>
  <c r="AQ34" i="24" s="1"/>
  <c r="N22" i="22"/>
  <c r="AI21" i="19"/>
  <c r="AQ21" i="19"/>
  <c r="AC19" i="18"/>
  <c r="U19" i="18"/>
  <c r="U30" i="18"/>
  <c r="AC30" i="18"/>
  <c r="AJ24" i="28"/>
  <c r="AB24" i="28"/>
  <c r="AC24" i="21"/>
  <c r="U24" i="21"/>
  <c r="AI28" i="21"/>
  <c r="AQ28" i="21"/>
  <c r="AJ28" i="21"/>
  <c r="AB28" i="21"/>
  <c r="AC28" i="20"/>
  <c r="U28" i="20"/>
  <c r="U33" i="17"/>
  <c r="AC33" i="17"/>
  <c r="AP47" i="17"/>
  <c r="AQ47" i="17" s="1"/>
  <c r="V25" i="19"/>
  <c r="N25" i="19"/>
  <c r="U39" i="19"/>
  <c r="AI34" i="16"/>
  <c r="AQ34" i="16"/>
  <c r="AP21" i="16"/>
  <c r="AJ31" i="18"/>
  <c r="AB31" i="18"/>
  <c r="V20" i="17"/>
  <c r="N20" i="17"/>
  <c r="AP19" i="19"/>
  <c r="AQ19" i="19" s="1"/>
  <c r="N39" i="17"/>
  <c r="AJ23" i="23"/>
  <c r="AB23" i="23"/>
  <c r="V23" i="19"/>
  <c r="N23" i="19"/>
  <c r="AQ24" i="16"/>
  <c r="AI24" i="16"/>
  <c r="N35" i="18"/>
  <c r="O35" i="18" s="1"/>
  <c r="AI48" i="18"/>
  <c r="AQ48" i="18"/>
  <c r="AC43" i="17"/>
  <c r="U43" i="17"/>
  <c r="V43" i="17" s="1"/>
  <c r="N46" i="14"/>
  <c r="O46" i="14" s="1"/>
  <c r="N45" i="16"/>
  <c r="O45" i="16" s="1"/>
  <c r="V45" i="16"/>
  <c r="N48" i="15"/>
  <c r="O48" i="15" s="1"/>
  <c r="N18" i="16"/>
  <c r="V18" i="16"/>
  <c r="AQ30" i="16"/>
  <c r="AI30" i="16"/>
  <c r="AB20" i="16"/>
  <c r="AJ20" i="16"/>
  <c r="AI15" i="13"/>
  <c r="AG29" i="13"/>
  <c r="AQ15" i="13"/>
  <c r="AN42" i="17"/>
  <c r="AP42" i="17" s="1"/>
  <c r="AP33" i="15"/>
  <c r="V17" i="18"/>
  <c r="N17" i="18"/>
  <c r="N35" i="16"/>
  <c r="O35" i="16" s="1"/>
  <c r="V20" i="13"/>
  <c r="N20" i="13"/>
  <c r="U19" i="13"/>
  <c r="AC19" i="13"/>
  <c r="AB19" i="14"/>
  <c r="AJ19" i="14"/>
  <c r="AB31" i="13"/>
  <c r="AJ31" i="13"/>
  <c r="U43" i="14"/>
  <c r="AC43" i="14"/>
  <c r="AC33" i="12"/>
  <c r="U33" i="12"/>
  <c r="AC16" i="15"/>
  <c r="U16" i="15"/>
  <c r="U27" i="14"/>
  <c r="AC27" i="14"/>
  <c r="H42" i="12"/>
  <c r="AP27" i="14"/>
  <c r="V38" i="11"/>
  <c r="N38" i="11"/>
  <c r="H41" i="11"/>
  <c r="AI16" i="13"/>
  <c r="AQ16" i="13"/>
  <c r="N27" i="12"/>
  <c r="V27" i="12"/>
  <c r="AJ27" i="10"/>
  <c r="AB27" i="10"/>
  <c r="V19" i="9"/>
  <c r="N19" i="9"/>
  <c r="AP41" i="12"/>
  <c r="V27" i="9"/>
  <c r="N27" i="9"/>
  <c r="AJ18" i="12"/>
  <c r="AB18" i="12"/>
  <c r="Z39" i="9"/>
  <c r="S29" i="14"/>
  <c r="AC15" i="14"/>
  <c r="U15" i="14"/>
  <c r="AI48" i="12"/>
  <c r="AQ48" i="12"/>
  <c r="H42" i="10"/>
  <c r="AI42" i="11"/>
  <c r="AQ42" i="11"/>
  <c r="N23" i="11"/>
  <c r="V23" i="11"/>
  <c r="AQ18" i="9"/>
  <c r="AI18" i="9"/>
  <c r="V24" i="10"/>
  <c r="N24" i="10"/>
  <c r="AB34" i="9"/>
  <c r="AJ34" i="9"/>
  <c r="AQ30" i="10"/>
  <c r="AI30" i="10"/>
  <c r="N41" i="11"/>
  <c r="AC22" i="11"/>
  <c r="U22" i="11"/>
  <c r="V22" i="11" s="1"/>
  <c r="AJ32" i="9"/>
  <c r="AB32" i="9"/>
  <c r="AP21" i="9"/>
  <c r="AB17" i="9"/>
  <c r="AJ17" i="9"/>
  <c r="N25" i="41"/>
  <c r="V25" i="41"/>
  <c r="V45" i="40"/>
  <c r="N45" i="40"/>
  <c r="N20" i="39"/>
  <c r="V20" i="39"/>
  <c r="AB20" i="38"/>
  <c r="AJ20" i="38"/>
  <c r="AJ38" i="37"/>
  <c r="AB38" i="37"/>
  <c r="AQ34" i="34"/>
  <c r="AI34" i="34"/>
  <c r="AP45" i="31"/>
  <c r="AQ45" i="31" s="1"/>
  <c r="V30" i="32"/>
  <c r="N30" i="32"/>
  <c r="E27" i="3" s="1"/>
  <c r="E26" i="3"/>
  <c r="V31" i="28"/>
  <c r="N31" i="28"/>
  <c r="AB23" i="18"/>
  <c r="AJ23" i="18"/>
  <c r="N27" i="41"/>
  <c r="V27" i="41"/>
  <c r="V36" i="41"/>
  <c r="N36" i="41"/>
  <c r="AI33" i="41"/>
  <c r="AQ33" i="41"/>
  <c r="U40" i="41"/>
  <c r="V40" i="41" s="1"/>
  <c r="AB44" i="41"/>
  <c r="AC44" i="41" s="1"/>
  <c r="AC35" i="40"/>
  <c r="U35" i="40"/>
  <c r="U33" i="40"/>
  <c r="V33" i="40" s="1"/>
  <c r="AC33" i="40"/>
  <c r="AI25" i="40"/>
  <c r="AQ25" i="40"/>
  <c r="AB31" i="40"/>
  <c r="AJ31" i="40"/>
  <c r="U19" i="40"/>
  <c r="AC19" i="40"/>
  <c r="AB20" i="39"/>
  <c r="AJ20" i="39"/>
  <c r="AC23" i="39"/>
  <c r="U23" i="39"/>
  <c r="AI15" i="40"/>
  <c r="AJ15" i="40" s="1"/>
  <c r="AG29" i="40"/>
  <c r="AQ15" i="40"/>
  <c r="AI43" i="38"/>
  <c r="AB33" i="40"/>
  <c r="AJ33" i="40"/>
  <c r="U45" i="38"/>
  <c r="AQ18" i="40"/>
  <c r="AI18" i="40"/>
  <c r="AI22" i="38"/>
  <c r="AQ22" i="38"/>
  <c r="S29" i="39"/>
  <c r="U15" i="39"/>
  <c r="U28" i="39"/>
  <c r="AC28" i="39"/>
  <c r="N25" i="38"/>
  <c r="V25" i="38"/>
  <c r="U19" i="38"/>
  <c r="AC30" i="38"/>
  <c r="U30" i="38"/>
  <c r="V30" i="38" s="1"/>
  <c r="AQ30" i="37"/>
  <c r="AI30" i="37"/>
  <c r="U45" i="36"/>
  <c r="AI24" i="37"/>
  <c r="AQ24" i="37"/>
  <c r="AP43" i="37"/>
  <c r="AQ30" i="38"/>
  <c r="AI30" i="38"/>
  <c r="AB50" i="37"/>
  <c r="AJ50" i="37"/>
  <c r="AQ43" i="37"/>
  <c r="AI43" i="37"/>
  <c r="AJ43" i="37" s="1"/>
  <c r="AC25" i="36"/>
  <c r="U25" i="36"/>
  <c r="V20" i="37"/>
  <c r="N20" i="37"/>
  <c r="N44" i="37"/>
  <c r="O44" i="37" s="1"/>
  <c r="V44" i="37"/>
  <c r="N17" i="38"/>
  <c r="V17" i="38"/>
  <c r="AB33" i="36"/>
  <c r="AJ33" i="36"/>
  <c r="AB16" i="36"/>
  <c r="AJ16" i="36"/>
  <c r="AI28" i="35"/>
  <c r="AQ28" i="35"/>
  <c r="N19" i="36"/>
  <c r="AB43" i="36"/>
  <c r="AP24" i="36"/>
  <c r="AP27" i="35"/>
  <c r="N34" i="34"/>
  <c r="V34" i="34"/>
  <c r="AJ15" i="36"/>
  <c r="Z29" i="36"/>
  <c r="AB15" i="36"/>
  <c r="N31" i="35"/>
  <c r="V31" i="35"/>
  <c r="AJ34" i="35"/>
  <c r="AB34" i="35"/>
  <c r="O32" i="35"/>
  <c r="AB44" i="35"/>
  <c r="AP26" i="34"/>
  <c r="N27" i="36"/>
  <c r="V27" i="36"/>
  <c r="AQ35" i="34"/>
  <c r="AI35" i="34"/>
  <c r="O37" i="33"/>
  <c r="N37" i="33"/>
  <c r="AB24" i="35"/>
  <c r="AJ24" i="35"/>
  <c r="AJ35" i="34"/>
  <c r="AB35" i="34"/>
  <c r="U25" i="34"/>
  <c r="AC25" i="34"/>
  <c r="N27" i="34"/>
  <c r="V27" i="34"/>
  <c r="N22" i="33"/>
  <c r="V22" i="33"/>
  <c r="AJ33" i="35"/>
  <c r="AB33" i="35"/>
  <c r="AC33" i="35" s="1"/>
  <c r="V41" i="33"/>
  <c r="N41" i="33"/>
  <c r="O41" i="33" s="1"/>
  <c r="AB38" i="31"/>
  <c r="AJ38" i="31"/>
  <c r="U18" i="33"/>
  <c r="V18" i="33" s="1"/>
  <c r="N23" i="33"/>
  <c r="V23" i="33"/>
  <c r="AC36" i="33"/>
  <c r="U36" i="33"/>
  <c r="AQ17" i="32"/>
  <c r="AI17" i="32"/>
  <c r="H29" i="33"/>
  <c r="AQ32" i="31"/>
  <c r="AI32" i="31"/>
  <c r="AJ25" i="33"/>
  <c r="AB25" i="33"/>
  <c r="V27" i="32"/>
  <c r="N27" i="32"/>
  <c r="AP41" i="30"/>
  <c r="AQ41" i="30" s="1"/>
  <c r="AB21" i="30"/>
  <c r="AC21" i="30" s="1"/>
  <c r="AJ21" i="30"/>
  <c r="N17" i="31"/>
  <c r="V24" i="30"/>
  <c r="N24" i="30"/>
  <c r="AI18" i="31"/>
  <c r="AQ18" i="31"/>
  <c r="AQ38" i="31"/>
  <c r="AI38" i="31"/>
  <c r="AI45" i="30"/>
  <c r="AJ45" i="30" s="1"/>
  <c r="AQ45" i="30"/>
  <c r="AQ28" i="28"/>
  <c r="AI28" i="28"/>
  <c r="U40" i="29"/>
  <c r="U32" i="30"/>
  <c r="AC32" i="30"/>
  <c r="N25" i="28"/>
  <c r="V25" i="28"/>
  <c r="AQ46" i="30"/>
  <c r="AI46" i="30"/>
  <c r="AJ46" i="30" s="1"/>
  <c r="AC35" i="29"/>
  <c r="U35" i="29"/>
  <c r="AC22" i="30"/>
  <c r="U22" i="30"/>
  <c r="N37" i="29"/>
  <c r="V37" i="29"/>
  <c r="AP45" i="30"/>
  <c r="AB37" i="28"/>
  <c r="AJ37" i="28"/>
  <c r="AB18" i="28"/>
  <c r="AJ18" i="28"/>
  <c r="AB46" i="28"/>
  <c r="AC46" i="28" s="1"/>
  <c r="AI40" i="27"/>
  <c r="AQ40" i="27"/>
  <c r="AI41" i="28"/>
  <c r="AJ41" i="28" s="1"/>
  <c r="AB44" i="27"/>
  <c r="U19" i="29"/>
  <c r="AI25" i="27"/>
  <c r="AQ25" i="27"/>
  <c r="AP37" i="29"/>
  <c r="AJ41" i="27"/>
  <c r="AB41" i="27"/>
  <c r="AG19" i="27"/>
  <c r="U15" i="29"/>
  <c r="AC15" i="29"/>
  <c r="S29" i="29"/>
  <c r="AJ15" i="28"/>
  <c r="Z29" i="28"/>
  <c r="AB15" i="28"/>
  <c r="AC15" i="28" s="1"/>
  <c r="AB30" i="26"/>
  <c r="AJ30" i="26"/>
  <c r="AI17" i="27"/>
  <c r="AQ17" i="27"/>
  <c r="N44" i="28"/>
  <c r="N23" i="25"/>
  <c r="V23" i="25"/>
  <c r="O32" i="27"/>
  <c r="U36" i="28"/>
  <c r="V36" i="28" s="1"/>
  <c r="AQ33" i="28"/>
  <c r="AI33" i="28"/>
  <c r="AJ27" i="25"/>
  <c r="AB27" i="25"/>
  <c r="AQ33" i="25"/>
  <c r="AI33" i="25"/>
  <c r="AJ33" i="25"/>
  <c r="AB41" i="26"/>
  <c r="N43" i="27"/>
  <c r="O43" i="27" s="1"/>
  <c r="U25" i="26"/>
  <c r="AC25" i="26"/>
  <c r="U45" i="26"/>
  <c r="U45" i="27"/>
  <c r="AC20" i="25"/>
  <c r="V28" i="26"/>
  <c r="N28" i="26"/>
  <c r="AI36" i="24"/>
  <c r="AJ36" i="24" s="1"/>
  <c r="AI17" i="26"/>
  <c r="AQ17" i="26"/>
  <c r="AB16" i="24"/>
  <c r="AJ16" i="24"/>
  <c r="N46" i="22"/>
  <c r="O46" i="22" s="1"/>
  <c r="N35" i="24"/>
  <c r="U35" i="24"/>
  <c r="V35" i="24" s="1"/>
  <c r="AC25" i="23"/>
  <c r="U25" i="23"/>
  <c r="AI31" i="24"/>
  <c r="AQ31" i="24"/>
  <c r="AI41" i="22"/>
  <c r="AJ41" i="22" s="1"/>
  <c r="U42" i="24"/>
  <c r="AQ34" i="22"/>
  <c r="AI34" i="22"/>
  <c r="AJ34" i="22" s="1"/>
  <c r="N43" i="23"/>
  <c r="O43" i="23" s="1"/>
  <c r="V43" i="23"/>
  <c r="N17" i="23"/>
  <c r="N36" i="22"/>
  <c r="O36" i="22" s="1"/>
  <c r="AB47" i="19"/>
  <c r="AC47" i="19" s="1"/>
  <c r="AJ47" i="19"/>
  <c r="O47" i="19"/>
  <c r="N21" i="23"/>
  <c r="O21" i="23" s="1"/>
  <c r="AI36" i="21"/>
  <c r="AJ32" i="23"/>
  <c r="AB32" i="23"/>
  <c r="U18" i="24"/>
  <c r="AQ28" i="23"/>
  <c r="AI28" i="23"/>
  <c r="N47" i="22"/>
  <c r="V27" i="25"/>
  <c r="N27" i="25"/>
  <c r="N15" i="24"/>
  <c r="V15" i="24"/>
  <c r="L29" i="24"/>
  <c r="AQ48" i="21"/>
  <c r="AI48" i="21"/>
  <c r="AJ48" i="21" s="1"/>
  <c r="AB47" i="20"/>
  <c r="AC47" i="20" s="1"/>
  <c r="AB34" i="19"/>
  <c r="U34" i="21"/>
  <c r="V34" i="21" s="1"/>
  <c r="AJ39" i="20"/>
  <c r="AB39" i="20"/>
  <c r="N39" i="20"/>
  <c r="AB38" i="19"/>
  <c r="U19" i="21"/>
  <c r="AI23" i="20"/>
  <c r="AQ23" i="20"/>
  <c r="AC27" i="18"/>
  <c r="U27" i="18"/>
  <c r="AJ17" i="22"/>
  <c r="AB17" i="22"/>
  <c r="AI30" i="20"/>
  <c r="AQ30" i="20"/>
  <c r="L18" i="3"/>
  <c r="AJ31" i="24"/>
  <c r="AB31" i="24"/>
  <c r="AB36" i="20"/>
  <c r="AB41" i="23"/>
  <c r="AC41" i="23" s="1"/>
  <c r="N16" i="20"/>
  <c r="V16" i="20"/>
  <c r="V27" i="19"/>
  <c r="N27" i="19"/>
  <c r="AI22" i="20"/>
  <c r="AQ22" i="20"/>
  <c r="V18" i="19"/>
  <c r="N18" i="19"/>
  <c r="AB33" i="21"/>
  <c r="AJ33" i="21"/>
  <c r="AB26" i="18"/>
  <c r="AJ26" i="18"/>
  <c r="AP15" i="20"/>
  <c r="AQ15" i="20" s="1"/>
  <c r="AN29" i="20"/>
  <c r="AI18" i="19"/>
  <c r="AQ18" i="19"/>
  <c r="AP17" i="23"/>
  <c r="N33" i="22"/>
  <c r="V33" i="22"/>
  <c r="AC17" i="19"/>
  <c r="U17" i="19"/>
  <c r="AJ22" i="20"/>
  <c r="AB22" i="20"/>
  <c r="AI48" i="17"/>
  <c r="AQ48" i="17"/>
  <c r="AQ16" i="17"/>
  <c r="AI16" i="17"/>
  <c r="AB16" i="16"/>
  <c r="AJ16" i="16"/>
  <c r="AJ21" i="19"/>
  <c r="AB21" i="19"/>
  <c r="AI30" i="17"/>
  <c r="AQ30" i="17"/>
  <c r="AI37" i="37"/>
  <c r="AJ37" i="37" s="1"/>
  <c r="AQ23" i="23"/>
  <c r="AI23" i="23"/>
  <c r="N38" i="18"/>
  <c r="O47" i="18"/>
  <c r="U38" i="16"/>
  <c r="N39" i="14"/>
  <c r="U48" i="15"/>
  <c r="V48" i="15" s="1"/>
  <c r="AB32" i="17"/>
  <c r="AJ32" i="17"/>
  <c r="N30" i="16"/>
  <c r="V30" i="16"/>
  <c r="AB47" i="13"/>
  <c r="AC47" i="13" s="1"/>
  <c r="AI47" i="16"/>
  <c r="AJ47" i="16" s="1"/>
  <c r="AN35" i="17"/>
  <c r="AP35" i="17" s="1"/>
  <c r="V27" i="15"/>
  <c r="N27" i="15"/>
  <c r="AQ17" i="15"/>
  <c r="AI17" i="15"/>
  <c r="U26" i="17"/>
  <c r="AC26" i="17"/>
  <c r="AQ22" i="16"/>
  <c r="AI22" i="16"/>
  <c r="AQ31" i="17"/>
  <c r="AI31" i="17"/>
  <c r="O39" i="16"/>
  <c r="N22" i="15"/>
  <c r="AB21" i="14"/>
  <c r="AJ21" i="14"/>
  <c r="U20" i="13"/>
  <c r="AC20" i="13"/>
  <c r="V33" i="14"/>
  <c r="N33" i="14"/>
  <c r="AJ19" i="13"/>
  <c r="AB19" i="13"/>
  <c r="N41" i="15"/>
  <c r="V41" i="15"/>
  <c r="AC16" i="14"/>
  <c r="U16" i="14"/>
  <c r="S29" i="15"/>
  <c r="U15" i="15"/>
  <c r="D81" i="1"/>
  <c r="U35" i="13"/>
  <c r="AC35" i="13"/>
  <c r="H29" i="15"/>
  <c r="B81" i="1"/>
  <c r="AC22" i="13"/>
  <c r="U22" i="13"/>
  <c r="V22" i="13" s="1"/>
  <c r="AP34" i="14"/>
  <c r="AQ34" i="14" s="1"/>
  <c r="AI45" i="13"/>
  <c r="AJ45" i="13" s="1"/>
  <c r="AQ45" i="13"/>
  <c r="AQ43" i="12"/>
  <c r="AI43" i="12"/>
  <c r="AP26" i="15"/>
  <c r="V26" i="16"/>
  <c r="N26" i="16"/>
  <c r="AQ24" i="14"/>
  <c r="AI24" i="14"/>
  <c r="AJ18" i="15"/>
  <c r="AB18" i="15"/>
  <c r="N35" i="12"/>
  <c r="O35" i="12" s="1"/>
  <c r="N39" i="11"/>
  <c r="N33" i="13"/>
  <c r="V33" i="13"/>
  <c r="AQ27" i="12"/>
  <c r="AI27" i="12"/>
  <c r="L29" i="11"/>
  <c r="N15" i="11"/>
  <c r="AI27" i="10"/>
  <c r="AQ27" i="10"/>
  <c r="AJ15" i="9"/>
  <c r="Z29" i="9"/>
  <c r="AB15" i="9"/>
  <c r="AC15" i="9" s="1"/>
  <c r="AI15" i="9"/>
  <c r="U38" i="12"/>
  <c r="AI41" i="10"/>
  <c r="AJ41" i="10" s="1"/>
  <c r="AQ26" i="9"/>
  <c r="AI26" i="9"/>
  <c r="U34" i="13"/>
  <c r="N19" i="11"/>
  <c r="V19" i="11"/>
  <c r="U47" i="12"/>
  <c r="V47" i="12" s="1"/>
  <c r="AB17" i="11"/>
  <c r="AJ17" i="11"/>
  <c r="AC23" i="10"/>
  <c r="U23" i="10"/>
  <c r="AB22" i="14"/>
  <c r="AJ22" i="14"/>
  <c r="AB26" i="9"/>
  <c r="AJ26" i="9"/>
  <c r="AI38" i="11"/>
  <c r="AQ38" i="11"/>
  <c r="N16" i="10"/>
  <c r="V16" i="10"/>
  <c r="AQ30" i="9"/>
  <c r="AI30" i="9"/>
  <c r="AQ22" i="13"/>
  <c r="AI22" i="13"/>
  <c r="AC26" i="13"/>
  <c r="U26" i="13"/>
  <c r="V17" i="15"/>
  <c r="N17" i="15"/>
  <c r="O30" i="11"/>
  <c r="N43" i="15"/>
  <c r="O43" i="15" s="1"/>
  <c r="V43" i="15"/>
  <c r="AB31" i="14"/>
  <c r="AJ31" i="14"/>
  <c r="N26" i="13"/>
  <c r="V26" i="13"/>
  <c r="AJ25" i="12"/>
  <c r="AB25" i="12"/>
  <c r="AB38" i="16"/>
  <c r="AC38" i="16" s="1"/>
  <c r="H29" i="16"/>
  <c r="N38" i="15"/>
  <c r="V25" i="15"/>
  <c r="N25" i="15"/>
  <c r="N42" i="16"/>
  <c r="AI28" i="16"/>
  <c r="AQ28" i="16"/>
  <c r="AP28" i="20"/>
  <c r="AI24" i="18"/>
  <c r="AQ24" i="18"/>
  <c r="AP27" i="19"/>
  <c r="AP25" i="18"/>
  <c r="AP15" i="24"/>
  <c r="AQ15" i="24" s="1"/>
  <c r="AN29" i="24"/>
  <c r="O42" i="20"/>
  <c r="V23" i="24"/>
  <c r="N23" i="24"/>
  <c r="AJ28" i="19"/>
  <c r="AB28" i="19"/>
  <c r="U28" i="21"/>
  <c r="AC28" i="21"/>
  <c r="AB31" i="22"/>
  <c r="AJ31" i="22"/>
  <c r="V38" i="24"/>
  <c r="N38" i="24"/>
  <c r="V19" i="24"/>
  <c r="N19" i="24"/>
  <c r="U31" i="23"/>
  <c r="AC31" i="23"/>
  <c r="AP40" i="25"/>
  <c r="AJ25" i="27"/>
  <c r="AB25" i="27"/>
  <c r="AQ24" i="27"/>
  <c r="AI24" i="27"/>
  <c r="O30" i="29"/>
  <c r="U46" i="29"/>
  <c r="AC15" i="31"/>
  <c r="S29" i="31"/>
  <c r="U15" i="31"/>
  <c r="N35" i="30"/>
  <c r="V35" i="30"/>
  <c r="U25" i="30"/>
  <c r="AC25" i="30"/>
  <c r="AJ16" i="30"/>
  <c r="AB16" i="30"/>
  <c r="AB41" i="32"/>
  <c r="AC41" i="32" s="1"/>
  <c r="AJ41" i="32"/>
  <c r="AP46" i="32"/>
  <c r="AQ46" i="32" s="1"/>
  <c r="AJ16" i="33"/>
  <c r="AB16" i="33"/>
  <c r="AI44" i="32"/>
  <c r="AQ44" i="32"/>
  <c r="AB31" i="32"/>
  <c r="AJ31" i="32"/>
  <c r="N31" i="33"/>
  <c r="V31" i="33"/>
  <c r="AQ32" i="33"/>
  <c r="AI32" i="33"/>
  <c r="AP38" i="35"/>
  <c r="AQ40" i="34"/>
  <c r="AI40" i="34"/>
  <c r="AJ35" i="33"/>
  <c r="AB35" i="33"/>
  <c r="AC24" i="34"/>
  <c r="U24" i="34"/>
  <c r="AB41" i="34"/>
  <c r="AC41" i="34" s="1"/>
  <c r="AJ41" i="34"/>
  <c r="N30" i="35"/>
  <c r="O30" i="35" s="1"/>
  <c r="N45" i="35"/>
  <c r="AI19" i="37"/>
  <c r="V31" i="37"/>
  <c r="N31" i="37"/>
  <c r="AP20" i="38"/>
  <c r="H46" i="38"/>
  <c r="F37" i="38"/>
  <c r="H37" i="38" s="1"/>
  <c r="AQ38" i="38"/>
  <c r="AI38" i="38"/>
  <c r="AJ26" i="38"/>
  <c r="AB26" i="38"/>
  <c r="AQ28" i="40"/>
  <c r="AI28" i="40"/>
  <c r="V26" i="41"/>
  <c r="N26" i="41"/>
  <c r="AB18" i="41"/>
  <c r="AJ18" i="41"/>
  <c r="AQ23" i="41"/>
  <c r="AI23" i="41"/>
  <c r="AC38" i="41"/>
  <c r="U38" i="41"/>
  <c r="AI34" i="41"/>
  <c r="AQ34" i="41"/>
  <c r="AQ24" i="12"/>
  <c r="AI24" i="12"/>
  <c r="AQ28" i="10"/>
  <c r="AI28" i="10"/>
  <c r="AB42" i="13"/>
  <c r="AB30" i="12"/>
  <c r="AJ30" i="12"/>
  <c r="N36" i="11"/>
  <c r="N21" i="11"/>
  <c r="O21" i="11" s="1"/>
  <c r="Z29" i="10"/>
  <c r="N32" i="40"/>
  <c r="V32" i="40"/>
  <c r="N26" i="40"/>
  <c r="V26" i="40"/>
  <c r="AC35" i="38"/>
  <c r="U35" i="38"/>
  <c r="N38" i="35"/>
  <c r="V38" i="35"/>
  <c r="AB23" i="35"/>
  <c r="AJ23" i="35"/>
  <c r="U31" i="34"/>
  <c r="AC31" i="34"/>
  <c r="AB17" i="33"/>
  <c r="AJ17" i="33"/>
  <c r="N18" i="30"/>
  <c r="V18" i="30"/>
  <c r="N41" i="29"/>
  <c r="V41" i="29"/>
  <c r="N36" i="28"/>
  <c r="U18" i="29"/>
  <c r="AI37" i="29"/>
  <c r="AQ37" i="29"/>
  <c r="U23" i="26"/>
  <c r="AC23" i="26"/>
  <c r="AB22" i="23"/>
  <c r="AJ22" i="23"/>
  <c r="AB24" i="24"/>
  <c r="AJ24" i="24"/>
  <c r="AB39" i="23"/>
  <c r="AC25" i="24"/>
  <c r="U25" i="24"/>
  <c r="N38" i="22"/>
  <c r="O38" i="22" s="1"/>
  <c r="N39" i="19"/>
  <c r="O39" i="19" s="1"/>
  <c r="V39" i="19"/>
  <c r="AB31" i="20"/>
  <c r="AJ31" i="20"/>
  <c r="AI30" i="21"/>
  <c r="AQ30" i="21"/>
  <c r="AJ24" i="20"/>
  <c r="AB24" i="20"/>
  <c r="N20" i="22"/>
  <c r="V20" i="22"/>
  <c r="N42" i="19"/>
  <c r="U17" i="18"/>
  <c r="AC17" i="18"/>
  <c r="V23" i="16"/>
  <c r="N23" i="16"/>
  <c r="AC47" i="14"/>
  <c r="U47" i="14"/>
  <c r="V47" i="14" s="1"/>
  <c r="U48" i="13"/>
  <c r="V48" i="13" s="1"/>
  <c r="AC48" i="13"/>
  <c r="AN29" i="15"/>
  <c r="AP15" i="15"/>
  <c r="G81" i="1"/>
  <c r="O41" i="16"/>
  <c r="U38" i="15"/>
  <c r="V38" i="15" s="1"/>
  <c r="AB48" i="13"/>
  <c r="U32" i="14"/>
  <c r="AC32" i="14"/>
  <c r="AP33" i="12"/>
  <c r="AJ26" i="10"/>
  <c r="AB26" i="10"/>
  <c r="AC19" i="10"/>
  <c r="U19" i="10"/>
  <c r="AB38" i="10"/>
  <c r="AB38" i="9"/>
  <c r="AC38" i="9" s="1"/>
  <c r="U48" i="11"/>
  <c r="AC48" i="11"/>
  <c r="N19" i="10"/>
  <c r="V19" i="10"/>
  <c r="U26" i="12"/>
  <c r="AC26" i="12"/>
  <c r="U41" i="10"/>
  <c r="AB39" i="14"/>
  <c r="AC39" i="14" s="1"/>
  <c r="AB24" i="16"/>
  <c r="AJ24" i="16"/>
  <c r="S29" i="21"/>
  <c r="U15" i="21"/>
  <c r="AB33" i="24"/>
  <c r="AJ33" i="24"/>
  <c r="N16" i="24"/>
  <c r="V16" i="24"/>
  <c r="AQ30" i="26"/>
  <c r="AI30" i="26"/>
  <c r="AI16" i="32"/>
  <c r="AQ16" i="32"/>
  <c r="AQ35" i="32"/>
  <c r="AI35" i="32"/>
  <c r="N33" i="33"/>
  <c r="O33" i="33" s="1"/>
  <c r="V30" i="34"/>
  <c r="N30" i="34"/>
  <c r="E32" i="3" s="1"/>
  <c r="E31" i="3"/>
  <c r="AI32" i="34"/>
  <c r="AQ32" i="34"/>
  <c r="N33" i="3"/>
  <c r="N35" i="3" s="1"/>
  <c r="U28" i="34"/>
  <c r="AC28" i="34"/>
  <c r="N33" i="35"/>
  <c r="AB41" i="36"/>
  <c r="AC41" i="36" s="1"/>
  <c r="AJ41" i="36"/>
  <c r="V28" i="37"/>
  <c r="N28" i="37"/>
  <c r="U23" i="37"/>
  <c r="AC23" i="37"/>
  <c r="AJ17" i="38"/>
  <c r="AB17" i="38"/>
  <c r="N18" i="40"/>
  <c r="AB40" i="39"/>
  <c r="AJ16" i="41"/>
  <c r="AB16" i="41"/>
  <c r="AQ38" i="40"/>
  <c r="AI38" i="40"/>
  <c r="V28" i="10"/>
  <c r="N28" i="10"/>
  <c r="AB46" i="41"/>
  <c r="AC46" i="41" s="1"/>
  <c r="AJ46" i="41"/>
  <c r="V41" i="41"/>
  <c r="N41" i="41"/>
  <c r="O41" i="41" s="1"/>
  <c r="O40" i="41"/>
  <c r="AB38" i="41"/>
  <c r="AJ38" i="41"/>
  <c r="AQ25" i="41"/>
  <c r="AI25" i="41"/>
  <c r="AQ30" i="40"/>
  <c r="AI30" i="40"/>
  <c r="AB45" i="40"/>
  <c r="AC45" i="40" s="1"/>
  <c r="U20" i="40"/>
  <c r="AC20" i="40"/>
  <c r="AI45" i="40"/>
  <c r="AJ45" i="40" s="1"/>
  <c r="AQ45" i="40"/>
  <c r="U28" i="40"/>
  <c r="AC28" i="40"/>
  <c r="AB36" i="39"/>
  <c r="AC36" i="39" s="1"/>
  <c r="N17" i="40"/>
  <c r="V17" i="40"/>
  <c r="AQ22" i="40"/>
  <c r="AI22" i="40"/>
  <c r="AI41" i="39"/>
  <c r="AQ41" i="39"/>
  <c r="U41" i="38"/>
  <c r="V41" i="38" s="1"/>
  <c r="N41" i="38"/>
  <c r="AB38" i="38"/>
  <c r="AJ38" i="38"/>
  <c r="AQ44" i="38"/>
  <c r="AI44" i="38"/>
  <c r="AJ44" i="38" s="1"/>
  <c r="N17" i="39"/>
  <c r="N27" i="37"/>
  <c r="V27" i="37"/>
  <c r="AP19" i="39"/>
  <c r="AQ19" i="39" s="1"/>
  <c r="AC32" i="37"/>
  <c r="U32" i="37"/>
  <c r="N40" i="37"/>
  <c r="O40" i="37" s="1"/>
  <c r="V28" i="39"/>
  <c r="N28" i="39"/>
  <c r="N32" i="37"/>
  <c r="O32" i="37" s="1"/>
  <c r="V32" i="37"/>
  <c r="AB47" i="37"/>
  <c r="AC47" i="37" s="1"/>
  <c r="AI47" i="37"/>
  <c r="AJ47" i="37" s="1"/>
  <c r="V36" i="37"/>
  <c r="N36" i="37"/>
  <c r="AB26" i="36"/>
  <c r="AJ26" i="36"/>
  <c r="AP43" i="36"/>
  <c r="AI32" i="36"/>
  <c r="AQ32" i="36"/>
  <c r="V37" i="36"/>
  <c r="N37" i="36"/>
  <c r="AB37" i="35"/>
  <c r="AJ37" i="35"/>
  <c r="V17" i="36"/>
  <c r="N17" i="36"/>
  <c r="Z46" i="36"/>
  <c r="AI19" i="35"/>
  <c r="AG44" i="36"/>
  <c r="AJ35" i="35"/>
  <c r="AB35" i="35"/>
  <c r="AI21" i="36"/>
  <c r="AQ21" i="36"/>
  <c r="AP30" i="36"/>
  <c r="AC28" i="36"/>
  <c r="U28" i="36"/>
  <c r="AI45" i="34"/>
  <c r="AQ45" i="34"/>
  <c r="O21" i="35"/>
  <c r="AI28" i="34"/>
  <c r="AQ28" i="34"/>
  <c r="AQ30" i="35"/>
  <c r="AI30" i="35"/>
  <c r="AJ21" i="34"/>
  <c r="AB21" i="34"/>
  <c r="U25" i="35"/>
  <c r="AC25" i="35"/>
  <c r="AB24" i="34"/>
  <c r="AJ24" i="34"/>
  <c r="AB36" i="33"/>
  <c r="AJ36" i="33"/>
  <c r="O15" i="34"/>
  <c r="H29" i="34"/>
  <c r="AJ28" i="34"/>
  <c r="AB28" i="34"/>
  <c r="N17" i="33"/>
  <c r="AJ23" i="34"/>
  <c r="AB23" i="34"/>
  <c r="U41" i="34"/>
  <c r="AP20" i="34"/>
  <c r="AJ41" i="33"/>
  <c r="AB41" i="33"/>
  <c r="AC41" i="33" s="1"/>
  <c r="V25" i="34"/>
  <c r="N25" i="34"/>
  <c r="AB19" i="34"/>
  <c r="N19" i="32"/>
  <c r="N19" i="33"/>
  <c r="O19" i="33" s="1"/>
  <c r="AB17" i="34"/>
  <c r="AJ17" i="34"/>
  <c r="U27" i="33"/>
  <c r="AC27" i="33"/>
  <c r="S29" i="33"/>
  <c r="U15" i="33"/>
  <c r="V15" i="33" s="1"/>
  <c r="AB41" i="31"/>
  <c r="AC41" i="31" s="1"/>
  <c r="AJ41" i="31"/>
  <c r="O43" i="32"/>
  <c r="AG43" i="31"/>
  <c r="AQ30" i="33"/>
  <c r="AI30" i="33"/>
  <c r="AJ20" i="33"/>
  <c r="AB20" i="33"/>
  <c r="AJ31" i="30"/>
  <c r="AB31" i="30"/>
  <c r="U27" i="32"/>
  <c r="AC27" i="32"/>
  <c r="N33" i="31"/>
  <c r="N41" i="30"/>
  <c r="O41" i="30" s="1"/>
  <c r="O45" i="29"/>
  <c r="O41" i="29"/>
  <c r="AP17" i="31"/>
  <c r="AI26" i="30"/>
  <c r="AQ26" i="30"/>
  <c r="AP20" i="30"/>
  <c r="AB36" i="29"/>
  <c r="U22" i="28"/>
  <c r="AC22" i="28"/>
  <c r="AP41" i="29"/>
  <c r="Z46" i="29"/>
  <c r="AJ35" i="29"/>
  <c r="AB35" i="29"/>
  <c r="S29" i="30"/>
  <c r="U15" i="30"/>
  <c r="AC15" i="30"/>
  <c r="V30" i="30"/>
  <c r="N30" i="30"/>
  <c r="O30" i="30" s="1"/>
  <c r="O19" i="27"/>
  <c r="AI34" i="28"/>
  <c r="AQ34" i="28"/>
  <c r="AP33" i="27"/>
  <c r="V35" i="28"/>
  <c r="N35" i="28"/>
  <c r="V23" i="27"/>
  <c r="N23" i="27"/>
  <c r="AB36" i="28"/>
  <c r="AC36" i="28" s="1"/>
  <c r="AJ36" i="28"/>
  <c r="AI26" i="27"/>
  <c r="AQ26" i="27"/>
  <c r="AB25" i="29"/>
  <c r="AJ25" i="29"/>
  <c r="U24" i="28"/>
  <c r="AC24" i="28"/>
  <c r="AQ30" i="30"/>
  <c r="AI30" i="30"/>
  <c r="N17" i="27"/>
  <c r="U44" i="28"/>
  <c r="V44" i="28" s="1"/>
  <c r="AI40" i="26"/>
  <c r="AQ40" i="26"/>
  <c r="N33" i="28"/>
  <c r="AC18" i="28"/>
  <c r="U18" i="28"/>
  <c r="AP46" i="27"/>
  <c r="AQ46" i="27" s="1"/>
  <c r="AC32" i="27"/>
  <c r="U32" i="27"/>
  <c r="V32" i="27" s="1"/>
  <c r="U38" i="26"/>
  <c r="AC38" i="26"/>
  <c r="AI22" i="28"/>
  <c r="AQ22" i="28"/>
  <c r="AC28" i="25"/>
  <c r="U28" i="25"/>
  <c r="AN20" i="25"/>
  <c r="AP20" i="25" s="1"/>
  <c r="AP33" i="25"/>
  <c r="U38" i="28"/>
  <c r="AC38" i="28"/>
  <c r="AQ18" i="26"/>
  <c r="AI18" i="26"/>
  <c r="N19" i="25"/>
  <c r="AP17" i="26"/>
  <c r="U30" i="24"/>
  <c r="AC30" i="24"/>
  <c r="N43" i="26"/>
  <c r="O43" i="26" s="1"/>
  <c r="AP34" i="26"/>
  <c r="AC27" i="26"/>
  <c r="U27" i="26"/>
  <c r="O45" i="25"/>
  <c r="V20" i="24"/>
  <c r="N20" i="24"/>
  <c r="AP21" i="24"/>
  <c r="AP41" i="20"/>
  <c r="N34" i="24"/>
  <c r="N48" i="23"/>
  <c r="O48" i="23" s="1"/>
  <c r="V48" i="23"/>
  <c r="AI30" i="22"/>
  <c r="AQ30" i="22"/>
  <c r="AB41" i="20"/>
  <c r="N39" i="22"/>
  <c r="AB22" i="22"/>
  <c r="AJ22" i="22"/>
  <c r="AJ25" i="24"/>
  <c r="AB25" i="24"/>
  <c r="AC31" i="22"/>
  <c r="U31" i="22"/>
  <c r="AC30" i="23"/>
  <c r="U30" i="23"/>
  <c r="AP16" i="24"/>
  <c r="U25" i="22"/>
  <c r="AC25" i="22"/>
  <c r="AQ28" i="20"/>
  <c r="AI28" i="20"/>
  <c r="AP27" i="21"/>
  <c r="V16" i="23"/>
  <c r="N16" i="23"/>
  <c r="AP21" i="27"/>
  <c r="AP38" i="22"/>
  <c r="AJ24" i="23"/>
  <c r="AB24" i="23"/>
  <c r="AB31" i="21"/>
  <c r="AJ31" i="21"/>
  <c r="AJ23" i="20"/>
  <c r="AB23" i="20"/>
  <c r="N33" i="18"/>
  <c r="V33" i="18"/>
  <c r="AP24" i="19"/>
  <c r="AQ25" i="18"/>
  <c r="AI25" i="18"/>
  <c r="U20" i="21"/>
  <c r="AC20" i="21"/>
  <c r="N45" i="22"/>
  <c r="O45" i="22" s="1"/>
  <c r="N16" i="21"/>
  <c r="V16" i="21"/>
  <c r="V35" i="19"/>
  <c r="N35" i="19"/>
  <c r="O19" i="19"/>
  <c r="AB38" i="17"/>
  <c r="AC38" i="17" s="1"/>
  <c r="AB33" i="22"/>
  <c r="AJ33" i="22"/>
  <c r="AI21" i="20"/>
  <c r="AQ21" i="20"/>
  <c r="R18" i="3"/>
  <c r="AQ30" i="18"/>
  <c r="AI30" i="18"/>
  <c r="AP22" i="19"/>
  <c r="AQ17" i="20"/>
  <c r="AI17" i="20"/>
  <c r="AQ42" i="18"/>
  <c r="AI42" i="18"/>
  <c r="AJ42" i="18" s="1"/>
  <c r="U31" i="17"/>
  <c r="AC31" i="17"/>
  <c r="AC18" i="20"/>
  <c r="U18" i="20"/>
  <c r="AI23" i="21"/>
  <c r="AQ23" i="21"/>
  <c r="AB19" i="20"/>
  <c r="AC19" i="20" s="1"/>
  <c r="U16" i="21"/>
  <c r="AC16" i="21"/>
  <c r="AJ33" i="17"/>
  <c r="AB33" i="17"/>
  <c r="O34" i="14"/>
  <c r="AI33" i="15"/>
  <c r="AQ33" i="15"/>
  <c r="O47" i="15"/>
  <c r="AB42" i="14"/>
  <c r="AC42" i="14" s="1"/>
  <c r="O38" i="15"/>
  <c r="AB28" i="14"/>
  <c r="AJ28" i="14"/>
  <c r="AI30" i="12"/>
  <c r="AQ30" i="12"/>
  <c r="U47" i="16"/>
  <c r="V33" i="19"/>
  <c r="N33" i="19"/>
  <c r="S34" i="15"/>
  <c r="AB34" i="15" s="1"/>
  <c r="AB23" i="17"/>
  <c r="AJ23" i="17"/>
  <c r="O42" i="16"/>
  <c r="AP16" i="15"/>
  <c r="AP35" i="15"/>
  <c r="AP45" i="13"/>
  <c r="AJ22" i="13"/>
  <c r="AB22" i="13"/>
  <c r="N28" i="13"/>
  <c r="V28" i="13"/>
  <c r="N20" i="14"/>
  <c r="V20" i="14"/>
  <c r="N45" i="12"/>
  <c r="O45" i="12" s="1"/>
  <c r="AP32" i="14"/>
  <c r="N39" i="13"/>
  <c r="O39" i="13" s="1"/>
  <c r="V39" i="13"/>
  <c r="AQ31" i="12"/>
  <c r="AI31" i="12"/>
  <c r="U46" i="14"/>
  <c r="V46" i="14" s="1"/>
  <c r="AQ20" i="13"/>
  <c r="AI20" i="13"/>
  <c r="AP26" i="16"/>
  <c r="V16" i="14"/>
  <c r="N16" i="14"/>
  <c r="AC18" i="15"/>
  <c r="U18" i="15"/>
  <c r="AQ31" i="14"/>
  <c r="AI31" i="14"/>
  <c r="AI42" i="13"/>
  <c r="AJ42" i="13" s="1"/>
  <c r="AI33" i="13"/>
  <c r="AQ33" i="13"/>
  <c r="AC27" i="12"/>
  <c r="U27" i="12"/>
  <c r="AJ24" i="10"/>
  <c r="AB24" i="10"/>
  <c r="AQ39" i="10"/>
  <c r="AI39" i="10"/>
  <c r="AJ39" i="10" s="1"/>
  <c r="AP16" i="10"/>
  <c r="AP22" i="13"/>
  <c r="AQ17" i="11"/>
  <c r="AI17" i="11"/>
  <c r="AB43" i="11"/>
  <c r="AC43" i="11" s="1"/>
  <c r="AC17" i="11"/>
  <c r="U17" i="11"/>
  <c r="AP47" i="11"/>
  <c r="AI24" i="9"/>
  <c r="AQ24" i="9"/>
  <c r="AP18" i="14"/>
  <c r="S39" i="9"/>
  <c r="AQ30" i="13"/>
  <c r="AI30" i="13"/>
  <c r="AI42" i="10"/>
  <c r="AQ42" i="10"/>
  <c r="AP38" i="10"/>
  <c r="AQ38" i="10" s="1"/>
  <c r="AN29" i="10"/>
  <c r="AP15" i="10"/>
  <c r="AC27" i="9"/>
  <c r="U27" i="9"/>
  <c r="AQ30" i="11"/>
  <c r="AI30" i="11"/>
  <c r="AQ21" i="11"/>
  <c r="AI21" i="11"/>
  <c r="N36" i="13"/>
  <c r="O36" i="13" s="1"/>
  <c r="AJ34" i="16"/>
  <c r="AB34" i="16"/>
  <c r="AB25" i="15"/>
  <c r="AJ25" i="15"/>
  <c r="V43" i="16"/>
  <c r="N43" i="16"/>
  <c r="H29" i="17"/>
  <c r="O15" i="17"/>
  <c r="AB39" i="16"/>
  <c r="O32" i="16"/>
  <c r="AP39" i="18"/>
  <c r="AQ39" i="18" s="1"/>
  <c r="AP39" i="20"/>
  <c r="AQ39" i="20" s="1"/>
  <c r="AP25" i="19"/>
  <c r="N31" i="18"/>
  <c r="V31" i="18"/>
  <c r="AI38" i="20"/>
  <c r="AP21" i="18"/>
  <c r="U43" i="18"/>
  <c r="V43" i="18" s="1"/>
  <c r="AC43" i="18"/>
  <c r="H29" i="18"/>
  <c r="O15" i="18"/>
  <c r="AI18" i="22"/>
  <c r="AQ18" i="22"/>
  <c r="AB27" i="21"/>
  <c r="AJ27" i="21"/>
  <c r="AJ30" i="21"/>
  <c r="AB30" i="21"/>
  <c r="AC25" i="21"/>
  <c r="U25" i="21"/>
  <c r="U31" i="18"/>
  <c r="AC31" i="18"/>
  <c r="U43" i="19"/>
  <c r="AJ32" i="22"/>
  <c r="AB32" i="22"/>
  <c r="V43" i="21"/>
  <c r="N43" i="21"/>
  <c r="O43" i="21" s="1"/>
  <c r="AP15" i="23"/>
  <c r="AN29" i="23"/>
  <c r="AI16" i="22"/>
  <c r="AQ16" i="22"/>
  <c r="AB32" i="21"/>
  <c r="AJ32" i="21"/>
  <c r="AP17" i="24"/>
  <c r="AC26" i="24"/>
  <c r="U26" i="24"/>
  <c r="AP39" i="23"/>
  <c r="N36" i="25"/>
  <c r="O36" i="25" s="1"/>
  <c r="V36" i="25"/>
  <c r="O41" i="25"/>
  <c r="AI43" i="24"/>
  <c r="AQ43" i="24"/>
  <c r="AQ33" i="24"/>
  <c r="AI33" i="24"/>
  <c r="AB34" i="26"/>
  <c r="AJ34" i="26"/>
  <c r="AC17" i="26"/>
  <c r="U17" i="26"/>
  <c r="AJ38" i="25"/>
  <c r="AB38" i="25"/>
  <c r="V38" i="25"/>
  <c r="N38" i="25"/>
  <c r="AJ36" i="27"/>
  <c r="AB36" i="27"/>
  <c r="N40" i="26"/>
  <c r="U31" i="27"/>
  <c r="AC31" i="27"/>
  <c r="O41" i="27"/>
  <c r="N45" i="27"/>
  <c r="V45" i="27"/>
  <c r="N20" i="28"/>
  <c r="V20" i="28"/>
  <c r="AP36" i="28"/>
  <c r="AQ36" i="28" s="1"/>
  <c r="V17" i="28"/>
  <c r="N17" i="28"/>
  <c r="V23" i="30"/>
  <c r="N23" i="30"/>
  <c r="AI23" i="30"/>
  <c r="AQ23" i="30"/>
  <c r="AQ16" i="31"/>
  <c r="AI16" i="31"/>
  <c r="AQ25" i="31"/>
  <c r="AI25" i="31"/>
  <c r="AI21" i="31"/>
  <c r="AQ21" i="31"/>
  <c r="AQ34" i="33"/>
  <c r="AI34" i="33"/>
  <c r="H29" i="35"/>
  <c r="AJ20" i="32"/>
  <c r="AB20" i="32"/>
  <c r="N33" i="34"/>
  <c r="O33" i="34" s="1"/>
  <c r="V33" i="34"/>
  <c r="AB25" i="34"/>
  <c r="AJ25" i="34"/>
  <c r="U33" i="34"/>
  <c r="AC33" i="34"/>
  <c r="AI33" i="35"/>
  <c r="AQ33" i="35"/>
  <c r="AP41" i="36"/>
  <c r="AQ41" i="36" s="1"/>
  <c r="H29" i="38"/>
  <c r="AP24" i="37"/>
  <c r="AC20" i="38"/>
  <c r="U20" i="38"/>
  <c r="AB21" i="38"/>
  <c r="AJ21" i="38"/>
  <c r="U18" i="39"/>
  <c r="AJ34" i="39"/>
  <c r="AB34" i="39"/>
  <c r="AI45" i="39"/>
  <c r="AQ45" i="39"/>
  <c r="N30" i="40"/>
  <c r="O30" i="40" s="1"/>
  <c r="V30" i="40"/>
  <c r="AQ36" i="41"/>
  <c r="AI36" i="41"/>
  <c r="U26" i="40"/>
  <c r="AC26" i="40"/>
  <c r="V35" i="40"/>
  <c r="N35" i="40"/>
  <c r="U22" i="41"/>
  <c r="AC22" i="41"/>
  <c r="AJ24" i="41"/>
  <c r="AB24" i="41"/>
  <c r="AB25" i="13"/>
  <c r="AJ25" i="13"/>
  <c r="V19" i="12"/>
  <c r="N19" i="12"/>
  <c r="AJ23" i="11"/>
  <c r="AB23" i="11"/>
  <c r="N26" i="12"/>
  <c r="V26" i="12"/>
  <c r="AB34" i="11"/>
  <c r="AJ34" i="11"/>
  <c r="AI16" i="11"/>
  <c r="AQ16" i="11"/>
  <c r="AC18" i="9"/>
  <c r="U18" i="9"/>
  <c r="AC23" i="9"/>
  <c r="U23" i="9"/>
  <c r="AB27" i="37"/>
  <c r="AJ27" i="37"/>
  <c r="U41" i="36"/>
  <c r="V41" i="36" s="1"/>
  <c r="AC20" i="35"/>
  <c r="U20" i="35"/>
  <c r="AJ17" i="37"/>
  <c r="AB17" i="37"/>
  <c r="AC17" i="37" s="1"/>
  <c r="N17" i="37"/>
  <c r="V18" i="37"/>
  <c r="N18" i="37"/>
  <c r="U35" i="34"/>
  <c r="AC35" i="34"/>
  <c r="AJ44" i="33"/>
  <c r="AB44" i="33"/>
  <c r="AC44" i="33" s="1"/>
  <c r="V25" i="31"/>
  <c r="N25" i="31"/>
  <c r="U18" i="31"/>
  <c r="V18" i="31" s="1"/>
  <c r="AJ44" i="28"/>
  <c r="AB44" i="28"/>
  <c r="AC44" i="28" s="1"/>
  <c r="AI27" i="27"/>
  <c r="AQ27" i="27"/>
  <c r="AB26" i="28"/>
  <c r="AJ26" i="28"/>
  <c r="N34" i="27"/>
  <c r="V34" i="27"/>
  <c r="O34" i="24"/>
  <c r="N36" i="27"/>
  <c r="O36" i="27" s="1"/>
  <c r="AI42" i="23"/>
  <c r="AJ42" i="23" s="1"/>
  <c r="N43" i="24"/>
  <c r="AQ36" i="22"/>
  <c r="AI36" i="22"/>
  <c r="V26" i="22"/>
  <c r="N26" i="22"/>
  <c r="N30" i="21"/>
  <c r="N18" i="18"/>
  <c r="AC18" i="23"/>
  <c r="U18" i="23"/>
  <c r="AJ36" i="21"/>
  <c r="AB36" i="21"/>
  <c r="N17" i="20"/>
  <c r="V17" i="20"/>
  <c r="U30" i="19"/>
  <c r="AC30" i="19"/>
  <c r="AQ16" i="16"/>
  <c r="AI16" i="16"/>
  <c r="Z29" i="18"/>
  <c r="AB15" i="18"/>
  <c r="AJ15" i="18"/>
  <c r="N41" i="17"/>
  <c r="O41" i="17" s="1"/>
  <c r="V41" i="17"/>
  <c r="O30" i="17"/>
  <c r="N47" i="18"/>
  <c r="AJ35" i="15"/>
  <c r="AB35" i="15"/>
  <c r="AB17" i="17"/>
  <c r="AJ17" i="17"/>
  <c r="U20" i="15"/>
  <c r="AC20" i="15"/>
  <c r="AC18" i="12"/>
  <c r="U18" i="12"/>
  <c r="AQ43" i="13"/>
  <c r="AI43" i="13"/>
  <c r="AC31" i="12"/>
  <c r="U31" i="12"/>
  <c r="N18" i="11"/>
  <c r="V18" i="11"/>
  <c r="V17" i="11"/>
  <c r="N17" i="11"/>
  <c r="AP34" i="11"/>
  <c r="AQ34" i="11" s="1"/>
  <c r="H29" i="12"/>
  <c r="O15" i="12"/>
  <c r="AQ31" i="16"/>
  <c r="AI31" i="16"/>
  <c r="AI43" i="16"/>
  <c r="N27" i="17"/>
  <c r="V27" i="17"/>
  <c r="AJ32" i="20"/>
  <c r="AB32" i="20"/>
  <c r="AC25" i="17"/>
  <c r="U25" i="17"/>
  <c r="U22" i="22"/>
  <c r="V22" i="22" s="1"/>
  <c r="AC22" i="22"/>
  <c r="N18" i="21"/>
  <c r="V26" i="23"/>
  <c r="N26" i="23"/>
  <c r="U20" i="24"/>
  <c r="AC20" i="24"/>
  <c r="N32" i="28"/>
  <c r="V32" i="28"/>
  <c r="N17" i="30"/>
  <c r="V16" i="30"/>
  <c r="N16" i="30"/>
  <c r="AB40" i="30"/>
  <c r="N15" i="31"/>
  <c r="V15" i="31"/>
  <c r="L29" i="31"/>
  <c r="AQ30" i="32"/>
  <c r="AI30" i="32"/>
  <c r="H27" i="3" s="1"/>
  <c r="H26" i="3"/>
  <c r="N32" i="34"/>
  <c r="O32" i="34" s="1"/>
  <c r="U26" i="34"/>
  <c r="AC26" i="34"/>
  <c r="AJ33" i="34"/>
  <c r="AB33" i="34"/>
  <c r="AN29" i="36"/>
  <c r="AP15" i="36"/>
  <c r="AQ15" i="36" s="1"/>
  <c r="AC33" i="36"/>
  <c r="U33" i="36"/>
  <c r="V33" i="36" s="1"/>
  <c r="V38" i="37"/>
  <c r="N38" i="37"/>
  <c r="N24" i="38"/>
  <c r="V24" i="38"/>
  <c r="N23" i="38"/>
  <c r="V23" i="38"/>
  <c r="AJ31" i="38"/>
  <c r="AB31" i="38"/>
  <c r="AJ21" i="39"/>
  <c r="AB21" i="39"/>
  <c r="U23" i="11"/>
  <c r="AC23" i="11"/>
  <c r="AB25" i="10"/>
  <c r="AJ25" i="10"/>
  <c r="AJ31" i="9"/>
  <c r="AB31" i="9"/>
  <c r="O36" i="11"/>
  <c r="N36" i="10"/>
  <c r="O36" i="10" s="1"/>
  <c r="AQ21" i="9"/>
  <c r="AI21" i="9"/>
  <c r="AJ17" i="10"/>
  <c r="AB17" i="10"/>
  <c r="AB33" i="9"/>
  <c r="AJ33" i="9"/>
  <c r="AB47" i="41"/>
  <c r="AC47" i="41" s="1"/>
  <c r="N45" i="41"/>
  <c r="O45" i="41" s="1"/>
  <c r="AI17" i="41"/>
  <c r="AQ17" i="41"/>
  <c r="AJ28" i="41"/>
  <c r="AB28" i="41"/>
  <c r="AI49" i="41"/>
  <c r="AJ49" i="41" s="1"/>
  <c r="Z40" i="41"/>
  <c r="AL37" i="40"/>
  <c r="AN37" i="40" s="1"/>
  <c r="AP37" i="40" s="1"/>
  <c r="AN46" i="40"/>
  <c r="AB21" i="41"/>
  <c r="AJ21" i="41"/>
  <c r="U25" i="40"/>
  <c r="AC25" i="40"/>
  <c r="U23" i="40"/>
  <c r="AC23" i="40"/>
  <c r="AP40" i="40"/>
  <c r="O45" i="40"/>
  <c r="AP30" i="40"/>
  <c r="V22" i="39"/>
  <c r="N22" i="39"/>
  <c r="H46" i="39"/>
  <c r="F37" i="39"/>
  <c r="H37" i="39" s="1"/>
  <c r="N37" i="39" s="1"/>
  <c r="AI44" i="39"/>
  <c r="AQ44" i="39"/>
  <c r="AJ16" i="39"/>
  <c r="AB16" i="39"/>
  <c r="AQ17" i="40"/>
  <c r="AI17" i="40"/>
  <c r="H44" i="39"/>
  <c r="O33" i="39"/>
  <c r="S29" i="38"/>
  <c r="U15" i="38"/>
  <c r="AB28" i="38"/>
  <c r="AJ28" i="38"/>
  <c r="AP43" i="38"/>
  <c r="AQ43" i="38" s="1"/>
  <c r="AG46" i="39"/>
  <c r="AQ17" i="39"/>
  <c r="AI17" i="39"/>
  <c r="AC20" i="39"/>
  <c r="U20" i="39"/>
  <c r="V30" i="37"/>
  <c r="N30" i="37"/>
  <c r="O30" i="37" s="1"/>
  <c r="AC44" i="38"/>
  <c r="U44" i="38"/>
  <c r="U25" i="37"/>
  <c r="AC25" i="37"/>
  <c r="U33" i="37"/>
  <c r="AC33" i="37"/>
  <c r="AB30" i="38"/>
  <c r="AJ30" i="38"/>
  <c r="AQ32" i="37"/>
  <c r="AI32" i="37"/>
  <c r="AC30" i="37"/>
  <c r="U30" i="37"/>
  <c r="U25" i="39"/>
  <c r="AC25" i="39"/>
  <c r="U19" i="36"/>
  <c r="V19" i="36" s="1"/>
  <c r="AC19" i="36"/>
  <c r="AJ19" i="37"/>
  <c r="AB19" i="37"/>
  <c r="AC19" i="37" s="1"/>
  <c r="K44" i="36"/>
  <c r="L44" i="36" s="1"/>
  <c r="L43" i="36"/>
  <c r="K46" i="36"/>
  <c r="L46" i="36" s="1"/>
  <c r="AI45" i="35"/>
  <c r="AC32" i="36"/>
  <c r="U32" i="36"/>
  <c r="V32" i="36" s="1"/>
  <c r="AG46" i="36"/>
  <c r="AJ20" i="35"/>
  <c r="AB20" i="35"/>
  <c r="U30" i="35"/>
  <c r="V30" i="35" s="1"/>
  <c r="AC30" i="35"/>
  <c r="U16" i="37"/>
  <c r="AC16" i="37"/>
  <c r="V18" i="36"/>
  <c r="N18" i="36"/>
  <c r="V24" i="36"/>
  <c r="N24" i="36"/>
  <c r="AB32" i="34"/>
  <c r="AJ32" i="34"/>
  <c r="U22" i="36"/>
  <c r="AC22" i="36"/>
  <c r="AC45" i="34"/>
  <c r="U45" i="34"/>
  <c r="U34" i="34"/>
  <c r="AC34" i="34"/>
  <c r="AP28" i="35"/>
  <c r="AQ20" i="34"/>
  <c r="AI20" i="34"/>
  <c r="V34" i="33"/>
  <c r="N34" i="33"/>
  <c r="AQ36" i="33"/>
  <c r="AI36" i="33"/>
  <c r="U30" i="34"/>
  <c r="F32" i="3" s="1"/>
  <c r="AC30" i="34"/>
  <c r="F31" i="3"/>
  <c r="AJ45" i="32"/>
  <c r="AB45" i="32"/>
  <c r="AJ16" i="34"/>
  <c r="AB16" i="34"/>
  <c r="O36" i="34"/>
  <c r="AP27" i="34"/>
  <c r="O40" i="33"/>
  <c r="AQ16" i="34"/>
  <c r="AI16" i="34"/>
  <c r="AP19" i="33"/>
  <c r="AP23" i="33"/>
  <c r="O33" i="31"/>
  <c r="AI28" i="32"/>
  <c r="AQ28" i="32"/>
  <c r="AJ40" i="32"/>
  <c r="AB40" i="32"/>
  <c r="AB33" i="31"/>
  <c r="AJ33" i="31"/>
  <c r="H44" i="32"/>
  <c r="AB44" i="31"/>
  <c r="U17" i="32"/>
  <c r="AC17" i="32"/>
  <c r="AI46" i="31"/>
  <c r="AQ46" i="31"/>
  <c r="AP34" i="30"/>
  <c r="L46" i="32"/>
  <c r="U46" i="32" s="1"/>
  <c r="AQ31" i="30"/>
  <c r="AI31" i="30"/>
  <c r="AI27" i="30"/>
  <c r="AQ27" i="30"/>
  <c r="N41" i="32"/>
  <c r="V41" i="32"/>
  <c r="U41" i="30"/>
  <c r="V41" i="30" s="1"/>
  <c r="AJ23" i="32"/>
  <c r="AB23" i="32"/>
  <c r="AJ17" i="31"/>
  <c r="AB17" i="31"/>
  <c r="AI19" i="30"/>
  <c r="AQ19" i="30"/>
  <c r="AJ18" i="31"/>
  <c r="AB18" i="31"/>
  <c r="AC18" i="31" s="1"/>
  <c r="AI21" i="32"/>
  <c r="AQ21" i="32"/>
  <c r="U34" i="33"/>
  <c r="AC34" i="33"/>
  <c r="V20" i="30"/>
  <c r="N20" i="30"/>
  <c r="AI20" i="29"/>
  <c r="AQ20" i="29"/>
  <c r="U34" i="27"/>
  <c r="AC34" i="27"/>
  <c r="AC28" i="30"/>
  <c r="U28" i="30"/>
  <c r="AP43" i="31"/>
  <c r="AC38" i="29"/>
  <c r="U38" i="29"/>
  <c r="AI25" i="29"/>
  <c r="AQ25" i="29"/>
  <c r="AB46" i="27"/>
  <c r="AC46" i="27" s="1"/>
  <c r="AJ46" i="27"/>
  <c r="V25" i="30"/>
  <c r="N25" i="30"/>
  <c r="AQ38" i="30"/>
  <c r="AI38" i="30"/>
  <c r="N32" i="29"/>
  <c r="AB38" i="29"/>
  <c r="AJ38" i="29"/>
  <c r="AB24" i="30"/>
  <c r="AJ24" i="30"/>
  <c r="AC23" i="29"/>
  <c r="U23" i="29"/>
  <c r="AB19" i="27"/>
  <c r="AC19" i="27" s="1"/>
  <c r="W21" i="3" s="1"/>
  <c r="AI32" i="28"/>
  <c r="AQ32" i="28"/>
  <c r="U35" i="28"/>
  <c r="AG32" i="27"/>
  <c r="N30" i="27"/>
  <c r="AJ21" i="27"/>
  <c r="AB21" i="27"/>
  <c r="AC21" i="27" s="1"/>
  <c r="AQ23" i="27"/>
  <c r="AI23" i="27"/>
  <c r="AP45" i="27"/>
  <c r="O36" i="30"/>
  <c r="AC41" i="27"/>
  <c r="U41" i="27"/>
  <c r="V41" i="27" s="1"/>
  <c r="V19" i="29"/>
  <c r="N19" i="29"/>
  <c r="AP23" i="28"/>
  <c r="AB19" i="29"/>
  <c r="AC19" i="29" s="1"/>
  <c r="U17" i="27"/>
  <c r="V17" i="27" s="1"/>
  <c r="N37" i="28"/>
  <c r="AJ25" i="28"/>
  <c r="AB25" i="28"/>
  <c r="AB16" i="28"/>
  <c r="AJ16" i="28"/>
  <c r="AP37" i="27"/>
  <c r="N17" i="26"/>
  <c r="V17" i="26"/>
  <c r="AP18" i="29"/>
  <c r="AP22" i="28"/>
  <c r="AP33" i="26"/>
  <c r="AC20" i="28"/>
  <c r="U20" i="28"/>
  <c r="H32" i="25"/>
  <c r="AP32" i="25"/>
  <c r="H44" i="25"/>
  <c r="N41" i="26"/>
  <c r="O41" i="26" s="1"/>
  <c r="O44" i="26"/>
  <c r="AP18" i="26"/>
  <c r="AC34" i="26"/>
  <c r="U34" i="26"/>
  <c r="V34" i="26" s="1"/>
  <c r="AC19" i="25"/>
  <c r="U19" i="25"/>
  <c r="V19" i="25" s="1"/>
  <c r="N34" i="26"/>
  <c r="O34" i="26" s="1"/>
  <c r="AP27" i="26"/>
  <c r="Z43" i="25"/>
  <c r="U22" i="26"/>
  <c r="AC22" i="26"/>
  <c r="O32" i="23"/>
  <c r="AI27" i="22"/>
  <c r="AQ27" i="22"/>
  <c r="AC39" i="23"/>
  <c r="U39" i="23"/>
  <c r="V24" i="26"/>
  <c r="N24" i="26"/>
  <c r="U15" i="24"/>
  <c r="S29" i="24"/>
  <c r="AB47" i="23"/>
  <c r="AC47" i="23" s="1"/>
  <c r="AJ24" i="22"/>
  <c r="AB24" i="22"/>
  <c r="AB34" i="20"/>
  <c r="AC34" i="20" s="1"/>
  <c r="N34" i="22"/>
  <c r="AI19" i="22"/>
  <c r="AQ19" i="22"/>
  <c r="AJ28" i="23"/>
  <c r="AB28" i="23"/>
  <c r="AP48" i="22"/>
  <c r="U43" i="23"/>
  <c r="AC43" i="23"/>
  <c r="U44" i="22"/>
  <c r="AB44" i="22"/>
  <c r="AC44" i="22" s="1"/>
  <c r="AQ22" i="21"/>
  <c r="AI22" i="21"/>
  <c r="AB31" i="19"/>
  <c r="AJ31" i="19"/>
  <c r="U24" i="20"/>
  <c r="AC24" i="20"/>
  <c r="AB19" i="22"/>
  <c r="AC19" i="22" s="1"/>
  <c r="AJ19" i="22"/>
  <c r="N43" i="20"/>
  <c r="N17" i="19"/>
  <c r="V17" i="19"/>
  <c r="U33" i="24"/>
  <c r="AC33" i="24"/>
  <c r="AP42" i="21"/>
  <c r="AQ42" i="21" s="1"/>
  <c r="U22" i="23"/>
  <c r="V22" i="23" s="1"/>
  <c r="AC22" i="23"/>
  <c r="N31" i="21"/>
  <c r="V31" i="21"/>
  <c r="AP39" i="19"/>
  <c r="AQ39" i="19" s="1"/>
  <c r="AB43" i="21"/>
  <c r="AJ43" i="21"/>
  <c r="U30" i="21"/>
  <c r="V30" i="21" s="1"/>
  <c r="AC30" i="21"/>
  <c r="U19" i="20"/>
  <c r="U36" i="20"/>
  <c r="AC36" i="20"/>
  <c r="N44" i="19"/>
  <c r="O44" i="19" s="1"/>
  <c r="V44" i="19"/>
  <c r="AI15" i="19"/>
  <c r="AG29" i="19"/>
  <c r="AI33" i="22"/>
  <c r="AQ33" i="22"/>
  <c r="N34" i="17"/>
  <c r="O34" i="17" s="1"/>
  <c r="AJ17" i="20"/>
  <c r="AB17" i="20"/>
  <c r="AC17" i="20" s="1"/>
  <c r="V20" i="18"/>
  <c r="N20" i="18"/>
  <c r="AJ28" i="18"/>
  <c r="AB28" i="18"/>
  <c r="V25" i="16"/>
  <c r="N25" i="16"/>
  <c r="U44" i="19"/>
  <c r="AP24" i="17"/>
  <c r="N35" i="21"/>
  <c r="O35" i="21" s="1"/>
  <c r="Z41" i="18"/>
  <c r="AC24" i="17"/>
  <c r="U24" i="17"/>
  <c r="N18" i="17"/>
  <c r="AG41" i="15"/>
  <c r="AP41" i="15" s="1"/>
  <c r="AP38" i="14"/>
  <c r="N24" i="15"/>
  <c r="V24" i="15"/>
  <c r="AP17" i="16"/>
  <c r="AQ15" i="17"/>
  <c r="AI15" i="17"/>
  <c r="AJ15" i="17" s="1"/>
  <c r="AG29" i="17"/>
  <c r="AC35" i="15"/>
  <c r="U35" i="15"/>
  <c r="V35" i="15" s="1"/>
  <c r="AJ22" i="15"/>
  <c r="AB22" i="15"/>
  <c r="AG41" i="13"/>
  <c r="AJ18" i="13"/>
  <c r="AB18" i="13"/>
  <c r="AC18" i="13" s="1"/>
  <c r="AP18" i="13"/>
  <c r="AC20" i="14"/>
  <c r="U20" i="14"/>
  <c r="O44" i="13"/>
  <c r="AP16" i="14"/>
  <c r="N16" i="15"/>
  <c r="V16" i="15"/>
  <c r="AJ27" i="12"/>
  <c r="AB27" i="12"/>
  <c r="N35" i="11"/>
  <c r="O35" i="11" s="1"/>
  <c r="V35" i="11"/>
  <c r="N38" i="10"/>
  <c r="O38" i="10" s="1"/>
  <c r="N47" i="10"/>
  <c r="AI26" i="14"/>
  <c r="AQ26" i="14"/>
  <c r="AC19" i="12"/>
  <c r="U19" i="12"/>
  <c r="V24" i="11"/>
  <c r="N24" i="11"/>
  <c r="AN34" i="9"/>
  <c r="AP34" i="9" s="1"/>
  <c r="AJ20" i="9"/>
  <c r="AB20" i="9"/>
  <c r="AB34" i="10"/>
  <c r="AB47" i="12"/>
  <c r="AC47" i="12" s="1"/>
  <c r="AB42" i="11"/>
  <c r="AC42" i="11" s="1"/>
  <c r="AJ42" i="11"/>
  <c r="AJ16" i="11"/>
  <c r="AB16" i="11"/>
  <c r="AB48" i="11"/>
  <c r="AJ48" i="11"/>
  <c r="U31" i="10"/>
  <c r="AC31" i="10"/>
  <c r="U43" i="9"/>
  <c r="V43" i="9" s="1"/>
  <c r="N23" i="9"/>
  <c r="V23" i="9"/>
  <c r="AC18" i="14"/>
  <c r="U18" i="14"/>
  <c r="V18" i="14" s="1"/>
  <c r="AB41" i="10"/>
  <c r="AC41" i="10" s="1"/>
  <c r="O16" i="10"/>
  <c r="H29" i="10"/>
  <c r="AC38" i="10"/>
  <c r="U38" i="10"/>
  <c r="V38" i="10" s="1"/>
  <c r="AP26" i="9"/>
  <c r="AJ33" i="11"/>
  <c r="AB33" i="11"/>
  <c r="AJ30" i="13"/>
  <c r="AB30" i="13"/>
  <c r="AC34" i="12"/>
  <c r="U34" i="12"/>
  <c r="O30" i="12"/>
  <c r="AQ36" i="13"/>
  <c r="AI36" i="13"/>
  <c r="AJ36" i="13" s="1"/>
  <c r="AQ34" i="12"/>
  <c r="AI34" i="12"/>
  <c r="AP24" i="16"/>
  <c r="AP28" i="15"/>
  <c r="V41" i="16"/>
  <c r="N41" i="16"/>
  <c r="U25" i="16"/>
  <c r="AC25" i="16"/>
  <c r="V23" i="17"/>
  <c r="N23" i="17"/>
  <c r="N16" i="17"/>
  <c r="V16" i="17"/>
  <c r="U39" i="16"/>
  <c r="AC39" i="16"/>
  <c r="AP31" i="16"/>
  <c r="AP31" i="17"/>
  <c r="AP43" i="16"/>
  <c r="AQ43" i="16" s="1"/>
  <c r="AJ32" i="16"/>
  <c r="AB32" i="16"/>
  <c r="U43" i="20"/>
  <c r="V43" i="20" s="1"/>
  <c r="AC43" i="20"/>
  <c r="N43" i="19"/>
  <c r="V43" i="19"/>
  <c r="AI28" i="19"/>
  <c r="AQ28" i="19"/>
  <c r="U15" i="19"/>
  <c r="S29" i="19"/>
  <c r="AI27" i="17"/>
  <c r="AQ27" i="17"/>
  <c r="AQ32" i="21"/>
  <c r="AI32" i="21"/>
  <c r="AJ27" i="20"/>
  <c r="AB27" i="20"/>
  <c r="N19" i="3"/>
  <c r="S19" i="3" s="1"/>
  <c r="S17" i="3"/>
  <c r="AP26" i="24"/>
  <c r="AQ26" i="22"/>
  <c r="AI26" i="22"/>
  <c r="AJ17" i="23"/>
  <c r="AB17" i="23"/>
  <c r="AQ27" i="24"/>
  <c r="AI27" i="24"/>
  <c r="AJ23" i="24"/>
  <c r="AB23" i="24"/>
  <c r="U28" i="24"/>
  <c r="AC28" i="24"/>
  <c r="AQ16" i="26"/>
  <c r="AI16" i="26"/>
  <c r="AI24" i="25"/>
  <c r="AQ24" i="25"/>
  <c r="AI31" i="26"/>
  <c r="AQ31" i="26"/>
  <c r="H29" i="26"/>
  <c r="AQ44" i="26"/>
  <c r="AI44" i="26"/>
  <c r="O33" i="28"/>
  <c r="AP22" i="27"/>
  <c r="AI24" i="28"/>
  <c r="AQ24" i="28"/>
  <c r="AC22" i="31"/>
  <c r="U22" i="31"/>
  <c r="V22" i="31" s="1"/>
  <c r="V26" i="31"/>
  <c r="N26" i="31"/>
  <c r="U20" i="32"/>
  <c r="AC20" i="32"/>
  <c r="AP35" i="32"/>
  <c r="AQ25" i="33"/>
  <c r="AI25" i="33"/>
  <c r="AI16" i="33"/>
  <c r="AQ16" i="33"/>
  <c r="O44" i="33"/>
  <c r="V35" i="33"/>
  <c r="N35" i="33"/>
  <c r="V44" i="33"/>
  <c r="N44" i="33"/>
  <c r="AB22" i="35"/>
  <c r="AJ22" i="35"/>
  <c r="AP36" i="34"/>
  <c r="AQ36" i="34" s="1"/>
  <c r="AQ41" i="34"/>
  <c r="AI41" i="34"/>
  <c r="AP15" i="35"/>
  <c r="AN29" i="35"/>
  <c r="V25" i="36"/>
  <c r="N25" i="36"/>
  <c r="AP25" i="36"/>
  <c r="U40" i="37"/>
  <c r="V40" i="37" s="1"/>
  <c r="AC40" i="37"/>
  <c r="AC22" i="37"/>
  <c r="U22" i="37"/>
  <c r="AQ16" i="36"/>
  <c r="AI16" i="36"/>
  <c r="U36" i="36"/>
  <c r="N22" i="38"/>
  <c r="AB32" i="38"/>
  <c r="AJ32" i="38"/>
  <c r="AI18" i="39"/>
  <c r="AQ18" i="39"/>
  <c r="AB28" i="39"/>
  <c r="AJ28" i="39"/>
  <c r="V34" i="40"/>
  <c r="N34" i="40"/>
  <c r="AI31" i="40"/>
  <c r="AQ31" i="40"/>
  <c r="V40" i="40"/>
  <c r="N40" i="40"/>
  <c r="O40" i="40" s="1"/>
  <c r="U40" i="40"/>
  <c r="V38" i="41"/>
  <c r="N38" i="41"/>
  <c r="AC23" i="13"/>
  <c r="U23" i="13"/>
  <c r="AB17" i="12"/>
  <c r="AJ17" i="12"/>
  <c r="AB20" i="11"/>
  <c r="AJ20" i="11"/>
  <c r="O38" i="9"/>
  <c r="V44" i="38"/>
  <c r="N44" i="38"/>
  <c r="O44" i="38" s="1"/>
  <c r="AI34" i="37"/>
  <c r="AQ34" i="37"/>
  <c r="N49" i="37"/>
  <c r="O49" i="37" s="1"/>
  <c r="AC31" i="35"/>
  <c r="U31" i="35"/>
  <c r="AI32" i="35"/>
  <c r="AQ32" i="35"/>
  <c r="AC16" i="27"/>
  <c r="U16" i="27"/>
  <c r="AB28" i="27"/>
  <c r="AJ28" i="27"/>
  <c r="U38" i="23"/>
  <c r="V38" i="23" s="1"/>
  <c r="AQ30" i="23"/>
  <c r="AI30" i="23"/>
  <c r="AP44" i="20"/>
  <c r="AQ44" i="20" s="1"/>
  <c r="AI44" i="20"/>
  <c r="V27" i="22"/>
  <c r="N27" i="22"/>
  <c r="AQ25" i="19"/>
  <c r="AI25" i="19"/>
  <c r="AI16" i="19"/>
  <c r="AQ16" i="19"/>
  <c r="N42" i="13"/>
  <c r="O42" i="13" s="1"/>
  <c r="N32" i="13"/>
  <c r="H29" i="41"/>
  <c r="N49" i="41"/>
  <c r="O49" i="41" s="1"/>
  <c r="U21" i="41"/>
  <c r="V21" i="41" s="1"/>
  <c r="AJ19" i="39"/>
  <c r="AB19" i="39"/>
  <c r="AC19" i="39" s="1"/>
  <c r="O41" i="39"/>
  <c r="AB33" i="38"/>
  <c r="AJ33" i="38"/>
  <c r="AQ35" i="38"/>
  <c r="AI35" i="38"/>
  <c r="AC17" i="39"/>
  <c r="U17" i="39"/>
  <c r="V17" i="39" s="1"/>
  <c r="Z29" i="35"/>
  <c r="AB15" i="35"/>
  <c r="AJ15" i="35"/>
  <c r="AP16" i="37"/>
  <c r="AC23" i="34"/>
  <c r="U23" i="34"/>
  <c r="AQ21" i="34"/>
  <c r="AI21" i="34"/>
  <c r="N40" i="33"/>
  <c r="U45" i="32"/>
  <c r="AC45" i="32"/>
  <c r="N40" i="32"/>
  <c r="O40" i="32" s="1"/>
  <c r="V40" i="32"/>
  <c r="AI23" i="32"/>
  <c r="AQ23" i="32"/>
  <c r="AB38" i="32"/>
  <c r="AJ38" i="32"/>
  <c r="U26" i="31"/>
  <c r="AC26" i="31"/>
  <c r="AB15" i="32"/>
  <c r="AJ15" i="32"/>
  <c r="Z29" i="32"/>
  <c r="AC17" i="33"/>
  <c r="U17" i="33"/>
  <c r="V17" i="33" s="1"/>
  <c r="N24" i="32"/>
  <c r="V24" i="32"/>
  <c r="AP31" i="31"/>
  <c r="AP43" i="30"/>
  <c r="AQ43" i="30" s="1"/>
  <c r="AB19" i="32"/>
  <c r="AJ19" i="32"/>
  <c r="AI26" i="31"/>
  <c r="AQ26" i="31"/>
  <c r="AI20" i="30"/>
  <c r="AQ20" i="30"/>
  <c r="AP30" i="29"/>
  <c r="N35" i="29"/>
  <c r="V35" i="29"/>
  <c r="AC25" i="29"/>
  <c r="U25" i="29"/>
  <c r="V34" i="29"/>
  <c r="N34" i="29"/>
  <c r="O34" i="30"/>
  <c r="AB33" i="29"/>
  <c r="AJ33" i="29"/>
  <c r="AB17" i="30"/>
  <c r="AJ17" i="30"/>
  <c r="AI43" i="28"/>
  <c r="AJ43" i="28" s="1"/>
  <c r="N26" i="30"/>
  <c r="V26" i="30"/>
  <c r="AB40" i="29"/>
  <c r="AC40" i="29" s="1"/>
  <c r="AQ30" i="27"/>
  <c r="AI30" i="27"/>
  <c r="L23" i="3"/>
  <c r="AC26" i="28"/>
  <c r="U26" i="28"/>
  <c r="AQ21" i="27"/>
  <c r="AI21" i="27"/>
  <c r="R23" i="3"/>
  <c r="AC44" i="27"/>
  <c r="N36" i="30"/>
  <c r="V36" i="30"/>
  <c r="AJ20" i="29"/>
  <c r="AB20" i="29"/>
  <c r="AP30" i="27"/>
  <c r="V17" i="29"/>
  <c r="N17" i="29"/>
  <c r="AG29" i="30"/>
  <c r="AI15" i="30"/>
  <c r="AJ15" i="30" s="1"/>
  <c r="N41" i="28"/>
  <c r="O41" i="28" s="1"/>
  <c r="V41" i="28"/>
  <c r="AI40" i="28"/>
  <c r="AQ40" i="28"/>
  <c r="AJ17" i="27"/>
  <c r="AB17" i="27"/>
  <c r="AC17" i="27" s="1"/>
  <c r="U32" i="26"/>
  <c r="AC32" i="26"/>
  <c r="N16" i="28"/>
  <c r="V16" i="28"/>
  <c r="AP43" i="27"/>
  <c r="AP44" i="28"/>
  <c r="AQ44" i="28" s="1"/>
  <c r="AJ32" i="26"/>
  <c r="AB32" i="26"/>
  <c r="L29" i="28"/>
  <c r="N15" i="28"/>
  <c r="O15" i="28" s="1"/>
  <c r="N30" i="28"/>
  <c r="V30" i="28"/>
  <c r="H33" i="25"/>
  <c r="AJ17" i="25"/>
  <c r="AB17" i="25"/>
  <c r="N28" i="27"/>
  <c r="V28" i="27"/>
  <c r="AQ41" i="26"/>
  <c r="AI41" i="26"/>
  <c r="AJ41" i="26" s="1"/>
  <c r="AB44" i="25"/>
  <c r="AC44" i="25" s="1"/>
  <c r="AJ44" i="25"/>
  <c r="N18" i="26"/>
  <c r="AB45" i="25"/>
  <c r="AC45" i="25" s="1"/>
  <c r="U21" i="24"/>
  <c r="V21" i="24" s="1"/>
  <c r="AC21" i="24"/>
  <c r="N33" i="26"/>
  <c r="V33" i="26"/>
  <c r="AB20" i="26"/>
  <c r="AJ20" i="26"/>
  <c r="V23" i="26"/>
  <c r="N23" i="26"/>
  <c r="AJ19" i="25"/>
  <c r="AB19" i="25"/>
  <c r="AN43" i="26"/>
  <c r="N27" i="26"/>
  <c r="V27" i="26"/>
  <c r="AB19" i="26"/>
  <c r="AC19" i="26" s="1"/>
  <c r="Z29" i="24"/>
  <c r="AB15" i="24"/>
  <c r="AC15" i="24" s="1"/>
  <c r="V27" i="24"/>
  <c r="N27" i="24"/>
  <c r="AC42" i="23"/>
  <c r="U42" i="23"/>
  <c r="AC23" i="25"/>
  <c r="U23" i="25"/>
  <c r="AP43" i="22"/>
  <c r="AI34" i="23"/>
  <c r="AJ34" i="23" s="1"/>
  <c r="AQ34" i="23"/>
  <c r="V24" i="25"/>
  <c r="N24" i="25"/>
  <c r="AP32" i="24"/>
  <c r="AP18" i="25"/>
  <c r="AB19" i="23"/>
  <c r="AC19" i="23" s="1"/>
  <c r="AP23" i="22"/>
  <c r="AI38" i="25"/>
  <c r="AQ38" i="25"/>
  <c r="AJ18" i="24"/>
  <c r="AB18" i="24"/>
  <c r="AC18" i="24" s="1"/>
  <c r="AB47" i="22"/>
  <c r="AC47" i="22" s="1"/>
  <c r="AC24" i="22"/>
  <c r="U24" i="22"/>
  <c r="U36" i="22"/>
  <c r="V36" i="22" s="1"/>
  <c r="U31" i="19"/>
  <c r="AC31" i="19"/>
  <c r="AI42" i="21"/>
  <c r="AP23" i="20"/>
  <c r="AI25" i="22"/>
  <c r="AQ25" i="22"/>
  <c r="V17" i="21"/>
  <c r="N17" i="21"/>
  <c r="AP25" i="21"/>
  <c r="AC26" i="21"/>
  <c r="U26" i="21"/>
  <c r="O39" i="17"/>
  <c r="AJ25" i="19"/>
  <c r="AB25" i="19"/>
  <c r="AP18" i="18"/>
  <c r="AC32" i="21"/>
  <c r="U32" i="21"/>
  <c r="V32" i="21" s="1"/>
  <c r="U39" i="18"/>
  <c r="V39" i="18" s="1"/>
  <c r="U35" i="17"/>
  <c r="V35" i="17" s="1"/>
  <c r="AC35" i="17"/>
  <c r="AB35" i="17"/>
  <c r="H29" i="20"/>
  <c r="AB20" i="19"/>
  <c r="AJ20" i="19"/>
  <c r="AJ20" i="21"/>
  <c r="AB20" i="21"/>
  <c r="AJ15" i="20"/>
  <c r="Z29" i="20"/>
  <c r="AB15" i="20"/>
  <c r="AC15" i="20" s="1"/>
  <c r="F55" i="41"/>
  <c r="J55" i="37"/>
  <c r="F61" i="37"/>
  <c r="AI32" i="20"/>
  <c r="AQ32" i="20"/>
  <c r="O18" i="3"/>
  <c r="AQ31" i="18"/>
  <c r="AI31" i="18"/>
  <c r="AB20" i="22"/>
  <c r="AJ20" i="22"/>
  <c r="AQ20" i="18"/>
  <c r="AI20" i="18"/>
  <c r="U35" i="18"/>
  <c r="V35" i="18" s="1"/>
  <c r="N28" i="18"/>
  <c r="V28" i="18"/>
  <c r="AI20" i="16"/>
  <c r="AQ20" i="16"/>
  <c r="U38" i="18"/>
  <c r="V38" i="18" s="1"/>
  <c r="AC38" i="18"/>
  <c r="AC17" i="21"/>
  <c r="U17" i="21"/>
  <c r="AP25" i="17"/>
  <c r="AC27" i="16"/>
  <c r="U27" i="16"/>
  <c r="U27" i="19"/>
  <c r="AC27" i="19"/>
  <c r="AB24" i="17"/>
  <c r="AJ24" i="17"/>
  <c r="AQ27" i="21"/>
  <c r="AI27" i="21"/>
  <c r="AJ33" i="18"/>
  <c r="AB33" i="18"/>
  <c r="AB19" i="17"/>
  <c r="AJ19" i="17"/>
  <c r="AB35" i="18"/>
  <c r="AC35" i="18" s="1"/>
  <c r="AJ35" i="18"/>
  <c r="AC17" i="17"/>
  <c r="U17" i="17"/>
  <c r="U23" i="20"/>
  <c r="AC23" i="20"/>
  <c r="AB22" i="18"/>
  <c r="AJ22" i="18"/>
  <c r="AI47" i="18"/>
  <c r="AJ21" i="17"/>
  <c r="AB21" i="17"/>
  <c r="AP18" i="17"/>
  <c r="AP20" i="16"/>
  <c r="AB33" i="14"/>
  <c r="AJ33" i="14"/>
  <c r="N39" i="16"/>
  <c r="V39" i="16"/>
  <c r="AG32" i="15"/>
  <c r="U17" i="15"/>
  <c r="AC17" i="15"/>
  <c r="N33" i="17"/>
  <c r="V33" i="17"/>
  <c r="AQ21" i="16"/>
  <c r="AI21" i="16"/>
  <c r="S39" i="15"/>
  <c r="AP22" i="15"/>
  <c r="AQ39" i="13"/>
  <c r="AI39" i="13"/>
  <c r="AI36" i="12"/>
  <c r="AI47" i="14"/>
  <c r="AJ47" i="14" s="1"/>
  <c r="U45" i="12"/>
  <c r="V45" i="12" s="1"/>
  <c r="AB45" i="12"/>
  <c r="AC45" i="12" s="1"/>
  <c r="AC24" i="15"/>
  <c r="U24" i="15"/>
  <c r="AP19" i="15"/>
  <c r="V46" i="12"/>
  <c r="N46" i="12"/>
  <c r="O46" i="12" s="1"/>
  <c r="U39" i="10"/>
  <c r="V39" i="10" s="1"/>
  <c r="AC39" i="10"/>
  <c r="AC32" i="12"/>
  <c r="U32" i="12"/>
  <c r="AN29" i="9"/>
  <c r="AP15" i="9"/>
  <c r="AQ15" i="9" s="1"/>
  <c r="AB36" i="14"/>
  <c r="AC36" i="14" s="1"/>
  <c r="AQ31" i="13"/>
  <c r="AI31" i="13"/>
  <c r="AJ43" i="12"/>
  <c r="AB43" i="12"/>
  <c r="AC43" i="12" s="1"/>
  <c r="AI18" i="15"/>
  <c r="AQ18" i="15"/>
  <c r="V23" i="14"/>
  <c r="N23" i="14"/>
  <c r="AB24" i="13"/>
  <c r="AJ24" i="13"/>
  <c r="AB41" i="12"/>
  <c r="AC16" i="12"/>
  <c r="U16" i="12"/>
  <c r="U36" i="11"/>
  <c r="V36" i="11" s="1"/>
  <c r="AC36" i="11"/>
  <c r="N25" i="12"/>
  <c r="V25" i="12"/>
  <c r="AP48" i="10"/>
  <c r="AC24" i="11"/>
  <c r="U24" i="11"/>
  <c r="AI38" i="10"/>
  <c r="AJ38" i="10" s="1"/>
  <c r="AQ41" i="12"/>
  <c r="AI41" i="12"/>
  <c r="AJ41" i="12" s="1"/>
  <c r="AJ38" i="11"/>
  <c r="AB38" i="11"/>
  <c r="AP16" i="11"/>
  <c r="AN29" i="11"/>
  <c r="O47" i="12"/>
  <c r="AB36" i="11"/>
  <c r="AB47" i="10"/>
  <c r="AJ47" i="10"/>
  <c r="AB41" i="9"/>
  <c r="AI41" i="11"/>
  <c r="AJ41" i="11" s="1"/>
  <c r="O48" i="11"/>
  <c r="N48" i="11"/>
  <c r="U28" i="10"/>
  <c r="AC28" i="10"/>
  <c r="N31" i="12"/>
  <c r="V31" i="12"/>
  <c r="AP41" i="10"/>
  <c r="AQ41" i="10" s="1"/>
  <c r="AI32" i="9"/>
  <c r="AQ32" i="9"/>
  <c r="AC31" i="11"/>
  <c r="U31" i="11"/>
  <c r="AB39" i="10"/>
  <c r="AC22" i="12"/>
  <c r="U22" i="12"/>
  <c r="U30" i="11"/>
  <c r="V30" i="11" s="1"/>
  <c r="AC30" i="11"/>
  <c r="N34" i="10"/>
  <c r="O34" i="10" s="1"/>
  <c r="AP41" i="13"/>
  <c r="U25" i="12"/>
  <c r="AC25" i="12"/>
  <c r="N30" i="11"/>
  <c r="O38" i="12"/>
  <c r="U28" i="14"/>
  <c r="AC28" i="14"/>
  <c r="AP28" i="16"/>
  <c r="U30" i="17"/>
  <c r="V30" i="17" s="1"/>
  <c r="AC30" i="17"/>
  <c r="AP16" i="17"/>
  <c r="AC32" i="16"/>
  <c r="U32" i="16"/>
  <c r="V32" i="16" s="1"/>
  <c r="AP33" i="17"/>
  <c r="AP20" i="17"/>
  <c r="U15" i="17"/>
  <c r="V15" i="17" s="1"/>
  <c r="S29" i="17"/>
  <c r="AC15" i="17"/>
  <c r="V36" i="18"/>
  <c r="N36" i="18"/>
  <c r="O36" i="18" s="1"/>
  <c r="AI33" i="19"/>
  <c r="AQ33" i="19"/>
  <c r="AC39" i="21"/>
  <c r="AB31" i="17"/>
  <c r="AJ31" i="17"/>
  <c r="AI31" i="21"/>
  <c r="AQ31" i="21"/>
  <c r="AI34" i="20"/>
  <c r="AJ34" i="20" s="1"/>
  <c r="AQ34" i="20"/>
  <c r="AB28" i="20"/>
  <c r="AJ28" i="20"/>
  <c r="AJ27" i="22"/>
  <c r="AB27" i="22"/>
  <c r="AQ39" i="23"/>
  <c r="AI39" i="23"/>
  <c r="AJ39" i="23" s="1"/>
  <c r="U39" i="24"/>
  <c r="N30" i="24"/>
  <c r="V30" i="24"/>
  <c r="O33" i="26"/>
  <c r="V31" i="26"/>
  <c r="N31" i="26"/>
  <c r="V36" i="24"/>
  <c r="N36" i="24"/>
  <c r="O36" i="24" s="1"/>
  <c r="AP22" i="26"/>
  <c r="N38" i="26"/>
  <c r="V38" i="26"/>
  <c r="AB15" i="26"/>
  <c r="Z29" i="26"/>
  <c r="V45" i="26"/>
  <c r="N45" i="26"/>
  <c r="O45" i="26" s="1"/>
  <c r="L29" i="26"/>
  <c r="N15" i="26"/>
  <c r="O15" i="26" s="1"/>
  <c r="U34" i="28"/>
  <c r="AC34" i="28"/>
  <c r="AJ22" i="25"/>
  <c r="AB22" i="25"/>
  <c r="AP16" i="27"/>
  <c r="AC25" i="28"/>
  <c r="U25" i="28"/>
  <c r="U24" i="27"/>
  <c r="AC24" i="27"/>
  <c r="AQ19" i="29"/>
  <c r="AI19" i="29"/>
  <c r="AJ19" i="29" s="1"/>
  <c r="V43" i="28"/>
  <c r="N43" i="28"/>
  <c r="AQ24" i="30"/>
  <c r="AI24" i="30"/>
  <c r="V25" i="32"/>
  <c r="N25" i="32"/>
  <c r="O19" i="29"/>
  <c r="AQ24" i="31"/>
  <c r="AI24" i="31"/>
  <c r="V36" i="31"/>
  <c r="N36" i="31"/>
  <c r="O36" i="31" s="1"/>
  <c r="O41" i="31"/>
  <c r="V23" i="31"/>
  <c r="N23" i="31"/>
  <c r="AJ33" i="32"/>
  <c r="AB33" i="32"/>
  <c r="AC33" i="32" s="1"/>
  <c r="AP43" i="32"/>
  <c r="U19" i="33"/>
  <c r="V19" i="33" s="1"/>
  <c r="AQ24" i="35"/>
  <c r="AI24" i="35"/>
  <c r="AJ30" i="35"/>
  <c r="AB30" i="35"/>
  <c r="O30" i="32"/>
  <c r="D26" i="3"/>
  <c r="W31" i="3"/>
  <c r="AJ45" i="34"/>
  <c r="AB45" i="34"/>
  <c r="AB45" i="35"/>
  <c r="AJ45" i="35"/>
  <c r="AQ16" i="35"/>
  <c r="AI16" i="35"/>
  <c r="N40" i="35"/>
  <c r="O40" i="35" s="1"/>
  <c r="V40" i="35"/>
  <c r="AI17" i="36"/>
  <c r="AQ17" i="36"/>
  <c r="AI23" i="35"/>
  <c r="AQ23" i="35"/>
  <c r="U26" i="36"/>
  <c r="AC26" i="36"/>
  <c r="AQ28" i="37"/>
  <c r="AI28" i="37"/>
  <c r="V15" i="38"/>
  <c r="L29" i="38"/>
  <c r="N15" i="38"/>
  <c r="O15" i="38" s="1"/>
  <c r="O36" i="37"/>
  <c r="AP35" i="38"/>
  <c r="AC16" i="39"/>
  <c r="U16" i="39"/>
  <c r="AC33" i="39"/>
  <c r="U33" i="39"/>
  <c r="AP44" i="38"/>
  <c r="N34" i="38"/>
  <c r="V34" i="38"/>
  <c r="AQ28" i="39"/>
  <c r="AI28" i="39"/>
  <c r="AJ26" i="39"/>
  <c r="AB26" i="39"/>
  <c r="U16" i="40"/>
  <c r="AC16" i="40"/>
  <c r="U31" i="40"/>
  <c r="AC31" i="40"/>
  <c r="AC36" i="40"/>
  <c r="U36" i="40"/>
  <c r="V36" i="40" s="1"/>
  <c r="AP16" i="12"/>
  <c r="AQ28" i="41"/>
  <c r="AI28" i="41"/>
  <c r="AQ41" i="38"/>
  <c r="AI41" i="38"/>
  <c r="N45" i="34"/>
  <c r="O45" i="34" s="1"/>
  <c r="V45" i="34"/>
  <c r="V40" i="34"/>
  <c r="N40" i="34"/>
  <c r="O40" i="34" s="1"/>
  <c r="AB31" i="34"/>
  <c r="AJ31" i="34"/>
  <c r="V23" i="34"/>
  <c r="N23" i="34"/>
  <c r="V20" i="35"/>
  <c r="N20" i="35"/>
  <c r="AQ15" i="34"/>
  <c r="AI15" i="34"/>
  <c r="AG29" i="34"/>
  <c r="AI19" i="33"/>
  <c r="AQ19" i="33"/>
  <c r="AC40" i="33"/>
  <c r="U40" i="33"/>
  <c r="V40" i="33" s="1"/>
  <c r="AB15" i="33"/>
  <c r="AC15" i="33" s="1"/>
  <c r="AJ15" i="33"/>
  <c r="Z29" i="33"/>
  <c r="AQ27" i="32"/>
  <c r="AI27" i="32"/>
  <c r="AC45" i="29"/>
  <c r="U45" i="29"/>
  <c r="V45" i="29" s="1"/>
  <c r="AB43" i="29"/>
  <c r="AI17" i="30"/>
  <c r="AQ17" i="30"/>
  <c r="AB23" i="27"/>
  <c r="AJ23" i="27"/>
  <c r="N46" i="25"/>
  <c r="O46" i="25" s="1"/>
  <c r="V46" i="25"/>
  <c r="AB22" i="26"/>
  <c r="AJ22" i="26"/>
  <c r="AJ44" i="23"/>
  <c r="AB44" i="23"/>
  <c r="AC44" i="23" s="1"/>
  <c r="AC39" i="22"/>
  <c r="U39" i="22"/>
  <c r="V39" i="22" s="1"/>
  <c r="AI34" i="19"/>
  <c r="AJ34" i="19" s="1"/>
  <c r="S29" i="22"/>
  <c r="U15" i="22"/>
  <c r="V15" i="22" s="1"/>
  <c r="AB34" i="21"/>
  <c r="AC34" i="21" s="1"/>
  <c r="AJ34" i="21"/>
  <c r="AB42" i="20"/>
  <c r="AC42" i="20" s="1"/>
  <c r="AJ42" i="20"/>
  <c r="U25" i="19"/>
  <c r="AC25" i="19"/>
  <c r="AQ23" i="17"/>
  <c r="AI23" i="17"/>
  <c r="U46" i="18"/>
  <c r="V46" i="18" s="1"/>
  <c r="AI18" i="20"/>
  <c r="AQ18" i="20"/>
  <c r="AJ47" i="18"/>
  <c r="AB47" i="18"/>
  <c r="AI35" i="17"/>
  <c r="AJ35" i="17" s="1"/>
  <c r="AQ35" i="17"/>
  <c r="O41" i="15"/>
  <c r="AJ25" i="17"/>
  <c r="AB25" i="17"/>
  <c r="N48" i="16"/>
  <c r="O48" i="16" s="1"/>
  <c r="AJ23" i="15"/>
  <c r="AB23" i="15"/>
  <c r="AI24" i="17"/>
  <c r="AQ24" i="17"/>
  <c r="AP33" i="14"/>
  <c r="AC19" i="15"/>
  <c r="U19" i="15"/>
  <c r="U33" i="14"/>
  <c r="AC33" i="14"/>
  <c r="H29" i="14"/>
  <c r="O15" i="14"/>
  <c r="AJ28" i="13"/>
  <c r="AB28" i="13"/>
  <c r="U39" i="14"/>
  <c r="V39" i="14" s="1"/>
  <c r="AI42" i="19"/>
  <c r="AJ42" i="19" s="1"/>
  <c r="AP36" i="18"/>
  <c r="AQ36" i="18" s="1"/>
  <c r="AB24" i="18"/>
  <c r="AJ24" i="18"/>
  <c r="N19" i="21"/>
  <c r="O19" i="21" s="1"/>
  <c r="V19" i="21"/>
  <c r="AJ33" i="19"/>
  <c r="AB33" i="19"/>
  <c r="U34" i="22"/>
  <c r="V34" i="22" s="1"/>
  <c r="AC34" i="22"/>
  <c r="N34" i="25"/>
  <c r="O34" i="25" s="1"/>
  <c r="AC38" i="30"/>
  <c r="U38" i="30"/>
  <c r="AI35" i="30"/>
  <c r="AQ35" i="30"/>
  <c r="AI45" i="41"/>
  <c r="AJ50" i="41"/>
  <c r="AB50" i="41"/>
  <c r="Z43" i="41"/>
  <c r="AB35" i="40"/>
  <c r="AJ35" i="40"/>
  <c r="AP30" i="39"/>
  <c r="O43" i="39"/>
  <c r="U23" i="38"/>
  <c r="AC23" i="38"/>
  <c r="AI27" i="38"/>
  <c r="AQ27" i="38"/>
  <c r="U21" i="38"/>
  <c r="V21" i="38" s="1"/>
  <c r="AC21" i="38"/>
  <c r="AG29" i="38"/>
  <c r="AQ15" i="38"/>
  <c r="AI15" i="38"/>
  <c r="N32" i="38"/>
  <c r="O32" i="38" s="1"/>
  <c r="AP27" i="37"/>
  <c r="O15" i="36"/>
  <c r="H29" i="36"/>
  <c r="AI41" i="35"/>
  <c r="AI43" i="36"/>
  <c r="AJ43" i="36" s="1"/>
  <c r="AQ43" i="36"/>
  <c r="AB27" i="35"/>
  <c r="AJ27" i="35"/>
  <c r="AI20" i="36"/>
  <c r="AQ20" i="36"/>
  <c r="AC16" i="36"/>
  <c r="U16" i="36"/>
  <c r="N19" i="35"/>
  <c r="O19" i="35" s="1"/>
  <c r="AQ25" i="35"/>
  <c r="AI25" i="35"/>
  <c r="N36" i="34"/>
  <c r="V36" i="34"/>
  <c r="AC34" i="35"/>
  <c r="U34" i="35"/>
  <c r="N36" i="33"/>
  <c r="O36" i="33" s="1"/>
  <c r="V36" i="33"/>
  <c r="N18" i="34"/>
  <c r="V18" i="34"/>
  <c r="V15" i="32"/>
  <c r="L29" i="32"/>
  <c r="N15" i="32"/>
  <c r="AB40" i="33"/>
  <c r="AJ40" i="33"/>
  <c r="AB23" i="31"/>
  <c r="AJ23" i="31"/>
  <c r="AP35" i="31"/>
  <c r="N44" i="31"/>
  <c r="AJ32" i="30"/>
  <c r="AB32" i="30"/>
  <c r="AB46" i="31"/>
  <c r="AJ46" i="31"/>
  <c r="L43" i="30"/>
  <c r="N43" i="32"/>
  <c r="AB22" i="30"/>
  <c r="AJ22" i="30"/>
  <c r="U26" i="30"/>
  <c r="AC26" i="30"/>
  <c r="AJ27" i="32"/>
  <c r="AB27" i="32"/>
  <c r="N19" i="30"/>
  <c r="O19" i="30" s="1"/>
  <c r="V19" i="30"/>
  <c r="N34" i="30"/>
  <c r="V20" i="41"/>
  <c r="N20" i="41"/>
  <c r="V44" i="41"/>
  <c r="N44" i="41"/>
  <c r="AC49" i="41"/>
  <c r="U49" i="41"/>
  <c r="V49" i="41" s="1"/>
  <c r="AJ36" i="41"/>
  <c r="AB36" i="41"/>
  <c r="AB34" i="41"/>
  <c r="AJ34" i="41"/>
  <c r="AI31" i="41"/>
  <c r="AQ31" i="41"/>
  <c r="AQ20" i="41"/>
  <c r="AI20" i="41"/>
  <c r="AC27" i="41"/>
  <c r="U27" i="41"/>
  <c r="AP38" i="40"/>
  <c r="U18" i="40"/>
  <c r="V18" i="40" s="1"/>
  <c r="AC18" i="40"/>
  <c r="V45" i="38"/>
  <c r="N45" i="38"/>
  <c r="AQ37" i="39"/>
  <c r="AI37" i="39"/>
  <c r="AJ37" i="39" s="1"/>
  <c r="AJ41" i="39"/>
  <c r="AB41" i="39"/>
  <c r="AC41" i="39" s="1"/>
  <c r="AQ33" i="39"/>
  <c r="AI33" i="39"/>
  <c r="AP21" i="38"/>
  <c r="N50" i="37"/>
  <c r="V50" i="37"/>
  <c r="U50" i="37"/>
  <c r="AB24" i="39"/>
  <c r="AJ24" i="39"/>
  <c r="AB45" i="38"/>
  <c r="AC45" i="38" s="1"/>
  <c r="AJ45" i="38"/>
  <c r="AC24" i="38"/>
  <c r="U24" i="38"/>
  <c r="L43" i="37"/>
  <c r="AQ20" i="38"/>
  <c r="AI20" i="38"/>
  <c r="AP27" i="38"/>
  <c r="AB40" i="36"/>
  <c r="AC40" i="36" s="1"/>
  <c r="AI23" i="38"/>
  <c r="AQ23" i="38"/>
  <c r="AI36" i="37"/>
  <c r="AQ36" i="37"/>
  <c r="AJ45" i="36"/>
  <c r="AB45" i="36"/>
  <c r="AC45" i="36" s="1"/>
  <c r="AI38" i="37"/>
  <c r="AQ38" i="37"/>
  <c r="AJ26" i="37"/>
  <c r="AB26" i="37"/>
  <c r="U15" i="37"/>
  <c r="V15" i="37" s="1"/>
  <c r="S29" i="37"/>
  <c r="U27" i="36"/>
  <c r="AC27" i="36"/>
  <c r="AQ34" i="36"/>
  <c r="AI34" i="36"/>
  <c r="AP40" i="37"/>
  <c r="AQ40" i="37" s="1"/>
  <c r="AC36" i="35"/>
  <c r="U36" i="35"/>
  <c r="V36" i="35" s="1"/>
  <c r="U34" i="36"/>
  <c r="AC34" i="36"/>
  <c r="N15" i="35"/>
  <c r="O15" i="35" s="1"/>
  <c r="L29" i="35"/>
  <c r="H29" i="37"/>
  <c r="O15" i="37"/>
  <c r="AI38" i="35"/>
  <c r="AQ38" i="35"/>
  <c r="AP30" i="34"/>
  <c r="I32" i="3" s="1"/>
  <c r="I31" i="3"/>
  <c r="V35" i="36"/>
  <c r="N35" i="36"/>
  <c r="O30" i="34"/>
  <c r="D31" i="3"/>
  <c r="AB22" i="34"/>
  <c r="AJ22" i="34"/>
  <c r="U45" i="35"/>
  <c r="V45" i="35" s="1"/>
  <c r="AC45" i="35"/>
  <c r="AC32" i="34"/>
  <c r="U32" i="34"/>
  <c r="V32" i="34" s="1"/>
  <c r="N19" i="34"/>
  <c r="O19" i="34" s="1"/>
  <c r="AQ19" i="34"/>
  <c r="AI19" i="34"/>
  <c r="AJ19" i="34" s="1"/>
  <c r="AQ18" i="34"/>
  <c r="AI18" i="34"/>
  <c r="AI40" i="32"/>
  <c r="U35" i="33"/>
  <c r="AC35" i="33"/>
  <c r="N44" i="35"/>
  <c r="N31" i="34"/>
  <c r="V31" i="34"/>
  <c r="AB27" i="34"/>
  <c r="AJ27" i="34"/>
  <c r="AI38" i="33"/>
  <c r="AQ38" i="33"/>
  <c r="AI28" i="33"/>
  <c r="AQ28" i="33"/>
  <c r="AJ27" i="33"/>
  <c r="AB27" i="33"/>
  <c r="AP17" i="33"/>
  <c r="N23" i="32"/>
  <c r="V23" i="32"/>
  <c r="AC31" i="32"/>
  <c r="U31" i="32"/>
  <c r="AC45" i="31"/>
  <c r="U45" i="31"/>
  <c r="V45" i="31" s="1"/>
  <c r="N31" i="32"/>
  <c r="V31" i="32"/>
  <c r="AB30" i="31"/>
  <c r="AJ30" i="31"/>
  <c r="AI28" i="30"/>
  <c r="AQ28" i="30"/>
  <c r="AC34" i="30"/>
  <c r="U34" i="30"/>
  <c r="V34" i="30" s="1"/>
  <c r="U37" i="32"/>
  <c r="N37" i="32"/>
  <c r="V37" i="32"/>
  <c r="V15" i="30"/>
  <c r="L29" i="30"/>
  <c r="N15" i="30"/>
  <c r="O37" i="31"/>
  <c r="N37" i="31"/>
  <c r="AI18" i="30"/>
  <c r="AQ18" i="30"/>
  <c r="AP44" i="30"/>
  <c r="AQ44" i="30" s="1"/>
  <c r="U17" i="31"/>
  <c r="V17" i="31" s="1"/>
  <c r="AC17" i="31"/>
  <c r="AP27" i="30"/>
  <c r="O45" i="31"/>
  <c r="AB18" i="29"/>
  <c r="AC18" i="29" s="1"/>
  <c r="AJ18" i="29"/>
  <c r="AJ16" i="27"/>
  <c r="AB16" i="27"/>
  <c r="AB41" i="30"/>
  <c r="AC41" i="30" s="1"/>
  <c r="AJ41" i="30"/>
  <c r="AQ26" i="29"/>
  <c r="AI26" i="29"/>
  <c r="AJ32" i="29"/>
  <c r="AB32" i="29"/>
  <c r="AC33" i="29"/>
  <c r="U33" i="29"/>
  <c r="V33" i="29" s="1"/>
  <c r="AQ32" i="30"/>
  <c r="AI32" i="30"/>
  <c r="AQ23" i="29"/>
  <c r="AI23" i="29"/>
  <c r="AP34" i="29"/>
  <c r="N33" i="29"/>
  <c r="O33" i="29" s="1"/>
  <c r="O36" i="29"/>
  <c r="U18" i="27"/>
  <c r="AC36" i="30"/>
  <c r="U36" i="30"/>
  <c r="U17" i="29"/>
  <c r="AQ37" i="28"/>
  <c r="AI37" i="28"/>
  <c r="AQ33" i="29"/>
  <c r="AI33" i="29"/>
  <c r="N40" i="28"/>
  <c r="AJ22" i="28"/>
  <c r="AB22" i="28"/>
  <c r="AI16" i="25"/>
  <c r="AQ16" i="25"/>
  <c r="AP17" i="27"/>
  <c r="U33" i="28"/>
  <c r="V33" i="28" s="1"/>
  <c r="N26" i="27"/>
  <c r="V26" i="27"/>
  <c r="AI38" i="27"/>
  <c r="AQ38" i="27"/>
  <c r="AI22" i="27"/>
  <c r="AQ22" i="27"/>
  <c r="AI32" i="26"/>
  <c r="AQ32" i="26"/>
  <c r="AJ34" i="27"/>
  <c r="AB34" i="27"/>
  <c r="AI17" i="25"/>
  <c r="AQ17" i="25"/>
  <c r="S44" i="26"/>
  <c r="AB39" i="24"/>
  <c r="AC39" i="24" s="1"/>
  <c r="AJ39" i="24"/>
  <c r="AB41" i="25"/>
  <c r="AC41" i="25" s="1"/>
  <c r="AM46" i="25"/>
  <c r="AN46" i="25" s="1"/>
  <c r="AP46" i="25" s="1"/>
  <c r="N26" i="24"/>
  <c r="V26" i="24"/>
  <c r="N32" i="26"/>
  <c r="O32" i="26" s="1"/>
  <c r="V32" i="26"/>
  <c r="O19" i="25"/>
  <c r="AJ34" i="25"/>
  <c r="AB34" i="25"/>
  <c r="V41" i="24"/>
  <c r="N41" i="24"/>
  <c r="AJ18" i="26"/>
  <c r="AB18" i="26"/>
  <c r="AC18" i="25"/>
  <c r="U18" i="25"/>
  <c r="AN44" i="26"/>
  <c r="AP44" i="26" s="1"/>
  <c r="AP48" i="23"/>
  <c r="AQ23" i="25"/>
  <c r="AI23" i="25"/>
  <c r="AB17" i="24"/>
  <c r="AJ17" i="24"/>
  <c r="AP32" i="22"/>
  <c r="AG41" i="23"/>
  <c r="AP41" i="23" s="1"/>
  <c r="N16" i="25"/>
  <c r="V16" i="25"/>
  <c r="AB27" i="23"/>
  <c r="AJ27" i="23"/>
  <c r="N16" i="22"/>
  <c r="V16" i="22"/>
  <c r="O34" i="23"/>
  <c r="U42" i="22"/>
  <c r="AC42" i="22"/>
  <c r="AI45" i="22"/>
  <c r="AJ45" i="22" s="1"/>
  <c r="U44" i="21"/>
  <c r="V44" i="21" s="1"/>
  <c r="AC44" i="21"/>
  <c r="N17" i="22"/>
  <c r="V17" i="22"/>
  <c r="AP23" i="23"/>
  <c r="N34" i="23"/>
  <c r="V34" i="23"/>
  <c r="AB48" i="22"/>
  <c r="AC48" i="22" s="1"/>
  <c r="AI39" i="22"/>
  <c r="AJ39" i="22" s="1"/>
  <c r="N47" i="20"/>
  <c r="O47" i="20" s="1"/>
  <c r="V47" i="20"/>
  <c r="AI35" i="21"/>
  <c r="AJ35" i="21" s="1"/>
  <c r="AQ35" i="21"/>
  <c r="AC30" i="22"/>
  <c r="U30" i="22"/>
  <c r="V30" i="22" s="1"/>
  <c r="Z29" i="21"/>
  <c r="AB15" i="21"/>
  <c r="AC15" i="21" s="1"/>
  <c r="N41" i="23"/>
  <c r="AQ35" i="19"/>
  <c r="AI35" i="19"/>
  <c r="AJ35" i="19" s="1"/>
  <c r="N33" i="20"/>
  <c r="V33" i="20"/>
  <c r="U15" i="20"/>
  <c r="V15" i="20" s="1"/>
  <c r="S29" i="20"/>
  <c r="AJ23" i="21"/>
  <c r="AB23" i="21"/>
  <c r="O41" i="19"/>
  <c r="AI17" i="19"/>
  <c r="AQ17" i="19"/>
  <c r="N20" i="21"/>
  <c r="V20" i="21"/>
  <c r="AI44" i="18"/>
  <c r="AJ44" i="18" s="1"/>
  <c r="Z29" i="22"/>
  <c r="AB15" i="22"/>
  <c r="AC15" i="22" s="1"/>
  <c r="AJ15" i="22"/>
  <c r="AP33" i="18"/>
  <c r="AB16" i="19"/>
  <c r="AJ16" i="19"/>
  <c r="O47" i="17"/>
  <c r="AI38" i="21"/>
  <c r="AQ38" i="21"/>
  <c r="AG38" i="16"/>
  <c r="V24" i="17"/>
  <c r="N24" i="17"/>
  <c r="AJ41" i="19"/>
  <c r="AB41" i="19"/>
  <c r="V26" i="19"/>
  <c r="N26" i="19"/>
  <c r="U22" i="20"/>
  <c r="V22" i="20" s="1"/>
  <c r="AC22" i="20"/>
  <c r="AQ34" i="18"/>
  <c r="AQ19" i="20"/>
  <c r="AI19" i="20"/>
  <c r="AJ19" i="20" s="1"/>
  <c r="V38" i="19"/>
  <c r="N38" i="19"/>
  <c r="O38" i="19" s="1"/>
  <c r="AI17" i="18"/>
  <c r="AQ17" i="18"/>
  <c r="AB48" i="18"/>
  <c r="AJ48" i="18"/>
  <c r="AJ20" i="17"/>
  <c r="AB20" i="17"/>
  <c r="U31" i="15"/>
  <c r="AC31" i="15"/>
  <c r="AQ48" i="15"/>
  <c r="AI48" i="15"/>
  <c r="N31" i="16"/>
  <c r="V31" i="16"/>
  <c r="AQ27" i="20"/>
  <c r="AI27" i="20"/>
  <c r="U27" i="15"/>
  <c r="AC27" i="15"/>
  <c r="AP47" i="14"/>
  <c r="AQ47" i="14" s="1"/>
  <c r="AP44" i="18"/>
  <c r="AQ44" i="18" s="1"/>
  <c r="AI32" i="16"/>
  <c r="AQ32" i="16"/>
  <c r="AI48" i="16"/>
  <c r="AJ48" i="16" s="1"/>
  <c r="AQ16" i="15"/>
  <c r="AI16" i="15"/>
  <c r="AC23" i="17"/>
  <c r="U23" i="17"/>
  <c r="U17" i="16"/>
  <c r="AC17" i="16"/>
  <c r="AI44" i="14"/>
  <c r="AJ44" i="14" s="1"/>
  <c r="AB44" i="14"/>
  <c r="N16" i="16"/>
  <c r="V16" i="16"/>
  <c r="U41" i="15"/>
  <c r="AJ21" i="15"/>
  <c r="AB21" i="15"/>
  <c r="V17" i="17"/>
  <c r="N17" i="17"/>
  <c r="U41" i="14"/>
  <c r="V41" i="14" s="1"/>
  <c r="AC41" i="14"/>
  <c r="AJ17" i="14"/>
  <c r="AB17" i="14"/>
  <c r="U44" i="12"/>
  <c r="V44" i="12" s="1"/>
  <c r="AC44" i="12"/>
  <c r="AB44" i="12"/>
  <c r="U43" i="13"/>
  <c r="V43" i="13" s="1"/>
  <c r="O36" i="17"/>
  <c r="AB38" i="14"/>
  <c r="AP25" i="13"/>
  <c r="U39" i="12"/>
  <c r="AC39" i="12"/>
  <c r="U34" i="10"/>
  <c r="V34" i="10" s="1"/>
  <c r="AC34" i="10"/>
  <c r="AB32" i="12"/>
  <c r="AJ32" i="12"/>
  <c r="AQ35" i="14"/>
  <c r="AI35" i="14"/>
  <c r="AG39" i="12"/>
  <c r="AP39" i="12" s="1"/>
  <c r="AP26" i="13"/>
  <c r="AB33" i="15"/>
  <c r="AJ33" i="15"/>
  <c r="AB36" i="12"/>
  <c r="AC36" i="12" s="1"/>
  <c r="AJ36" i="12"/>
  <c r="AC17" i="13"/>
  <c r="U17" i="13"/>
  <c r="AC33" i="15"/>
  <c r="U33" i="15"/>
  <c r="AI23" i="12"/>
  <c r="AQ23" i="12"/>
  <c r="U32" i="11"/>
  <c r="AC32" i="11"/>
  <c r="AJ19" i="12"/>
  <c r="AB19" i="12"/>
  <c r="AJ31" i="11"/>
  <c r="AB31" i="11"/>
  <c r="U20" i="9"/>
  <c r="AC20" i="9"/>
  <c r="AC34" i="11"/>
  <c r="U34" i="11"/>
  <c r="U46" i="12"/>
  <c r="U39" i="11"/>
  <c r="V39" i="11" s="1"/>
  <c r="U25" i="10"/>
  <c r="AC25" i="10"/>
  <c r="O38" i="13"/>
  <c r="AI26" i="12"/>
  <c r="AQ26" i="12"/>
  <c r="AP39" i="10"/>
  <c r="AJ30" i="11"/>
  <c r="AB30" i="11"/>
  <c r="AP45" i="14"/>
  <c r="AQ45" i="14" s="1"/>
  <c r="AI28" i="11"/>
  <c r="AQ28" i="11"/>
  <c r="AI43" i="9"/>
  <c r="AJ43" i="9" s="1"/>
  <c r="AJ24" i="9"/>
  <c r="AB24" i="9"/>
  <c r="AI20" i="14"/>
  <c r="AQ20" i="14"/>
  <c r="AJ15" i="13"/>
  <c r="Z29" i="13"/>
  <c r="AB15" i="13"/>
  <c r="AC15" i="13" s="1"/>
  <c r="N30" i="13"/>
  <c r="O30" i="13" s="1"/>
  <c r="O32" i="12"/>
  <c r="AG29" i="12"/>
  <c r="AI15" i="12"/>
  <c r="AJ15" i="12" s="1"/>
  <c r="AP23" i="14"/>
  <c r="AB30" i="16"/>
  <c r="AJ30" i="16"/>
  <c r="N15" i="15"/>
  <c r="O15" i="15" s="1"/>
  <c r="V15" i="15"/>
  <c r="L29" i="15"/>
  <c r="C81" i="1"/>
  <c r="N22" i="16"/>
  <c r="V22" i="16"/>
  <c r="AI15" i="15"/>
  <c r="AG29" i="15"/>
  <c r="AQ15" i="15"/>
  <c r="F81" i="1"/>
  <c r="U27" i="17"/>
  <c r="AC27" i="17"/>
  <c r="N22" i="17"/>
  <c r="AP22" i="17"/>
  <c r="AC36" i="17"/>
  <c r="U36" i="17"/>
  <c r="V36" i="17" s="1"/>
  <c r="AP20" i="18"/>
  <c r="AB33" i="20"/>
  <c r="AJ33" i="20"/>
  <c r="AC41" i="21"/>
  <c r="U41" i="21"/>
  <c r="U38" i="19"/>
  <c r="AC38" i="19"/>
  <c r="N25" i="23"/>
  <c r="V25" i="23"/>
  <c r="N32" i="21"/>
  <c r="O32" i="21" s="1"/>
  <c r="U33" i="21"/>
  <c r="AC33" i="21"/>
  <c r="U32" i="22"/>
  <c r="AC32" i="22"/>
  <c r="AQ22" i="23"/>
  <c r="AI22" i="23"/>
  <c r="O19" i="24"/>
  <c r="V28" i="24"/>
  <c r="N28" i="24"/>
  <c r="AQ24" i="24"/>
  <c r="AI24" i="24"/>
  <c r="AJ28" i="24"/>
  <c r="AB28" i="24"/>
  <c r="U30" i="26"/>
  <c r="V30" i="26" s="1"/>
  <c r="AC30" i="26"/>
  <c r="O38" i="24"/>
  <c r="AQ26" i="25"/>
  <c r="AI26" i="25"/>
  <c r="AC16" i="25"/>
  <c r="U16" i="25"/>
  <c r="U27" i="25"/>
  <c r="AC27" i="25"/>
  <c r="AJ17" i="29"/>
  <c r="AB17" i="29"/>
  <c r="AC17" i="29" s="1"/>
  <c r="O32" i="28"/>
  <c r="AJ22" i="29"/>
  <c r="AB22" i="29"/>
  <c r="AQ31" i="29"/>
  <c r="AI31" i="29"/>
  <c r="N31" i="30"/>
  <c r="V31" i="30"/>
  <c r="V32" i="30"/>
  <c r="N32" i="30"/>
  <c r="O32" i="30" s="1"/>
  <c r="AI38" i="29"/>
  <c r="AQ38" i="29"/>
  <c r="U24" i="29"/>
  <c r="AC24" i="29"/>
  <c r="AB26" i="29"/>
  <c r="AJ26" i="29"/>
  <c r="AJ24" i="29"/>
  <c r="AB24" i="29"/>
  <c r="AJ28" i="31"/>
  <c r="AB28" i="31"/>
  <c r="U44" i="31"/>
  <c r="V44" i="31" s="1"/>
  <c r="AC44" i="31"/>
  <c r="U28" i="31"/>
  <c r="AC28" i="31"/>
  <c r="AQ32" i="32"/>
  <c r="AI32" i="32"/>
  <c r="N28" i="3"/>
  <c r="N30" i="3" s="1"/>
  <c r="AB19" i="33"/>
  <c r="AC19" i="33" s="1"/>
  <c r="AJ19" i="33"/>
  <c r="V20" i="32"/>
  <c r="N20" i="32"/>
  <c r="V28" i="33"/>
  <c r="N28" i="33"/>
  <c r="V20" i="33"/>
  <c r="N20" i="33"/>
  <c r="S29" i="35"/>
  <c r="AC15" i="35"/>
  <c r="U15" i="35"/>
  <c r="V15" i="35" s="1"/>
  <c r="AJ36" i="36"/>
  <c r="AB36" i="36"/>
  <c r="AC36" i="36" s="1"/>
  <c r="AB28" i="35"/>
  <c r="AJ28" i="35"/>
  <c r="AQ40" i="35"/>
  <c r="AI40" i="35"/>
  <c r="AJ40" i="35" s="1"/>
  <c r="AJ25" i="35"/>
  <c r="AB25" i="35"/>
  <c r="AP30" i="38"/>
  <c r="AQ38" i="36"/>
  <c r="AI38" i="36"/>
  <c r="AJ24" i="38"/>
  <c r="AB24" i="38"/>
  <c r="U38" i="38"/>
  <c r="AC38" i="38"/>
  <c r="N19" i="40"/>
  <c r="O19" i="40" s="1"/>
  <c r="V19" i="40"/>
  <c r="N16" i="40"/>
  <c r="V16" i="40"/>
  <c r="AP28" i="41"/>
  <c r="AJ28" i="40"/>
  <c r="AB28" i="40"/>
  <c r="L29" i="41"/>
  <c r="N15" i="41"/>
  <c r="O15" i="41" s="1"/>
  <c r="AQ38" i="41"/>
  <c r="AI38" i="41"/>
  <c r="AI31" i="11"/>
  <c r="V20" i="9"/>
  <c r="N20" i="9"/>
  <c r="AP30" i="10"/>
  <c r="AP30" i="9"/>
  <c r="AI34" i="40"/>
  <c r="AQ34" i="40"/>
  <c r="AB16" i="40"/>
  <c r="AJ16" i="40"/>
  <c r="V35" i="37"/>
  <c r="N35" i="37"/>
  <c r="AJ17" i="36"/>
  <c r="AB17" i="36"/>
  <c r="AC17" i="36" s="1"/>
  <c r="AI26" i="35"/>
  <c r="AQ26" i="35"/>
  <c r="U43" i="33"/>
  <c r="V43" i="33" s="1"/>
  <c r="AP22" i="32"/>
  <c r="AQ24" i="33"/>
  <c r="AI24" i="33"/>
  <c r="AQ26" i="32"/>
  <c r="AI26" i="32"/>
  <c r="U43" i="30"/>
  <c r="AC43" i="30"/>
  <c r="AP33" i="32"/>
  <c r="O46" i="30"/>
  <c r="AQ27" i="28"/>
  <c r="AI27" i="28"/>
  <c r="O30" i="26"/>
  <c r="N38" i="28"/>
  <c r="V38" i="28"/>
  <c r="N25" i="25"/>
  <c r="V25" i="25"/>
  <c r="U45" i="25"/>
  <c r="V45" i="25" s="1"/>
  <c r="AI32" i="22"/>
  <c r="AQ32" i="22"/>
  <c r="AB35" i="19"/>
  <c r="AC35" i="19" s="1"/>
  <c r="AQ20" i="19"/>
  <c r="AI20" i="19"/>
  <c r="U34" i="18"/>
  <c r="AB34" i="17"/>
  <c r="AC34" i="17" s="1"/>
  <c r="AJ20" i="20"/>
  <c r="AB20" i="20"/>
  <c r="L29" i="18"/>
  <c r="N15" i="18"/>
  <c r="AJ42" i="15"/>
  <c r="AB42" i="15"/>
  <c r="AC32" i="15"/>
  <c r="U32" i="15"/>
  <c r="AI17" i="16"/>
  <c r="AQ17" i="16"/>
  <c r="AP42" i="15"/>
  <c r="AQ42" i="15" s="1"/>
  <c r="AQ19" i="15"/>
  <c r="AI19" i="15"/>
  <c r="AP34" i="13"/>
  <c r="AQ34" i="13" s="1"/>
  <c r="AB31" i="12"/>
  <c r="AJ31" i="12"/>
  <c r="AQ35" i="13"/>
  <c r="AI35" i="13"/>
  <c r="AJ35" i="13" s="1"/>
  <c r="N18" i="15"/>
  <c r="V18" i="15"/>
  <c r="AI36" i="15"/>
  <c r="AJ36" i="15" s="1"/>
  <c r="AI27" i="14"/>
  <c r="AQ27" i="14"/>
  <c r="V41" i="10"/>
  <c r="AI25" i="9"/>
  <c r="AQ25" i="9"/>
  <c r="AJ48" i="10"/>
  <c r="AB48" i="10"/>
  <c r="AQ16" i="10"/>
  <c r="AI16" i="10"/>
  <c r="U30" i="13"/>
  <c r="V30" i="13" s="1"/>
  <c r="AC30" i="13"/>
  <c r="AI25" i="17"/>
  <c r="AQ25" i="17"/>
  <c r="U22" i="18"/>
  <c r="AC22" i="18"/>
  <c r="N39" i="24"/>
  <c r="O39" i="24" s="1"/>
  <c r="V39" i="24"/>
  <c r="AQ28" i="24"/>
  <c r="AI28" i="24"/>
  <c r="AG29" i="25"/>
  <c r="AQ15" i="25"/>
  <c r="AI15" i="25"/>
  <c r="AJ15" i="25" s="1"/>
  <c r="N27" i="27"/>
  <c r="V27" i="27"/>
  <c r="AI45" i="27"/>
  <c r="AJ45" i="27" s="1"/>
  <c r="AQ45" i="27"/>
  <c r="AJ23" i="41"/>
  <c r="AB23" i="41"/>
  <c r="AB30" i="41"/>
  <c r="AJ30" i="41"/>
  <c r="AI35" i="41"/>
  <c r="U24" i="41"/>
  <c r="AC24" i="41"/>
  <c r="AI35" i="40"/>
  <c r="AQ35" i="40"/>
  <c r="AI40" i="40"/>
  <c r="AJ40" i="40" s="1"/>
  <c r="AQ40" i="40"/>
  <c r="AQ16" i="40"/>
  <c r="AI16" i="40"/>
  <c r="V44" i="39"/>
  <c r="N43" i="38"/>
  <c r="O43" i="38" s="1"/>
  <c r="AP36" i="38"/>
  <c r="AQ36" i="38" s="1"/>
  <c r="AC49" i="37"/>
  <c r="U49" i="37"/>
  <c r="V49" i="37" s="1"/>
  <c r="U46" i="38"/>
  <c r="V46" i="38" s="1"/>
  <c r="AQ28" i="38"/>
  <c r="AI28" i="38"/>
  <c r="AQ21" i="38"/>
  <c r="AI21" i="38"/>
  <c r="AJ32" i="36"/>
  <c r="AB32" i="36"/>
  <c r="AI44" i="41"/>
  <c r="AJ44" i="41" s="1"/>
  <c r="AQ44" i="41"/>
  <c r="U45" i="41"/>
  <c r="V45" i="41" s="1"/>
  <c r="N43" i="41"/>
  <c r="V43" i="41"/>
  <c r="AI18" i="41"/>
  <c r="AQ18" i="41"/>
  <c r="AB19" i="41"/>
  <c r="V50" i="41"/>
  <c r="N50" i="41"/>
  <c r="AJ41" i="41"/>
  <c r="AB41" i="41"/>
  <c r="N30" i="41"/>
  <c r="O30" i="41" s="1"/>
  <c r="V30" i="41"/>
  <c r="AC34" i="41"/>
  <c r="U34" i="41"/>
  <c r="V28" i="41"/>
  <c r="N28" i="41"/>
  <c r="AN44" i="40"/>
  <c r="AP25" i="40"/>
  <c r="AB18" i="40"/>
  <c r="AJ18" i="40"/>
  <c r="AC34" i="40"/>
  <c r="U34" i="40"/>
  <c r="AJ24" i="40"/>
  <c r="AB24" i="40"/>
  <c r="L46" i="39"/>
  <c r="AI36" i="39"/>
  <c r="AJ36" i="39" s="1"/>
  <c r="AQ36" i="39"/>
  <c r="U17" i="40"/>
  <c r="AJ30" i="39"/>
  <c r="AB30" i="39"/>
  <c r="V37" i="38"/>
  <c r="N37" i="38"/>
  <c r="AB32" i="39"/>
  <c r="AJ32" i="39"/>
  <c r="N33" i="39"/>
  <c r="V33" i="39"/>
  <c r="AP16" i="38"/>
  <c r="N35" i="38"/>
  <c r="V35" i="38"/>
  <c r="AC17" i="38"/>
  <c r="U17" i="38"/>
  <c r="AC32" i="38"/>
  <c r="U32" i="38"/>
  <c r="V32" i="38" s="1"/>
  <c r="AJ19" i="38"/>
  <c r="AB19" i="38"/>
  <c r="AC19" i="38" s="1"/>
  <c r="AJ15" i="38"/>
  <c r="AB15" i="38"/>
  <c r="AC15" i="38" s="1"/>
  <c r="Z29" i="38"/>
  <c r="AP22" i="38"/>
  <c r="AC28" i="38"/>
  <c r="U28" i="38"/>
  <c r="AB32" i="37"/>
  <c r="AJ32" i="37"/>
  <c r="AQ27" i="36"/>
  <c r="AI27" i="36"/>
  <c r="AP46" i="36"/>
  <c r="AJ18" i="37"/>
  <c r="AB18" i="37"/>
  <c r="AC18" i="37" s="1"/>
  <c r="AJ20" i="37"/>
  <c r="AB20" i="37"/>
  <c r="AP25" i="35"/>
  <c r="V22" i="36"/>
  <c r="N22" i="36"/>
  <c r="V40" i="36"/>
  <c r="N40" i="36"/>
  <c r="O40" i="36" s="1"/>
  <c r="AQ15" i="35"/>
  <c r="AG29" i="35"/>
  <c r="AI15" i="35"/>
  <c r="AJ38" i="36"/>
  <c r="AB38" i="36"/>
  <c r="AP33" i="36"/>
  <c r="V36" i="36"/>
  <c r="N36" i="36"/>
  <c r="O36" i="36" s="1"/>
  <c r="AF46" i="35"/>
  <c r="AG46" i="35" s="1"/>
  <c r="AF44" i="35"/>
  <c r="AG44" i="35" s="1"/>
  <c r="AG43" i="35"/>
  <c r="N22" i="34"/>
  <c r="AC16" i="35"/>
  <c r="U16" i="35"/>
  <c r="AQ26" i="36"/>
  <c r="AI26" i="36"/>
  <c r="AP34" i="35"/>
  <c r="AC20" i="34"/>
  <c r="U20" i="34"/>
  <c r="N17" i="34"/>
  <c r="AP19" i="35"/>
  <c r="AQ19" i="35" s="1"/>
  <c r="AI17" i="34"/>
  <c r="AQ17" i="34"/>
  <c r="U31" i="36"/>
  <c r="AC31" i="36"/>
  <c r="N34" i="35"/>
  <c r="V34" i="35"/>
  <c r="V21" i="34"/>
  <c r="N21" i="34"/>
  <c r="O21" i="34" s="1"/>
  <c r="AQ43" i="32"/>
  <c r="AI43" i="32"/>
  <c r="AJ43" i="32" s="1"/>
  <c r="U33" i="35"/>
  <c r="V33" i="35" s="1"/>
  <c r="O46" i="35"/>
  <c r="O32" i="33"/>
  <c r="AJ23" i="33"/>
  <c r="AB23" i="33"/>
  <c r="AP33" i="33"/>
  <c r="AC38" i="33"/>
  <c r="U38" i="33"/>
  <c r="AP26" i="33"/>
  <c r="N36" i="32"/>
  <c r="O36" i="32" s="1"/>
  <c r="AJ25" i="32"/>
  <c r="AB25" i="32"/>
  <c r="U24" i="31"/>
  <c r="AC24" i="31"/>
  <c r="S43" i="31"/>
  <c r="AB43" i="31" s="1"/>
  <c r="AI34" i="31"/>
  <c r="AQ34" i="31"/>
  <c r="AQ27" i="33"/>
  <c r="AI27" i="33"/>
  <c r="AJ21" i="31"/>
  <c r="AB21" i="31"/>
  <c r="V44" i="32"/>
  <c r="N44" i="32"/>
  <c r="AP38" i="31"/>
  <c r="V22" i="30"/>
  <c r="N22" i="30"/>
  <c r="H44" i="31"/>
  <c r="AJ31" i="31"/>
  <c r="AB31" i="31"/>
  <c r="N36" i="29"/>
  <c r="N46" i="30"/>
  <c r="AP28" i="32"/>
  <c r="AQ16" i="27"/>
  <c r="AI16" i="27"/>
  <c r="N33" i="30"/>
  <c r="O33" i="30" s="1"/>
  <c r="V33" i="30"/>
  <c r="AC28" i="29"/>
  <c r="U28" i="29"/>
  <c r="S29" i="32"/>
  <c r="AC15" i="32"/>
  <c r="U15" i="32"/>
  <c r="AC20" i="31"/>
  <c r="U20" i="31"/>
  <c r="N16" i="27"/>
  <c r="V16" i="27"/>
  <c r="N28" i="28"/>
  <c r="V28" i="28"/>
  <c r="AJ34" i="29"/>
  <c r="AB34" i="29"/>
  <c r="AC23" i="31"/>
  <c r="U23" i="31"/>
  <c r="AQ21" i="28"/>
  <c r="AI21" i="28"/>
  <c r="O43" i="28"/>
  <c r="AG46" i="28"/>
  <c r="N20" i="29"/>
  <c r="V20" i="29"/>
  <c r="AJ17" i="28"/>
  <c r="AB17" i="28"/>
  <c r="AC17" i="28" s="1"/>
  <c r="V22" i="26"/>
  <c r="N22" i="26"/>
  <c r="AC16" i="28"/>
  <c r="U16" i="28"/>
  <c r="AQ41" i="25"/>
  <c r="AI41" i="25"/>
  <c r="AJ41" i="25" s="1"/>
  <c r="AI16" i="28"/>
  <c r="AQ16" i="28"/>
  <c r="V37" i="27"/>
  <c r="N37" i="27"/>
  <c r="AP20" i="27"/>
  <c r="AJ35" i="25"/>
  <c r="AB35" i="25"/>
  <c r="AM43" i="25"/>
  <c r="AN43" i="25" s="1"/>
  <c r="AQ46" i="25"/>
  <c r="AI46" i="25"/>
  <c r="AJ46" i="25" s="1"/>
  <c r="AI35" i="26"/>
  <c r="AQ35" i="26"/>
  <c r="AC37" i="26"/>
  <c r="U37" i="26"/>
  <c r="U31" i="26"/>
  <c r="AC31" i="26"/>
  <c r="AC22" i="25"/>
  <c r="U22" i="25"/>
  <c r="V22" i="25" s="1"/>
  <c r="U26" i="26"/>
  <c r="AC26" i="26"/>
  <c r="AQ15" i="26"/>
  <c r="AG29" i="26"/>
  <c r="AI15" i="26"/>
  <c r="AJ15" i="26" s="1"/>
  <c r="V40" i="25"/>
  <c r="N40" i="25"/>
  <c r="O40" i="25" s="1"/>
  <c r="AQ17" i="24"/>
  <c r="AI17" i="24"/>
  <c r="AI27" i="23"/>
  <c r="AQ27" i="23"/>
  <c r="AI47" i="24"/>
  <c r="AJ47" i="24" s="1"/>
  <c r="O47" i="22"/>
  <c r="N34" i="21"/>
  <c r="AP47" i="23"/>
  <c r="U36" i="21"/>
  <c r="V36" i="21" s="1"/>
  <c r="AC36" i="21"/>
  <c r="V39" i="23"/>
  <c r="U47" i="22"/>
  <c r="V47" i="22" s="1"/>
  <c r="AP25" i="22"/>
  <c r="N48" i="20"/>
  <c r="U48" i="20"/>
  <c r="V48" i="20" s="1"/>
  <c r="AJ26" i="19"/>
  <c r="AB26" i="19"/>
  <c r="AG39" i="21"/>
  <c r="AP39" i="21" s="1"/>
  <c r="AB24" i="21"/>
  <c r="AJ24" i="21"/>
  <c r="N36" i="21"/>
  <c r="O36" i="21" s="1"/>
  <c r="AP42" i="20"/>
  <c r="N15" i="21"/>
  <c r="O15" i="21" s="1"/>
  <c r="L29" i="21"/>
  <c r="V15" i="21"/>
  <c r="O42" i="19"/>
  <c r="AP45" i="22"/>
  <c r="AQ45" i="22" s="1"/>
  <c r="O39" i="22"/>
  <c r="N23" i="22"/>
  <c r="V23" i="22"/>
  <c r="N26" i="21"/>
  <c r="V26" i="21"/>
  <c r="AQ16" i="18"/>
  <c r="AI16" i="18"/>
  <c r="AP41" i="22"/>
  <c r="AQ41" i="22" s="1"/>
  <c r="AJ44" i="20"/>
  <c r="AB44" i="20"/>
  <c r="AC44" i="20" s="1"/>
  <c r="H42" i="18"/>
  <c r="N38" i="17"/>
  <c r="V38" i="17"/>
  <c r="AC28" i="22"/>
  <c r="U28" i="22"/>
  <c r="AJ18" i="18"/>
  <c r="AB18" i="18"/>
  <c r="V30" i="19"/>
  <c r="N30" i="19"/>
  <c r="AQ43" i="18"/>
  <c r="AI43" i="18"/>
  <c r="AJ43" i="18" s="1"/>
  <c r="AP15" i="22"/>
  <c r="AQ15" i="22" s="1"/>
  <c r="AN29" i="22"/>
  <c r="N32" i="18"/>
  <c r="O32" i="18" s="1"/>
  <c r="AB25" i="21"/>
  <c r="AJ25" i="21"/>
  <c r="AJ48" i="17"/>
  <c r="AB48" i="17"/>
  <c r="U36" i="16"/>
  <c r="AJ18" i="19"/>
  <c r="AB18" i="19"/>
  <c r="AC18" i="19" s="1"/>
  <c r="U22" i="17"/>
  <c r="V22" i="17" s="1"/>
  <c r="AC22" i="17"/>
  <c r="AB23" i="16"/>
  <c r="AJ23" i="16"/>
  <c r="AC22" i="19"/>
  <c r="U22" i="19"/>
  <c r="V22" i="19" s="1"/>
  <c r="AQ19" i="17"/>
  <c r="AI19" i="17"/>
  <c r="O43" i="19"/>
  <c r="V47" i="17"/>
  <c r="N47" i="17"/>
  <c r="N19" i="17"/>
  <c r="V19" i="17"/>
  <c r="N19" i="20"/>
  <c r="O19" i="20" s="1"/>
  <c r="V19" i="20"/>
  <c r="AJ48" i="15"/>
  <c r="AB48" i="15"/>
  <c r="AC48" i="15" s="1"/>
  <c r="V44" i="13"/>
  <c r="N44" i="13"/>
  <c r="AC20" i="16"/>
  <c r="U20" i="16"/>
  <c r="U35" i="14"/>
  <c r="V35" i="14" s="1"/>
  <c r="AC35" i="14"/>
  <c r="U28" i="16"/>
  <c r="AC28" i="16"/>
  <c r="AP36" i="15"/>
  <c r="AQ36" i="15" s="1"/>
  <c r="H38" i="16"/>
  <c r="N38" i="16" s="1"/>
  <c r="AP38" i="15"/>
  <c r="AQ38" i="15" s="1"/>
  <c r="AB47" i="16"/>
  <c r="AC47" i="16" s="1"/>
  <c r="AQ28" i="14"/>
  <c r="AI28" i="14"/>
  <c r="AQ21" i="17"/>
  <c r="AI21" i="17"/>
  <c r="AB38" i="15"/>
  <c r="AC38" i="15" s="1"/>
  <c r="AJ38" i="15"/>
  <c r="AI44" i="16"/>
  <c r="AJ44" i="16" s="1"/>
  <c r="AQ44" i="16"/>
  <c r="S42" i="15"/>
  <c r="AQ17" i="14"/>
  <c r="AI17" i="14"/>
  <c r="AP18" i="15"/>
  <c r="AI41" i="14"/>
  <c r="AJ41" i="14" s="1"/>
  <c r="AQ24" i="13"/>
  <c r="AI24" i="13"/>
  <c r="O34" i="13"/>
  <c r="U15" i="10"/>
  <c r="V15" i="10" s="1"/>
  <c r="AC15" i="10"/>
  <c r="S29" i="10"/>
  <c r="AB15" i="10"/>
  <c r="AB26" i="14"/>
  <c r="AJ26" i="14"/>
  <c r="AJ27" i="13"/>
  <c r="AB27" i="13"/>
  <c r="AP20" i="11"/>
  <c r="AQ38" i="12"/>
  <c r="AI38" i="12"/>
  <c r="AC44" i="14"/>
  <c r="U44" i="14"/>
  <c r="V44" i="14" s="1"/>
  <c r="N19" i="14"/>
  <c r="V19" i="14"/>
  <c r="AB22" i="12"/>
  <c r="AJ22" i="12"/>
  <c r="N31" i="11"/>
  <c r="V31" i="11"/>
  <c r="AC16" i="13"/>
  <c r="U16" i="13"/>
  <c r="AP22" i="12"/>
  <c r="AP31" i="10"/>
  <c r="V41" i="9"/>
  <c r="N41" i="9"/>
  <c r="O41" i="9" s="1"/>
  <c r="U20" i="11"/>
  <c r="AC20" i="11"/>
  <c r="AP26" i="11"/>
  <c r="AQ48" i="10"/>
  <c r="AI48" i="10"/>
  <c r="U22" i="10"/>
  <c r="V22" i="10" s="1"/>
  <c r="AC22" i="10"/>
  <c r="N47" i="12"/>
  <c r="AB24" i="11"/>
  <c r="AJ24" i="11"/>
  <c r="N35" i="10"/>
  <c r="O35" i="10" s="1"/>
  <c r="V35" i="10"/>
  <c r="U35" i="10"/>
  <c r="V24" i="12"/>
  <c r="N24" i="12"/>
  <c r="U33" i="10"/>
  <c r="AC33" i="10"/>
  <c r="N26" i="9"/>
  <c r="V26" i="9"/>
  <c r="S29" i="12"/>
  <c r="AC15" i="12"/>
  <c r="U15" i="12"/>
  <c r="V15" i="12" s="1"/>
  <c r="AC32" i="10"/>
  <c r="U32" i="10"/>
  <c r="V32" i="10" s="1"/>
  <c r="AB23" i="14"/>
  <c r="AJ23" i="14"/>
  <c r="AC26" i="11"/>
  <c r="U26" i="11"/>
  <c r="N32" i="10"/>
  <c r="O32" i="10" s="1"/>
  <c r="N43" i="9"/>
  <c r="AB16" i="14"/>
  <c r="AJ16" i="14"/>
  <c r="V30" i="14"/>
  <c r="N30" i="14"/>
  <c r="O30" i="14" s="1"/>
  <c r="N15" i="13"/>
  <c r="L29" i="13"/>
  <c r="V15" i="13"/>
  <c r="V16" i="12"/>
  <c r="N16" i="12"/>
  <c r="AB24" i="14"/>
  <c r="AJ24" i="14"/>
  <c r="AP24" i="15"/>
  <c r="V28" i="16"/>
  <c r="N28" i="16"/>
  <c r="AP21" i="15"/>
  <c r="AJ23" i="19"/>
  <c r="AB23" i="19"/>
  <c r="V32" i="17"/>
  <c r="N32" i="17"/>
  <c r="O32" i="17" s="1"/>
  <c r="U34" i="17"/>
  <c r="V34" i="17" s="1"/>
  <c r="V25" i="17"/>
  <c r="N25" i="17"/>
  <c r="O39" i="15"/>
  <c r="N15" i="19"/>
  <c r="L29" i="19"/>
  <c r="V15" i="19"/>
  <c r="AC20" i="19"/>
  <c r="U20" i="19"/>
  <c r="AB32" i="19"/>
  <c r="AJ32" i="19"/>
  <c r="AQ32" i="19"/>
  <c r="AI32" i="19"/>
  <c r="U28" i="19"/>
  <c r="AC28" i="19"/>
  <c r="N26" i="18"/>
  <c r="V26" i="18"/>
  <c r="AI43" i="21"/>
  <c r="AQ43" i="21"/>
  <c r="AB38" i="21"/>
  <c r="AJ38" i="21"/>
  <c r="AQ41" i="20"/>
  <c r="AI41" i="20"/>
  <c r="AJ41" i="20" s="1"/>
  <c r="U16" i="22"/>
  <c r="AC16" i="22"/>
  <c r="AI33" i="23"/>
  <c r="AQ33" i="23"/>
  <c r="AB26" i="22"/>
  <c r="AJ26" i="22"/>
  <c r="AC27" i="24"/>
  <c r="U27" i="24"/>
  <c r="AB38" i="24"/>
  <c r="AC38" i="24" s="1"/>
  <c r="AB16" i="21"/>
  <c r="AJ16" i="21"/>
  <c r="AI30" i="24"/>
  <c r="AQ30" i="24"/>
  <c r="AI38" i="24"/>
  <c r="AJ38" i="24" s="1"/>
  <c r="AQ38" i="24"/>
  <c r="N33" i="24"/>
  <c r="V33" i="24"/>
  <c r="O41" i="24"/>
  <c r="N15" i="25"/>
  <c r="O15" i="25" s="1"/>
  <c r="AJ24" i="26"/>
  <c r="AB24" i="26"/>
  <c r="AP28" i="25"/>
  <c r="AJ26" i="26"/>
  <c r="AB26" i="26"/>
  <c r="U35" i="25"/>
  <c r="AC35" i="25"/>
  <c r="AJ34" i="28"/>
  <c r="AB34" i="28"/>
  <c r="V22" i="29"/>
  <c r="N22" i="29"/>
  <c r="AC43" i="29"/>
  <c r="U43" i="29"/>
  <c r="U40" i="30"/>
  <c r="V40" i="30" s="1"/>
  <c r="AC40" i="30"/>
  <c r="U27" i="29"/>
  <c r="AC27" i="29"/>
  <c r="V26" i="29"/>
  <c r="N26" i="29"/>
  <c r="AQ33" i="31"/>
  <c r="AI33" i="31"/>
  <c r="H29" i="32"/>
  <c r="O15" i="32"/>
  <c r="N33" i="32"/>
  <c r="O33" i="32" s="1"/>
  <c r="U20" i="33"/>
  <c r="AC20" i="33"/>
  <c r="W26" i="3"/>
  <c r="AG20" i="32"/>
  <c r="AP20" i="32" s="1"/>
  <c r="Z29" i="34"/>
  <c r="AB15" i="34"/>
  <c r="AC15" i="34" s="1"/>
  <c r="AJ15" i="34"/>
  <c r="AI20" i="33"/>
  <c r="AQ20" i="33"/>
  <c r="AB30" i="34"/>
  <c r="G32" i="3" s="1"/>
  <c r="G33" i="3" s="1"/>
  <c r="AJ30" i="34"/>
  <c r="G31" i="3"/>
  <c r="AJ31" i="35"/>
  <c r="AB31" i="35"/>
  <c r="N41" i="35"/>
  <c r="O41" i="35" s="1"/>
  <c r="V41" i="35"/>
  <c r="AI35" i="36"/>
  <c r="AQ35" i="36"/>
  <c r="U24" i="36"/>
  <c r="AC24" i="36"/>
  <c r="AQ22" i="37"/>
  <c r="AI22" i="37"/>
  <c r="V34" i="36"/>
  <c r="N34" i="36"/>
  <c r="U46" i="35"/>
  <c r="V46" i="35" s="1"/>
  <c r="AC46" i="35"/>
  <c r="AQ45" i="36"/>
  <c r="AI45" i="36"/>
  <c r="AP21" i="39"/>
  <c r="AB27" i="39"/>
  <c r="AJ27" i="39"/>
  <c r="V38" i="38"/>
  <c r="N38" i="38"/>
  <c r="AQ40" i="39"/>
  <c r="AI40" i="39"/>
  <c r="AJ40" i="39" s="1"/>
  <c r="AQ20" i="40"/>
  <c r="AI20" i="40"/>
  <c r="AB45" i="39"/>
  <c r="AC45" i="39" s="1"/>
  <c r="AJ45" i="39"/>
  <c r="AJ22" i="39"/>
  <c r="AB22" i="39"/>
  <c r="AI26" i="40"/>
  <c r="AQ26" i="40"/>
  <c r="N38" i="40"/>
  <c r="V38" i="40"/>
  <c r="U15" i="41"/>
  <c r="V15" i="41" s="1"/>
  <c r="S29" i="41"/>
  <c r="AC15" i="41"/>
  <c r="AB22" i="41"/>
  <c r="AJ22" i="41"/>
  <c r="U28" i="11"/>
  <c r="AC28" i="11"/>
  <c r="AP21" i="10"/>
  <c r="AQ31" i="9"/>
  <c r="AI31" i="9"/>
  <c r="AJ26" i="41"/>
  <c r="AB26" i="41"/>
  <c r="N24" i="40"/>
  <c r="V24" i="40"/>
  <c r="AC43" i="38"/>
  <c r="U43" i="38"/>
  <c r="V43" i="38" s="1"/>
  <c r="AI26" i="34"/>
  <c r="AQ26" i="34"/>
  <c r="AC22" i="34"/>
  <c r="U22" i="34"/>
  <c r="V22" i="34" s="1"/>
  <c r="AC31" i="33"/>
  <c r="U31" i="33"/>
  <c r="N28" i="30"/>
  <c r="V28" i="30"/>
  <c r="N18" i="28"/>
  <c r="V18" i="28"/>
  <c r="U15" i="25"/>
  <c r="V15" i="25" s="1"/>
  <c r="AC15" i="25"/>
  <c r="S29" i="25"/>
  <c r="AJ22" i="24"/>
  <c r="AB22" i="24"/>
  <c r="AC28" i="17"/>
  <c r="U28" i="17"/>
  <c r="O40" i="31"/>
  <c r="AP43" i="41"/>
  <c r="AQ43" i="41" s="1"/>
  <c r="AP40" i="41"/>
  <c r="AQ40" i="41" s="1"/>
  <c r="Z29" i="41"/>
  <c r="AJ15" i="41"/>
  <c r="AB15" i="41"/>
  <c r="N33" i="41"/>
  <c r="V33" i="41"/>
  <c r="AP49" i="41"/>
  <c r="AQ49" i="41" s="1"/>
  <c r="AC28" i="41"/>
  <c r="U28" i="41"/>
  <c r="N22" i="41"/>
  <c r="V22" i="41"/>
  <c r="AC18" i="41"/>
  <c r="U18" i="41"/>
  <c r="V18" i="41" s="1"/>
  <c r="AP22" i="41"/>
  <c r="AJ41" i="40"/>
  <c r="AB41" i="40"/>
  <c r="AB40" i="40"/>
  <c r="AC40" i="40" s="1"/>
  <c r="AJ23" i="40"/>
  <c r="AB23" i="40"/>
  <c r="O32" i="40"/>
  <c r="AI43" i="40"/>
  <c r="AJ43" i="40" s="1"/>
  <c r="N31" i="39"/>
  <c r="V31" i="39"/>
  <c r="AB33" i="39"/>
  <c r="AJ33" i="39"/>
  <c r="N28" i="40"/>
  <c r="V28" i="40"/>
  <c r="Z29" i="40"/>
  <c r="AB15" i="40"/>
  <c r="AP31" i="39"/>
  <c r="AB44" i="39"/>
  <c r="AC44" i="39" s="1"/>
  <c r="AJ44" i="39"/>
  <c r="U34" i="38"/>
  <c r="AC34" i="38"/>
  <c r="AP27" i="39"/>
  <c r="AP26" i="39"/>
  <c r="U40" i="39"/>
  <c r="V40" i="39" s="1"/>
  <c r="AC40" i="39"/>
  <c r="AG46" i="38"/>
  <c r="AE37" i="38"/>
  <c r="AG37" i="38" s="1"/>
  <c r="AQ50" i="37"/>
  <c r="AI50" i="37"/>
  <c r="AP40" i="36"/>
  <c r="AJ34" i="38"/>
  <c r="AB34" i="38"/>
  <c r="O40" i="38"/>
  <c r="N43" i="39"/>
  <c r="V43" i="39"/>
  <c r="U31" i="38"/>
  <c r="AC31" i="38"/>
  <c r="AP19" i="38"/>
  <c r="AQ19" i="38" s="1"/>
  <c r="AB18" i="38"/>
  <c r="AJ18" i="38"/>
  <c r="V18" i="39"/>
  <c r="N18" i="39"/>
  <c r="U38" i="37"/>
  <c r="AC38" i="37"/>
  <c r="U27" i="37"/>
  <c r="AC27" i="37"/>
  <c r="N27" i="38"/>
  <c r="V27" i="38"/>
  <c r="N26" i="38"/>
  <c r="V26" i="38"/>
  <c r="AI33" i="37"/>
  <c r="AQ33" i="37"/>
  <c r="AJ27" i="38"/>
  <c r="AB27" i="38"/>
  <c r="AP44" i="36"/>
  <c r="V23" i="35"/>
  <c r="N23" i="35"/>
  <c r="O19" i="36"/>
  <c r="AJ35" i="36"/>
  <c r="AB35" i="36"/>
  <c r="V16" i="37"/>
  <c r="N16" i="37"/>
  <c r="O43" i="35"/>
  <c r="U17" i="35"/>
  <c r="V17" i="35" s="1"/>
  <c r="AC17" i="35"/>
  <c r="L43" i="34"/>
  <c r="U43" i="34" s="1"/>
  <c r="K44" i="34"/>
  <c r="L44" i="34" s="1"/>
  <c r="K46" i="34"/>
  <c r="L46" i="34" s="1"/>
  <c r="AJ22" i="36"/>
  <c r="AB22" i="36"/>
  <c r="AC32" i="35"/>
  <c r="U32" i="35"/>
  <c r="V32" i="35" s="1"/>
  <c r="AQ22" i="35"/>
  <c r="AI22" i="35"/>
  <c r="AQ45" i="33"/>
  <c r="AI45" i="33"/>
  <c r="AC19" i="34"/>
  <c r="U19" i="34"/>
  <c r="V19" i="34" s="1"/>
  <c r="AQ31" i="33"/>
  <c r="AI31" i="33"/>
  <c r="U25" i="33"/>
  <c r="AC25" i="33"/>
  <c r="AC17" i="34"/>
  <c r="U17" i="34"/>
  <c r="V17" i="34" s="1"/>
  <c r="AQ28" i="36"/>
  <c r="AI28" i="36"/>
  <c r="AI23" i="33"/>
  <c r="AQ23" i="33"/>
  <c r="AQ34" i="35"/>
  <c r="AI34" i="35"/>
  <c r="S29" i="34"/>
  <c r="U15" i="34"/>
  <c r="V15" i="34" s="1"/>
  <c r="O41" i="32"/>
  <c r="U46" i="34"/>
  <c r="AI31" i="35"/>
  <c r="AQ31" i="35"/>
  <c r="AG43" i="34"/>
  <c r="AP43" i="34" s="1"/>
  <c r="AF44" i="34"/>
  <c r="AG44" i="34" s="1"/>
  <c r="AP44" i="34" s="1"/>
  <c r="AF46" i="34"/>
  <c r="AG46" i="34" s="1"/>
  <c r="AP46" i="34" s="1"/>
  <c r="O32" i="32"/>
  <c r="AP31" i="33"/>
  <c r="AP21" i="33"/>
  <c r="AP26" i="32"/>
  <c r="AJ36" i="31"/>
  <c r="AB36" i="31"/>
  <c r="AC36" i="31" s="1"/>
  <c r="AI19" i="32"/>
  <c r="AQ19" i="32"/>
  <c r="V30" i="33"/>
  <c r="N30" i="33"/>
  <c r="O30" i="33" s="1"/>
  <c r="AI19" i="31"/>
  <c r="AQ19" i="31"/>
  <c r="U40" i="31"/>
  <c r="V40" i="31" s="1"/>
  <c r="AC40" i="31"/>
  <c r="O15" i="31"/>
  <c r="H29" i="31"/>
  <c r="AP30" i="32"/>
  <c r="I27" i="3" s="1"/>
  <c r="I26" i="3"/>
  <c r="AC31" i="31"/>
  <c r="U31" i="31"/>
  <c r="AB36" i="32"/>
  <c r="AC36" i="32" s="1"/>
  <c r="AC43" i="32"/>
  <c r="U43" i="32"/>
  <c r="V43" i="32" s="1"/>
  <c r="V17" i="32"/>
  <c r="N17" i="32"/>
  <c r="AC30" i="31"/>
  <c r="U30" i="31"/>
  <c r="U33" i="31"/>
  <c r="V33" i="31" s="1"/>
  <c r="AC33" i="31"/>
  <c r="U16" i="30"/>
  <c r="AC16" i="30"/>
  <c r="H46" i="31"/>
  <c r="N31" i="31"/>
  <c r="V31" i="31"/>
  <c r="N37" i="30"/>
  <c r="V37" i="30"/>
  <c r="U37" i="30"/>
  <c r="U34" i="29"/>
  <c r="AC34" i="29"/>
  <c r="L44" i="30"/>
  <c r="U44" i="30" s="1"/>
  <c r="AP24" i="32"/>
  <c r="V38" i="30"/>
  <c r="N38" i="30"/>
  <c r="AI44" i="30"/>
  <c r="AP26" i="31"/>
  <c r="AC46" i="31"/>
  <c r="U46" i="31"/>
  <c r="V46" i="31" s="1"/>
  <c r="O21" i="27"/>
  <c r="N21" i="27"/>
  <c r="AC46" i="30"/>
  <c r="U46" i="30"/>
  <c r="V46" i="30" s="1"/>
  <c r="AB30" i="28"/>
  <c r="AJ30" i="28"/>
  <c r="N18" i="29"/>
  <c r="V18" i="29"/>
  <c r="AP15" i="31"/>
  <c r="AQ15" i="31" s="1"/>
  <c r="AN29" i="31"/>
  <c r="AC27" i="28"/>
  <c r="U27" i="28"/>
  <c r="AC36" i="29"/>
  <c r="U36" i="29"/>
  <c r="V36" i="29" s="1"/>
  <c r="AC27" i="30"/>
  <c r="U27" i="30"/>
  <c r="O45" i="27"/>
  <c r="N18" i="27"/>
  <c r="V18" i="27"/>
  <c r="O44" i="28"/>
  <c r="N35" i="27"/>
  <c r="V35" i="27"/>
  <c r="AI36" i="30"/>
  <c r="AJ36" i="30" s="1"/>
  <c r="AQ36" i="30"/>
  <c r="AP27" i="28"/>
  <c r="AJ26" i="27"/>
  <c r="AB26" i="27"/>
  <c r="AJ33" i="28"/>
  <c r="AB33" i="28"/>
  <c r="AC33" i="28" s="1"/>
  <c r="U40" i="27"/>
  <c r="V40" i="27" s="1"/>
  <c r="O40" i="28"/>
  <c r="AN29" i="28"/>
  <c r="AP15" i="28"/>
  <c r="AQ15" i="28" s="1"/>
  <c r="AP41" i="28"/>
  <c r="AQ41" i="28" s="1"/>
  <c r="AJ30" i="25"/>
  <c r="AB30" i="25"/>
  <c r="AI36" i="25"/>
  <c r="AJ36" i="25" s="1"/>
  <c r="AQ36" i="25"/>
  <c r="AB18" i="27"/>
  <c r="AC18" i="27" s="1"/>
  <c r="AJ18" i="27"/>
  <c r="AI40" i="25"/>
  <c r="AJ40" i="25" s="1"/>
  <c r="AQ40" i="25"/>
  <c r="AQ22" i="26"/>
  <c r="AI22" i="26"/>
  <c r="U44" i="25"/>
  <c r="V44" i="25" s="1"/>
  <c r="AI20" i="25"/>
  <c r="AQ20" i="25"/>
  <c r="AI33" i="26"/>
  <c r="AQ33" i="26"/>
  <c r="S43" i="26"/>
  <c r="AB43" i="26" s="1"/>
  <c r="AC45" i="28"/>
  <c r="U45" i="28"/>
  <c r="V45" i="28" s="1"/>
  <c r="AI27" i="26"/>
  <c r="AQ27" i="26"/>
  <c r="AQ21" i="25"/>
  <c r="AI21" i="25"/>
  <c r="AB28" i="25"/>
  <c r="AJ28" i="25"/>
  <c r="AB18" i="25"/>
  <c r="AJ18" i="25"/>
  <c r="O40" i="26"/>
  <c r="N22" i="24"/>
  <c r="V22" i="24"/>
  <c r="AC30" i="25"/>
  <c r="U30" i="25"/>
  <c r="V30" i="25" s="1"/>
  <c r="N17" i="24"/>
  <c r="AC46" i="26"/>
  <c r="U46" i="26"/>
  <c r="V46" i="26" s="1"/>
  <c r="O43" i="24"/>
  <c r="AL59" i="23"/>
  <c r="AB21" i="23"/>
  <c r="AJ21" i="23"/>
  <c r="O15" i="24"/>
  <c r="H29" i="24"/>
  <c r="AG29" i="23"/>
  <c r="AI15" i="23"/>
  <c r="AJ15" i="23" s="1"/>
  <c r="AQ15" i="23"/>
  <c r="AJ33" i="23"/>
  <c r="AB33" i="23"/>
  <c r="U43" i="22"/>
  <c r="AP36" i="21"/>
  <c r="AQ36" i="21" s="1"/>
  <c r="V44" i="22"/>
  <c r="N44" i="22"/>
  <c r="O44" i="22" s="1"/>
  <c r="AB42" i="21"/>
  <c r="AJ42" i="21"/>
  <c r="AI25" i="24"/>
  <c r="AQ25" i="24"/>
  <c r="V32" i="22"/>
  <c r="N32" i="22"/>
  <c r="O32" i="22" s="1"/>
  <c r="AQ46" i="23"/>
  <c r="AP46" i="23"/>
  <c r="AI46" i="23"/>
  <c r="AJ46" i="23" s="1"/>
  <c r="AP31" i="24"/>
  <c r="V42" i="23"/>
  <c r="N42" i="23"/>
  <c r="O42" i="23" s="1"/>
  <c r="AQ24" i="22"/>
  <c r="AI24" i="22"/>
  <c r="V48" i="22"/>
  <c r="N48" i="22"/>
  <c r="O48" i="22" s="1"/>
  <c r="U48" i="22"/>
  <c r="AI38" i="22"/>
  <c r="AJ38" i="22" s="1"/>
  <c r="AQ38" i="22"/>
  <c r="U23" i="22"/>
  <c r="AC23" i="22"/>
  <c r="O34" i="22"/>
  <c r="V25" i="22"/>
  <c r="N25" i="22"/>
  <c r="U18" i="21"/>
  <c r="V18" i="21" s="1"/>
  <c r="AC18" i="21"/>
  <c r="AI48" i="20"/>
  <c r="AJ48" i="20" s="1"/>
  <c r="AI39" i="24"/>
  <c r="V23" i="23"/>
  <c r="N23" i="23"/>
  <c r="AI21" i="22"/>
  <c r="AQ21" i="22"/>
  <c r="U21" i="23"/>
  <c r="V21" i="23" s="1"/>
  <c r="AG29" i="21"/>
  <c r="AI15" i="21"/>
  <c r="AJ15" i="21" s="1"/>
  <c r="AQ15" i="21"/>
  <c r="AP34" i="19"/>
  <c r="AQ34" i="19" s="1"/>
  <c r="AC26" i="22"/>
  <c r="U26" i="22"/>
  <c r="AQ42" i="24"/>
  <c r="AI42" i="24"/>
  <c r="AJ42" i="24" s="1"/>
  <c r="N35" i="22"/>
  <c r="O35" i="22" s="1"/>
  <c r="AP42" i="23"/>
  <c r="AQ42" i="23" s="1"/>
  <c r="AI26" i="21"/>
  <c r="AQ26" i="21"/>
  <c r="V32" i="20"/>
  <c r="N32" i="20"/>
  <c r="V20" i="19"/>
  <c r="N20" i="19"/>
  <c r="AI43" i="17"/>
  <c r="AJ43" i="17" s="1"/>
  <c r="AQ43" i="17"/>
  <c r="AQ42" i="20"/>
  <c r="AI42" i="20"/>
  <c r="AC17" i="22"/>
  <c r="U17" i="22"/>
  <c r="AI43" i="19"/>
  <c r="AQ43" i="19"/>
  <c r="AQ24" i="19"/>
  <c r="AI24" i="19"/>
  <c r="AQ36" i="20"/>
  <c r="AI36" i="20"/>
  <c r="AJ36" i="20" s="1"/>
  <c r="O43" i="18"/>
  <c r="AP25" i="24"/>
  <c r="H29" i="19"/>
  <c r="O15" i="19"/>
  <c r="AP36" i="19"/>
  <c r="AQ36" i="19" s="1"/>
  <c r="AB33" i="16"/>
  <c r="AJ33" i="16"/>
  <c r="U20" i="17"/>
  <c r="AC20" i="17"/>
  <c r="AB21" i="16"/>
  <c r="AJ21" i="16"/>
  <c r="N45" i="21"/>
  <c r="O45" i="21" s="1"/>
  <c r="V45" i="21"/>
  <c r="U36" i="19"/>
  <c r="V36" i="19" s="1"/>
  <c r="U32" i="17"/>
  <c r="AC32" i="17"/>
  <c r="AB44" i="17"/>
  <c r="AC44" i="17" s="1"/>
  <c r="U44" i="17"/>
  <c r="V44" i="17" s="1"/>
  <c r="AB46" i="19"/>
  <c r="AC46" i="19" s="1"/>
  <c r="AJ46" i="19"/>
  <c r="AI46" i="19"/>
  <c r="AP20" i="19"/>
  <c r="U48" i="18"/>
  <c r="V48" i="18" s="1"/>
  <c r="AC48" i="18"/>
  <c r="AB42" i="17"/>
  <c r="AC42" i="17" s="1"/>
  <c r="AJ42" i="17"/>
  <c r="AP15" i="16"/>
  <c r="AN29" i="16"/>
  <c r="AG31" i="15"/>
  <c r="AP31" i="15" s="1"/>
  <c r="N7" i="3"/>
  <c r="V36" i="15"/>
  <c r="N36" i="15"/>
  <c r="O36" i="15" s="1"/>
  <c r="N36" i="16"/>
  <c r="O36" i="16" s="1"/>
  <c r="V36" i="16"/>
  <c r="N34" i="15"/>
  <c r="O34" i="15" s="1"/>
  <c r="V38" i="16"/>
  <c r="AB41" i="17"/>
  <c r="AC41" i="17" s="1"/>
  <c r="AJ41" i="17"/>
  <c r="AI18" i="16"/>
  <c r="AQ18" i="16"/>
  <c r="AC48" i="16"/>
  <c r="U48" i="16"/>
  <c r="V48" i="16" s="1"/>
  <c r="AQ39" i="15"/>
  <c r="AI39" i="15"/>
  <c r="AJ39" i="15" s="1"/>
  <c r="AP41" i="14"/>
  <c r="AQ41" i="14" s="1"/>
  <c r="AB39" i="15"/>
  <c r="AP25" i="12"/>
  <c r="AJ34" i="13"/>
  <c r="AB34" i="13"/>
  <c r="AC34" i="13" s="1"/>
  <c r="V39" i="12"/>
  <c r="N39" i="12"/>
  <c r="O39" i="12" s="1"/>
  <c r="AB15" i="15"/>
  <c r="AC15" i="15" s="1"/>
  <c r="W11" i="3" s="1"/>
  <c r="Z29" i="15"/>
  <c r="AJ15" i="15"/>
  <c r="E81" i="1"/>
  <c r="E82" i="1" s="1"/>
  <c r="E83" i="1" s="1"/>
  <c r="O36" i="14"/>
  <c r="AB27" i="14"/>
  <c r="AJ27" i="14"/>
  <c r="U38" i="14"/>
  <c r="AC38" i="14"/>
  <c r="AB41" i="13"/>
  <c r="AC41" i="13" s="1"/>
  <c r="AJ28" i="15"/>
  <c r="AB28" i="15"/>
  <c r="AI25" i="14"/>
  <c r="AQ25" i="14"/>
  <c r="AC36" i="13"/>
  <c r="U36" i="13"/>
  <c r="V36" i="13" s="1"/>
  <c r="U36" i="12"/>
  <c r="AQ21" i="13"/>
  <c r="AI21" i="13"/>
  <c r="AP17" i="15"/>
  <c r="AJ43" i="13"/>
  <c r="AB43" i="13"/>
  <c r="AC43" i="13" s="1"/>
  <c r="O43" i="12"/>
  <c r="N22" i="12"/>
  <c r="V22" i="12"/>
  <c r="N43" i="13"/>
  <c r="O43" i="13" s="1"/>
  <c r="V20" i="12"/>
  <c r="N20" i="12"/>
  <c r="AI26" i="13"/>
  <c r="AQ26" i="13"/>
  <c r="V24" i="29"/>
  <c r="N24" i="29"/>
  <c r="AI20" i="12"/>
  <c r="AQ20" i="12"/>
  <c r="AB30" i="10"/>
  <c r="AJ30" i="10"/>
  <c r="AI38" i="9"/>
  <c r="AJ38" i="9" s="1"/>
  <c r="AB33" i="10"/>
  <c r="AJ33" i="10"/>
  <c r="N35" i="15"/>
  <c r="O35" i="15" s="1"/>
  <c r="U30" i="12"/>
  <c r="V30" i="12" s="1"/>
  <c r="AC30" i="12"/>
  <c r="AQ26" i="11"/>
  <c r="AI26" i="11"/>
  <c r="O47" i="10"/>
  <c r="AI36" i="14"/>
  <c r="AJ36" i="14" s="1"/>
  <c r="AQ36" i="14"/>
  <c r="V38" i="12"/>
  <c r="N38" i="12"/>
  <c r="N48" i="12"/>
  <c r="V48" i="12"/>
  <c r="AP23" i="11"/>
  <c r="H41" i="10"/>
  <c r="N36" i="9"/>
  <c r="O36" i="9" s="1"/>
  <c r="V36" i="9"/>
  <c r="V25" i="11"/>
  <c r="N25" i="11"/>
  <c r="N47" i="11"/>
  <c r="O47" i="11" s="1"/>
  <c r="AI17" i="10"/>
  <c r="AQ17" i="10"/>
  <c r="V34" i="9"/>
  <c r="N34" i="9"/>
  <c r="O34" i="9" s="1"/>
  <c r="U23" i="12"/>
  <c r="AC23" i="12"/>
  <c r="U33" i="11"/>
  <c r="AC33" i="11"/>
  <c r="U30" i="10"/>
  <c r="AC30" i="10"/>
  <c r="V24" i="9"/>
  <c r="N24" i="9"/>
  <c r="AB46" i="11"/>
  <c r="AC46" i="11" s="1"/>
  <c r="AJ46" i="11"/>
  <c r="AI24" i="10"/>
  <c r="AQ24" i="10"/>
  <c r="AI45" i="11"/>
  <c r="AJ45" i="11" s="1"/>
  <c r="AQ45" i="11"/>
  <c r="AQ31" i="10"/>
  <c r="AI31" i="10"/>
  <c r="AI42" i="9"/>
  <c r="AQ42" i="9"/>
  <c r="AI20" i="9"/>
  <c r="AQ20" i="9"/>
  <c r="N17" i="14"/>
  <c r="V17" i="14"/>
  <c r="AQ30" i="15"/>
  <c r="AI30" i="15"/>
  <c r="L8" i="3"/>
  <c r="AB23" i="13"/>
  <c r="AJ23" i="13"/>
  <c r="N27" i="13"/>
  <c r="V27" i="13"/>
  <c r="AQ16" i="12"/>
  <c r="AI16" i="12"/>
  <c r="AQ15" i="16"/>
  <c r="AG29" i="16"/>
  <c r="AI15" i="16"/>
  <c r="AJ15" i="16" s="1"/>
  <c r="N42" i="14"/>
  <c r="O42" i="14" s="1"/>
  <c r="AQ36" i="17"/>
  <c r="AI36" i="17"/>
  <c r="AJ36" i="17" s="1"/>
  <c r="O38" i="17"/>
  <c r="AC20" i="18"/>
  <c r="U20" i="18"/>
  <c r="AQ34" i="17"/>
  <c r="AI34" i="17"/>
  <c r="AJ34" i="17" s="1"/>
  <c r="U23" i="18"/>
  <c r="AC23" i="18"/>
  <c r="AI26" i="19"/>
  <c r="AQ26" i="19"/>
  <c r="O34" i="21"/>
  <c r="AI15" i="18"/>
  <c r="AG29" i="18"/>
  <c r="AQ15" i="18"/>
  <c r="AB19" i="21"/>
  <c r="AC19" i="21" s="1"/>
  <c r="AJ19" i="21"/>
  <c r="N36" i="19"/>
  <c r="O36" i="19" s="1"/>
  <c r="AI26" i="18"/>
  <c r="AQ26" i="18"/>
  <c r="V27" i="21"/>
  <c r="N27" i="21"/>
  <c r="AI38" i="19"/>
  <c r="AJ38" i="19" s="1"/>
  <c r="AQ38" i="19"/>
  <c r="AQ26" i="20"/>
  <c r="AI26" i="20"/>
  <c r="V41" i="21"/>
  <c r="N41" i="21"/>
  <c r="O41" i="21" s="1"/>
  <c r="AB36" i="19"/>
  <c r="AC36" i="19" s="1"/>
  <c r="AJ36" i="19"/>
  <c r="N41" i="20"/>
  <c r="O41" i="20" s="1"/>
  <c r="AQ43" i="20"/>
  <c r="AI43" i="20"/>
  <c r="AJ43" i="20" s="1"/>
  <c r="N19" i="22"/>
  <c r="O19" i="22" s="1"/>
  <c r="V19" i="22"/>
  <c r="AJ30" i="24"/>
  <c r="AB30" i="24"/>
  <c r="U27" i="22"/>
  <c r="AC27" i="22"/>
  <c r="AI34" i="25"/>
  <c r="AQ34" i="25"/>
  <c r="AB25" i="23"/>
  <c r="AJ25" i="23"/>
  <c r="AQ22" i="22"/>
  <c r="AI22" i="22"/>
  <c r="AJ43" i="24"/>
  <c r="AB43" i="24"/>
  <c r="AC43" i="24" s="1"/>
  <c r="U26" i="25"/>
  <c r="AC26" i="25"/>
  <c r="U43" i="24"/>
  <c r="V43" i="24" s="1"/>
  <c r="AJ41" i="24"/>
  <c r="AB41" i="24"/>
  <c r="AC41" i="24" s="1"/>
  <c r="AJ31" i="26"/>
  <c r="AB31" i="26"/>
  <c r="AQ31" i="25"/>
  <c r="AI31" i="25"/>
  <c r="U35" i="26"/>
  <c r="U34" i="25"/>
  <c r="V34" i="25" s="1"/>
  <c r="AC34" i="25"/>
  <c r="AP38" i="25"/>
  <c r="AC22" i="27"/>
  <c r="U22" i="27"/>
  <c r="V22" i="27" s="1"/>
  <c r="V24" i="27"/>
  <c r="N24" i="27"/>
  <c r="AG35" i="27"/>
  <c r="AP35" i="27" s="1"/>
  <c r="P22" i="3"/>
  <c r="P24" i="3" s="1"/>
  <c r="AP22" i="30"/>
  <c r="AB31" i="29"/>
  <c r="AJ31" i="29"/>
  <c r="V31" i="29"/>
  <c r="N31" i="29"/>
  <c r="V34" i="31"/>
  <c r="N34" i="31"/>
  <c r="AJ16" i="32"/>
  <c r="AB16" i="32"/>
  <c r="AP40" i="32"/>
  <c r="AQ40" i="32" s="1"/>
  <c r="V16" i="32"/>
  <c r="N16" i="32"/>
  <c r="AC23" i="35"/>
  <c r="U23" i="35"/>
  <c r="AC22" i="35"/>
  <c r="U22" i="35"/>
  <c r="V22" i="35" s="1"/>
  <c r="V41" i="34"/>
  <c r="N41" i="34"/>
  <c r="O41" i="34" s="1"/>
  <c r="U24" i="37"/>
  <c r="AC24" i="37"/>
  <c r="V19" i="37"/>
  <c r="N19" i="37"/>
  <c r="O19" i="37" s="1"/>
  <c r="AQ31" i="36"/>
  <c r="AI31" i="36"/>
  <c r="AC31" i="39"/>
  <c r="U31" i="39"/>
  <c r="V16" i="39"/>
  <c r="N16" i="39"/>
  <c r="AQ27" i="40"/>
  <c r="AI27" i="40"/>
  <c r="V25" i="39"/>
  <c r="N25" i="39"/>
  <c r="AB38" i="40"/>
  <c r="AJ38" i="40"/>
  <c r="AG46" i="40"/>
  <c r="AE37" i="40"/>
  <c r="AG37" i="40" s="1"/>
  <c r="V23" i="41"/>
  <c r="N23" i="41"/>
  <c r="O19" i="41"/>
  <c r="U31" i="41"/>
  <c r="AC31" i="41"/>
  <c r="O38" i="11"/>
  <c r="AQ34" i="10"/>
  <c r="AI34" i="10"/>
  <c r="AJ34" i="10" s="1"/>
  <c r="AB20" i="10"/>
  <c r="AJ20" i="10"/>
  <c r="V28" i="12"/>
  <c r="N28" i="12"/>
  <c r="AP15" i="41"/>
  <c r="AQ15" i="41" s="1"/>
  <c r="AN29" i="41"/>
  <c r="U22" i="38"/>
  <c r="V22" i="38" s="1"/>
  <c r="AC22" i="38"/>
  <c r="AQ33" i="36"/>
  <c r="AI33" i="36"/>
  <c r="AI36" i="34"/>
  <c r="AJ36" i="34" s="1"/>
  <c r="O36" i="26"/>
  <c r="AI40" i="41"/>
  <c r="AJ17" i="41"/>
  <c r="AB17" i="41"/>
  <c r="AC17" i="41" s="1"/>
  <c r="AB20" i="41"/>
  <c r="AJ20" i="41"/>
  <c r="AJ20" i="40"/>
  <c r="AB20" i="40"/>
  <c r="AC41" i="40"/>
  <c r="U41" i="40"/>
  <c r="V41" i="40" s="1"/>
  <c r="N27" i="39"/>
  <c r="V27" i="39"/>
  <c r="AC24" i="39"/>
  <c r="U24" i="39"/>
  <c r="N24" i="39"/>
  <c r="V24" i="39"/>
  <c r="AC36" i="38"/>
  <c r="U36" i="38"/>
  <c r="V36" i="38" s="1"/>
  <c r="AQ16" i="38"/>
  <c r="AI16" i="38"/>
  <c r="AJ41" i="38"/>
  <c r="AB41" i="38"/>
  <c r="AC41" i="38" s="1"/>
  <c r="AQ45" i="37"/>
  <c r="AI45" i="37"/>
  <c r="AJ45" i="37" s="1"/>
  <c r="AC33" i="38"/>
  <c r="U33" i="38"/>
  <c r="V33" i="38" s="1"/>
  <c r="AQ18" i="38"/>
  <c r="AI18" i="38"/>
  <c r="Z29" i="37"/>
  <c r="AJ15" i="37"/>
  <c r="AB15" i="37"/>
  <c r="AC15" i="37" s="1"/>
  <c r="AI26" i="37"/>
  <c r="AQ26" i="37"/>
  <c r="AP25" i="38"/>
  <c r="V31" i="36"/>
  <c r="N31" i="36"/>
  <c r="AP50" i="37"/>
  <c r="AJ44" i="37"/>
  <c r="AB44" i="37"/>
  <c r="AC44" i="37" s="1"/>
  <c r="N22" i="35"/>
  <c r="U18" i="36"/>
  <c r="AC18" i="36"/>
  <c r="AQ30" i="36"/>
  <c r="AI30" i="36"/>
  <c r="N20" i="36"/>
  <c r="V20" i="36"/>
  <c r="AQ40" i="36"/>
  <c r="AI40" i="36"/>
  <c r="AJ40" i="36" s="1"/>
  <c r="AJ19" i="35"/>
  <c r="AB19" i="35"/>
  <c r="AC19" i="35" s="1"/>
  <c r="U16" i="34"/>
  <c r="AC16" i="34"/>
  <c r="V37" i="34"/>
  <c r="N37" i="34"/>
  <c r="AJ38" i="35"/>
  <c r="AB38" i="35"/>
  <c r="N38" i="34"/>
  <c r="V38" i="34"/>
  <c r="U16" i="33"/>
  <c r="AC16" i="33"/>
  <c r="AI21" i="33"/>
  <c r="AQ21" i="33"/>
  <c r="AJ26" i="35"/>
  <c r="AB26" i="35"/>
  <c r="AB40" i="34"/>
  <c r="AC40" i="34" s="1"/>
  <c r="AJ40" i="34"/>
  <c r="AI31" i="34"/>
  <c r="AQ31" i="34"/>
  <c r="L33" i="3"/>
  <c r="AQ31" i="32"/>
  <c r="AI31" i="32"/>
  <c r="L28" i="3"/>
  <c r="AJ18" i="33"/>
  <c r="AB18" i="33"/>
  <c r="AC18" i="33" s="1"/>
  <c r="AB44" i="32"/>
  <c r="AC44" i="32" s="1"/>
  <c r="AJ44" i="32"/>
  <c r="AQ26" i="33"/>
  <c r="AI26" i="33"/>
  <c r="AQ25" i="32"/>
  <c r="AI25" i="32"/>
  <c r="AC23" i="32"/>
  <c r="U23" i="32"/>
  <c r="AB16" i="31"/>
  <c r="AJ16" i="31"/>
  <c r="AB24" i="33"/>
  <c r="AJ24" i="33"/>
  <c r="AB20" i="31"/>
  <c r="AJ20" i="31"/>
  <c r="U16" i="32"/>
  <c r="AC16" i="32"/>
  <c r="AQ20" i="31"/>
  <c r="AI20" i="31"/>
  <c r="AI27" i="31"/>
  <c r="AQ27" i="31"/>
  <c r="O19" i="32"/>
  <c r="AI36" i="29"/>
  <c r="AJ36" i="29" s="1"/>
  <c r="AB34" i="32"/>
  <c r="AJ34" i="32"/>
  <c r="O32" i="31"/>
  <c r="AQ41" i="29"/>
  <c r="AI41" i="29"/>
  <c r="AJ41" i="29" s="1"/>
  <c r="AQ34" i="30"/>
  <c r="AI34" i="30"/>
  <c r="AI32" i="29"/>
  <c r="AQ32" i="29"/>
  <c r="V28" i="31"/>
  <c r="N28" i="31"/>
  <c r="AB37" i="30"/>
  <c r="AJ37" i="30"/>
  <c r="N40" i="30"/>
  <c r="O40" i="30" s="1"/>
  <c r="V38" i="29"/>
  <c r="N38" i="29"/>
  <c r="O40" i="29"/>
  <c r="AJ25" i="30"/>
  <c r="AB25" i="30"/>
  <c r="AG29" i="29"/>
  <c r="AI15" i="29"/>
  <c r="AJ15" i="29" s="1"/>
  <c r="AQ15" i="29"/>
  <c r="AP43" i="28"/>
  <c r="AQ43" i="28" s="1"/>
  <c r="U15" i="27"/>
  <c r="S29" i="27"/>
  <c r="AC17" i="30"/>
  <c r="U17" i="30"/>
  <c r="V17" i="30" s="1"/>
  <c r="AC20" i="30"/>
  <c r="U20" i="30"/>
  <c r="U31" i="30"/>
  <c r="AC31" i="30"/>
  <c r="AB28" i="29"/>
  <c r="AJ28" i="29"/>
  <c r="O44" i="29"/>
  <c r="N24" i="28"/>
  <c r="V24" i="28"/>
  <c r="N23" i="28"/>
  <c r="V23" i="28"/>
  <c r="U26" i="29"/>
  <c r="AC26" i="29"/>
  <c r="AB27" i="28"/>
  <c r="AJ27" i="28"/>
  <c r="AQ21" i="29"/>
  <c r="AI21" i="29"/>
  <c r="AQ45" i="28"/>
  <c r="AI45" i="28"/>
  <c r="AJ45" i="28" s="1"/>
  <c r="AB45" i="27"/>
  <c r="AC45" i="27" s="1"/>
  <c r="AP15" i="27"/>
  <c r="AQ15" i="27" s="1"/>
  <c r="AN29" i="27"/>
  <c r="N34" i="28"/>
  <c r="O34" i="28" s="1"/>
  <c r="V34" i="28"/>
  <c r="AP35" i="30"/>
  <c r="O30" i="28"/>
  <c r="AC36" i="27"/>
  <c r="U36" i="27"/>
  <c r="V36" i="27" s="1"/>
  <c r="AJ40" i="28"/>
  <c r="AB40" i="28"/>
  <c r="AB26" i="25"/>
  <c r="AJ26" i="25"/>
  <c r="O40" i="27"/>
  <c r="N28" i="25"/>
  <c r="V28" i="25"/>
  <c r="AQ34" i="27"/>
  <c r="AI34" i="27"/>
  <c r="M23" i="3"/>
  <c r="AB42" i="24"/>
  <c r="AC42" i="24" s="1"/>
  <c r="AI25" i="26"/>
  <c r="AQ25" i="26"/>
  <c r="AQ37" i="27"/>
  <c r="AI37" i="27"/>
  <c r="AP21" i="26"/>
  <c r="AP21" i="25"/>
  <c r="AJ23" i="26"/>
  <c r="AB23" i="26"/>
  <c r="O30" i="27"/>
  <c r="AE53" i="24"/>
  <c r="X59" i="24"/>
  <c r="AC23" i="28"/>
  <c r="U23" i="28"/>
  <c r="U40" i="26"/>
  <c r="V40" i="26" s="1"/>
  <c r="S37" i="25"/>
  <c r="R43" i="25"/>
  <c r="S43" i="25" s="1"/>
  <c r="N18" i="25"/>
  <c r="V18" i="25"/>
  <c r="AI43" i="25"/>
  <c r="AI23" i="26"/>
  <c r="AQ23" i="26"/>
  <c r="AQ22" i="25"/>
  <c r="AI22" i="25"/>
  <c r="AJ20" i="24"/>
  <c r="AB20" i="24"/>
  <c r="O35" i="24"/>
  <c r="U17" i="23"/>
  <c r="V17" i="23" s="1"/>
  <c r="AC17" i="23"/>
  <c r="AJ23" i="25"/>
  <c r="AB23" i="25"/>
  <c r="U47" i="23"/>
  <c r="V47" i="23" s="1"/>
  <c r="AI17" i="23"/>
  <c r="AQ17" i="23"/>
  <c r="O38" i="23"/>
  <c r="AI48" i="23"/>
  <c r="AQ48" i="23"/>
  <c r="AC17" i="25"/>
  <c r="U17" i="25"/>
  <c r="V17" i="25" s="1"/>
  <c r="AC17" i="24"/>
  <c r="U17" i="24"/>
  <c r="V17" i="24" s="1"/>
  <c r="AB26" i="24"/>
  <c r="AJ26" i="24"/>
  <c r="N42" i="22"/>
  <c r="O42" i="22" s="1"/>
  <c r="V42" i="22"/>
  <c r="N43" i="22"/>
  <c r="O43" i="22" s="1"/>
  <c r="V43" i="22"/>
  <c r="N24" i="21"/>
  <c r="V24" i="21"/>
  <c r="AI23" i="24"/>
  <c r="AQ23" i="24"/>
  <c r="N44" i="23"/>
  <c r="O44" i="23" s="1"/>
  <c r="V44" i="23"/>
  <c r="AB27" i="24"/>
  <c r="AJ27" i="24"/>
  <c r="L35" i="23"/>
  <c r="AJ37" i="26"/>
  <c r="AB37" i="26"/>
  <c r="AJ43" i="22"/>
  <c r="AB43" i="22"/>
  <c r="AC43" i="22" s="1"/>
  <c r="AI19" i="23"/>
  <c r="AJ19" i="23" s="1"/>
  <c r="AQ19" i="23"/>
  <c r="V23" i="21"/>
  <c r="N23" i="21"/>
  <c r="O32" i="20"/>
  <c r="AC20" i="23"/>
  <c r="U20" i="23"/>
  <c r="AC39" i="20"/>
  <c r="U39" i="20"/>
  <c r="V39" i="20" s="1"/>
  <c r="X59" i="22"/>
  <c r="AE53" i="22"/>
  <c r="V24" i="22"/>
  <c r="N24" i="22"/>
  <c r="AJ38" i="20"/>
  <c r="AB38" i="20"/>
  <c r="AC38" i="20" s="1"/>
  <c r="AP28" i="22"/>
  <c r="AJ25" i="20"/>
  <c r="AB25" i="20"/>
  <c r="AJ36" i="23"/>
  <c r="AB36" i="23"/>
  <c r="AC36" i="23" s="1"/>
  <c r="AJ23" i="22"/>
  <c r="AB23" i="22"/>
  <c r="AP22" i="20"/>
  <c r="AQ22" i="17"/>
  <c r="AI22" i="17"/>
  <c r="N28" i="20"/>
  <c r="V28" i="20"/>
  <c r="AB39" i="19"/>
  <c r="AC39" i="19" s="1"/>
  <c r="AJ39" i="19"/>
  <c r="AJ19" i="19"/>
  <c r="AB19" i="19"/>
  <c r="U41" i="20"/>
  <c r="V41" i="20" s="1"/>
  <c r="AC41" i="20"/>
  <c r="AQ27" i="18"/>
  <c r="AI27" i="18"/>
  <c r="AP32" i="18"/>
  <c r="AP42" i="19"/>
  <c r="AQ42" i="19" s="1"/>
  <c r="AQ38" i="18"/>
  <c r="AI38" i="18"/>
  <c r="AJ38" i="18" s="1"/>
  <c r="AB28" i="22"/>
  <c r="AJ28" i="22"/>
  <c r="V16" i="19"/>
  <c r="N16" i="19"/>
  <c r="AI20" i="22"/>
  <c r="AQ20" i="22"/>
  <c r="N25" i="20"/>
  <c r="V25" i="20"/>
  <c r="U42" i="19"/>
  <c r="V42" i="19" s="1"/>
  <c r="AC42" i="19"/>
  <c r="AB21" i="20"/>
  <c r="AJ21" i="20"/>
  <c r="AB46" i="18"/>
  <c r="AC46" i="18" s="1"/>
  <c r="AQ33" i="18"/>
  <c r="AI33" i="18"/>
  <c r="AI47" i="17"/>
  <c r="AJ47" i="17" s="1"/>
  <c r="AQ31" i="20"/>
  <c r="AI31" i="20"/>
  <c r="N18" i="3"/>
  <c r="N20" i="3" s="1"/>
  <c r="AP41" i="18"/>
  <c r="AQ41" i="18" s="1"/>
  <c r="AI18" i="17"/>
  <c r="AQ18" i="17"/>
  <c r="AC31" i="20"/>
  <c r="U31" i="20"/>
  <c r="AI36" i="16"/>
  <c r="AJ36" i="16" s="1"/>
  <c r="AQ36" i="16"/>
  <c r="U39" i="17"/>
  <c r="V39" i="17" s="1"/>
  <c r="AC39" i="17"/>
  <c r="AC31" i="16"/>
  <c r="U31" i="16"/>
  <c r="AB28" i="16"/>
  <c r="AJ28" i="16"/>
  <c r="AI26" i="17"/>
  <c r="AQ26" i="17"/>
  <c r="AB36" i="16"/>
  <c r="AC36" i="16" s="1"/>
  <c r="AQ32" i="17"/>
  <c r="AI32" i="17"/>
  <c r="AQ27" i="15"/>
  <c r="AI27" i="15"/>
  <c r="AC23" i="16"/>
  <c r="U23" i="16"/>
  <c r="V32" i="15"/>
  <c r="N32" i="15"/>
  <c r="O32" i="15" s="1"/>
  <c r="N23" i="15"/>
  <c r="V23" i="15"/>
  <c r="U16" i="16"/>
  <c r="AC16" i="16"/>
  <c r="O45" i="15"/>
  <c r="AQ34" i="15"/>
  <c r="AI34" i="15"/>
  <c r="AJ34" i="15" s="1"/>
  <c r="AQ38" i="14"/>
  <c r="AI38" i="14"/>
  <c r="AJ38" i="14" s="1"/>
  <c r="AB41" i="15"/>
  <c r="AC41" i="15" s="1"/>
  <c r="V26" i="17"/>
  <c r="N26" i="17"/>
  <c r="AP42" i="16"/>
  <c r="AQ42" i="16" s="1"/>
  <c r="U34" i="16"/>
  <c r="AC34" i="16"/>
  <c r="V24" i="13"/>
  <c r="N24" i="13"/>
  <c r="AJ38" i="12"/>
  <c r="AB38" i="12"/>
  <c r="AC38" i="12" s="1"/>
  <c r="O39" i="14"/>
  <c r="O32" i="13"/>
  <c r="AB31" i="15"/>
  <c r="AJ31" i="15"/>
  <c r="AC24" i="14"/>
  <c r="U24" i="14"/>
  <c r="AP19" i="13"/>
  <c r="AP43" i="14"/>
  <c r="AQ43" i="14" s="1"/>
  <c r="AP47" i="13"/>
  <c r="V34" i="12"/>
  <c r="N34" i="12"/>
  <c r="O34" i="12" s="1"/>
  <c r="V34" i="16"/>
  <c r="N34" i="16"/>
  <c r="O34" i="16" s="1"/>
  <c r="AP22" i="16"/>
  <c r="V35" i="13"/>
  <c r="N35" i="13"/>
  <c r="O35" i="13" s="1"/>
  <c r="AQ39" i="14"/>
  <c r="AI39" i="14"/>
  <c r="AJ39" i="14" s="1"/>
  <c r="AJ39" i="13"/>
  <c r="AB39" i="13"/>
  <c r="AC39" i="13" s="1"/>
  <c r="U22" i="15"/>
  <c r="V22" i="15" s="1"/>
  <c r="AC22" i="15"/>
  <c r="AC42" i="13"/>
  <c r="U42" i="13"/>
  <c r="V42" i="13" s="1"/>
  <c r="AI22" i="12"/>
  <c r="AQ22" i="12"/>
  <c r="N18" i="12"/>
  <c r="V18" i="12"/>
  <c r="O41" i="13"/>
  <c r="N26" i="11"/>
  <c r="V26" i="11"/>
  <c r="U42" i="12"/>
  <c r="V42" i="12" s="1"/>
  <c r="AC42" i="12"/>
  <c r="O30" i="9"/>
  <c r="AB32" i="10"/>
  <c r="AJ32" i="10"/>
  <c r="U32" i="9"/>
  <c r="AC32" i="9"/>
  <c r="AQ24" i="11"/>
  <c r="AI24" i="11"/>
  <c r="AI44" i="10"/>
  <c r="AJ44" i="10" s="1"/>
  <c r="AP44" i="10"/>
  <c r="AQ44" i="10" s="1"/>
  <c r="AC16" i="10"/>
  <c r="U16" i="10"/>
  <c r="AJ30" i="14"/>
  <c r="AB30" i="14"/>
  <c r="AI47" i="12"/>
  <c r="AJ47" i="12" s="1"/>
  <c r="AQ47" i="12"/>
  <c r="AJ22" i="11"/>
  <c r="AB22" i="11"/>
  <c r="H39" i="10"/>
  <c r="AI34" i="9"/>
  <c r="AQ34" i="9"/>
  <c r="V36" i="12"/>
  <c r="N36" i="12"/>
  <c r="O36" i="12" s="1"/>
  <c r="AI15" i="10"/>
  <c r="AJ15" i="10" s="1"/>
  <c r="AG29" i="10"/>
  <c r="AQ15" i="10"/>
  <c r="N33" i="9"/>
  <c r="V33" i="9"/>
  <c r="N38" i="13"/>
  <c r="V38" i="13"/>
  <c r="O32" i="11"/>
  <c r="AC27" i="10"/>
  <c r="U27" i="10"/>
  <c r="AI22" i="9"/>
  <c r="AQ22" i="9"/>
  <c r="O44" i="11"/>
  <c r="V20" i="11"/>
  <c r="N20" i="11"/>
  <c r="N23" i="10"/>
  <c r="V23" i="10"/>
  <c r="AP38" i="9"/>
  <c r="AQ38" i="9" s="1"/>
  <c r="AJ33" i="13"/>
  <c r="AB33" i="13"/>
  <c r="AQ20" i="11"/>
  <c r="AI20" i="11"/>
  <c r="N27" i="10"/>
  <c r="V27" i="10"/>
  <c r="U38" i="9"/>
  <c r="V38" i="9" s="1"/>
  <c r="AP15" i="12"/>
  <c r="AQ15" i="12" s="1"/>
  <c r="AN29" i="12"/>
  <c r="AQ21" i="14"/>
  <c r="AI21" i="14"/>
  <c r="AQ32" i="14"/>
  <c r="AI32" i="14"/>
  <c r="U24" i="12"/>
  <c r="AC24" i="12"/>
  <c r="AQ27" i="13"/>
  <c r="AI27" i="13"/>
  <c r="V23" i="12"/>
  <c r="N23" i="12"/>
  <c r="V28" i="15"/>
  <c r="N28" i="15"/>
  <c r="AI23" i="14"/>
  <c r="AQ23" i="14"/>
  <c r="N27" i="16"/>
  <c r="V27" i="16"/>
  <c r="AC42" i="16"/>
  <c r="U42" i="16"/>
  <c r="V42" i="16" s="1"/>
  <c r="AQ24" i="15"/>
  <c r="AI24" i="15"/>
  <c r="V15" i="16"/>
  <c r="N15" i="16"/>
  <c r="O15" i="16" s="1"/>
  <c r="L29" i="16"/>
  <c r="U16" i="19"/>
  <c r="AC16" i="19"/>
  <c r="N30" i="18"/>
  <c r="V30" i="18"/>
  <c r="U15" i="18"/>
  <c r="V15" i="18" s="1"/>
  <c r="AC15" i="18"/>
  <c r="S29" i="18"/>
  <c r="U24" i="18"/>
  <c r="AC24" i="18"/>
  <c r="AB22" i="19"/>
  <c r="AJ22" i="19"/>
  <c r="N16" i="18"/>
  <c r="V16" i="18"/>
  <c r="AQ24" i="20"/>
  <c r="AI24" i="20"/>
  <c r="O38" i="20"/>
  <c r="U33" i="19"/>
  <c r="AC33" i="19"/>
  <c r="N27" i="18"/>
  <c r="V27" i="18"/>
  <c r="U20" i="20"/>
  <c r="AC20" i="20"/>
  <c r="V27" i="20"/>
  <c r="N27" i="20"/>
  <c r="AC31" i="21"/>
  <c r="U31" i="21"/>
  <c r="O43" i="20"/>
  <c r="V33" i="21"/>
  <c r="N33" i="21"/>
  <c r="AB20" i="23"/>
  <c r="AJ20" i="23"/>
  <c r="AB26" i="23"/>
  <c r="AJ26" i="23"/>
  <c r="AI26" i="23"/>
  <c r="AQ26" i="23"/>
  <c r="U31" i="25"/>
  <c r="AC31" i="25"/>
  <c r="AQ25" i="25"/>
  <c r="AI25" i="25"/>
  <c r="AJ16" i="25"/>
  <c r="AB16" i="25"/>
  <c r="AP19" i="27"/>
  <c r="AJ40" i="26"/>
  <c r="AB40" i="26"/>
  <c r="AC40" i="26" s="1"/>
  <c r="AC38" i="25"/>
  <c r="U38" i="25"/>
  <c r="V22" i="28"/>
  <c r="N22" i="28"/>
  <c r="O34" i="27"/>
  <c r="AJ38" i="27"/>
  <c r="AB38" i="27"/>
  <c r="U23" i="30"/>
  <c r="AC23" i="30"/>
  <c r="U32" i="29"/>
  <c r="V32" i="29" s="1"/>
  <c r="AC32" i="29"/>
  <c r="O34" i="29"/>
  <c r="AQ40" i="30"/>
  <c r="AI40" i="30"/>
  <c r="AJ40" i="30" s="1"/>
  <c r="V32" i="33"/>
  <c r="N32" i="33"/>
  <c r="AQ22" i="34"/>
  <c r="AI22" i="34"/>
  <c r="R33" i="3"/>
  <c r="O45" i="33"/>
  <c r="AJ41" i="35"/>
  <c r="AB41" i="35"/>
  <c r="AC41" i="35" s="1"/>
  <c r="V24" i="35"/>
  <c r="N24" i="35"/>
  <c r="U44" i="35"/>
  <c r="V44" i="35" s="1"/>
  <c r="AC44" i="35"/>
  <c r="O45" i="35"/>
  <c r="AP45" i="35"/>
  <c r="AQ45" i="35" s="1"/>
  <c r="V25" i="37"/>
  <c r="N25" i="37"/>
  <c r="N45" i="36"/>
  <c r="O45" i="36" s="1"/>
  <c r="V45" i="36"/>
  <c r="V22" i="37"/>
  <c r="N22" i="37"/>
  <c r="AI41" i="37"/>
  <c r="AQ41" i="37"/>
  <c r="V26" i="37"/>
  <c r="N26" i="37"/>
  <c r="O41" i="36"/>
  <c r="AI31" i="37"/>
  <c r="AQ31" i="37"/>
  <c r="N19" i="39"/>
  <c r="V19" i="39"/>
  <c r="U26" i="37"/>
  <c r="AC26" i="37"/>
  <c r="U26" i="38"/>
  <c r="AC26" i="38"/>
  <c r="AQ25" i="39"/>
  <c r="AI25" i="39"/>
  <c r="AI16" i="39"/>
  <c r="AQ16" i="39"/>
  <c r="AP45" i="41"/>
  <c r="AQ45" i="41" s="1"/>
  <c r="AC19" i="41"/>
  <c r="U19" i="41"/>
  <c r="V19" i="41" s="1"/>
  <c r="V31" i="41"/>
  <c r="N31" i="41"/>
  <c r="AP36" i="12"/>
  <c r="AQ36" i="12" s="1"/>
  <c r="V17" i="9"/>
  <c r="N17" i="9"/>
  <c r="N26" i="15"/>
  <c r="V26" i="15"/>
  <c r="V16" i="11"/>
  <c r="N16" i="11"/>
  <c r="U24" i="10"/>
  <c r="AC24" i="10"/>
  <c r="AJ16" i="9"/>
  <c r="AB16" i="9"/>
  <c r="AC17" i="9"/>
  <c r="U17" i="9"/>
  <c r="AP33" i="9"/>
  <c r="AI23" i="9"/>
  <c r="AQ23" i="9"/>
  <c r="AC25" i="9"/>
  <c r="U25" i="9"/>
  <c r="U36" i="10"/>
  <c r="V36" i="10" s="1"/>
  <c r="AC36" i="10"/>
  <c r="AP43" i="10"/>
  <c r="V31" i="10"/>
  <c r="N31" i="10"/>
  <c r="O15" i="13"/>
  <c r="H29" i="13"/>
  <c r="AC20" i="10"/>
  <c r="U20" i="10"/>
  <c r="AB43" i="10"/>
  <c r="AJ43" i="10"/>
  <c r="AQ19" i="9"/>
  <c r="AI19" i="9"/>
  <c r="AP32" i="10"/>
  <c r="N43" i="10"/>
  <c r="AJ22" i="10"/>
  <c r="AB22" i="10"/>
  <c r="AP41" i="9"/>
  <c r="AI36" i="10"/>
  <c r="AJ36" i="10" s="1"/>
  <c r="AQ36" i="10"/>
  <c r="AI27" i="11"/>
  <c r="AQ27" i="11"/>
  <c r="U19" i="9"/>
  <c r="AC19" i="9"/>
  <c r="AJ16" i="10"/>
  <c r="AB16" i="10"/>
  <c r="AQ36" i="11"/>
  <c r="AI36" i="11"/>
  <c r="AJ36" i="11" s="1"/>
  <c r="AC42" i="10"/>
  <c r="U42" i="10"/>
  <c r="V42" i="10" s="1"/>
  <c r="AP43" i="9"/>
  <c r="AQ43" i="9" s="1"/>
  <c r="AI17" i="9"/>
  <c r="AQ17" i="9"/>
  <c r="AQ23" i="10"/>
  <c r="AI23" i="10"/>
  <c r="AP27" i="10"/>
  <c r="AQ28" i="9"/>
  <c r="AI28" i="9"/>
  <c r="AQ32" i="11"/>
  <c r="AI32" i="11"/>
  <c r="O43" i="10"/>
  <c r="AJ42" i="10"/>
  <c r="AB42" i="10"/>
  <c r="AB44" i="10"/>
  <c r="AC44" i="10" s="1"/>
  <c r="AC27" i="11"/>
  <c r="U27" i="11"/>
  <c r="U34" i="9"/>
  <c r="AC34" i="9"/>
  <c r="N25" i="9"/>
  <c r="V25" i="9"/>
  <c r="V33" i="11"/>
  <c r="N33" i="11"/>
  <c r="AP28" i="10"/>
  <c r="AP25" i="9"/>
  <c r="AB35" i="10"/>
  <c r="AC35" i="10" s="1"/>
  <c r="AJ35" i="10"/>
  <c r="AI27" i="9"/>
  <c r="AQ27" i="9"/>
  <c r="AP22" i="9"/>
  <c r="AI33" i="9"/>
  <c r="AQ33" i="9"/>
  <c r="V31" i="9"/>
  <c r="N31" i="9"/>
  <c r="AQ39" i="9"/>
  <c r="AI39" i="9"/>
  <c r="AP41" i="11"/>
  <c r="AQ41" i="11" s="1"/>
  <c r="AQ44" i="11"/>
  <c r="AI44" i="11"/>
  <c r="AJ44" i="11" s="1"/>
  <c r="AI43" i="10"/>
  <c r="AQ43" i="10"/>
  <c r="AJ18" i="10"/>
  <c r="AB18" i="10"/>
  <c r="AC18" i="10" s="1"/>
  <c r="AB25" i="9"/>
  <c r="AJ25" i="9"/>
  <c r="AC33" i="9"/>
  <c r="U33" i="9"/>
  <c r="V30" i="9"/>
  <c r="N30" i="9"/>
  <c r="N39" i="9"/>
  <c r="O39" i="9" s="1"/>
  <c r="V17" i="10"/>
  <c r="N17" i="10"/>
  <c r="AI35" i="11"/>
  <c r="AJ35" i="11" s="1"/>
  <c r="AQ35" i="11"/>
  <c r="AQ41" i="9"/>
  <c r="AI41" i="9"/>
  <c r="AJ41" i="9" s="1"/>
  <c r="AJ23" i="9"/>
  <c r="AB23" i="9"/>
  <c r="AJ27" i="11"/>
  <c r="AB27" i="11"/>
  <c r="N16" i="9"/>
  <c r="V16" i="9"/>
  <c r="H29" i="9"/>
  <c r="N32" i="9"/>
  <c r="O32" i="9" s="1"/>
  <c r="V32" i="9"/>
  <c r="V28" i="11"/>
  <c r="N28" i="11"/>
  <c r="AP32" i="9"/>
  <c r="O43" i="9"/>
  <c r="N32" i="11"/>
  <c r="V32" i="11"/>
  <c r="U41" i="12"/>
  <c r="AC41" i="12"/>
  <c r="AQ26" i="10"/>
  <c r="AI26" i="10"/>
  <c r="U16" i="9"/>
  <c r="AC16" i="9"/>
  <c r="O41" i="38"/>
  <c r="O45" i="38"/>
  <c r="AJ26" i="40"/>
  <c r="AB26" i="40"/>
  <c r="AI23" i="40"/>
  <c r="AQ23" i="40"/>
  <c r="N33" i="38"/>
  <c r="O33" i="38" s="1"/>
  <c r="AI32" i="38"/>
  <c r="AQ32" i="38"/>
  <c r="AQ24" i="39"/>
  <c r="AI24" i="39"/>
  <c r="AP26" i="37"/>
  <c r="AQ26" i="38"/>
  <c r="AI26" i="38"/>
  <c r="AC18" i="38"/>
  <c r="U18" i="38"/>
  <c r="AP19" i="37"/>
  <c r="AQ19" i="37" s="1"/>
  <c r="N18" i="38"/>
  <c r="V18" i="38"/>
  <c r="AC37" i="37"/>
  <c r="U37" i="37"/>
  <c r="V37" i="37" s="1"/>
  <c r="O30" i="36"/>
  <c r="U37" i="36"/>
  <c r="AC37" i="36"/>
  <c r="AJ41" i="37"/>
  <c r="AB41" i="37"/>
  <c r="AC41" i="37" s="1"/>
  <c r="V16" i="36"/>
  <c r="N16" i="36"/>
  <c r="AB22" i="37"/>
  <c r="AJ22" i="37"/>
  <c r="AB21" i="36"/>
  <c r="AJ21" i="36"/>
  <c r="AM44" i="35"/>
  <c r="AN44" i="35" s="1"/>
  <c r="AP44" i="35" s="1"/>
  <c r="AM46" i="35"/>
  <c r="AN46" i="35" s="1"/>
  <c r="AP46" i="35" s="1"/>
  <c r="AN43" i="35"/>
  <c r="AP41" i="35"/>
  <c r="AQ41" i="35" s="1"/>
  <c r="S29" i="36"/>
  <c r="AC15" i="36"/>
  <c r="U15" i="36"/>
  <c r="V15" i="36" s="1"/>
  <c r="N17" i="35"/>
  <c r="U19" i="35"/>
  <c r="V19" i="35" s="1"/>
  <c r="V24" i="34"/>
  <c r="N24" i="34"/>
  <c r="AB33" i="33"/>
  <c r="AC33" i="33" s="1"/>
  <c r="AJ33" i="33"/>
  <c r="Z46" i="34"/>
  <c r="AB37" i="33"/>
  <c r="AJ37" i="33"/>
  <c r="AI37" i="33"/>
  <c r="AQ37" i="34"/>
  <c r="AI37" i="34"/>
  <c r="H44" i="34"/>
  <c r="AQ24" i="34"/>
  <c r="AI24" i="34"/>
  <c r="AJ38" i="33"/>
  <c r="AB38" i="33"/>
  <c r="AC24" i="33"/>
  <c r="U24" i="33"/>
  <c r="AN29" i="33"/>
  <c r="AP15" i="33"/>
  <c r="AQ15" i="33" s="1"/>
  <c r="U36" i="31"/>
  <c r="O21" i="32"/>
  <c r="AB22" i="31"/>
  <c r="AJ22" i="31"/>
  <c r="L43" i="31"/>
  <c r="AP36" i="29"/>
  <c r="AQ36" i="29" s="1"/>
  <c r="AC41" i="29"/>
  <c r="U41" i="29"/>
  <c r="AB38" i="30"/>
  <c r="AJ38" i="30"/>
  <c r="N30" i="31"/>
  <c r="O30" i="31" s="1"/>
  <c r="V30" i="31"/>
  <c r="AC24" i="30"/>
  <c r="U24" i="30"/>
  <c r="AI27" i="29"/>
  <c r="AQ27" i="29"/>
  <c r="AI37" i="30"/>
  <c r="AQ37" i="30"/>
  <c r="N25" i="29"/>
  <c r="V25" i="29"/>
  <c r="V46" i="28"/>
  <c r="N46" i="28"/>
  <c r="O46" i="28" s="1"/>
  <c r="AB20" i="28"/>
  <c r="AJ20" i="28"/>
  <c r="AJ37" i="29"/>
  <c r="AB37" i="29"/>
  <c r="AJ35" i="30"/>
  <c r="AB35" i="30"/>
  <c r="AI31" i="28"/>
  <c r="AQ31" i="28"/>
  <c r="S43" i="27"/>
  <c r="O36" i="28"/>
  <c r="AP27" i="27"/>
  <c r="U33" i="27"/>
  <c r="AC33" i="27"/>
  <c r="AJ21" i="28"/>
  <c r="AB21" i="28"/>
  <c r="AC21" i="28" s="1"/>
  <c r="V27" i="28"/>
  <c r="N27" i="28"/>
  <c r="AC30" i="27"/>
  <c r="U30" i="27"/>
  <c r="V30" i="27" s="1"/>
  <c r="H29" i="29"/>
  <c r="O15" i="29"/>
  <c r="S29" i="28"/>
  <c r="U15" i="28"/>
  <c r="V15" i="28" s="1"/>
  <c r="AC15" i="26"/>
  <c r="S29" i="26"/>
  <c r="U15" i="26"/>
  <c r="V15" i="26" s="1"/>
  <c r="AJ40" i="27"/>
  <c r="AB40" i="27"/>
  <c r="AC40" i="27" s="1"/>
  <c r="L46" i="27"/>
  <c r="AB20" i="27"/>
  <c r="AJ20" i="27"/>
  <c r="N46" i="26"/>
  <c r="AP18" i="27"/>
  <c r="AJ37" i="25"/>
  <c r="S33" i="25"/>
  <c r="S32" i="25"/>
  <c r="O21" i="25"/>
  <c r="AC28" i="27"/>
  <c r="U28" i="27"/>
  <c r="L43" i="25"/>
  <c r="U41" i="26"/>
  <c r="V41" i="26" s="1"/>
  <c r="AC41" i="26"/>
  <c r="AI19" i="26"/>
  <c r="AJ19" i="26" s="1"/>
  <c r="AQ19" i="26"/>
  <c r="U41" i="24"/>
  <c r="V42" i="24"/>
  <c r="N42" i="24"/>
  <c r="O42" i="24" s="1"/>
  <c r="AP30" i="26"/>
  <c r="AJ24" i="25"/>
  <c r="AB24" i="25"/>
  <c r="AC28" i="26"/>
  <c r="U28" i="26"/>
  <c r="L20" i="25"/>
  <c r="U20" i="25" s="1"/>
  <c r="AP33" i="23"/>
  <c r="S35" i="22"/>
  <c r="AB32" i="24"/>
  <c r="AJ32" i="24"/>
  <c r="AB35" i="23"/>
  <c r="AC35" i="23" s="1"/>
  <c r="AJ35" i="23"/>
  <c r="H39" i="23"/>
  <c r="AQ47" i="23"/>
  <c r="AI47" i="23"/>
  <c r="AJ47" i="23" s="1"/>
  <c r="AI32" i="23"/>
  <c r="AQ32" i="23"/>
  <c r="AC38" i="22"/>
  <c r="U38" i="22"/>
  <c r="V38" i="22" s="1"/>
  <c r="L39" i="21"/>
  <c r="AP30" i="23"/>
  <c r="V18" i="24"/>
  <c r="N18" i="24"/>
  <c r="AC28" i="23"/>
  <c r="U28" i="23"/>
  <c r="AQ48" i="22"/>
  <c r="AI48" i="22"/>
  <c r="AJ48" i="22" s="1"/>
  <c r="AP48" i="20"/>
  <c r="AQ48" i="20" s="1"/>
  <c r="AJ21" i="24"/>
  <c r="AB21" i="24"/>
  <c r="AG41" i="21"/>
  <c r="AP41" i="21" s="1"/>
  <c r="U23" i="21"/>
  <c r="AC23" i="21"/>
  <c r="AN38" i="20"/>
  <c r="AP38" i="20" s="1"/>
  <c r="AQ38" i="20" s="1"/>
  <c r="AB45" i="18"/>
  <c r="AC45" i="18" s="1"/>
  <c r="AJ45" i="18"/>
  <c r="AI33" i="20"/>
  <c r="AQ33" i="20"/>
  <c r="AC16" i="20"/>
  <c r="U16" i="20"/>
  <c r="AP39" i="22"/>
  <c r="AQ39" i="22" s="1"/>
  <c r="N18" i="23"/>
  <c r="V18" i="23"/>
  <c r="AQ18" i="21"/>
  <c r="AI18" i="21"/>
  <c r="N21" i="19"/>
  <c r="O21" i="19" s="1"/>
  <c r="V21" i="19"/>
  <c r="AC18" i="18"/>
  <c r="U18" i="18"/>
  <c r="V18" i="18" s="1"/>
  <c r="AC41" i="19"/>
  <c r="U41" i="19"/>
  <c r="AC32" i="18"/>
  <c r="U32" i="18"/>
  <c r="V32" i="18" s="1"/>
  <c r="U42" i="20"/>
  <c r="V42" i="20" s="1"/>
  <c r="AG39" i="17"/>
  <c r="N36" i="20"/>
  <c r="O36" i="20" s="1"/>
  <c r="V36" i="20"/>
  <c r="O30" i="18"/>
  <c r="O48" i="17"/>
  <c r="AB43" i="16"/>
  <c r="AC43" i="16" s="1"/>
  <c r="AJ43" i="16"/>
  <c r="AG39" i="16"/>
  <c r="AP39" i="16" s="1"/>
  <c r="AI35" i="20"/>
  <c r="AJ35" i="20" s="1"/>
  <c r="AQ35" i="20"/>
  <c r="Z41" i="16"/>
  <c r="AP18" i="20"/>
  <c r="AJ31" i="16"/>
  <c r="AB31" i="16"/>
  <c r="V45" i="17"/>
  <c r="N45" i="17"/>
  <c r="O45" i="17" s="1"/>
  <c r="AP23" i="21"/>
  <c r="Z39" i="18"/>
  <c r="N28" i="17"/>
  <c r="V28" i="17"/>
  <c r="L41" i="18"/>
  <c r="U41" i="18" s="1"/>
  <c r="AC47" i="18"/>
  <c r="U47" i="18"/>
  <c r="V47" i="18" s="1"/>
  <c r="N33" i="15"/>
  <c r="V33" i="15"/>
  <c r="AJ47" i="15"/>
  <c r="AB47" i="15"/>
  <c r="AC47" i="15" s="1"/>
  <c r="V47" i="16"/>
  <c r="N47" i="16"/>
  <c r="O47" i="16" s="1"/>
  <c r="AI23" i="15"/>
  <c r="AQ23" i="15"/>
  <c r="AB36" i="15"/>
  <c r="AC36" i="15" s="1"/>
  <c r="AI48" i="14"/>
  <c r="AJ48" i="14" s="1"/>
  <c r="AQ48" i="14"/>
  <c r="AP48" i="16"/>
  <c r="AQ48" i="16" s="1"/>
  <c r="AN34" i="17"/>
  <c r="AP34" i="17" s="1"/>
  <c r="V17" i="16"/>
  <c r="N17" i="16"/>
  <c r="AP26" i="17"/>
  <c r="AI41" i="16"/>
  <c r="AC45" i="14"/>
  <c r="U45" i="14"/>
  <c r="V45" i="14" s="1"/>
  <c r="AI17" i="17"/>
  <c r="AQ17" i="17"/>
  <c r="AJ18" i="16"/>
  <c r="AB18" i="16"/>
  <c r="AC18" i="16" s="1"/>
  <c r="AI30" i="14"/>
  <c r="AQ30" i="14"/>
  <c r="AB19" i="15"/>
  <c r="AJ19" i="15"/>
  <c r="H41" i="14"/>
  <c r="N41" i="14" s="1"/>
  <c r="AC23" i="15"/>
  <c r="U23" i="15"/>
  <c r="AC31" i="14"/>
  <c r="U31" i="14"/>
  <c r="AQ28" i="12"/>
  <c r="AI28" i="12"/>
  <c r="AG38" i="13"/>
  <c r="N32" i="14"/>
  <c r="O32" i="14" s="1"/>
  <c r="V32" i="14"/>
  <c r="U28" i="13"/>
  <c r="AC28" i="13"/>
  <c r="AJ26" i="16"/>
  <c r="AB26" i="16"/>
  <c r="AJ35" i="14"/>
  <c r="AB35" i="14"/>
  <c r="AB26" i="12"/>
  <c r="AJ26" i="12"/>
  <c r="H42" i="11"/>
  <c r="N42" i="11" s="1"/>
  <c r="AI19" i="11"/>
  <c r="AQ19" i="11"/>
  <c r="V30" i="10"/>
  <c r="N30" i="10"/>
  <c r="O30" i="10" s="1"/>
  <c r="AI18" i="11"/>
  <c r="AQ18" i="11"/>
  <c r="AJ42" i="9"/>
  <c r="AB42" i="9"/>
  <c r="AC42" i="9" s="1"/>
  <c r="N18" i="9"/>
  <c r="V18" i="9"/>
  <c r="AC48" i="12"/>
  <c r="U48" i="12"/>
  <c r="AI47" i="11"/>
  <c r="AJ47" i="11" s="1"/>
  <c r="AQ47" i="11"/>
  <c r="N41" i="12"/>
  <c r="O41" i="12" s="1"/>
  <c r="V41" i="12"/>
  <c r="AG39" i="11"/>
  <c r="U16" i="11"/>
  <c r="AC16" i="11"/>
  <c r="O39" i="11"/>
  <c r="AI20" i="10"/>
  <c r="AQ20" i="10"/>
  <c r="U48" i="10"/>
  <c r="AC48" i="10"/>
  <c r="AQ25" i="10"/>
  <c r="AI25" i="10"/>
  <c r="V38" i="14"/>
  <c r="N38" i="14"/>
  <c r="U26" i="15"/>
  <c r="AC26" i="15"/>
  <c r="AB24" i="12"/>
  <c r="AJ24" i="12"/>
  <c r="U25" i="14"/>
  <c r="AC25" i="14"/>
  <c r="AP20" i="15"/>
  <c r="AC23" i="14"/>
  <c r="U23" i="14"/>
  <c r="O43" i="17"/>
  <c r="AP16" i="16"/>
  <c r="AQ28" i="18"/>
  <c r="AI28" i="18"/>
  <c r="V23" i="18"/>
  <c r="N23" i="18"/>
  <c r="Z29" i="19"/>
  <c r="AB15" i="19"/>
  <c r="AC15" i="19" s="1"/>
  <c r="AJ15" i="19"/>
  <c r="V22" i="18"/>
  <c r="N22" i="18"/>
  <c r="AQ19" i="18"/>
  <c r="AI19" i="18"/>
  <c r="AQ17" i="21"/>
  <c r="AI17" i="21"/>
  <c r="AI16" i="21"/>
  <c r="AQ16" i="21"/>
  <c r="L29" i="20"/>
  <c r="N15" i="20"/>
  <c r="O15" i="20" s="1"/>
  <c r="N34" i="19"/>
  <c r="O34" i="19" s="1"/>
  <c r="AC33" i="20"/>
  <c r="U33" i="20"/>
  <c r="AP25" i="20"/>
  <c r="U42" i="21"/>
  <c r="AC42" i="21"/>
  <c r="U43" i="21"/>
  <c r="AC43" i="21"/>
  <c r="U20" i="22"/>
  <c r="AC20" i="22"/>
  <c r="V36" i="23"/>
  <c r="N36" i="23"/>
  <c r="O36" i="23" s="1"/>
  <c r="AI31" i="23"/>
  <c r="AQ31" i="23"/>
  <c r="AQ21" i="23"/>
  <c r="AI21" i="23"/>
  <c r="AI27" i="25"/>
  <c r="AQ27" i="25"/>
  <c r="AI24" i="26"/>
  <c r="AQ24" i="26"/>
  <c r="AQ30" i="25"/>
  <c r="AI30" i="25"/>
  <c r="AP40" i="28"/>
  <c r="AP46" i="26"/>
  <c r="AP24" i="26"/>
  <c r="Z29" i="27"/>
  <c r="AB15" i="27"/>
  <c r="AC15" i="27" s="1"/>
  <c r="N31" i="27"/>
  <c r="V31" i="27"/>
  <c r="N38" i="27"/>
  <c r="V38" i="27"/>
  <c r="V19" i="28"/>
  <c r="N19" i="28"/>
  <c r="O19" i="28" s="1"/>
  <c r="N26" i="34"/>
  <c r="V26" i="34"/>
  <c r="H29" i="30"/>
  <c r="O15" i="30"/>
  <c r="AJ19" i="31"/>
  <c r="AB19" i="31"/>
  <c r="AC19" i="31" s="1"/>
  <c r="AI28" i="31"/>
  <c r="AQ28" i="31"/>
  <c r="AP40" i="31"/>
  <c r="AQ40" i="31" s="1"/>
  <c r="AI23" i="34"/>
  <c r="AQ23" i="34"/>
  <c r="AC20" i="37"/>
  <c r="U20" i="37"/>
  <c r="AQ18" i="36"/>
  <c r="AI18" i="36"/>
  <c r="AJ45" i="33"/>
  <c r="AB45" i="33"/>
  <c r="AC45" i="33" s="1"/>
  <c r="AJ23" i="36"/>
  <c r="AB23" i="36"/>
  <c r="AI21" i="35"/>
  <c r="AQ21" i="35"/>
  <c r="N30" i="36"/>
  <c r="V38" i="36"/>
  <c r="N38" i="36"/>
  <c r="AQ23" i="37"/>
  <c r="AI23" i="37"/>
  <c r="AI21" i="37"/>
  <c r="AQ21" i="37"/>
  <c r="AJ36" i="37"/>
  <c r="AB36" i="37"/>
  <c r="N31" i="38"/>
  <c r="V31" i="38"/>
  <c r="AC37" i="39"/>
  <c r="U37" i="39"/>
  <c r="V37" i="39" s="1"/>
  <c r="V25" i="40"/>
  <c r="N25" i="40"/>
  <c r="AJ33" i="41"/>
  <c r="AB33" i="41"/>
  <c r="U25" i="41"/>
  <c r="AC25" i="41"/>
  <c r="AI19" i="41"/>
  <c r="AJ19" i="41" s="1"/>
  <c r="AQ19" i="41"/>
  <c r="AJ21" i="10"/>
  <c r="AB21" i="10"/>
  <c r="AP42" i="13"/>
  <c r="AQ42" i="13" s="1"/>
  <c r="AB32" i="11"/>
  <c r="AJ32" i="11"/>
  <c r="AQ15" i="11"/>
  <c r="AG29" i="11"/>
  <c r="AI15" i="11"/>
  <c r="AJ15" i="11" s="1"/>
  <c r="AJ23" i="10"/>
  <c r="AB23" i="10"/>
  <c r="AC28" i="12"/>
  <c r="U28" i="12"/>
  <c r="AJ45" i="41"/>
  <c r="AB45" i="41"/>
  <c r="AC45" i="41" s="1"/>
  <c r="AP21" i="41"/>
  <c r="AP50" i="41"/>
  <c r="AG29" i="41"/>
  <c r="AI15" i="41"/>
  <c r="AQ27" i="41"/>
  <c r="AI27" i="41"/>
  <c r="O36" i="40"/>
  <c r="L44" i="40"/>
  <c r="U44" i="40" s="1"/>
  <c r="AG44" i="40"/>
  <c r="Z44" i="40"/>
  <c r="AP46" i="39"/>
  <c r="AB30" i="40"/>
  <c r="AJ30" i="40"/>
  <c r="AP19" i="40"/>
  <c r="AQ19" i="40" s="1"/>
  <c r="AQ20" i="39"/>
  <c r="AI20" i="39"/>
  <c r="AB17" i="40"/>
  <c r="AC17" i="40" s="1"/>
  <c r="AJ17" i="40"/>
  <c r="AP38" i="38"/>
  <c r="L29" i="39"/>
  <c r="N15" i="39"/>
  <c r="O15" i="39" s="1"/>
  <c r="V15" i="39"/>
  <c r="V28" i="38"/>
  <c r="N28" i="38"/>
  <c r="O36" i="38"/>
  <c r="AJ18" i="39"/>
  <c r="AB18" i="39"/>
  <c r="AC18" i="39" s="1"/>
  <c r="AC27" i="38"/>
  <c r="U27" i="38"/>
  <c r="AB25" i="37"/>
  <c r="AJ25" i="37"/>
  <c r="AB30" i="37"/>
  <c r="AJ30" i="37"/>
  <c r="V45" i="37"/>
  <c r="N45" i="37"/>
  <c r="O45" i="37" s="1"/>
  <c r="U17" i="37"/>
  <c r="V17" i="37" s="1"/>
  <c r="N37" i="37"/>
  <c r="O37" i="37" s="1"/>
  <c r="AQ35" i="37"/>
  <c r="AI35" i="37"/>
  <c r="V19" i="38"/>
  <c r="N19" i="38"/>
  <c r="O19" i="38" s="1"/>
  <c r="AC35" i="36"/>
  <c r="U35" i="36"/>
  <c r="AB28" i="36"/>
  <c r="AJ28" i="36"/>
  <c r="R44" i="36"/>
  <c r="S44" i="36" s="1"/>
  <c r="R46" i="36"/>
  <c r="S46" i="36" s="1"/>
  <c r="S43" i="36"/>
  <c r="AP15" i="37"/>
  <c r="AQ15" i="37" s="1"/>
  <c r="AN29" i="37"/>
  <c r="V21" i="37"/>
  <c r="U21" i="37"/>
  <c r="N21" i="37"/>
  <c r="O44" i="35"/>
  <c r="AC30" i="36"/>
  <c r="U30" i="36"/>
  <c r="V30" i="36" s="1"/>
  <c r="U43" i="35"/>
  <c r="AC43" i="35"/>
  <c r="AQ20" i="35"/>
  <c r="AI20" i="35"/>
  <c r="O36" i="35"/>
  <c r="AJ36" i="35"/>
  <c r="AB36" i="35"/>
  <c r="AC34" i="37"/>
  <c r="U34" i="37"/>
  <c r="AQ17" i="35"/>
  <c r="AI17" i="35"/>
  <c r="AJ32" i="33"/>
  <c r="AB32" i="33"/>
  <c r="AI18" i="35"/>
  <c r="AQ18" i="35"/>
  <c r="U33" i="33"/>
  <c r="V33" i="33" s="1"/>
  <c r="Z43" i="33"/>
  <c r="U26" i="35"/>
  <c r="AC26" i="35"/>
  <c r="H46" i="34"/>
  <c r="AP24" i="33"/>
  <c r="AN46" i="33"/>
  <c r="AP46" i="33" s="1"/>
  <c r="AQ46" i="33" s="1"/>
  <c r="AC40" i="32"/>
  <c r="U40" i="32"/>
  <c r="AJ21" i="33"/>
  <c r="AB21" i="33"/>
  <c r="L29" i="33"/>
  <c r="N15" i="33"/>
  <c r="O15" i="33" s="1"/>
  <c r="AB34" i="31"/>
  <c r="AJ34" i="31"/>
  <c r="AI36" i="32"/>
  <c r="AJ36" i="32" s="1"/>
  <c r="AQ36" i="32"/>
  <c r="AQ22" i="31"/>
  <c r="AI22" i="31"/>
  <c r="AP31" i="32"/>
  <c r="N45" i="32"/>
  <c r="O45" i="32" s="1"/>
  <c r="V45" i="32"/>
  <c r="U19" i="31"/>
  <c r="V19" i="31" s="1"/>
  <c r="AG44" i="31"/>
  <c r="AP22" i="29"/>
  <c r="AC34" i="32"/>
  <c r="U34" i="32"/>
  <c r="AP24" i="30"/>
  <c r="AP26" i="29"/>
  <c r="AB35" i="31"/>
  <c r="AJ35" i="31"/>
  <c r="AB27" i="31"/>
  <c r="AJ27" i="31"/>
  <c r="AJ18" i="30"/>
  <c r="AB18" i="30"/>
  <c r="AC18" i="30" s="1"/>
  <c r="AP15" i="30"/>
  <c r="AQ15" i="30" s="1"/>
  <c r="AN29" i="30"/>
  <c r="AI20" i="28"/>
  <c r="AQ20" i="28"/>
  <c r="Z44" i="29"/>
  <c r="AI44" i="29" s="1"/>
  <c r="H43" i="29"/>
  <c r="AC25" i="27"/>
  <c r="U25" i="27"/>
  <c r="AI35" i="28"/>
  <c r="AQ35" i="28"/>
  <c r="AP33" i="28"/>
  <c r="N25" i="27"/>
  <c r="V25" i="27"/>
  <c r="AC40" i="28"/>
  <c r="U40" i="28"/>
  <c r="V40" i="28" s="1"/>
  <c r="AB31" i="27"/>
  <c r="AJ31" i="27"/>
  <c r="N33" i="27"/>
  <c r="O33" i="27" s="1"/>
  <c r="V33" i="27"/>
  <c r="AN46" i="29"/>
  <c r="AP46" i="29" s="1"/>
  <c r="AQ46" i="29" s="1"/>
  <c r="AG43" i="29"/>
  <c r="V26" i="28"/>
  <c r="N26" i="28"/>
  <c r="AJ27" i="27"/>
  <c r="AB27" i="27"/>
  <c r="AQ30" i="28"/>
  <c r="AI30" i="28"/>
  <c r="AN44" i="27"/>
  <c r="AP44" i="27" s="1"/>
  <c r="Z34" i="24"/>
  <c r="L44" i="27"/>
  <c r="U44" i="27" s="1"/>
  <c r="N37" i="25"/>
  <c r="V37" i="25"/>
  <c r="L33" i="25"/>
  <c r="AP17" i="25"/>
  <c r="H46" i="26"/>
  <c r="U18" i="26"/>
  <c r="V18" i="26" s="1"/>
  <c r="AC18" i="26"/>
  <c r="AB25" i="25"/>
  <c r="AJ25" i="25"/>
  <c r="AN39" i="24"/>
  <c r="AP39" i="24" s="1"/>
  <c r="AQ39" i="24" s="1"/>
  <c r="AB30" i="27"/>
  <c r="AJ30" i="27"/>
  <c r="N21" i="25"/>
  <c r="N17" i="25"/>
  <c r="S29" i="23"/>
  <c r="U15" i="23"/>
  <c r="V15" i="23" s="1"/>
  <c r="AC15" i="23"/>
  <c r="AG35" i="22"/>
  <c r="AP35" i="22" s="1"/>
  <c r="Z38" i="23"/>
  <c r="H41" i="23"/>
  <c r="AJ48" i="23"/>
  <c r="AB48" i="23"/>
  <c r="AC48" i="23" s="1"/>
  <c r="AP26" i="23"/>
  <c r="U41" i="23"/>
  <c r="V41" i="23" s="1"/>
  <c r="AB36" i="22"/>
  <c r="AC36" i="22" s="1"/>
  <c r="AJ36" i="22"/>
  <c r="AP32" i="20"/>
  <c r="L42" i="21"/>
  <c r="N30" i="23"/>
  <c r="V30" i="23"/>
  <c r="AI18" i="24"/>
  <c r="AQ18" i="24"/>
  <c r="AI47" i="22"/>
  <c r="AJ47" i="22" s="1"/>
  <c r="AQ47" i="22"/>
  <c r="AI22" i="24"/>
  <c r="AQ22" i="24"/>
  <c r="AI47" i="20"/>
  <c r="AJ47" i="20" s="1"/>
  <c r="AQ47" i="20"/>
  <c r="H34" i="20"/>
  <c r="O35" i="19"/>
  <c r="O39" i="20"/>
  <c r="AC31" i="24"/>
  <c r="U31" i="24"/>
  <c r="AQ24" i="21"/>
  <c r="AI24" i="21"/>
  <c r="N25" i="18"/>
  <c r="V25" i="18"/>
  <c r="L42" i="17"/>
  <c r="AG38" i="17"/>
  <c r="N28" i="22"/>
  <c r="V28" i="22"/>
  <c r="AC33" i="22"/>
  <c r="U33" i="22"/>
  <c r="AC48" i="17"/>
  <c r="U48" i="17"/>
  <c r="V48" i="17" s="1"/>
  <c r="O43" i="16"/>
  <c r="AB42" i="16"/>
  <c r="AI46" i="20"/>
  <c r="AJ46" i="20" s="1"/>
  <c r="AP46" i="20"/>
  <c r="AQ46" i="20" s="1"/>
  <c r="N18" i="20"/>
  <c r="V18" i="20"/>
  <c r="Z34" i="18"/>
  <c r="AI34" i="18" s="1"/>
  <c r="AQ28" i="17"/>
  <c r="AI28" i="17"/>
  <c r="L42" i="18"/>
  <c r="AP47" i="18"/>
  <c r="AQ47" i="18" s="1"/>
  <c r="AP43" i="17"/>
  <c r="AC18" i="17"/>
  <c r="U18" i="17"/>
  <c r="V18" i="17" s="1"/>
  <c r="U28" i="15"/>
  <c r="AC28" i="15"/>
  <c r="AQ47" i="13"/>
  <c r="AI47" i="13"/>
  <c r="AJ47" i="13" s="1"/>
  <c r="V20" i="16"/>
  <c r="N20" i="16"/>
  <c r="AP47" i="15"/>
  <c r="AQ47" i="15" s="1"/>
  <c r="AC25" i="18"/>
  <c r="U25" i="18"/>
  <c r="AP47" i="16"/>
  <c r="AQ47" i="16" s="1"/>
  <c r="AN38" i="17"/>
  <c r="AP38" i="17" s="1"/>
  <c r="AB26" i="17"/>
  <c r="AJ26" i="17"/>
  <c r="AP17" i="17"/>
  <c r="N46" i="16"/>
  <c r="O46" i="16" s="1"/>
  <c r="AC30" i="14"/>
  <c r="U30" i="14"/>
  <c r="H38" i="14"/>
  <c r="AC32" i="13"/>
  <c r="U32" i="13"/>
  <c r="V32" i="13" s="1"/>
  <c r="AP27" i="16"/>
  <c r="AP20" i="14"/>
  <c r="AP18" i="12"/>
  <c r="AB32" i="14"/>
  <c r="AJ32" i="14"/>
  <c r="AC27" i="13"/>
  <c r="U27" i="13"/>
  <c r="O43" i="11"/>
  <c r="O45" i="14"/>
  <c r="AP24" i="13"/>
  <c r="AQ19" i="14"/>
  <c r="AI19" i="14"/>
  <c r="AC19" i="11"/>
  <c r="U19" i="11"/>
  <c r="AQ43" i="11"/>
  <c r="AI43" i="11"/>
  <c r="AJ43" i="11" s="1"/>
  <c r="AQ36" i="9"/>
  <c r="AI36" i="9"/>
  <c r="AJ36" i="9" s="1"/>
  <c r="U26" i="10"/>
  <c r="AC26" i="10"/>
  <c r="AP48" i="12"/>
  <c r="AB19" i="9"/>
  <c r="AJ19" i="9"/>
  <c r="V27" i="11"/>
  <c r="N27" i="11"/>
  <c r="AQ48" i="11"/>
  <c r="AI48" i="11"/>
  <c r="AP24" i="10"/>
  <c r="U47" i="11"/>
  <c r="V47" i="11" s="1"/>
  <c r="AC47" i="11"/>
  <c r="U41" i="9"/>
  <c r="AC41" i="9"/>
  <c r="AC38" i="11"/>
  <c r="U38" i="11"/>
  <c r="S29" i="11"/>
  <c r="U15" i="11"/>
  <c r="V15" i="11" s="1"/>
  <c r="AC15" i="11"/>
  <c r="N20" i="10"/>
  <c r="V20" i="10"/>
  <c r="N22" i="9"/>
  <c r="V22" i="9"/>
  <c r="AB39" i="11"/>
  <c r="AC39" i="11" s="1"/>
  <c r="AC47" i="10"/>
  <c r="U47" i="10"/>
  <c r="V47" i="10" s="1"/>
  <c r="AC24" i="13"/>
  <c r="U24" i="13"/>
  <c r="AQ42" i="14"/>
  <c r="AI42" i="14"/>
  <c r="AJ42" i="14" s="1"/>
  <c r="V25" i="14"/>
  <c r="N25" i="14"/>
  <c r="V32" i="12"/>
  <c r="N32" i="12"/>
  <c r="AC19" i="16"/>
  <c r="U19" i="16"/>
  <c r="N30" i="15"/>
  <c r="O30" i="15" s="1"/>
  <c r="U30" i="15"/>
  <c r="V30" i="15" s="1"/>
  <c r="AC30" i="15"/>
  <c r="AQ33" i="16"/>
  <c r="AI33" i="16"/>
  <c r="AP23" i="18"/>
  <c r="AI31" i="19"/>
  <c r="AQ31" i="19"/>
  <c r="N19" i="16"/>
  <c r="V19" i="16"/>
  <c r="AI19" i="16"/>
  <c r="AQ19" i="16"/>
  <c r="AJ22" i="17"/>
  <c r="AB22" i="17"/>
  <c r="N24" i="18"/>
  <c r="V24" i="18"/>
  <c r="AC34" i="19"/>
  <c r="U34" i="19"/>
  <c r="V34" i="19" s="1"/>
  <c r="AI22" i="18"/>
  <c r="AQ22" i="18"/>
  <c r="U34" i="20"/>
  <c r="V34" i="20" s="1"/>
  <c r="AJ43" i="19"/>
  <c r="AB43" i="19"/>
  <c r="AC43" i="19" s="1"/>
  <c r="AC26" i="20"/>
  <c r="U26" i="20"/>
  <c r="U38" i="21"/>
  <c r="AC38" i="21"/>
  <c r="AB21" i="22"/>
  <c r="AJ21" i="22"/>
  <c r="AP36" i="24"/>
  <c r="AQ36" i="24" s="1"/>
  <c r="AQ43" i="23"/>
  <c r="AI43" i="23"/>
  <c r="AJ43" i="23" s="1"/>
  <c r="N19" i="23"/>
  <c r="O19" i="23" s="1"/>
  <c r="V19" i="23"/>
  <c r="AP27" i="23"/>
  <c r="V25" i="26"/>
  <c r="N25" i="26"/>
  <c r="N35" i="25"/>
  <c r="V35" i="25"/>
  <c r="V31" i="25"/>
  <c r="N31" i="25"/>
  <c r="L29" i="27"/>
  <c r="V15" i="27"/>
  <c r="N15" i="27"/>
  <c r="O15" i="27" s="1"/>
  <c r="AI26" i="26"/>
  <c r="AQ26" i="26"/>
  <c r="AJ24" i="27"/>
  <c r="AB24" i="27"/>
  <c r="AG31" i="27"/>
  <c r="N22" i="3"/>
  <c r="AB43" i="27"/>
  <c r="AJ43" i="27"/>
  <c r="O32" i="29"/>
  <c r="AQ19" i="28"/>
  <c r="AI19" i="28"/>
  <c r="AJ19" i="28" s="1"/>
  <c r="AP45" i="29"/>
  <c r="AQ45" i="29" s="1"/>
  <c r="AB30" i="30"/>
  <c r="AJ30" i="30"/>
  <c r="AC19" i="32"/>
  <c r="U19" i="32"/>
  <c r="V19" i="32" s="1"/>
  <c r="AB32" i="31"/>
  <c r="AJ32" i="31"/>
  <c r="V28" i="32"/>
  <c r="N28" i="32"/>
  <c r="AJ30" i="32"/>
  <c r="AB30" i="32"/>
  <c r="G27" i="3" s="1"/>
  <c r="G28" i="3" s="1"/>
  <c r="G26" i="3"/>
  <c r="AJ30" i="33"/>
  <c r="AB30" i="33"/>
  <c r="V41" i="37"/>
  <c r="N41" i="37"/>
  <c r="O41" i="37" s="1"/>
  <c r="AI22" i="36"/>
  <c r="AQ22" i="36"/>
  <c r="N28" i="35"/>
  <c r="V28" i="35"/>
  <c r="AP38" i="36"/>
  <c r="V33" i="37"/>
  <c r="N33" i="37"/>
  <c r="N24" i="37"/>
  <c r="V24" i="37"/>
  <c r="AJ23" i="37"/>
  <c r="AB23" i="37"/>
  <c r="AQ31" i="38"/>
  <c r="AI31" i="38"/>
  <c r="N45" i="39"/>
  <c r="O45" i="39" s="1"/>
  <c r="V45" i="39"/>
  <c r="AI24" i="40"/>
  <c r="AQ24" i="40"/>
  <c r="V34" i="39"/>
  <c r="N34" i="39"/>
  <c r="S46" i="40"/>
  <c r="AB46" i="40" s="1"/>
  <c r="Q37" i="40"/>
  <c r="S37" i="40" s="1"/>
  <c r="V34" i="41"/>
  <c r="N34" i="41"/>
  <c r="AP39" i="11"/>
  <c r="AP20" i="12"/>
  <c r="O15" i="11"/>
  <c r="H29" i="11"/>
  <c r="AI22" i="10"/>
  <c r="AQ22" i="10"/>
  <c r="V28" i="9"/>
  <c r="N28" i="9"/>
  <c r="AI21" i="12"/>
  <c r="AQ21" i="12"/>
  <c r="AP17" i="10"/>
  <c r="AJ22" i="9"/>
  <c r="AB22" i="9"/>
  <c r="N18" i="10"/>
  <c r="V18" i="10"/>
  <c r="AP25" i="11"/>
  <c r="AC28" i="9"/>
  <c r="U28" i="9"/>
  <c r="AB43" i="9"/>
  <c r="AC43" i="9" s="1"/>
  <c r="AB17" i="13"/>
  <c r="AJ17" i="13"/>
  <c r="AP16" i="9"/>
  <c r="U20" i="12"/>
  <c r="AC20" i="12"/>
  <c r="AB28" i="11"/>
  <c r="AJ28" i="11"/>
  <c r="AP24" i="9"/>
  <c r="AP24" i="11"/>
  <c r="AC17" i="10"/>
  <c r="U17" i="10"/>
  <c r="AB21" i="9"/>
  <c r="AJ21" i="9"/>
  <c r="AQ18" i="10"/>
  <c r="AI18" i="10"/>
  <c r="V17" i="13"/>
  <c r="N17" i="13"/>
  <c r="AI16" i="9"/>
  <c r="AQ16" i="9"/>
  <c r="V25" i="10"/>
  <c r="N25" i="10"/>
  <c r="U18" i="10"/>
  <c r="AP23" i="9"/>
  <c r="AC26" i="9"/>
  <c r="U26" i="9"/>
  <c r="AQ17" i="13"/>
  <c r="AI17" i="13"/>
  <c r="AC43" i="10"/>
  <c r="U43" i="10"/>
  <c r="V43" i="10" s="1"/>
  <c r="V42" i="9"/>
  <c r="N42" i="9"/>
  <c r="O42" i="9" s="1"/>
  <c r="W12" i="3" l="1"/>
  <c r="X11" i="3"/>
  <c r="X21" i="3"/>
  <c r="N46" i="27"/>
  <c r="O46" i="27" s="1"/>
  <c r="N43" i="31"/>
  <c r="O43" i="31" s="1"/>
  <c r="V33" i="3"/>
  <c r="R35" i="3"/>
  <c r="L35" i="3"/>
  <c r="S35" i="3" s="1"/>
  <c r="AC34" i="3" s="1"/>
  <c r="S33" i="3"/>
  <c r="W34" i="3" s="1"/>
  <c r="Z34" i="3" s="1"/>
  <c r="X34" i="3"/>
  <c r="AA34" i="3" s="1"/>
  <c r="L10" i="3"/>
  <c r="X9" i="3"/>
  <c r="AA9" i="3" s="1"/>
  <c r="H37" i="24"/>
  <c r="H39" i="32"/>
  <c r="L29" i="25"/>
  <c r="U29" i="25" s="1"/>
  <c r="N29" i="13"/>
  <c r="L37" i="13"/>
  <c r="AI46" i="28"/>
  <c r="AJ46" i="28" s="1"/>
  <c r="AQ46" i="28"/>
  <c r="AI29" i="15"/>
  <c r="H7" i="3" s="1"/>
  <c r="AG37" i="15"/>
  <c r="H6" i="3"/>
  <c r="F9" i="1"/>
  <c r="AI29" i="12"/>
  <c r="AG37" i="12"/>
  <c r="I33" i="3"/>
  <c r="Z37" i="20"/>
  <c r="AB29" i="20"/>
  <c r="G17" i="3" s="1"/>
  <c r="G18" i="3" s="1"/>
  <c r="G16" i="3"/>
  <c r="E15" i="1"/>
  <c r="N43" i="36"/>
  <c r="U46" i="39"/>
  <c r="AB40" i="41"/>
  <c r="AC40" i="41" s="1"/>
  <c r="AJ40" i="41"/>
  <c r="T27" i="3"/>
  <c r="U27" i="3" s="1"/>
  <c r="H28" i="3"/>
  <c r="U29" i="33"/>
  <c r="V29" i="33" s="1"/>
  <c r="S39" i="33"/>
  <c r="E33" i="3"/>
  <c r="O37" i="38"/>
  <c r="Z39" i="28"/>
  <c r="AJ29" i="28"/>
  <c r="AB29" i="28"/>
  <c r="U32" i="3"/>
  <c r="T32" i="3"/>
  <c r="H33" i="3"/>
  <c r="N43" i="29"/>
  <c r="V43" i="29"/>
  <c r="AP29" i="19"/>
  <c r="AN37" i="19"/>
  <c r="AN39" i="34"/>
  <c r="AP29" i="34"/>
  <c r="G33" i="1"/>
  <c r="AI31" i="27"/>
  <c r="AQ31" i="27"/>
  <c r="N23" i="3"/>
  <c r="N25" i="3" s="1"/>
  <c r="AP29" i="30"/>
  <c r="AN39" i="30"/>
  <c r="AQ38" i="17"/>
  <c r="AI38" i="17"/>
  <c r="AJ38" i="17" s="1"/>
  <c r="H37" i="9"/>
  <c r="O39" i="10"/>
  <c r="AI37" i="40"/>
  <c r="AJ37" i="40" s="1"/>
  <c r="AQ37" i="40"/>
  <c r="N9" i="3"/>
  <c r="S9" i="3" s="1"/>
  <c r="S7" i="3"/>
  <c r="AI37" i="38"/>
  <c r="AG39" i="25"/>
  <c r="AI29" i="25"/>
  <c r="L39" i="41"/>
  <c r="N29" i="41"/>
  <c r="O29" i="41" s="1"/>
  <c r="C51" i="1"/>
  <c r="AB29" i="22"/>
  <c r="Z37" i="22"/>
  <c r="U44" i="26"/>
  <c r="V44" i="26" s="1"/>
  <c r="N29" i="38"/>
  <c r="L39" i="38"/>
  <c r="AB29" i="35"/>
  <c r="Z39" i="35"/>
  <c r="AJ29" i="35"/>
  <c r="H39" i="41"/>
  <c r="B51" i="1"/>
  <c r="H39" i="26"/>
  <c r="O29" i="26"/>
  <c r="B21" i="1"/>
  <c r="H37" i="10"/>
  <c r="N44" i="36"/>
  <c r="Z37" i="18"/>
  <c r="AJ29" i="18"/>
  <c r="AB29" i="18"/>
  <c r="AP29" i="10"/>
  <c r="AN37" i="10"/>
  <c r="H39" i="34"/>
  <c r="O29" i="34"/>
  <c r="B33" i="1"/>
  <c r="AQ44" i="36"/>
  <c r="AI44" i="36"/>
  <c r="AJ44" i="36" s="1"/>
  <c r="H37" i="16"/>
  <c r="H37" i="15"/>
  <c r="B9" i="1"/>
  <c r="B66" i="1" s="1"/>
  <c r="B86" i="1" s="1"/>
  <c r="B85" i="1" s="1"/>
  <c r="D6" i="3"/>
  <c r="AP43" i="40"/>
  <c r="AQ43" i="40" s="1"/>
  <c r="N34" i="18"/>
  <c r="O34" i="18" s="1"/>
  <c r="V34" i="18"/>
  <c r="AG39" i="33"/>
  <c r="AQ29" i="33"/>
  <c r="AI29" i="33"/>
  <c r="AJ29" i="33" s="1"/>
  <c r="Z39" i="27"/>
  <c r="AB29" i="27"/>
  <c r="G22" i="3" s="1"/>
  <c r="G23" i="3" s="1"/>
  <c r="G21" i="3"/>
  <c r="AB39" i="18"/>
  <c r="AC39" i="18" s="1"/>
  <c r="U43" i="25"/>
  <c r="AN39" i="27"/>
  <c r="I21" i="3"/>
  <c r="AI46" i="40"/>
  <c r="AJ46" i="40" s="1"/>
  <c r="AI35" i="27"/>
  <c r="AQ35" i="27"/>
  <c r="P23" i="3"/>
  <c r="P25" i="3" s="1"/>
  <c r="AI31" i="15"/>
  <c r="AQ31" i="15"/>
  <c r="N8" i="3"/>
  <c r="N10" i="3" s="1"/>
  <c r="AI29" i="21"/>
  <c r="AG37" i="21"/>
  <c r="AQ29" i="21"/>
  <c r="AC43" i="26"/>
  <c r="U43" i="26"/>
  <c r="V43" i="26" s="1"/>
  <c r="AI46" i="38"/>
  <c r="Z39" i="40"/>
  <c r="AB29" i="40"/>
  <c r="AG39" i="26"/>
  <c r="AI29" i="26"/>
  <c r="F21" i="1"/>
  <c r="F22" i="1" s="1"/>
  <c r="F23" i="1" s="1"/>
  <c r="AQ43" i="35"/>
  <c r="AI43" i="35"/>
  <c r="AJ43" i="35" s="1"/>
  <c r="AI38" i="16"/>
  <c r="AJ38" i="16" s="1"/>
  <c r="U29" i="20"/>
  <c r="F17" i="3" s="1"/>
  <c r="F18" i="3" s="1"/>
  <c r="S37" i="20"/>
  <c r="F16" i="3"/>
  <c r="D15" i="1"/>
  <c r="Z37" i="21"/>
  <c r="AB29" i="21"/>
  <c r="AC29" i="21" s="1"/>
  <c r="AJ29" i="21"/>
  <c r="Z37" i="24"/>
  <c r="AB29" i="24"/>
  <c r="Z39" i="32"/>
  <c r="AB29" i="32"/>
  <c r="AG37" i="17"/>
  <c r="AI29" i="17"/>
  <c r="S37" i="24"/>
  <c r="AC29" i="24"/>
  <c r="U29" i="24"/>
  <c r="V29" i="24" s="1"/>
  <c r="AI46" i="39"/>
  <c r="AJ46" i="39" s="1"/>
  <c r="AQ46" i="39"/>
  <c r="O44" i="39"/>
  <c r="V29" i="31"/>
  <c r="L39" i="31"/>
  <c r="N29" i="31"/>
  <c r="C27" i="1"/>
  <c r="AB46" i="29"/>
  <c r="AC46" i="29" s="1"/>
  <c r="S39" i="29"/>
  <c r="U29" i="29"/>
  <c r="V29" i="29" s="1"/>
  <c r="L39" i="29"/>
  <c r="N29" i="29"/>
  <c r="V46" i="29"/>
  <c r="N46" i="29"/>
  <c r="O46" i="29" s="1"/>
  <c r="S37" i="9"/>
  <c r="U29" i="9"/>
  <c r="AB35" i="16"/>
  <c r="AC35" i="16" s="1"/>
  <c r="AB44" i="26"/>
  <c r="AC44" i="26" s="1"/>
  <c r="AJ44" i="26"/>
  <c r="AI29" i="28"/>
  <c r="AG39" i="28"/>
  <c r="L39" i="40"/>
  <c r="N29" i="40"/>
  <c r="AP39" i="17"/>
  <c r="N29" i="37"/>
  <c r="O29" i="37" s="1"/>
  <c r="L39" i="37"/>
  <c r="C39" i="1"/>
  <c r="H37" i="23"/>
  <c r="AI35" i="16"/>
  <c r="AJ35" i="16" s="1"/>
  <c r="AI29" i="23"/>
  <c r="AG37" i="23"/>
  <c r="AG39" i="35"/>
  <c r="AI29" i="35"/>
  <c r="N43" i="37"/>
  <c r="O43" i="37" s="1"/>
  <c r="AG39" i="34"/>
  <c r="AI29" i="34"/>
  <c r="AQ29" i="34"/>
  <c r="F33" i="1"/>
  <c r="F34" i="1" s="1"/>
  <c r="F35" i="1" s="1"/>
  <c r="O43" i="36"/>
  <c r="AB44" i="30"/>
  <c r="AC44" i="30" s="1"/>
  <c r="AJ44" i="30"/>
  <c r="H39" i="30"/>
  <c r="U37" i="40"/>
  <c r="V37" i="40" s="1"/>
  <c r="N42" i="17"/>
  <c r="O42" i="17" s="1"/>
  <c r="AP29" i="37"/>
  <c r="AN39" i="37"/>
  <c r="G39" i="1"/>
  <c r="AP29" i="16"/>
  <c r="AN37" i="16"/>
  <c r="V44" i="30"/>
  <c r="N44" i="30"/>
  <c r="O44" i="30" s="1"/>
  <c r="N29" i="21"/>
  <c r="O29" i="21" s="1"/>
  <c r="L37" i="21"/>
  <c r="AI44" i="35"/>
  <c r="AJ44" i="35" s="1"/>
  <c r="AQ44" i="35"/>
  <c r="AP44" i="40"/>
  <c r="AG39" i="38"/>
  <c r="AI29" i="38"/>
  <c r="AB43" i="41"/>
  <c r="AC43" i="41" s="1"/>
  <c r="Z39" i="26"/>
  <c r="AB29" i="26"/>
  <c r="AC29" i="26" s="1"/>
  <c r="AJ29" i="26"/>
  <c r="E21" i="1"/>
  <c r="U29" i="17"/>
  <c r="S37" i="17"/>
  <c r="AP46" i="28"/>
  <c r="AI43" i="41"/>
  <c r="AJ43" i="41" s="1"/>
  <c r="AB41" i="18"/>
  <c r="AC41" i="18" s="1"/>
  <c r="AI32" i="27"/>
  <c r="AQ32" i="27"/>
  <c r="O23" i="3"/>
  <c r="O29" i="38"/>
  <c r="H39" i="38"/>
  <c r="N39" i="10"/>
  <c r="U34" i="15"/>
  <c r="V34" i="15" s="1"/>
  <c r="AC34" i="15"/>
  <c r="G82" i="1"/>
  <c r="G83" i="1" s="1"/>
  <c r="Z39" i="36"/>
  <c r="AB29" i="36"/>
  <c r="AC29" i="14"/>
  <c r="S37" i="14"/>
  <c r="U29" i="14"/>
  <c r="AI44" i="27"/>
  <c r="AJ44" i="27" s="1"/>
  <c r="AQ44" i="27"/>
  <c r="AN39" i="32"/>
  <c r="AP29" i="32"/>
  <c r="AI41" i="18"/>
  <c r="AJ41" i="18" s="1"/>
  <c r="AN37" i="21"/>
  <c r="AP29" i="21"/>
  <c r="N32" i="25"/>
  <c r="Z39" i="30"/>
  <c r="AJ29" i="30"/>
  <c r="AB29" i="30"/>
  <c r="N43" i="40"/>
  <c r="O43" i="40" s="1"/>
  <c r="V43" i="40"/>
  <c r="U29" i="16"/>
  <c r="V29" i="16" s="1"/>
  <c r="S37" i="16"/>
  <c r="L39" i="34"/>
  <c r="N29" i="34"/>
  <c r="C33" i="1"/>
  <c r="C34" i="1" s="1"/>
  <c r="C35" i="1" s="1"/>
  <c r="H39" i="39"/>
  <c r="B45" i="1"/>
  <c r="N42" i="12"/>
  <c r="O42" i="12" s="1"/>
  <c r="U46" i="27"/>
  <c r="V46" i="27" s="1"/>
  <c r="AN39" i="40"/>
  <c r="AP29" i="40"/>
  <c r="AP29" i="39"/>
  <c r="AN39" i="39"/>
  <c r="G45" i="1"/>
  <c r="AN37" i="13"/>
  <c r="AP29" i="13"/>
  <c r="AQ29" i="22"/>
  <c r="AG37" i="22"/>
  <c r="AI29" i="22"/>
  <c r="AJ29" i="22" s="1"/>
  <c r="O34" i="20"/>
  <c r="AC29" i="18"/>
  <c r="S37" i="18"/>
  <c r="U29" i="18"/>
  <c r="AI29" i="18"/>
  <c r="AG37" i="18"/>
  <c r="AI43" i="34"/>
  <c r="AJ43" i="34" s="1"/>
  <c r="AQ43" i="34"/>
  <c r="N29" i="26"/>
  <c r="L39" i="26"/>
  <c r="C21" i="1"/>
  <c r="C22" i="1" s="1"/>
  <c r="C23" i="1" s="1"/>
  <c r="V29" i="28"/>
  <c r="N29" i="28"/>
  <c r="L39" i="28"/>
  <c r="N34" i="20"/>
  <c r="N29" i="11"/>
  <c r="L37" i="11"/>
  <c r="V29" i="11"/>
  <c r="T31" i="3"/>
  <c r="U31" i="3" s="1"/>
  <c r="AG37" i="20"/>
  <c r="AI29" i="20"/>
  <c r="H17" i="3" s="1"/>
  <c r="F15" i="1"/>
  <c r="H16" i="3"/>
  <c r="AI35" i="22"/>
  <c r="AJ35" i="22" s="1"/>
  <c r="AQ35" i="22"/>
  <c r="AB43" i="33"/>
  <c r="AC43" i="33" s="1"/>
  <c r="AI38" i="13"/>
  <c r="AJ38" i="13" s="1"/>
  <c r="U46" i="40"/>
  <c r="V46" i="40" s="1"/>
  <c r="AC46" i="40"/>
  <c r="AC29" i="23"/>
  <c r="U29" i="23"/>
  <c r="S37" i="23"/>
  <c r="O38" i="14"/>
  <c r="V33" i="25"/>
  <c r="N33" i="25"/>
  <c r="O33" i="25" s="1"/>
  <c r="U43" i="36"/>
  <c r="V43" i="36" s="1"/>
  <c r="AC43" i="36"/>
  <c r="AB29" i="19"/>
  <c r="Z37" i="19"/>
  <c r="AJ29" i="19"/>
  <c r="AQ39" i="17"/>
  <c r="AI39" i="17"/>
  <c r="AJ39" i="17" s="1"/>
  <c r="U33" i="25"/>
  <c r="S39" i="26"/>
  <c r="U29" i="26"/>
  <c r="V29" i="26" s="1"/>
  <c r="D21" i="1"/>
  <c r="D22" i="1" s="1"/>
  <c r="D23" i="1" s="1"/>
  <c r="AE59" i="22"/>
  <c r="AL53" i="22"/>
  <c r="S39" i="27"/>
  <c r="AC29" i="27"/>
  <c r="U29" i="27"/>
  <c r="F22" i="3" s="1"/>
  <c r="F21" i="3"/>
  <c r="AG37" i="16"/>
  <c r="AI29" i="16"/>
  <c r="AQ29" i="16"/>
  <c r="I28" i="3"/>
  <c r="AJ29" i="34"/>
  <c r="Z39" i="34"/>
  <c r="AB29" i="34"/>
  <c r="AC29" i="34" s="1"/>
  <c r="E33" i="1"/>
  <c r="V29" i="19"/>
  <c r="L37" i="19"/>
  <c r="N29" i="19"/>
  <c r="O29" i="19" s="1"/>
  <c r="AQ46" i="35"/>
  <c r="AI46" i="35"/>
  <c r="AJ46" i="35" s="1"/>
  <c r="N44" i="39"/>
  <c r="AC29" i="35"/>
  <c r="U29" i="35"/>
  <c r="V29" i="35" s="1"/>
  <c r="S39" i="35"/>
  <c r="C82" i="1"/>
  <c r="C83" i="1" s="1"/>
  <c r="AQ39" i="12"/>
  <c r="AI39" i="12"/>
  <c r="AJ39" i="12" s="1"/>
  <c r="H39" i="37"/>
  <c r="B39" i="1"/>
  <c r="Z39" i="33"/>
  <c r="AB29" i="33"/>
  <c r="AC29" i="33" s="1"/>
  <c r="U39" i="15"/>
  <c r="V39" i="15" s="1"/>
  <c r="AC39" i="15"/>
  <c r="AG39" i="30"/>
  <c r="AQ29" i="30"/>
  <c r="AI29" i="30"/>
  <c r="R25" i="3"/>
  <c r="V23" i="3"/>
  <c r="F33" i="3"/>
  <c r="AP29" i="36"/>
  <c r="AN39" i="36"/>
  <c r="O29" i="35"/>
  <c r="H39" i="35"/>
  <c r="H37" i="18"/>
  <c r="R20" i="3"/>
  <c r="V18" i="3"/>
  <c r="AB46" i="36"/>
  <c r="AC46" i="36" s="1"/>
  <c r="AJ46" i="36"/>
  <c r="U29" i="31"/>
  <c r="S39" i="31"/>
  <c r="D27" i="1"/>
  <c r="D28" i="1" s="1"/>
  <c r="D29" i="1" s="1"/>
  <c r="D82" i="1"/>
  <c r="D83" i="1" s="1"/>
  <c r="AP46" i="38"/>
  <c r="AQ46" i="38" s="1"/>
  <c r="AB39" i="9"/>
  <c r="AJ39" i="9"/>
  <c r="H39" i="40"/>
  <c r="O29" i="40"/>
  <c r="Z39" i="29"/>
  <c r="AB29" i="29"/>
  <c r="AC29" i="29" s="1"/>
  <c r="AN29" i="25"/>
  <c r="V41" i="22"/>
  <c r="N41" i="22"/>
  <c r="O41" i="22" s="1"/>
  <c r="F28" i="3"/>
  <c r="S37" i="13"/>
  <c r="U29" i="13"/>
  <c r="V29" i="13" s="1"/>
  <c r="AG39" i="36"/>
  <c r="AQ29" i="36"/>
  <c r="AI29" i="36"/>
  <c r="AJ29" i="36" s="1"/>
  <c r="N46" i="36"/>
  <c r="V46" i="36"/>
  <c r="AI44" i="31"/>
  <c r="AJ44" i="31" s="1"/>
  <c r="AQ44" i="31"/>
  <c r="O46" i="26"/>
  <c r="AQ29" i="11"/>
  <c r="AG37" i="11"/>
  <c r="AI29" i="11"/>
  <c r="O42" i="11"/>
  <c r="N29" i="33"/>
  <c r="L39" i="33"/>
  <c r="AI29" i="41"/>
  <c r="AG39" i="41"/>
  <c r="F51" i="1"/>
  <c r="F52" i="1" s="1"/>
  <c r="F53" i="1" s="1"/>
  <c r="AC32" i="25"/>
  <c r="U32" i="25"/>
  <c r="V32" i="25" s="1"/>
  <c r="U37" i="25"/>
  <c r="AC37" i="25"/>
  <c r="AI43" i="29"/>
  <c r="AJ43" i="29" s="1"/>
  <c r="AQ43" i="29"/>
  <c r="U46" i="36"/>
  <c r="N29" i="20"/>
  <c r="E17" i="3" s="1"/>
  <c r="L37" i="20"/>
  <c r="V29" i="20"/>
  <c r="E16" i="3"/>
  <c r="C15" i="1"/>
  <c r="N39" i="21"/>
  <c r="O39" i="21" s="1"/>
  <c r="AB37" i="25"/>
  <c r="U42" i="17"/>
  <c r="V42" i="17" s="1"/>
  <c r="AN37" i="12"/>
  <c r="AP29" i="12"/>
  <c r="AQ29" i="12" s="1"/>
  <c r="H39" i="31"/>
  <c r="O29" i="31"/>
  <c r="B27" i="1"/>
  <c r="S39" i="25"/>
  <c r="AI20" i="32"/>
  <c r="AQ20" i="32"/>
  <c r="U29" i="10"/>
  <c r="S37" i="10"/>
  <c r="U42" i="15"/>
  <c r="V42" i="15" s="1"/>
  <c r="AC42" i="15"/>
  <c r="AP38" i="16"/>
  <c r="AQ38" i="16" s="1"/>
  <c r="L37" i="15"/>
  <c r="N29" i="15"/>
  <c r="E7" i="3" s="1"/>
  <c r="E8" i="3" s="1"/>
  <c r="V29" i="15"/>
  <c r="C9" i="1"/>
  <c r="E6" i="3"/>
  <c r="L39" i="30"/>
  <c r="N29" i="30"/>
  <c r="O29" i="30" s="1"/>
  <c r="S39" i="37"/>
  <c r="U29" i="37"/>
  <c r="V29" i="37" s="1"/>
  <c r="D39" i="1"/>
  <c r="U29" i="22"/>
  <c r="AC29" i="22"/>
  <c r="S37" i="22"/>
  <c r="AQ43" i="31"/>
  <c r="AI43" i="31"/>
  <c r="AJ43" i="31" s="1"/>
  <c r="AN37" i="15"/>
  <c r="AP29" i="15"/>
  <c r="I7" i="3" s="1"/>
  <c r="I8" i="3" s="1"/>
  <c r="I6" i="3"/>
  <c r="G9" i="1"/>
  <c r="AJ29" i="10"/>
  <c r="AB29" i="10"/>
  <c r="AC29" i="10" s="1"/>
  <c r="Z37" i="10"/>
  <c r="Z37" i="9"/>
  <c r="AB29" i="9"/>
  <c r="AC29" i="9" s="1"/>
  <c r="X19" i="3"/>
  <c r="L20" i="3"/>
  <c r="S20" i="3" s="1"/>
  <c r="AC19" i="3" s="1"/>
  <c r="S18" i="3"/>
  <c r="AB33" i="25"/>
  <c r="AC33" i="25" s="1"/>
  <c r="O38" i="18"/>
  <c r="AJ29" i="25"/>
  <c r="AB29" i="25"/>
  <c r="AC29" i="25" s="1"/>
  <c r="Z39" i="25"/>
  <c r="AB44" i="34"/>
  <c r="AC44" i="34" s="1"/>
  <c r="AI43" i="33"/>
  <c r="AJ43" i="33" s="1"/>
  <c r="N29" i="9"/>
  <c r="O29" i="9" s="1"/>
  <c r="L37" i="9"/>
  <c r="V29" i="9"/>
  <c r="AN37" i="17"/>
  <c r="AP29" i="17"/>
  <c r="AQ29" i="17" s="1"/>
  <c r="N29" i="22"/>
  <c r="V29" i="22"/>
  <c r="L37" i="22"/>
  <c r="AI29" i="14"/>
  <c r="AG37" i="14"/>
  <c r="AJ29" i="14"/>
  <c r="AB29" i="14"/>
  <c r="Z37" i="14"/>
  <c r="N43" i="25"/>
  <c r="O43" i="25" s="1"/>
  <c r="V43" i="25"/>
  <c r="AI32" i="15"/>
  <c r="AQ32" i="15"/>
  <c r="O8" i="3"/>
  <c r="S8" i="3" s="1"/>
  <c r="W9" i="3" s="1"/>
  <c r="Z9" i="3" s="1"/>
  <c r="T26" i="3"/>
  <c r="U26" i="3" s="1"/>
  <c r="AB29" i="31"/>
  <c r="AC29" i="31" s="1"/>
  <c r="Z39" i="31"/>
  <c r="AJ29" i="31"/>
  <c r="E27" i="1"/>
  <c r="E28" i="1" s="1"/>
  <c r="E29" i="1" s="1"/>
  <c r="U29" i="11"/>
  <c r="S37" i="11"/>
  <c r="V42" i="21"/>
  <c r="N42" i="21"/>
  <c r="O42" i="21" s="1"/>
  <c r="V29" i="27"/>
  <c r="N29" i="27"/>
  <c r="E22" i="3" s="1"/>
  <c r="E23" i="3" s="1"/>
  <c r="L39" i="27"/>
  <c r="E21" i="3"/>
  <c r="AC44" i="36"/>
  <c r="U44" i="36"/>
  <c r="V44" i="36" s="1"/>
  <c r="AJ41" i="16"/>
  <c r="AB41" i="16"/>
  <c r="AC41" i="16" s="1"/>
  <c r="AI41" i="21"/>
  <c r="AJ41" i="21" s="1"/>
  <c r="AQ41" i="21"/>
  <c r="U35" i="22"/>
  <c r="V35" i="22" s="1"/>
  <c r="AC35" i="22"/>
  <c r="AB35" i="22"/>
  <c r="L37" i="16"/>
  <c r="N29" i="16"/>
  <c r="O29" i="16" s="1"/>
  <c r="AP32" i="15"/>
  <c r="AP44" i="31"/>
  <c r="N46" i="34"/>
  <c r="V46" i="34"/>
  <c r="W27" i="3"/>
  <c r="X26" i="3"/>
  <c r="U29" i="12"/>
  <c r="S37" i="12"/>
  <c r="AP43" i="25"/>
  <c r="AQ43" i="25" s="1"/>
  <c r="U29" i="32"/>
  <c r="V29" i="32" s="1"/>
  <c r="S39" i="32"/>
  <c r="AC29" i="32"/>
  <c r="AJ29" i="38"/>
  <c r="Z39" i="38"/>
  <c r="AB29" i="38"/>
  <c r="AC29" i="38" s="1"/>
  <c r="V46" i="39"/>
  <c r="N46" i="39"/>
  <c r="Z37" i="13"/>
  <c r="AB29" i="13"/>
  <c r="AC29" i="13" s="1"/>
  <c r="N29" i="35"/>
  <c r="L39" i="35"/>
  <c r="V43" i="30"/>
  <c r="N43" i="30"/>
  <c r="O43" i="30" s="1"/>
  <c r="H37" i="14"/>
  <c r="AJ43" i="25"/>
  <c r="AB43" i="25"/>
  <c r="AC43" i="25" s="1"/>
  <c r="O44" i="25"/>
  <c r="O44" i="32"/>
  <c r="AQ46" i="36"/>
  <c r="AI46" i="36"/>
  <c r="AQ19" i="27"/>
  <c r="AI19" i="27"/>
  <c r="AJ19" i="27" s="1"/>
  <c r="H37" i="21"/>
  <c r="O44" i="41"/>
  <c r="L37" i="17"/>
  <c r="N29" i="17"/>
  <c r="V29" i="17"/>
  <c r="AQ46" i="26"/>
  <c r="AI46" i="26"/>
  <c r="AJ46" i="26" s="1"/>
  <c r="L39" i="36"/>
  <c r="N29" i="36"/>
  <c r="H39" i="27"/>
  <c r="O29" i="27"/>
  <c r="D21" i="3"/>
  <c r="H39" i="25"/>
  <c r="L37" i="10"/>
  <c r="N29" i="10"/>
  <c r="O29" i="10" s="1"/>
  <c r="V29" i="10"/>
  <c r="AP29" i="18"/>
  <c r="AQ29" i="18" s="1"/>
  <c r="AN37" i="18"/>
  <c r="AB29" i="11"/>
  <c r="AC29" i="11" s="1"/>
  <c r="Z37" i="11"/>
  <c r="AJ29" i="11"/>
  <c r="N42" i="18"/>
  <c r="O42" i="18" s="1"/>
  <c r="AQ39" i="11"/>
  <c r="AI39" i="11"/>
  <c r="AJ39" i="11" s="1"/>
  <c r="V35" i="23"/>
  <c r="N35" i="23"/>
  <c r="O35" i="23" s="1"/>
  <c r="U35" i="23"/>
  <c r="H37" i="19"/>
  <c r="U29" i="34"/>
  <c r="V29" i="34" s="1"/>
  <c r="S39" i="34"/>
  <c r="D33" i="1"/>
  <c r="D34" i="1" s="1"/>
  <c r="D35" i="1" s="1"/>
  <c r="N44" i="34"/>
  <c r="O44" i="34" s="1"/>
  <c r="O38" i="16"/>
  <c r="L37" i="18"/>
  <c r="N29" i="18"/>
  <c r="O29" i="18" s="1"/>
  <c r="V29" i="18"/>
  <c r="L39" i="32"/>
  <c r="N29" i="32"/>
  <c r="O29" i="32" s="1"/>
  <c r="W32" i="3"/>
  <c r="X31" i="3"/>
  <c r="H37" i="20"/>
  <c r="O29" i="20"/>
  <c r="B15" i="1"/>
  <c r="B71" i="1" s="1"/>
  <c r="D16" i="3"/>
  <c r="AP43" i="26"/>
  <c r="AQ43" i="26" s="1"/>
  <c r="AB44" i="36"/>
  <c r="AN39" i="35"/>
  <c r="AP29" i="35"/>
  <c r="AQ29" i="35" s="1"/>
  <c r="S37" i="19"/>
  <c r="U29" i="19"/>
  <c r="AC29" i="19"/>
  <c r="U39" i="9"/>
  <c r="V39" i="9" s="1"/>
  <c r="AC39" i="9"/>
  <c r="S37" i="21"/>
  <c r="U29" i="21"/>
  <c r="V29" i="21" s="1"/>
  <c r="S37" i="15"/>
  <c r="U29" i="15"/>
  <c r="F7" i="3" s="1"/>
  <c r="F6" i="3"/>
  <c r="D9" i="1"/>
  <c r="L37" i="24"/>
  <c r="N29" i="24"/>
  <c r="O29" i="24" s="1"/>
  <c r="AI46" i="29"/>
  <c r="AJ46" i="29" s="1"/>
  <c r="E28" i="3"/>
  <c r="AQ29" i="13"/>
  <c r="AI29" i="13"/>
  <c r="AJ29" i="13" s="1"/>
  <c r="AG37" i="13"/>
  <c r="AG39" i="31"/>
  <c r="AI29" i="31"/>
  <c r="F27" i="1"/>
  <c r="F28" i="1" s="1"/>
  <c r="F29" i="1" s="1"/>
  <c r="AJ29" i="39"/>
  <c r="Z39" i="39"/>
  <c r="AB29" i="39"/>
  <c r="E45" i="1"/>
  <c r="U43" i="37"/>
  <c r="V43" i="37" s="1"/>
  <c r="L37" i="12"/>
  <c r="V29" i="12"/>
  <c r="N29" i="12"/>
  <c r="O43" i="41"/>
  <c r="AN39" i="26"/>
  <c r="AP29" i="26"/>
  <c r="AQ29" i="26" s="1"/>
  <c r="G21" i="1"/>
  <c r="G22" i="1" s="1"/>
  <c r="G23" i="1" s="1"/>
  <c r="AJ29" i="17"/>
  <c r="Z37" i="17"/>
  <c r="AB29" i="17"/>
  <c r="AC29" i="17" s="1"/>
  <c r="AI39" i="18"/>
  <c r="AJ39" i="18" s="1"/>
  <c r="AG29" i="32"/>
  <c r="AB37" i="38"/>
  <c r="AC37" i="38" s="1"/>
  <c r="AJ37" i="38"/>
  <c r="AJ29" i="16"/>
  <c r="AB29" i="16"/>
  <c r="AC29" i="16" s="1"/>
  <c r="Z37" i="16"/>
  <c r="Z37" i="12"/>
  <c r="AJ29" i="12"/>
  <c r="AB29" i="12"/>
  <c r="AC29" i="12" s="1"/>
  <c r="V28" i="3"/>
  <c r="R30" i="3"/>
  <c r="AN39" i="38"/>
  <c r="AP29" i="38"/>
  <c r="AQ29" i="38" s="1"/>
  <c r="AB38" i="23"/>
  <c r="AC38" i="23" s="1"/>
  <c r="AN39" i="41"/>
  <c r="AP29" i="41"/>
  <c r="AQ29" i="41" s="1"/>
  <c r="G51" i="1"/>
  <c r="G52" i="1" s="1"/>
  <c r="G53" i="1" s="1"/>
  <c r="AQ29" i="10"/>
  <c r="AI29" i="10"/>
  <c r="AG37" i="10"/>
  <c r="H37" i="11"/>
  <c r="O29" i="11"/>
  <c r="N44" i="27"/>
  <c r="O44" i="27" s="1"/>
  <c r="V44" i="27"/>
  <c r="O43" i="29"/>
  <c r="AB44" i="40"/>
  <c r="AC44" i="40" s="1"/>
  <c r="AJ44" i="40"/>
  <c r="O41" i="14"/>
  <c r="V41" i="18"/>
  <c r="N41" i="18"/>
  <c r="O41" i="18" s="1"/>
  <c r="N20" i="25"/>
  <c r="V20" i="25"/>
  <c r="AC29" i="28"/>
  <c r="S39" i="28"/>
  <c r="U29" i="28"/>
  <c r="AP29" i="33"/>
  <c r="AN39" i="33"/>
  <c r="S39" i="36"/>
  <c r="AC29" i="36"/>
  <c r="U29" i="36"/>
  <c r="V29" i="36" s="1"/>
  <c r="AN39" i="31"/>
  <c r="AP29" i="31"/>
  <c r="AQ29" i="31" s="1"/>
  <c r="G27" i="1"/>
  <c r="V43" i="34"/>
  <c r="N43" i="34"/>
  <c r="O43" i="34" s="1"/>
  <c r="AB29" i="41"/>
  <c r="Z39" i="41"/>
  <c r="AJ29" i="41"/>
  <c r="E51" i="1"/>
  <c r="N39" i="23"/>
  <c r="O39" i="23" s="1"/>
  <c r="N41" i="10"/>
  <c r="O41" i="10" s="1"/>
  <c r="H39" i="36"/>
  <c r="O29" i="36"/>
  <c r="U39" i="21"/>
  <c r="V39" i="21" s="1"/>
  <c r="AN37" i="11"/>
  <c r="AP29" i="11"/>
  <c r="AP29" i="9"/>
  <c r="AN37" i="9"/>
  <c r="U42" i="18"/>
  <c r="V42" i="18" s="1"/>
  <c r="AQ29" i="19"/>
  <c r="AI29" i="19"/>
  <c r="AG37" i="19"/>
  <c r="O32" i="25"/>
  <c r="AN37" i="23"/>
  <c r="AP29" i="23"/>
  <c r="AQ29" i="23" s="1"/>
  <c r="O29" i="17"/>
  <c r="H37" i="17"/>
  <c r="AN37" i="24"/>
  <c r="AP29" i="24"/>
  <c r="AP29" i="20"/>
  <c r="I17" i="3" s="1"/>
  <c r="I18" i="3" s="1"/>
  <c r="AN37" i="20"/>
  <c r="I16" i="3"/>
  <c r="G15" i="1"/>
  <c r="U44" i="34"/>
  <c r="V44" i="34" s="1"/>
  <c r="S39" i="39"/>
  <c r="AC29" i="39"/>
  <c r="U29" i="39"/>
  <c r="D45" i="1"/>
  <c r="AI38" i="23"/>
  <c r="AJ38" i="23" s="1"/>
  <c r="H37" i="22"/>
  <c r="O29" i="22"/>
  <c r="N46" i="38"/>
  <c r="O46" i="38" s="1"/>
  <c r="AG37" i="9"/>
  <c r="AQ29" i="9"/>
  <c r="AI29" i="9"/>
  <c r="AJ29" i="9" s="1"/>
  <c r="R13" i="3"/>
  <c r="V8" i="3"/>
  <c r="R10" i="3"/>
  <c r="Z37" i="23"/>
  <c r="AB29" i="23"/>
  <c r="AJ29" i="23"/>
  <c r="AB46" i="38"/>
  <c r="AC46" i="38" s="1"/>
  <c r="AJ46" i="38"/>
  <c r="AI29" i="39"/>
  <c r="AQ29" i="39"/>
  <c r="AG39" i="39"/>
  <c r="F45" i="1"/>
  <c r="F46" i="1" s="1"/>
  <c r="F47" i="1" s="1"/>
  <c r="AQ29" i="37"/>
  <c r="AG39" i="37"/>
  <c r="AI29" i="37"/>
  <c r="F39" i="1"/>
  <c r="F40" i="1" s="1"/>
  <c r="F41" i="1" s="1"/>
  <c r="AP38" i="13"/>
  <c r="AQ38" i="13" s="1"/>
  <c r="H39" i="28"/>
  <c r="O29" i="28"/>
  <c r="AB34" i="24"/>
  <c r="AC34" i="24" s="1"/>
  <c r="AJ34" i="24"/>
  <c r="AB44" i="29"/>
  <c r="AC44" i="29" s="1"/>
  <c r="AJ44" i="29"/>
  <c r="AQ44" i="40"/>
  <c r="AI44" i="40"/>
  <c r="AQ39" i="16"/>
  <c r="AI39" i="16"/>
  <c r="AJ39" i="16" s="1"/>
  <c r="AJ46" i="34"/>
  <c r="AB46" i="34"/>
  <c r="AC46" i="34" s="1"/>
  <c r="X29" i="3"/>
  <c r="AA29" i="3" s="1"/>
  <c r="S28" i="3"/>
  <c r="L30" i="3"/>
  <c r="Z39" i="37"/>
  <c r="AB29" i="37"/>
  <c r="AC29" i="37" s="1"/>
  <c r="AJ29" i="37"/>
  <c r="E39" i="1"/>
  <c r="AJ29" i="15"/>
  <c r="AB29" i="15"/>
  <c r="G7" i="3" s="1"/>
  <c r="G8" i="3" s="1"/>
  <c r="Z37" i="15"/>
  <c r="E9" i="1"/>
  <c r="G6" i="3"/>
  <c r="AP29" i="28"/>
  <c r="AQ29" i="28" s="1"/>
  <c r="AN39" i="28"/>
  <c r="AI46" i="34"/>
  <c r="AQ46" i="34"/>
  <c r="AP31" i="27"/>
  <c r="O44" i="31"/>
  <c r="AC43" i="31"/>
  <c r="U43" i="31"/>
  <c r="V43" i="31" s="1"/>
  <c r="AI41" i="23"/>
  <c r="AJ41" i="23" s="1"/>
  <c r="AQ41" i="23"/>
  <c r="Q55" i="37"/>
  <c r="J61" i="37"/>
  <c r="X24" i="3"/>
  <c r="AA24" i="3" s="1"/>
  <c r="S23" i="3"/>
  <c r="W24" i="3" s="1"/>
  <c r="Z24" i="3" s="1"/>
  <c r="L25" i="3"/>
  <c r="S25" i="3" s="1"/>
  <c r="AC24" i="3" s="1"/>
  <c r="N46" i="31"/>
  <c r="O46" i="31" s="1"/>
  <c r="AI41" i="13"/>
  <c r="AJ41" i="13" s="1"/>
  <c r="AQ41" i="13"/>
  <c r="AQ41" i="15"/>
  <c r="AI41" i="15"/>
  <c r="AJ41" i="15" s="1"/>
  <c r="AI34" i="24"/>
  <c r="U29" i="38"/>
  <c r="V29" i="38" s="1"/>
  <c r="S39" i="38"/>
  <c r="O37" i="39"/>
  <c r="O29" i="12"/>
  <c r="H37" i="12"/>
  <c r="O29" i="33"/>
  <c r="H39" i="33"/>
  <c r="O41" i="11"/>
  <c r="AB32" i="25"/>
  <c r="AP32" i="27"/>
  <c r="O46" i="36"/>
  <c r="L37" i="14"/>
  <c r="N29" i="14"/>
  <c r="O29" i="14" s="1"/>
  <c r="V29" i="14"/>
  <c r="N34" i="11"/>
  <c r="O34" i="11" s="1"/>
  <c r="V34" i="11"/>
  <c r="N44" i="25"/>
  <c r="AQ29" i="24"/>
  <c r="AI29" i="24"/>
  <c r="AJ29" i="24" s="1"/>
  <c r="AG37" i="24"/>
  <c r="S22" i="3"/>
  <c r="N24" i="3"/>
  <c r="S24" i="3" s="1"/>
  <c r="AJ34" i="18"/>
  <c r="AB34" i="18"/>
  <c r="AC34" i="18" s="1"/>
  <c r="O41" i="23"/>
  <c r="O46" i="34"/>
  <c r="L39" i="39"/>
  <c r="N29" i="39"/>
  <c r="O29" i="39" s="1"/>
  <c r="V29" i="39"/>
  <c r="C45" i="1"/>
  <c r="C46" i="1" s="1"/>
  <c r="C47" i="1" s="1"/>
  <c r="N44" i="40"/>
  <c r="O44" i="40" s="1"/>
  <c r="V44" i="40"/>
  <c r="H39" i="29"/>
  <c r="O29" i="29"/>
  <c r="U43" i="27"/>
  <c r="V43" i="27" s="1"/>
  <c r="AC43" i="27"/>
  <c r="AP43" i="35"/>
  <c r="O29" i="13"/>
  <c r="H37" i="13"/>
  <c r="AL53" i="24"/>
  <c r="AE59" i="24"/>
  <c r="AG39" i="29"/>
  <c r="AI29" i="29"/>
  <c r="AJ29" i="29" s="1"/>
  <c r="AQ44" i="34"/>
  <c r="AI44" i="34"/>
  <c r="AJ44" i="34" s="1"/>
  <c r="AC29" i="41"/>
  <c r="U29" i="41"/>
  <c r="V29" i="41" s="1"/>
  <c r="S39" i="41"/>
  <c r="D51" i="1"/>
  <c r="D52" i="1" s="1"/>
  <c r="D53" i="1" s="1"/>
  <c r="AP29" i="22"/>
  <c r="AN37" i="22"/>
  <c r="AI39" i="21"/>
  <c r="AJ39" i="21" s="1"/>
  <c r="AQ39" i="21"/>
  <c r="F82" i="1"/>
  <c r="F83" i="1" s="1"/>
  <c r="AP37" i="38"/>
  <c r="AQ37" i="38" s="1"/>
  <c r="AB37" i="40"/>
  <c r="AC37" i="40" s="1"/>
  <c r="F61" i="41"/>
  <c r="J55" i="41"/>
  <c r="V46" i="32"/>
  <c r="N46" i="32"/>
  <c r="O46" i="32" s="1"/>
  <c r="O46" i="39"/>
  <c r="AP46" i="40"/>
  <c r="AQ46" i="40" s="1"/>
  <c r="S39" i="30"/>
  <c r="U29" i="30"/>
  <c r="V29" i="30" s="1"/>
  <c r="AC29" i="30"/>
  <c r="AI29" i="40"/>
  <c r="AJ29" i="40" s="1"/>
  <c r="AG39" i="40"/>
  <c r="AQ29" i="40"/>
  <c r="N42" i="10"/>
  <c r="O42" i="10" s="1"/>
  <c r="O44" i="36"/>
  <c r="AC29" i="40"/>
  <c r="S39" i="40"/>
  <c r="U29" i="40"/>
  <c r="V29" i="40" s="1"/>
  <c r="AG29" i="27"/>
  <c r="L37" i="23"/>
  <c r="V29" i="23"/>
  <c r="N29" i="23"/>
  <c r="O29" i="23" s="1"/>
  <c r="AN39" i="29"/>
  <c r="AP29" i="29"/>
  <c r="AQ29" i="29" s="1"/>
  <c r="AN37" i="14"/>
  <c r="AP29" i="14"/>
  <c r="AQ29" i="14" s="1"/>
  <c r="D40" i="1" l="1"/>
  <c r="D41" i="1" s="1"/>
  <c r="Z40" i="16"/>
  <c r="AB37" i="16"/>
  <c r="H40" i="13"/>
  <c r="Z40" i="15"/>
  <c r="AB37" i="15"/>
  <c r="AC37" i="15" s="1"/>
  <c r="AJ37" i="15"/>
  <c r="AN40" i="23"/>
  <c r="AP37" i="23"/>
  <c r="O39" i="36"/>
  <c r="H42" i="36"/>
  <c r="AP39" i="31"/>
  <c r="AN42" i="31"/>
  <c r="H40" i="11"/>
  <c r="AB29" i="3"/>
  <c r="AB27" i="3"/>
  <c r="AC27" i="3"/>
  <c r="AJ37" i="17"/>
  <c r="Z40" i="17"/>
  <c r="AB37" i="17"/>
  <c r="S40" i="21"/>
  <c r="U37" i="21"/>
  <c r="L40" i="18"/>
  <c r="N37" i="18"/>
  <c r="N37" i="10"/>
  <c r="O37" i="10" s="1"/>
  <c r="L40" i="10"/>
  <c r="Z40" i="9"/>
  <c r="AJ37" i="9"/>
  <c r="AB37" i="9"/>
  <c r="C66" i="1"/>
  <c r="C10" i="1"/>
  <c r="C11" i="1" s="1"/>
  <c r="S42" i="25"/>
  <c r="AC17" i="3"/>
  <c r="AB17" i="3"/>
  <c r="AB19" i="3"/>
  <c r="E34" i="1"/>
  <c r="E35" i="1" s="1"/>
  <c r="AL59" i="22"/>
  <c r="Z40" i="19"/>
  <c r="AB37" i="19"/>
  <c r="AC37" i="19" s="1"/>
  <c r="H18" i="3"/>
  <c r="T17" i="3"/>
  <c r="U17" i="3" s="1"/>
  <c r="AN42" i="32"/>
  <c r="AC37" i="17"/>
  <c r="U37" i="17"/>
  <c r="V37" i="17" s="1"/>
  <c r="S40" i="17"/>
  <c r="AI39" i="28"/>
  <c r="AJ39" i="28" s="1"/>
  <c r="AG42" i="28"/>
  <c r="H42" i="34"/>
  <c r="H42" i="26"/>
  <c r="AJ37" i="22"/>
  <c r="Z40" i="22"/>
  <c r="AB37" i="22"/>
  <c r="T28" i="3"/>
  <c r="U28" i="3" s="1"/>
  <c r="AJ29" i="20"/>
  <c r="H40" i="21"/>
  <c r="H42" i="33"/>
  <c r="Q55" i="41"/>
  <c r="N39" i="39"/>
  <c r="L42" i="39"/>
  <c r="V39" i="39"/>
  <c r="AG42" i="37"/>
  <c r="AI39" i="37"/>
  <c r="AJ39" i="37" s="1"/>
  <c r="AB9" i="3"/>
  <c r="AC7" i="3"/>
  <c r="AB7" i="3"/>
  <c r="U39" i="39"/>
  <c r="S42" i="39"/>
  <c r="AC39" i="39"/>
  <c r="AG40" i="10"/>
  <c r="AI37" i="10"/>
  <c r="AJ37" i="10" s="1"/>
  <c r="E46" i="1"/>
  <c r="E47" i="1" s="1"/>
  <c r="H42" i="25"/>
  <c r="N37" i="17"/>
  <c r="L40" i="17"/>
  <c r="U37" i="12"/>
  <c r="S40" i="12"/>
  <c r="N39" i="27"/>
  <c r="L42" i="27"/>
  <c r="AC37" i="22"/>
  <c r="U37" i="22"/>
  <c r="V37" i="22" s="1"/>
  <c r="S40" i="22"/>
  <c r="AG40" i="11"/>
  <c r="AI37" i="11"/>
  <c r="S40" i="13"/>
  <c r="U37" i="13"/>
  <c r="H42" i="40"/>
  <c r="AI39" i="30"/>
  <c r="AJ39" i="30" s="1"/>
  <c r="AQ39" i="30"/>
  <c r="AG42" i="30"/>
  <c r="AI37" i="20"/>
  <c r="AG40" i="20"/>
  <c r="L42" i="26"/>
  <c r="N39" i="26"/>
  <c r="O39" i="26" s="1"/>
  <c r="H42" i="38"/>
  <c r="AP37" i="10"/>
  <c r="AQ37" i="10" s="1"/>
  <c r="AN40" i="10"/>
  <c r="AJ37" i="20"/>
  <c r="AB37" i="20"/>
  <c r="AC37" i="20" s="1"/>
  <c r="Z40" i="20"/>
  <c r="S10" i="3"/>
  <c r="AC9" i="3" s="1"/>
  <c r="L40" i="12"/>
  <c r="N37" i="12"/>
  <c r="V37" i="12"/>
  <c r="U39" i="41"/>
  <c r="S42" i="41"/>
  <c r="AP39" i="29"/>
  <c r="AQ39" i="29" s="1"/>
  <c r="AN42" i="29"/>
  <c r="J61" i="41"/>
  <c r="O37" i="12"/>
  <c r="H40" i="12"/>
  <c r="R15" i="3"/>
  <c r="S15" i="3" s="1"/>
  <c r="S13" i="3"/>
  <c r="W14" i="3" s="1"/>
  <c r="Z14" i="3" s="1"/>
  <c r="AG40" i="19"/>
  <c r="AI37" i="19"/>
  <c r="AJ37" i="19" s="1"/>
  <c r="AJ37" i="13"/>
  <c r="AB37" i="13"/>
  <c r="AC37" i="13" s="1"/>
  <c r="Z40" i="13"/>
  <c r="AG40" i="14"/>
  <c r="AI37" i="14"/>
  <c r="Z40" i="10"/>
  <c r="AB37" i="10"/>
  <c r="C71" i="1"/>
  <c r="C16" i="1"/>
  <c r="AJ39" i="34"/>
  <c r="Z42" i="34"/>
  <c r="AB39" i="34"/>
  <c r="AC39" i="34" s="1"/>
  <c r="AQ29" i="20"/>
  <c r="E22" i="1"/>
  <c r="E23" i="1" s="1"/>
  <c r="AG42" i="34"/>
  <c r="AI39" i="34"/>
  <c r="AQ39" i="34"/>
  <c r="H40" i="23"/>
  <c r="Z40" i="24"/>
  <c r="AB37" i="24"/>
  <c r="G34" i="1"/>
  <c r="G35" i="1" s="1"/>
  <c r="L40" i="13"/>
  <c r="V37" i="13"/>
  <c r="N37" i="13"/>
  <c r="O37" i="13" s="1"/>
  <c r="AP37" i="14"/>
  <c r="AQ37" i="14" s="1"/>
  <c r="AN40" i="14"/>
  <c r="E10" i="1"/>
  <c r="E11" i="1" s="1"/>
  <c r="E66" i="1"/>
  <c r="AI39" i="40"/>
  <c r="AG42" i="40"/>
  <c r="E40" i="1"/>
  <c r="E41" i="1" s="1"/>
  <c r="G16" i="1"/>
  <c r="G71" i="1"/>
  <c r="E52" i="1"/>
  <c r="E53" i="1" s="1"/>
  <c r="AB37" i="12"/>
  <c r="AC37" i="12" s="1"/>
  <c r="Z40" i="12"/>
  <c r="Z42" i="39"/>
  <c r="AJ39" i="39"/>
  <c r="AB39" i="39"/>
  <c r="H40" i="20"/>
  <c r="AB39" i="25"/>
  <c r="AC39" i="25" s="1"/>
  <c r="Z42" i="25"/>
  <c r="L40" i="15"/>
  <c r="N37" i="15"/>
  <c r="O37" i="15" s="1"/>
  <c r="V37" i="15"/>
  <c r="O37" i="18"/>
  <c r="H40" i="18"/>
  <c r="AC39" i="35"/>
  <c r="S42" i="35"/>
  <c r="U39" i="35"/>
  <c r="AI37" i="22"/>
  <c r="AG40" i="22"/>
  <c r="C40" i="1"/>
  <c r="C41" i="1" s="1"/>
  <c r="V39" i="29"/>
  <c r="L42" i="29"/>
  <c r="N39" i="29"/>
  <c r="AB39" i="27"/>
  <c r="Z42" i="27"/>
  <c r="O29" i="15"/>
  <c r="H42" i="41"/>
  <c r="C52" i="1"/>
  <c r="C53" i="1" s="1"/>
  <c r="H42" i="35"/>
  <c r="H42" i="39"/>
  <c r="O39" i="39"/>
  <c r="U37" i="14"/>
  <c r="V37" i="14" s="1"/>
  <c r="S40" i="14"/>
  <c r="N37" i="21"/>
  <c r="O37" i="21" s="1"/>
  <c r="L40" i="21"/>
  <c r="V37" i="21"/>
  <c r="V39" i="37"/>
  <c r="L42" i="37"/>
  <c r="N39" i="37"/>
  <c r="O39" i="37" s="1"/>
  <c r="H40" i="15"/>
  <c r="L39" i="25"/>
  <c r="N29" i="25"/>
  <c r="O29" i="25" s="1"/>
  <c r="V29" i="25"/>
  <c r="L40" i="23"/>
  <c r="N37" i="23"/>
  <c r="O37" i="23" s="1"/>
  <c r="N37" i="14"/>
  <c r="O37" i="14" s="1"/>
  <c r="L40" i="14"/>
  <c r="AP37" i="20"/>
  <c r="AQ37" i="20" s="1"/>
  <c r="AN40" i="20"/>
  <c r="AP39" i="33"/>
  <c r="AQ39" i="33" s="1"/>
  <c r="AN42" i="33"/>
  <c r="D66" i="1"/>
  <c r="D10" i="1"/>
  <c r="D11" i="1" s="1"/>
  <c r="S42" i="34"/>
  <c r="U39" i="34"/>
  <c r="H40" i="14"/>
  <c r="X27" i="3"/>
  <c r="W28" i="3"/>
  <c r="X28" i="3" s="1"/>
  <c r="L40" i="20"/>
  <c r="V37" i="20"/>
  <c r="N37" i="20"/>
  <c r="O37" i="20" s="1"/>
  <c r="AB39" i="30"/>
  <c r="Z42" i="30"/>
  <c r="H42" i="30"/>
  <c r="S42" i="29"/>
  <c r="U39" i="29"/>
  <c r="H40" i="16"/>
  <c r="H40" i="9"/>
  <c r="O37" i="9"/>
  <c r="AN40" i="19"/>
  <c r="AP37" i="19"/>
  <c r="AQ37" i="19" s="1"/>
  <c r="H42" i="32"/>
  <c r="AI29" i="27"/>
  <c r="AQ29" i="27"/>
  <c r="AG39" i="27"/>
  <c r="H21" i="3"/>
  <c r="Z42" i="37"/>
  <c r="AB39" i="37"/>
  <c r="AC39" i="37" s="1"/>
  <c r="AN40" i="9"/>
  <c r="AP37" i="9"/>
  <c r="AQ37" i="9" s="1"/>
  <c r="AN42" i="41"/>
  <c r="AP39" i="41"/>
  <c r="AQ39" i="41" s="1"/>
  <c r="U37" i="19"/>
  <c r="S40" i="19"/>
  <c r="X32" i="3"/>
  <c r="W33" i="3"/>
  <c r="X33" i="3" s="1"/>
  <c r="AJ37" i="11"/>
  <c r="AB37" i="11"/>
  <c r="Z40" i="11"/>
  <c r="AB39" i="38"/>
  <c r="AC39" i="38" s="1"/>
  <c r="Z42" i="38"/>
  <c r="AJ39" i="38"/>
  <c r="S42" i="37"/>
  <c r="U39" i="37"/>
  <c r="E18" i="3"/>
  <c r="AG42" i="41"/>
  <c r="AI39" i="41"/>
  <c r="AN42" i="36"/>
  <c r="AP39" i="36"/>
  <c r="AQ39" i="36" s="1"/>
  <c r="AC39" i="26"/>
  <c r="U39" i="26"/>
  <c r="V39" i="26" s="1"/>
  <c r="S42" i="26"/>
  <c r="L40" i="11"/>
  <c r="N37" i="11"/>
  <c r="O37" i="11" s="1"/>
  <c r="AN40" i="13"/>
  <c r="AP37" i="13"/>
  <c r="U37" i="24"/>
  <c r="AC37" i="24"/>
  <c r="S40" i="24"/>
  <c r="AB37" i="21"/>
  <c r="AC37" i="21" s="1"/>
  <c r="Z40" i="21"/>
  <c r="AG40" i="21"/>
  <c r="AI37" i="21"/>
  <c r="AJ37" i="21" s="1"/>
  <c r="AQ37" i="21"/>
  <c r="AP29" i="27"/>
  <c r="I22" i="3" s="1"/>
  <c r="AI39" i="33"/>
  <c r="AG42" i="33"/>
  <c r="L42" i="41"/>
  <c r="V39" i="41"/>
  <c r="N39" i="41"/>
  <c r="O39" i="41" s="1"/>
  <c r="F66" i="1"/>
  <c r="F10" i="1"/>
  <c r="F11" i="1" s="1"/>
  <c r="AC32" i="3"/>
  <c r="AB32" i="3"/>
  <c r="AB34" i="3"/>
  <c r="AG40" i="9"/>
  <c r="AI37" i="9"/>
  <c r="O39" i="27"/>
  <c r="H42" i="27"/>
  <c r="G10" i="1"/>
  <c r="G11" i="1" s="1"/>
  <c r="G66" i="1"/>
  <c r="H42" i="31"/>
  <c r="AB37" i="18"/>
  <c r="Z40" i="18"/>
  <c r="AB39" i="28"/>
  <c r="Z42" i="28"/>
  <c r="S30" i="3"/>
  <c r="AC29" i="3" s="1"/>
  <c r="F8" i="3"/>
  <c r="AC37" i="11"/>
  <c r="S40" i="11"/>
  <c r="U37" i="11"/>
  <c r="V37" i="11" s="1"/>
  <c r="AC37" i="10"/>
  <c r="S40" i="10"/>
  <c r="U37" i="10"/>
  <c r="V37" i="10" s="1"/>
  <c r="AN39" i="25"/>
  <c r="AP29" i="25"/>
  <c r="AQ29" i="25" s="1"/>
  <c r="S42" i="31"/>
  <c r="U39" i="31"/>
  <c r="Z42" i="33"/>
  <c r="AB39" i="33"/>
  <c r="AC39" i="33" s="1"/>
  <c r="AJ39" i="33"/>
  <c r="AG40" i="16"/>
  <c r="AQ37" i="16"/>
  <c r="AI37" i="16"/>
  <c r="AJ37" i="16" s="1"/>
  <c r="AI37" i="18"/>
  <c r="AJ37" i="18" s="1"/>
  <c r="AQ37" i="18"/>
  <c r="AG40" i="18"/>
  <c r="G46" i="1"/>
  <c r="G47" i="1" s="1"/>
  <c r="AI39" i="35"/>
  <c r="AG42" i="35"/>
  <c r="D71" i="1"/>
  <c r="D16" i="1"/>
  <c r="AG42" i="26"/>
  <c r="AI39" i="26"/>
  <c r="W6" i="3"/>
  <c r="U6" i="3"/>
  <c r="T6" i="3"/>
  <c r="AG42" i="39"/>
  <c r="AI39" i="39"/>
  <c r="AP39" i="26"/>
  <c r="AQ39" i="26" s="1"/>
  <c r="AN42" i="26"/>
  <c r="L40" i="24"/>
  <c r="V37" i="24"/>
  <c r="N37" i="24"/>
  <c r="N37" i="22"/>
  <c r="L40" i="22"/>
  <c r="AN42" i="34"/>
  <c r="AP39" i="34"/>
  <c r="AG40" i="12"/>
  <c r="AI37" i="12"/>
  <c r="AJ37" i="12" s="1"/>
  <c r="AJ39" i="41"/>
  <c r="Z42" i="41"/>
  <c r="AB39" i="41"/>
  <c r="AC39" i="41" s="1"/>
  <c r="AJ39" i="26"/>
  <c r="AB39" i="26"/>
  <c r="Z42" i="26"/>
  <c r="AP39" i="27"/>
  <c r="AN42" i="27"/>
  <c r="Z42" i="35"/>
  <c r="AB39" i="35"/>
  <c r="AJ39" i="35"/>
  <c r="U39" i="30"/>
  <c r="AC39" i="30"/>
  <c r="S42" i="30"/>
  <c r="AG42" i="29"/>
  <c r="AI39" i="29"/>
  <c r="H42" i="29"/>
  <c r="O39" i="29"/>
  <c r="S42" i="40"/>
  <c r="U39" i="40"/>
  <c r="AP39" i="28"/>
  <c r="AQ39" i="28" s="1"/>
  <c r="AN42" i="28"/>
  <c r="W29" i="3"/>
  <c r="Z29" i="3" s="1"/>
  <c r="H40" i="22"/>
  <c r="O37" i="22"/>
  <c r="AN40" i="24"/>
  <c r="AP37" i="24"/>
  <c r="AQ37" i="24" s="1"/>
  <c r="S42" i="28"/>
  <c r="U39" i="28"/>
  <c r="AC39" i="28"/>
  <c r="AG42" i="31"/>
  <c r="AI39" i="31"/>
  <c r="AQ39" i="31"/>
  <c r="AC29" i="15"/>
  <c r="AN42" i="35"/>
  <c r="AP39" i="35"/>
  <c r="AQ39" i="35" s="1"/>
  <c r="AN40" i="18"/>
  <c r="AP37" i="18"/>
  <c r="L42" i="36"/>
  <c r="N39" i="36"/>
  <c r="AN40" i="17"/>
  <c r="AP37" i="17"/>
  <c r="W19" i="3"/>
  <c r="AP37" i="15"/>
  <c r="AQ37" i="15" s="1"/>
  <c r="AN40" i="15"/>
  <c r="AP39" i="39"/>
  <c r="AQ39" i="39" s="1"/>
  <c r="AN42" i="39"/>
  <c r="L42" i="34"/>
  <c r="V39" i="34"/>
  <c r="N39" i="34"/>
  <c r="O39" i="34" s="1"/>
  <c r="AB39" i="36"/>
  <c r="AC39" i="36" s="1"/>
  <c r="Z42" i="36"/>
  <c r="AN40" i="16"/>
  <c r="AP37" i="16"/>
  <c r="L42" i="38"/>
  <c r="N39" i="38"/>
  <c r="O39" i="38" s="1"/>
  <c r="V39" i="38"/>
  <c r="AQ29" i="15"/>
  <c r="H40" i="24"/>
  <c r="O37" i="24"/>
  <c r="S42" i="36"/>
  <c r="U39" i="36"/>
  <c r="V39" i="36" s="1"/>
  <c r="S42" i="38"/>
  <c r="U39" i="38"/>
  <c r="AP37" i="22"/>
  <c r="AQ37" i="22" s="1"/>
  <c r="AN40" i="22"/>
  <c r="AG40" i="24"/>
  <c r="AI37" i="24"/>
  <c r="AJ37" i="24" s="1"/>
  <c r="Q61" i="37"/>
  <c r="X55" i="37"/>
  <c r="H42" i="28"/>
  <c r="H40" i="17"/>
  <c r="O37" i="17"/>
  <c r="AN40" i="11"/>
  <c r="AP37" i="11"/>
  <c r="AQ37" i="11" s="1"/>
  <c r="AG39" i="32"/>
  <c r="AP39" i="32" s="1"/>
  <c r="AQ29" i="32"/>
  <c r="AI29" i="32"/>
  <c r="AJ29" i="32" s="1"/>
  <c r="AQ37" i="13"/>
  <c r="AG40" i="13"/>
  <c r="AI37" i="13"/>
  <c r="U37" i="15"/>
  <c r="S40" i="15"/>
  <c r="N39" i="32"/>
  <c r="O39" i="32" s="1"/>
  <c r="L42" i="32"/>
  <c r="V39" i="32"/>
  <c r="O37" i="19"/>
  <c r="H40" i="19"/>
  <c r="V39" i="35"/>
  <c r="N39" i="35"/>
  <c r="O39" i="35" s="1"/>
  <c r="L42" i="35"/>
  <c r="S42" i="32"/>
  <c r="U39" i="32"/>
  <c r="Z40" i="14"/>
  <c r="AJ37" i="14"/>
  <c r="AB37" i="14"/>
  <c r="AC37" i="14" s="1"/>
  <c r="AP37" i="12"/>
  <c r="AQ37" i="12" s="1"/>
  <c r="AN40" i="12"/>
  <c r="L42" i="33"/>
  <c r="N39" i="33"/>
  <c r="O39" i="33" s="1"/>
  <c r="AJ39" i="29"/>
  <c r="Z42" i="29"/>
  <c r="AB39" i="29"/>
  <c r="AC39" i="29" s="1"/>
  <c r="AB24" i="3"/>
  <c r="AB22" i="3"/>
  <c r="AC22" i="3"/>
  <c r="F23" i="3"/>
  <c r="U37" i="23"/>
  <c r="V37" i="23" s="1"/>
  <c r="AC37" i="23"/>
  <c r="S40" i="23"/>
  <c r="V39" i="28"/>
  <c r="L42" i="28"/>
  <c r="N39" i="28"/>
  <c r="O39" i="28" s="1"/>
  <c r="AP37" i="21"/>
  <c r="AN40" i="21"/>
  <c r="AG40" i="23"/>
  <c r="AQ37" i="23"/>
  <c r="AI37" i="23"/>
  <c r="AJ37" i="23" s="1"/>
  <c r="AC37" i="9"/>
  <c r="U37" i="9"/>
  <c r="V37" i="9" s="1"/>
  <c r="S40" i="9"/>
  <c r="C28" i="1"/>
  <c r="C29" i="1" s="1"/>
  <c r="AI37" i="17"/>
  <c r="AG40" i="17"/>
  <c r="AQ37" i="17"/>
  <c r="S40" i="20"/>
  <c r="U37" i="20"/>
  <c r="H40" i="10"/>
  <c r="AG42" i="25"/>
  <c r="AI39" i="25"/>
  <c r="AJ39" i="25" s="1"/>
  <c r="AP39" i="30"/>
  <c r="AN42" i="30"/>
  <c r="E71" i="1"/>
  <c r="E16" i="1"/>
  <c r="AG40" i="15"/>
  <c r="AI37" i="15"/>
  <c r="AL59" i="24"/>
  <c r="D46" i="1"/>
  <c r="D47" i="1" s="1"/>
  <c r="G28" i="1"/>
  <c r="G29" i="1" s="1"/>
  <c r="AP39" i="38"/>
  <c r="AQ39" i="38" s="1"/>
  <c r="AN42" i="38"/>
  <c r="L40" i="9"/>
  <c r="N37" i="9"/>
  <c r="AA19" i="3"/>
  <c r="L42" i="30"/>
  <c r="N39" i="30"/>
  <c r="O39" i="30" s="1"/>
  <c r="V39" i="30"/>
  <c r="L40" i="19"/>
  <c r="N37" i="19"/>
  <c r="V37" i="19"/>
  <c r="W16" i="3"/>
  <c r="T16" i="3"/>
  <c r="U16" i="3" s="1"/>
  <c r="AC37" i="16"/>
  <c r="U37" i="16"/>
  <c r="S40" i="16"/>
  <c r="G40" i="1"/>
  <c r="G41" i="1" s="1"/>
  <c r="AC29" i="20"/>
  <c r="U39" i="33"/>
  <c r="V39" i="33" s="1"/>
  <c r="S42" i="33"/>
  <c r="U7" i="3"/>
  <c r="T7" i="3"/>
  <c r="H8" i="3"/>
  <c r="X12" i="3"/>
  <c r="W13" i="3"/>
  <c r="X13" i="3" s="1"/>
  <c r="AB37" i="23"/>
  <c r="Z40" i="23"/>
  <c r="L40" i="16"/>
  <c r="V37" i="16"/>
  <c r="N37" i="16"/>
  <c r="O37" i="16" s="1"/>
  <c r="AJ39" i="31"/>
  <c r="Z42" i="31"/>
  <c r="AB39" i="31"/>
  <c r="AC39" i="31" s="1"/>
  <c r="AI39" i="36"/>
  <c r="AJ39" i="36" s="1"/>
  <c r="AG42" i="36"/>
  <c r="H42" i="37"/>
  <c r="S42" i="27"/>
  <c r="U39" i="27"/>
  <c r="V39" i="27" s="1"/>
  <c r="AC39" i="27"/>
  <c r="F71" i="1"/>
  <c r="F16" i="1"/>
  <c r="S40" i="18"/>
  <c r="U37" i="18"/>
  <c r="V37" i="18" s="1"/>
  <c r="AC37" i="18"/>
  <c r="AN42" i="40"/>
  <c r="AP39" i="40"/>
  <c r="AQ39" i="40" s="1"/>
  <c r="AI39" i="38"/>
  <c r="AG42" i="38"/>
  <c r="AN42" i="37"/>
  <c r="AP39" i="37"/>
  <c r="AQ39" i="37" s="1"/>
  <c r="L42" i="40"/>
  <c r="N39" i="40"/>
  <c r="O39" i="40" s="1"/>
  <c r="V39" i="40"/>
  <c r="N39" i="31"/>
  <c r="O39" i="31" s="1"/>
  <c r="V39" i="31"/>
  <c r="L42" i="31"/>
  <c r="AB39" i="32"/>
  <c r="AC39" i="32" s="1"/>
  <c r="Z42" i="32"/>
  <c r="Z42" i="40"/>
  <c r="AJ39" i="40"/>
  <c r="AB39" i="40"/>
  <c r="AC39" i="40" s="1"/>
  <c r="T33" i="3"/>
  <c r="U33" i="3" s="1"/>
  <c r="AI40" i="24" l="1"/>
  <c r="AG56" i="24"/>
  <c r="AG50" i="24"/>
  <c r="U40" i="17"/>
  <c r="S50" i="17"/>
  <c r="S56" i="17"/>
  <c r="AJ40" i="13"/>
  <c r="AB40" i="13"/>
  <c r="Z56" i="13"/>
  <c r="Z50" i="13"/>
  <c r="AG58" i="36"/>
  <c r="AI42" i="36"/>
  <c r="AG52" i="36"/>
  <c r="AI40" i="13"/>
  <c r="AG56" i="13"/>
  <c r="AG50" i="13"/>
  <c r="N42" i="36"/>
  <c r="O42" i="36" s="1"/>
  <c r="L58" i="36"/>
  <c r="V42" i="36"/>
  <c r="L52" i="36"/>
  <c r="AN42" i="25"/>
  <c r="AP39" i="25"/>
  <c r="AQ39" i="25" s="1"/>
  <c r="AB40" i="18"/>
  <c r="Z56" i="18"/>
  <c r="Z50" i="18"/>
  <c r="U42" i="37"/>
  <c r="AC42" i="37"/>
  <c r="S52" i="37"/>
  <c r="S58" i="37"/>
  <c r="H58" i="32"/>
  <c r="H52" i="32"/>
  <c r="H58" i="30"/>
  <c r="H52" i="30"/>
  <c r="S58" i="34"/>
  <c r="U42" i="34"/>
  <c r="V42" i="34" s="1"/>
  <c r="S52" i="34"/>
  <c r="N40" i="23"/>
  <c r="L56" i="23"/>
  <c r="L50" i="23"/>
  <c r="AB42" i="27"/>
  <c r="Z58" i="27"/>
  <c r="Z52" i="27"/>
  <c r="E67" i="1"/>
  <c r="E86" i="1"/>
  <c r="E85" i="1" s="1"/>
  <c r="O40" i="23"/>
  <c r="H56" i="23"/>
  <c r="H50" i="23"/>
  <c r="AC14" i="3"/>
  <c r="T14" i="3"/>
  <c r="N40" i="12"/>
  <c r="L56" i="12"/>
  <c r="L50" i="12"/>
  <c r="V40" i="17"/>
  <c r="N40" i="17"/>
  <c r="L56" i="17"/>
  <c r="L50" i="17"/>
  <c r="O42" i="34"/>
  <c r="H58" i="34"/>
  <c r="H52" i="34"/>
  <c r="U40" i="21"/>
  <c r="S56" i="21"/>
  <c r="S50" i="21"/>
  <c r="H58" i="36"/>
  <c r="H52" i="36"/>
  <c r="AB40" i="21"/>
  <c r="AC40" i="21" s="1"/>
  <c r="Z56" i="21"/>
  <c r="Z50" i="21"/>
  <c r="AN58" i="40"/>
  <c r="AP42" i="40"/>
  <c r="AQ42" i="40" s="1"/>
  <c r="AN52" i="40"/>
  <c r="S58" i="36"/>
  <c r="U42" i="36"/>
  <c r="S52" i="36"/>
  <c r="H58" i="29"/>
  <c r="H52" i="29"/>
  <c r="Z58" i="26"/>
  <c r="AB42" i="26"/>
  <c r="AC42" i="26" s="1"/>
  <c r="Z52" i="26"/>
  <c r="N40" i="22"/>
  <c r="L56" i="22"/>
  <c r="L50" i="22"/>
  <c r="W7" i="3"/>
  <c r="X6" i="3"/>
  <c r="N40" i="11"/>
  <c r="O40" i="11" s="1"/>
  <c r="V40" i="11"/>
  <c r="L56" i="11"/>
  <c r="L50" i="11"/>
  <c r="H56" i="18"/>
  <c r="H50" i="18"/>
  <c r="Z58" i="39"/>
  <c r="AB42" i="39"/>
  <c r="Z52" i="39"/>
  <c r="AB40" i="10"/>
  <c r="AJ40" i="10"/>
  <c r="Z50" i="10"/>
  <c r="Z56" i="10"/>
  <c r="O40" i="12"/>
  <c r="H56" i="12"/>
  <c r="H50" i="12"/>
  <c r="AI40" i="20"/>
  <c r="AG56" i="20"/>
  <c r="AG50" i="20"/>
  <c r="AI42" i="28"/>
  <c r="AG58" i="28"/>
  <c r="AG52" i="28"/>
  <c r="C86" i="1"/>
  <c r="C85" i="1" s="1"/>
  <c r="C67" i="1"/>
  <c r="AP40" i="12"/>
  <c r="AN56" i="12"/>
  <c r="AN50" i="12"/>
  <c r="F86" i="1"/>
  <c r="F85" i="1" s="1"/>
  <c r="F67" i="1"/>
  <c r="AP40" i="10"/>
  <c r="AN56" i="10"/>
  <c r="AN50" i="10"/>
  <c r="S58" i="28"/>
  <c r="U42" i="28"/>
  <c r="V42" i="28" s="1"/>
  <c r="AC42" i="28"/>
  <c r="S52" i="28"/>
  <c r="L58" i="28"/>
  <c r="N42" i="28"/>
  <c r="L52" i="28"/>
  <c r="T8" i="3"/>
  <c r="U8" i="3"/>
  <c r="N40" i="9"/>
  <c r="L56" i="9"/>
  <c r="L50" i="9"/>
  <c r="AP42" i="30"/>
  <c r="AN58" i="30"/>
  <c r="AN52" i="30"/>
  <c r="L58" i="33"/>
  <c r="N42" i="33"/>
  <c r="L52" i="33"/>
  <c r="AP40" i="24"/>
  <c r="AQ40" i="24" s="1"/>
  <c r="AN56" i="24"/>
  <c r="AN50" i="24"/>
  <c r="U40" i="10"/>
  <c r="V40" i="10" s="1"/>
  <c r="AC40" i="10"/>
  <c r="S56" i="10"/>
  <c r="S50" i="10"/>
  <c r="AI40" i="21"/>
  <c r="AJ40" i="21" s="1"/>
  <c r="AG56" i="21"/>
  <c r="AG50" i="21"/>
  <c r="S58" i="26"/>
  <c r="U42" i="26"/>
  <c r="S52" i="26"/>
  <c r="AP42" i="41"/>
  <c r="AN52" i="41"/>
  <c r="AN58" i="41"/>
  <c r="Z58" i="30"/>
  <c r="AB42" i="30"/>
  <c r="AC42" i="30" s="1"/>
  <c r="Z52" i="30"/>
  <c r="U40" i="14"/>
  <c r="S56" i="14"/>
  <c r="S50" i="14"/>
  <c r="AB40" i="12"/>
  <c r="Z50" i="12"/>
  <c r="Z56" i="12"/>
  <c r="AP40" i="14"/>
  <c r="AN50" i="14"/>
  <c r="AN56" i="14"/>
  <c r="AB40" i="20"/>
  <c r="AJ40" i="20"/>
  <c r="Z50" i="20"/>
  <c r="Z56" i="20"/>
  <c r="AI40" i="11"/>
  <c r="AG50" i="11"/>
  <c r="AG56" i="11"/>
  <c r="H56" i="21"/>
  <c r="H50" i="21"/>
  <c r="AB40" i="19"/>
  <c r="Z50" i="19"/>
  <c r="Z56" i="19"/>
  <c r="E17" i="1"/>
  <c r="E73" i="1" s="1"/>
  <c r="E72" i="1"/>
  <c r="L58" i="35"/>
  <c r="N42" i="35"/>
  <c r="O42" i="35" s="1"/>
  <c r="V42" i="35"/>
  <c r="L52" i="35"/>
  <c r="L58" i="31"/>
  <c r="N42" i="31"/>
  <c r="L52" i="31"/>
  <c r="AI40" i="17"/>
  <c r="AG50" i="17"/>
  <c r="AG56" i="17"/>
  <c r="X16" i="3"/>
  <c r="W17" i="3"/>
  <c r="AN58" i="38"/>
  <c r="AP42" i="38"/>
  <c r="AN52" i="38"/>
  <c r="U40" i="23"/>
  <c r="V40" i="23" s="1"/>
  <c r="S56" i="23"/>
  <c r="S50" i="23"/>
  <c r="H50" i="19"/>
  <c r="H56" i="19"/>
  <c r="H56" i="24"/>
  <c r="H50" i="24"/>
  <c r="L58" i="34"/>
  <c r="N42" i="34"/>
  <c r="L52" i="34"/>
  <c r="AP40" i="18"/>
  <c r="AQ40" i="18" s="1"/>
  <c r="AN56" i="18"/>
  <c r="AN50" i="18"/>
  <c r="Z58" i="38"/>
  <c r="AB42" i="38"/>
  <c r="Z52" i="38"/>
  <c r="AP40" i="19"/>
  <c r="AQ40" i="19" s="1"/>
  <c r="AN56" i="19"/>
  <c r="AN50" i="19"/>
  <c r="D86" i="1"/>
  <c r="D85" i="1" s="1"/>
  <c r="D67" i="1"/>
  <c r="AG58" i="34"/>
  <c r="AI42" i="34"/>
  <c r="AG52" i="34"/>
  <c r="U40" i="22"/>
  <c r="V40" i="22" s="1"/>
  <c r="S50" i="22"/>
  <c r="S56" i="22"/>
  <c r="H58" i="25"/>
  <c r="H52" i="25"/>
  <c r="AN59" i="22"/>
  <c r="AB40" i="17"/>
  <c r="AC40" i="17" s="1"/>
  <c r="AJ40" i="17"/>
  <c r="Z56" i="17"/>
  <c r="Z50" i="17"/>
  <c r="AP40" i="23"/>
  <c r="AN50" i="23"/>
  <c r="AN56" i="23"/>
  <c r="AN58" i="33"/>
  <c r="AP42" i="33"/>
  <c r="AN52" i="33"/>
  <c r="S58" i="33"/>
  <c r="U42" i="33"/>
  <c r="V42" i="33" s="1"/>
  <c r="S52" i="33"/>
  <c r="AP40" i="11"/>
  <c r="AQ40" i="11" s="1"/>
  <c r="AN50" i="11"/>
  <c r="AN56" i="11"/>
  <c r="U40" i="24"/>
  <c r="S56" i="24"/>
  <c r="S50" i="24"/>
  <c r="AP40" i="20"/>
  <c r="AQ40" i="20" s="1"/>
  <c r="AN56" i="20"/>
  <c r="AN50" i="20"/>
  <c r="AB42" i="33"/>
  <c r="AC42" i="33" s="1"/>
  <c r="Z58" i="33"/>
  <c r="Z52" i="33"/>
  <c r="AB42" i="37"/>
  <c r="Z58" i="37"/>
  <c r="Z52" i="37"/>
  <c r="H56" i="16"/>
  <c r="H50" i="16"/>
  <c r="G72" i="1"/>
  <c r="G17" i="1"/>
  <c r="G73" i="1" s="1"/>
  <c r="AJ42" i="34"/>
  <c r="Z58" i="34"/>
  <c r="AB42" i="34"/>
  <c r="AC42" i="34" s="1"/>
  <c r="Z52" i="34"/>
  <c r="U42" i="41"/>
  <c r="AC42" i="41"/>
  <c r="S52" i="41"/>
  <c r="S55" i="41" s="1"/>
  <c r="S58" i="41"/>
  <c r="H58" i="38"/>
  <c r="H52" i="38"/>
  <c r="O42" i="40"/>
  <c r="H58" i="40"/>
  <c r="H52" i="40"/>
  <c r="AQ40" i="10"/>
  <c r="AI40" i="10"/>
  <c r="AG56" i="10"/>
  <c r="AG50" i="10"/>
  <c r="N42" i="39"/>
  <c r="O42" i="39" s="1"/>
  <c r="L58" i="39"/>
  <c r="L52" i="39"/>
  <c r="AB40" i="22"/>
  <c r="AC40" i="22" s="1"/>
  <c r="AJ40" i="22"/>
  <c r="Z50" i="22"/>
  <c r="Z56" i="22"/>
  <c r="H56" i="13"/>
  <c r="H50" i="13"/>
  <c r="O40" i="22"/>
  <c r="H56" i="22"/>
  <c r="H50" i="22"/>
  <c r="AB40" i="9"/>
  <c r="Z56" i="9"/>
  <c r="Z50" i="9"/>
  <c r="U42" i="30"/>
  <c r="S58" i="30"/>
  <c r="S52" i="30"/>
  <c r="H58" i="39"/>
  <c r="H52" i="39"/>
  <c r="AI40" i="22"/>
  <c r="AG56" i="22"/>
  <c r="AG50" i="22"/>
  <c r="AP42" i="32"/>
  <c r="AN58" i="32"/>
  <c r="AN52" i="32"/>
  <c r="H56" i="11"/>
  <c r="H50" i="11"/>
  <c r="AI42" i="29"/>
  <c r="AG58" i="29"/>
  <c r="AQ42" i="29"/>
  <c r="AG52" i="29"/>
  <c r="H58" i="31"/>
  <c r="O42" i="31"/>
  <c r="H52" i="31"/>
  <c r="L58" i="29"/>
  <c r="N42" i="29"/>
  <c r="O42" i="29" s="1"/>
  <c r="L52" i="29"/>
  <c r="Q61" i="41"/>
  <c r="L61" i="41"/>
  <c r="AG58" i="30"/>
  <c r="AQ42" i="30"/>
  <c r="AI42" i="30"/>
  <c r="AJ42" i="30" s="1"/>
  <c r="AG52" i="30"/>
  <c r="AP42" i="35"/>
  <c r="AN58" i="35"/>
  <c r="AN52" i="35"/>
  <c r="D17" i="1"/>
  <c r="D73" i="1" s="1"/>
  <c r="D72" i="1"/>
  <c r="U40" i="11"/>
  <c r="S56" i="11"/>
  <c r="S50" i="11"/>
  <c r="AB40" i="11"/>
  <c r="AC40" i="11" s="1"/>
  <c r="AJ40" i="11"/>
  <c r="Z50" i="11"/>
  <c r="Z56" i="11"/>
  <c r="N40" i="15"/>
  <c r="O40" i="15" s="1"/>
  <c r="L56" i="15"/>
  <c r="L50" i="15"/>
  <c r="AN58" i="29"/>
  <c r="AP42" i="29"/>
  <c r="AN52" i="29"/>
  <c r="N40" i="19"/>
  <c r="O40" i="19" s="1"/>
  <c r="L56" i="19"/>
  <c r="L50" i="19"/>
  <c r="AP40" i="22"/>
  <c r="AQ40" i="22" s="1"/>
  <c r="AN50" i="22"/>
  <c r="AN56" i="22"/>
  <c r="AN58" i="28"/>
  <c r="AP42" i="28"/>
  <c r="AQ42" i="28" s="1"/>
  <c r="AN52" i="28"/>
  <c r="H50" i="15"/>
  <c r="H56" i="15"/>
  <c r="N40" i="13"/>
  <c r="O40" i="13" s="1"/>
  <c r="L56" i="13"/>
  <c r="L50" i="13"/>
  <c r="L58" i="27"/>
  <c r="N42" i="27"/>
  <c r="L52" i="27"/>
  <c r="AB40" i="15"/>
  <c r="Z50" i="15"/>
  <c r="Z56" i="15"/>
  <c r="AP42" i="37"/>
  <c r="AN52" i="37"/>
  <c r="AN58" i="37"/>
  <c r="AN59" i="24"/>
  <c r="U40" i="15"/>
  <c r="V40" i="15" s="1"/>
  <c r="AC40" i="15"/>
  <c r="S50" i="15"/>
  <c r="S56" i="15"/>
  <c r="N42" i="30"/>
  <c r="O42" i="30" s="1"/>
  <c r="L58" i="30"/>
  <c r="V42" i="30"/>
  <c r="L52" i="30"/>
  <c r="AI40" i="23"/>
  <c r="AQ40" i="23"/>
  <c r="AG56" i="23"/>
  <c r="AG50" i="23"/>
  <c r="AP40" i="16"/>
  <c r="AQ40" i="16" s="1"/>
  <c r="AN50" i="16"/>
  <c r="AN56" i="16"/>
  <c r="AG58" i="31"/>
  <c r="AI42" i="31"/>
  <c r="AG52" i="31"/>
  <c r="AI40" i="12"/>
  <c r="AJ40" i="12" s="1"/>
  <c r="AQ40" i="12"/>
  <c r="AG56" i="12"/>
  <c r="AG50" i="12"/>
  <c r="AC42" i="31"/>
  <c r="S58" i="31"/>
  <c r="U42" i="31"/>
  <c r="V42" i="31" s="1"/>
  <c r="S52" i="31"/>
  <c r="AJ42" i="28"/>
  <c r="AB42" i="28"/>
  <c r="Z58" i="28"/>
  <c r="Z52" i="28"/>
  <c r="AG58" i="33"/>
  <c r="AI42" i="33"/>
  <c r="AJ42" i="33" s="1"/>
  <c r="AQ42" i="33"/>
  <c r="AG52" i="33"/>
  <c r="AI42" i="41"/>
  <c r="AQ42" i="41"/>
  <c r="AG52" i="41"/>
  <c r="AG58" i="41"/>
  <c r="AI39" i="27"/>
  <c r="AJ39" i="27" s="1"/>
  <c r="AG42" i="27"/>
  <c r="AQ39" i="27"/>
  <c r="S58" i="29"/>
  <c r="U42" i="29"/>
  <c r="V42" i="29" s="1"/>
  <c r="S52" i="29"/>
  <c r="O40" i="14"/>
  <c r="H56" i="14"/>
  <c r="H50" i="14"/>
  <c r="H58" i="41"/>
  <c r="H52" i="41"/>
  <c r="AG58" i="40"/>
  <c r="AI42" i="40"/>
  <c r="AJ42" i="40" s="1"/>
  <c r="AG52" i="40"/>
  <c r="AJ40" i="24"/>
  <c r="AB40" i="24"/>
  <c r="AC40" i="24" s="1"/>
  <c r="Z50" i="24"/>
  <c r="Z56" i="24"/>
  <c r="C72" i="1"/>
  <c r="C17" i="1"/>
  <c r="C73" i="1" s="1"/>
  <c r="AI40" i="19"/>
  <c r="AJ40" i="19" s="1"/>
  <c r="AG56" i="19"/>
  <c r="AG50" i="19"/>
  <c r="S58" i="25"/>
  <c r="U42" i="25"/>
  <c r="AC42" i="25"/>
  <c r="S52" i="25"/>
  <c r="V40" i="18"/>
  <c r="N40" i="18"/>
  <c r="O40" i="18" s="1"/>
  <c r="L56" i="18"/>
  <c r="L50" i="18"/>
  <c r="U40" i="18"/>
  <c r="AC40" i="18"/>
  <c r="S56" i="18"/>
  <c r="S50" i="18"/>
  <c r="S56" i="9"/>
  <c r="AC40" i="9"/>
  <c r="U40" i="9"/>
  <c r="V40" i="9" s="1"/>
  <c r="S50" i="9"/>
  <c r="AP42" i="39"/>
  <c r="AQ42" i="39" s="1"/>
  <c r="AN58" i="39"/>
  <c r="AN52" i="39"/>
  <c r="AI40" i="16"/>
  <c r="AG50" i="16"/>
  <c r="AG56" i="16"/>
  <c r="AP40" i="9"/>
  <c r="AN56" i="9"/>
  <c r="AN50" i="9"/>
  <c r="AB42" i="41"/>
  <c r="AJ42" i="41"/>
  <c r="Z58" i="41"/>
  <c r="Z52" i="41"/>
  <c r="G86" i="1"/>
  <c r="G85" i="1" s="1"/>
  <c r="G67" i="1"/>
  <c r="H56" i="9"/>
  <c r="O40" i="9"/>
  <c r="H50" i="9"/>
  <c r="AI42" i="25"/>
  <c r="AJ42" i="25" s="1"/>
  <c r="AG58" i="25"/>
  <c r="AG52" i="25"/>
  <c r="L58" i="32"/>
  <c r="N42" i="32"/>
  <c r="O42" i="32" s="1"/>
  <c r="L52" i="32"/>
  <c r="H58" i="35"/>
  <c r="H52" i="35"/>
  <c r="AB42" i="25"/>
  <c r="Z58" i="25"/>
  <c r="Z52" i="25"/>
  <c r="H58" i="27"/>
  <c r="O42" i="27"/>
  <c r="H52" i="27"/>
  <c r="N40" i="16"/>
  <c r="O40" i="16" s="1"/>
  <c r="V40" i="16"/>
  <c r="L50" i="16"/>
  <c r="L56" i="16"/>
  <c r="AB42" i="32"/>
  <c r="Z58" i="32"/>
  <c r="Z52" i="32"/>
  <c r="U40" i="20"/>
  <c r="V40" i="20" s="1"/>
  <c r="AC40" i="20"/>
  <c r="S56" i="20"/>
  <c r="S50" i="20"/>
  <c r="O42" i="28"/>
  <c r="H58" i="28"/>
  <c r="H52" i="28"/>
  <c r="AC42" i="38"/>
  <c r="U42" i="38"/>
  <c r="V42" i="38" s="1"/>
  <c r="S58" i="38"/>
  <c r="S52" i="38"/>
  <c r="AP40" i="17"/>
  <c r="AQ40" i="17" s="1"/>
  <c r="AN56" i="17"/>
  <c r="AN50" i="17"/>
  <c r="Z58" i="35"/>
  <c r="AB42" i="35"/>
  <c r="Z52" i="35"/>
  <c r="AI42" i="39"/>
  <c r="AJ42" i="39" s="1"/>
  <c r="AG58" i="39"/>
  <c r="AG52" i="39"/>
  <c r="AQ40" i="9"/>
  <c r="AI40" i="9"/>
  <c r="AJ40" i="9" s="1"/>
  <c r="AG56" i="9"/>
  <c r="AG50" i="9"/>
  <c r="AP40" i="13"/>
  <c r="AQ40" i="13" s="1"/>
  <c r="AN56" i="13"/>
  <c r="AN50" i="13"/>
  <c r="O40" i="20"/>
  <c r="H56" i="20"/>
  <c r="H50" i="20"/>
  <c r="N42" i="26"/>
  <c r="L58" i="26"/>
  <c r="V42" i="26"/>
  <c r="L52" i="26"/>
  <c r="AC40" i="12"/>
  <c r="U40" i="12"/>
  <c r="V40" i="12" s="1"/>
  <c r="S50" i="12"/>
  <c r="S56" i="12"/>
  <c r="S58" i="39"/>
  <c r="AC42" i="39"/>
  <c r="U42" i="39"/>
  <c r="V42" i="39" s="1"/>
  <c r="S52" i="39"/>
  <c r="X55" i="41"/>
  <c r="H58" i="26"/>
  <c r="O42" i="26"/>
  <c r="H52" i="26"/>
  <c r="AN58" i="31"/>
  <c r="AP42" i="31"/>
  <c r="AQ42" i="31" s="1"/>
  <c r="AN52" i="31"/>
  <c r="Z58" i="31"/>
  <c r="AJ42" i="31"/>
  <c r="AB42" i="31"/>
  <c r="Z52" i="31"/>
  <c r="AG42" i="32"/>
  <c r="AI39" i="32"/>
  <c r="AJ39" i="32" s="1"/>
  <c r="AQ39" i="32"/>
  <c r="AI42" i="26"/>
  <c r="AJ42" i="26" s="1"/>
  <c r="AG58" i="26"/>
  <c r="AQ42" i="26"/>
  <c r="AG52" i="26"/>
  <c r="N39" i="25"/>
  <c r="O39" i="25" s="1"/>
  <c r="L42" i="25"/>
  <c r="AI40" i="14"/>
  <c r="AQ40" i="14"/>
  <c r="AG56" i="14"/>
  <c r="AG50" i="14"/>
  <c r="F72" i="1"/>
  <c r="F17" i="1"/>
  <c r="F73" i="1" s="1"/>
  <c r="N40" i="24"/>
  <c r="O40" i="24" s="1"/>
  <c r="V40" i="24"/>
  <c r="L50" i="24"/>
  <c r="L56" i="24"/>
  <c r="AQ42" i="37"/>
  <c r="AI42" i="37"/>
  <c r="AJ42" i="37" s="1"/>
  <c r="AG52" i="37"/>
  <c r="AG58" i="37"/>
  <c r="N40" i="10"/>
  <c r="L50" i="10"/>
  <c r="L56" i="10"/>
  <c r="L58" i="40"/>
  <c r="N42" i="40"/>
  <c r="L52" i="40"/>
  <c r="AP40" i="15"/>
  <c r="AN56" i="15"/>
  <c r="AN50" i="15"/>
  <c r="AP42" i="26"/>
  <c r="AN58" i="26"/>
  <c r="AN52" i="26"/>
  <c r="AP42" i="36"/>
  <c r="AQ42" i="36" s="1"/>
  <c r="AN58" i="36"/>
  <c r="AN52" i="36"/>
  <c r="N40" i="20"/>
  <c r="L56" i="20"/>
  <c r="L50" i="20"/>
  <c r="O40" i="10"/>
  <c r="H56" i="10"/>
  <c r="H50" i="10"/>
  <c r="N42" i="38"/>
  <c r="O42" i="38" s="1"/>
  <c r="L58" i="38"/>
  <c r="L52" i="38"/>
  <c r="AG58" i="35"/>
  <c r="AI42" i="35"/>
  <c r="AJ42" i="35" s="1"/>
  <c r="AQ42" i="35"/>
  <c r="AG52" i="35"/>
  <c r="V42" i="41"/>
  <c r="N42" i="41"/>
  <c r="O42" i="41" s="1"/>
  <c r="L52" i="41"/>
  <c r="L58" i="41"/>
  <c r="AJ40" i="14"/>
  <c r="AB40" i="14"/>
  <c r="AC40" i="14" s="1"/>
  <c r="Z50" i="14"/>
  <c r="Z56" i="14"/>
  <c r="O40" i="17"/>
  <c r="H56" i="17"/>
  <c r="H50" i="17"/>
  <c r="Z19" i="3"/>
  <c r="T21" i="3"/>
  <c r="U21" i="3" s="1"/>
  <c r="W22" i="3"/>
  <c r="V40" i="14"/>
  <c r="N40" i="14"/>
  <c r="L56" i="14"/>
  <c r="L50" i="14"/>
  <c r="V42" i="37"/>
  <c r="N42" i="37"/>
  <c r="O42" i="37" s="1"/>
  <c r="L58" i="37"/>
  <c r="Z58" i="40"/>
  <c r="AB42" i="40"/>
  <c r="AC42" i="40" s="1"/>
  <c r="Z52" i="40"/>
  <c r="U42" i="27"/>
  <c r="V42" i="27" s="1"/>
  <c r="S58" i="27"/>
  <c r="AC42" i="27"/>
  <c r="S52" i="27"/>
  <c r="AG58" i="38"/>
  <c r="AQ42" i="38"/>
  <c r="AI42" i="38"/>
  <c r="AJ42" i="38" s="1"/>
  <c r="AG52" i="38"/>
  <c r="AJ40" i="23"/>
  <c r="AB40" i="23"/>
  <c r="AC40" i="23" s="1"/>
  <c r="Z50" i="23"/>
  <c r="Z56" i="23"/>
  <c r="U40" i="16"/>
  <c r="S56" i="16"/>
  <c r="S50" i="16"/>
  <c r="AI40" i="15"/>
  <c r="AJ40" i="15" s="1"/>
  <c r="AQ40" i="15"/>
  <c r="AG56" i="15"/>
  <c r="AG50" i="15"/>
  <c r="AP40" i="21"/>
  <c r="AQ40" i="21" s="1"/>
  <c r="AN56" i="21"/>
  <c r="AN50" i="21"/>
  <c r="H58" i="37"/>
  <c r="H52" i="37"/>
  <c r="Z58" i="29"/>
  <c r="AB42" i="29"/>
  <c r="AC42" i="29" s="1"/>
  <c r="AJ42" i="29"/>
  <c r="Z52" i="29"/>
  <c r="AC42" i="32"/>
  <c r="U42" i="32"/>
  <c r="V42" i="32" s="1"/>
  <c r="S58" i="32"/>
  <c r="S52" i="32"/>
  <c r="X61" i="37"/>
  <c r="AE55" i="37"/>
  <c r="AB42" i="36"/>
  <c r="AC42" i="36" s="1"/>
  <c r="Z58" i="36"/>
  <c r="AJ42" i="36"/>
  <c r="Z52" i="36"/>
  <c r="S58" i="40"/>
  <c r="U42" i="40"/>
  <c r="V42" i="40" s="1"/>
  <c r="S52" i="40"/>
  <c r="AN58" i="27"/>
  <c r="AP42" i="27"/>
  <c r="AN52" i="27"/>
  <c r="AN58" i="34"/>
  <c r="AP42" i="34"/>
  <c r="AQ42" i="34" s="1"/>
  <c r="AN52" i="34"/>
  <c r="AI40" i="18"/>
  <c r="AJ40" i="18" s="1"/>
  <c r="AG56" i="18"/>
  <c r="AG50" i="18"/>
  <c r="I23" i="3"/>
  <c r="U40" i="19"/>
  <c r="V40" i="19" s="1"/>
  <c r="AC40" i="19"/>
  <c r="S56" i="19"/>
  <c r="S50" i="19"/>
  <c r="H22" i="3"/>
  <c r="AJ29" i="27"/>
  <c r="N40" i="21"/>
  <c r="O40" i="21" s="1"/>
  <c r="V40" i="21"/>
  <c r="L56" i="21"/>
  <c r="L50" i="21"/>
  <c r="AC42" i="35"/>
  <c r="U42" i="35"/>
  <c r="S58" i="35"/>
  <c r="S52" i="35"/>
  <c r="U40" i="13"/>
  <c r="V40" i="13" s="1"/>
  <c r="AC40" i="13"/>
  <c r="S56" i="13"/>
  <c r="S50" i="13"/>
  <c r="H58" i="33"/>
  <c r="O42" i="33"/>
  <c r="H52" i="33"/>
  <c r="T18" i="3"/>
  <c r="U18" i="3" s="1"/>
  <c r="U39" i="25"/>
  <c r="V39" i="25" s="1"/>
  <c r="AB40" i="16"/>
  <c r="AC40" i="16" s="1"/>
  <c r="AJ40" i="16"/>
  <c r="Z56" i="16"/>
  <c r="Z50" i="16"/>
  <c r="AB52" i="36" l="1"/>
  <c r="Z55" i="36"/>
  <c r="Z53" i="36"/>
  <c r="L60" i="40"/>
  <c r="L61" i="40"/>
  <c r="L59" i="40"/>
  <c r="N58" i="40"/>
  <c r="O58" i="40" s="1"/>
  <c r="AN52" i="9"/>
  <c r="AP50" i="9"/>
  <c r="AN51" i="9"/>
  <c r="AN53" i="9"/>
  <c r="AN59" i="27"/>
  <c r="AN60" i="27" s="1"/>
  <c r="AN61" i="27"/>
  <c r="AP58" i="27"/>
  <c r="AN57" i="15"/>
  <c r="AP56" i="15"/>
  <c r="AN59" i="15"/>
  <c r="AP59" i="15" s="1"/>
  <c r="N56" i="18"/>
  <c r="O56" i="18" s="1"/>
  <c r="L57" i="18"/>
  <c r="L58" i="18"/>
  <c r="L59" i="18"/>
  <c r="U58" i="31"/>
  <c r="S59" i="31"/>
  <c r="S60" i="31" s="1"/>
  <c r="S61" i="31"/>
  <c r="H53" i="31"/>
  <c r="H55" i="31"/>
  <c r="O55" i="31" s="1"/>
  <c r="S59" i="35"/>
  <c r="U58" i="35"/>
  <c r="S60" i="35"/>
  <c r="S61" i="35"/>
  <c r="U52" i="40"/>
  <c r="S53" i="40"/>
  <c r="S55" i="40"/>
  <c r="S60" i="32"/>
  <c r="S61" i="32"/>
  <c r="U58" i="32"/>
  <c r="S59" i="32"/>
  <c r="AB58" i="40"/>
  <c r="Z61" i="40"/>
  <c r="Z59" i="40"/>
  <c r="L51" i="20"/>
  <c r="L52" i="20" s="1"/>
  <c r="V50" i="20"/>
  <c r="D19" i="1" s="1"/>
  <c r="D74" i="1" s="1"/>
  <c r="N50" i="20"/>
  <c r="C18" i="1" s="1"/>
  <c r="L53" i="20"/>
  <c r="Z59" i="31"/>
  <c r="Z60" i="31"/>
  <c r="Z61" i="31"/>
  <c r="AB58" i="31"/>
  <c r="AC58" i="31" s="1"/>
  <c r="AJ58" i="31"/>
  <c r="S59" i="39"/>
  <c r="U58" i="39"/>
  <c r="S60" i="39"/>
  <c r="S61" i="39"/>
  <c r="AN51" i="13"/>
  <c r="AN52" i="13" s="1"/>
  <c r="AP50" i="13"/>
  <c r="AN53" i="13"/>
  <c r="AB52" i="41"/>
  <c r="E54" i="1" s="1"/>
  <c r="Z53" i="41"/>
  <c r="AP58" i="39"/>
  <c r="AN61" i="39"/>
  <c r="AN60" i="39"/>
  <c r="AN59" i="39"/>
  <c r="Z57" i="24"/>
  <c r="AB56" i="24"/>
  <c r="Z58" i="24"/>
  <c r="Z59" i="24"/>
  <c r="H57" i="14"/>
  <c r="H59" i="14"/>
  <c r="AI50" i="23"/>
  <c r="AJ50" i="23" s="1"/>
  <c r="AG51" i="23"/>
  <c r="AG52" i="23" s="1"/>
  <c r="AG53" i="23"/>
  <c r="L51" i="13"/>
  <c r="N50" i="13"/>
  <c r="L52" i="13"/>
  <c r="L53" i="13"/>
  <c r="AB56" i="11"/>
  <c r="AC56" i="11" s="1"/>
  <c r="Z57" i="11"/>
  <c r="Z58" i="11" s="1"/>
  <c r="Z59" i="11"/>
  <c r="AG52" i="22"/>
  <c r="AI50" i="22"/>
  <c r="AG51" i="22"/>
  <c r="AG53" i="22"/>
  <c r="AJ56" i="9"/>
  <c r="AB56" i="9"/>
  <c r="Z57" i="9"/>
  <c r="Z59" i="9"/>
  <c r="H55" i="38"/>
  <c r="O55" i="38" s="1"/>
  <c r="H54" i="38"/>
  <c r="H53" i="38"/>
  <c r="AN52" i="20"/>
  <c r="AP50" i="20"/>
  <c r="G18" i="1" s="1"/>
  <c r="AN51" i="20"/>
  <c r="AN53" i="20"/>
  <c r="AP53" i="20" s="1"/>
  <c r="D87" i="1"/>
  <c r="D68" i="1"/>
  <c r="D88" i="1" s="1"/>
  <c r="L54" i="34"/>
  <c r="L53" i="34"/>
  <c r="N52" i="34"/>
  <c r="C36" i="1" s="1"/>
  <c r="L55" i="34"/>
  <c r="AP56" i="14"/>
  <c r="AN57" i="14"/>
  <c r="AN59" i="14"/>
  <c r="L61" i="33"/>
  <c r="L59" i="33"/>
  <c r="N58" i="33"/>
  <c r="O58" i="33" s="1"/>
  <c r="AN58" i="12"/>
  <c r="AN57" i="12"/>
  <c r="AP56" i="12"/>
  <c r="AN59" i="12"/>
  <c r="H51" i="12"/>
  <c r="H53" i="12"/>
  <c r="H57" i="18"/>
  <c r="H59" i="18"/>
  <c r="Z54" i="26"/>
  <c r="Z53" i="26"/>
  <c r="Z55" i="26"/>
  <c r="AB52" i="26"/>
  <c r="E24" i="1" s="1"/>
  <c r="AN55" i="40"/>
  <c r="AN54" i="40"/>
  <c r="AP52" i="40"/>
  <c r="AQ52" i="40" s="1"/>
  <c r="AN53" i="40"/>
  <c r="L53" i="23"/>
  <c r="L51" i="23"/>
  <c r="L52" i="23" s="1"/>
  <c r="N50" i="23"/>
  <c r="H59" i="32"/>
  <c r="H60" i="32" s="1"/>
  <c r="H61" i="32"/>
  <c r="O61" i="32" s="1"/>
  <c r="L54" i="36"/>
  <c r="N52" i="36"/>
  <c r="L53" i="36"/>
  <c r="L55" i="36"/>
  <c r="AB50" i="13"/>
  <c r="Z52" i="13"/>
  <c r="Z51" i="13"/>
  <c r="Z53" i="13"/>
  <c r="AI52" i="40"/>
  <c r="AG55" i="40"/>
  <c r="AG53" i="40"/>
  <c r="AG54" i="40"/>
  <c r="Z53" i="35"/>
  <c r="Z54" i="35" s="1"/>
  <c r="AJ52" i="35"/>
  <c r="AB52" i="35"/>
  <c r="AC52" i="35" s="1"/>
  <c r="Z55" i="35"/>
  <c r="L53" i="32"/>
  <c r="L54" i="32" s="1"/>
  <c r="L55" i="32"/>
  <c r="N52" i="32"/>
  <c r="L59" i="27"/>
  <c r="L61" i="27"/>
  <c r="N58" i="27"/>
  <c r="O58" i="27" s="1"/>
  <c r="L60" i="27"/>
  <c r="AI50" i="15"/>
  <c r="F12" i="1" s="1"/>
  <c r="AG51" i="15"/>
  <c r="AG53" i="15"/>
  <c r="AQ52" i="38"/>
  <c r="AG55" i="38"/>
  <c r="AG53" i="38"/>
  <c r="AI52" i="38"/>
  <c r="L53" i="37"/>
  <c r="N52" i="37"/>
  <c r="C42" i="1" s="1"/>
  <c r="L55" i="37"/>
  <c r="AI52" i="35"/>
  <c r="AG53" i="35"/>
  <c r="AG55" i="35"/>
  <c r="L57" i="20"/>
  <c r="L58" i="20" s="1"/>
  <c r="N56" i="20"/>
  <c r="L59" i="20"/>
  <c r="L55" i="40"/>
  <c r="L53" i="40"/>
  <c r="V52" i="40"/>
  <c r="N52" i="40"/>
  <c r="N56" i="24"/>
  <c r="O56" i="24" s="1"/>
  <c r="L57" i="24"/>
  <c r="L59" i="24"/>
  <c r="L58" i="24"/>
  <c r="AN53" i="31"/>
  <c r="AP53" i="31" s="1"/>
  <c r="AN55" i="31"/>
  <c r="AP52" i="31"/>
  <c r="G30" i="1" s="1"/>
  <c r="S57" i="12"/>
  <c r="U56" i="12"/>
  <c r="S58" i="12"/>
  <c r="S59" i="12"/>
  <c r="AP56" i="13"/>
  <c r="AN57" i="13"/>
  <c r="AP57" i="13" s="1"/>
  <c r="AN59" i="13"/>
  <c r="AP59" i="13" s="1"/>
  <c r="S51" i="20"/>
  <c r="S52" i="20" s="1"/>
  <c r="U50" i="20"/>
  <c r="D18" i="1" s="1"/>
  <c r="S53" i="20"/>
  <c r="H55" i="27"/>
  <c r="O55" i="27" s="1"/>
  <c r="O52" i="27"/>
  <c r="H53" i="27"/>
  <c r="AJ58" i="41"/>
  <c r="Z59" i="41"/>
  <c r="Z60" i="41" s="1"/>
  <c r="AB58" i="41"/>
  <c r="AC58" i="41" s="1"/>
  <c r="Z52" i="24"/>
  <c r="AB50" i="24"/>
  <c r="Z51" i="24"/>
  <c r="Z53" i="24"/>
  <c r="AG54" i="33"/>
  <c r="AG53" i="33"/>
  <c r="AI52" i="33"/>
  <c r="AG55" i="33"/>
  <c r="AQ52" i="33"/>
  <c r="AG51" i="12"/>
  <c r="AG52" i="12" s="1"/>
  <c r="AI50" i="12"/>
  <c r="AG53" i="12"/>
  <c r="AI56" i="23"/>
  <c r="AJ56" i="23" s="1"/>
  <c r="AG57" i="23"/>
  <c r="AG59" i="23"/>
  <c r="AN59" i="37"/>
  <c r="AP59" i="37" s="1"/>
  <c r="AP58" i="37"/>
  <c r="L58" i="13"/>
  <c r="N56" i="13"/>
  <c r="L57" i="13"/>
  <c r="L59" i="13"/>
  <c r="L51" i="19"/>
  <c r="L52" i="19" s="1"/>
  <c r="L53" i="19"/>
  <c r="N50" i="19"/>
  <c r="AJ50" i="11"/>
  <c r="Z51" i="11"/>
  <c r="Z52" i="11" s="1"/>
  <c r="AB50" i="11"/>
  <c r="Z53" i="11"/>
  <c r="AG55" i="30"/>
  <c r="AI52" i="30"/>
  <c r="AG53" i="30"/>
  <c r="AG54" i="30"/>
  <c r="H61" i="31"/>
  <c r="O61" i="31" s="1"/>
  <c r="H59" i="31"/>
  <c r="H60" i="31" s="1"/>
  <c r="O58" i="31"/>
  <c r="AI56" i="22"/>
  <c r="AG57" i="22"/>
  <c r="AG59" i="22"/>
  <c r="AP59" i="22" s="1"/>
  <c r="L55" i="39"/>
  <c r="N52" i="39"/>
  <c r="C48" i="1" s="1"/>
  <c r="L54" i="39"/>
  <c r="L53" i="39"/>
  <c r="O50" i="16"/>
  <c r="H53" i="16"/>
  <c r="H51" i="16"/>
  <c r="H52" i="16" s="1"/>
  <c r="AP56" i="20"/>
  <c r="AN57" i="20"/>
  <c r="AN58" i="20" s="1"/>
  <c r="AN59" i="20"/>
  <c r="S59" i="33"/>
  <c r="U58" i="33"/>
  <c r="V58" i="33" s="1"/>
  <c r="S61" i="33"/>
  <c r="S60" i="33"/>
  <c r="H55" i="25"/>
  <c r="O55" i="25" s="1"/>
  <c r="H54" i="25"/>
  <c r="H53" i="25"/>
  <c r="L60" i="31"/>
  <c r="L61" i="31"/>
  <c r="L59" i="31"/>
  <c r="V58" i="31"/>
  <c r="N58" i="31"/>
  <c r="H51" i="21"/>
  <c r="H52" i="21"/>
  <c r="H53" i="21"/>
  <c r="AN52" i="14"/>
  <c r="AN51" i="14"/>
  <c r="AP50" i="14"/>
  <c r="AN53" i="14"/>
  <c r="AN55" i="30"/>
  <c r="AN53" i="30"/>
  <c r="AP53" i="30" s="1"/>
  <c r="AP52" i="30"/>
  <c r="AQ52" i="30" s="1"/>
  <c r="N58" i="28"/>
  <c r="L61" i="28"/>
  <c r="L60" i="28"/>
  <c r="L59" i="28"/>
  <c r="V58" i="28"/>
  <c r="H57" i="12"/>
  <c r="H59" i="12"/>
  <c r="U14" i="3"/>
  <c r="T15" i="3"/>
  <c r="U15" i="3" s="1"/>
  <c r="N56" i="23"/>
  <c r="L57" i="23"/>
  <c r="L58" i="23"/>
  <c r="L59" i="23"/>
  <c r="Z58" i="13"/>
  <c r="AB56" i="13"/>
  <c r="Z57" i="13"/>
  <c r="Z59" i="13"/>
  <c r="S55" i="32"/>
  <c r="S53" i="32"/>
  <c r="S54" i="32"/>
  <c r="U52" i="32"/>
  <c r="V52" i="32" s="1"/>
  <c r="V42" i="25"/>
  <c r="L58" i="25"/>
  <c r="N42" i="25"/>
  <c r="O42" i="25" s="1"/>
  <c r="L52" i="25"/>
  <c r="AN55" i="39"/>
  <c r="AN54" i="39"/>
  <c r="AP52" i="39"/>
  <c r="G48" i="1" s="1"/>
  <c r="AN53" i="39"/>
  <c r="AN52" i="22"/>
  <c r="AN51" i="22"/>
  <c r="AP51" i="22" s="1"/>
  <c r="AP50" i="22"/>
  <c r="AQ50" i="22" s="1"/>
  <c r="AN53" i="22"/>
  <c r="AP53" i="22" s="1"/>
  <c r="Z52" i="9"/>
  <c r="AJ50" i="9"/>
  <c r="Z51" i="9"/>
  <c r="AB50" i="9"/>
  <c r="Z53" i="9"/>
  <c r="AG61" i="34"/>
  <c r="AG59" i="34"/>
  <c r="AG60" i="34" s="1"/>
  <c r="AI58" i="34"/>
  <c r="AJ58" i="34" s="1"/>
  <c r="AI50" i="18"/>
  <c r="AG52" i="18"/>
  <c r="AG51" i="18"/>
  <c r="AG53" i="18"/>
  <c r="AQ56" i="15"/>
  <c r="AG58" i="15"/>
  <c r="AG57" i="15"/>
  <c r="AI56" i="15"/>
  <c r="AG59" i="15"/>
  <c r="L60" i="37"/>
  <c r="N58" i="37"/>
  <c r="L59" i="37"/>
  <c r="L61" i="37"/>
  <c r="O50" i="17"/>
  <c r="H52" i="17"/>
  <c r="H51" i="17"/>
  <c r="H53" i="17"/>
  <c r="L53" i="24"/>
  <c r="N50" i="24"/>
  <c r="L51" i="24"/>
  <c r="L52" i="24" s="1"/>
  <c r="AG53" i="26"/>
  <c r="AG55" i="26"/>
  <c r="AG54" i="26"/>
  <c r="AI52" i="26"/>
  <c r="F24" i="1" s="1"/>
  <c r="S51" i="12"/>
  <c r="U50" i="12"/>
  <c r="S53" i="12"/>
  <c r="Z61" i="35"/>
  <c r="AB58" i="35"/>
  <c r="AC58" i="35" s="1"/>
  <c r="Z59" i="35"/>
  <c r="Z60" i="35" s="1"/>
  <c r="S57" i="20"/>
  <c r="S58" i="20" s="1"/>
  <c r="U56" i="20"/>
  <c r="V56" i="20" s="1"/>
  <c r="S59" i="20"/>
  <c r="L59" i="32"/>
  <c r="N58" i="32"/>
  <c r="O58" i="32" s="1"/>
  <c r="L60" i="32"/>
  <c r="L61" i="32"/>
  <c r="V58" i="32"/>
  <c r="S51" i="9"/>
  <c r="U50" i="9"/>
  <c r="V50" i="9" s="1"/>
  <c r="AC50" i="9"/>
  <c r="S53" i="9"/>
  <c r="S55" i="25"/>
  <c r="S53" i="25"/>
  <c r="U52" i="25"/>
  <c r="S55" i="29"/>
  <c r="U52" i="29"/>
  <c r="S53" i="29"/>
  <c r="AQ56" i="12"/>
  <c r="AG58" i="12"/>
  <c r="AG57" i="12"/>
  <c r="AI56" i="12"/>
  <c r="AG59" i="12"/>
  <c r="AN53" i="37"/>
  <c r="AP52" i="37"/>
  <c r="G42" i="1" s="1"/>
  <c r="AN54" i="37"/>
  <c r="N56" i="19"/>
  <c r="L57" i="19"/>
  <c r="L58" i="19"/>
  <c r="L59" i="19"/>
  <c r="AG54" i="29"/>
  <c r="AG55" i="29"/>
  <c r="AG53" i="29"/>
  <c r="AI52" i="29"/>
  <c r="H61" i="38"/>
  <c r="O61" i="38" s="1"/>
  <c r="H59" i="38"/>
  <c r="O56" i="16"/>
  <c r="H58" i="16"/>
  <c r="H57" i="16"/>
  <c r="H59" i="16"/>
  <c r="AN54" i="33"/>
  <c r="AN55" i="33"/>
  <c r="AP55" i="33" s="1"/>
  <c r="AN53" i="33"/>
  <c r="AP53" i="33" s="1"/>
  <c r="AP52" i="33"/>
  <c r="H59" i="25"/>
  <c r="H61" i="25"/>
  <c r="O61" i="25" s="1"/>
  <c r="AN51" i="19"/>
  <c r="AP51" i="19" s="1"/>
  <c r="AN53" i="19"/>
  <c r="AP53" i="19" s="1"/>
  <c r="AP50" i="19"/>
  <c r="AN53" i="38"/>
  <c r="AP53" i="38" s="1"/>
  <c r="AP52" i="38"/>
  <c r="AN55" i="38"/>
  <c r="AP55" i="38" s="1"/>
  <c r="H57" i="21"/>
  <c r="H58" i="21" s="1"/>
  <c r="O56" i="21"/>
  <c r="H59" i="21"/>
  <c r="Z61" i="30"/>
  <c r="Z60" i="30"/>
  <c r="Z59" i="30"/>
  <c r="AB58" i="30"/>
  <c r="S51" i="10"/>
  <c r="U50" i="10"/>
  <c r="S52" i="10"/>
  <c r="S53" i="10"/>
  <c r="AP58" i="30"/>
  <c r="AN61" i="30"/>
  <c r="AN59" i="30"/>
  <c r="AP59" i="30" s="1"/>
  <c r="S55" i="28"/>
  <c r="S54" i="28"/>
  <c r="S53" i="28"/>
  <c r="U52" i="28"/>
  <c r="C87" i="1"/>
  <c r="C68" i="1"/>
  <c r="C88" i="1" s="1"/>
  <c r="N50" i="11"/>
  <c r="L53" i="11"/>
  <c r="L51" i="11"/>
  <c r="L52" i="11" s="1"/>
  <c r="AN60" i="40"/>
  <c r="AN59" i="40"/>
  <c r="AN61" i="40"/>
  <c r="AP58" i="40"/>
  <c r="O52" i="34"/>
  <c r="C37" i="1" s="1"/>
  <c r="H53" i="34"/>
  <c r="H55" i="34"/>
  <c r="O55" i="34" s="1"/>
  <c r="S59" i="37"/>
  <c r="S60" i="37"/>
  <c r="U58" i="37"/>
  <c r="V58" i="37" s="1"/>
  <c r="N58" i="36"/>
  <c r="L61" i="36"/>
  <c r="L59" i="36"/>
  <c r="L60" i="36" s="1"/>
  <c r="N56" i="21"/>
  <c r="L57" i="21"/>
  <c r="L58" i="21" s="1"/>
  <c r="L59" i="21"/>
  <c r="AN54" i="36"/>
  <c r="AP52" i="36"/>
  <c r="AN55" i="36"/>
  <c r="AP55" i="36" s="1"/>
  <c r="AN53" i="36"/>
  <c r="S55" i="35"/>
  <c r="S53" i="35"/>
  <c r="S54" i="35"/>
  <c r="U52" i="35"/>
  <c r="V52" i="35" s="1"/>
  <c r="AP56" i="21"/>
  <c r="AN59" i="21"/>
  <c r="AN57" i="21"/>
  <c r="AP57" i="21" s="1"/>
  <c r="H60" i="28"/>
  <c r="H59" i="28"/>
  <c r="O58" i="28"/>
  <c r="H61" i="28"/>
  <c r="O61" i="28" s="1"/>
  <c r="H51" i="14"/>
  <c r="H53" i="14"/>
  <c r="AP58" i="35"/>
  <c r="AN59" i="35"/>
  <c r="AN60" i="35" s="1"/>
  <c r="AN61" i="35"/>
  <c r="AP61" i="35" s="1"/>
  <c r="L52" i="21"/>
  <c r="L51" i="21"/>
  <c r="N50" i="21"/>
  <c r="O50" i="21" s="1"/>
  <c r="L53" i="21"/>
  <c r="AI56" i="18"/>
  <c r="AG57" i="18"/>
  <c r="AG59" i="18"/>
  <c r="AC58" i="40"/>
  <c r="S60" i="40"/>
  <c r="S59" i="40"/>
  <c r="U58" i="40"/>
  <c r="V58" i="40" s="1"/>
  <c r="S61" i="40"/>
  <c r="Z55" i="29"/>
  <c r="AJ52" i="29"/>
  <c r="Z53" i="29"/>
  <c r="AB52" i="29"/>
  <c r="AC52" i="29" s="1"/>
  <c r="H57" i="17"/>
  <c r="H59" i="17"/>
  <c r="AN60" i="31"/>
  <c r="AP58" i="31"/>
  <c r="AN61" i="31"/>
  <c r="AN59" i="31"/>
  <c r="AQ50" i="9"/>
  <c r="AI50" i="9"/>
  <c r="AG51" i="9"/>
  <c r="AG52" i="9" s="1"/>
  <c r="AG53" i="9"/>
  <c r="AN53" i="17"/>
  <c r="AN51" i="17"/>
  <c r="AP51" i="17" s="1"/>
  <c r="AP50" i="17"/>
  <c r="H59" i="27"/>
  <c r="H60" i="27" s="1"/>
  <c r="H61" i="27"/>
  <c r="O61" i="27" s="1"/>
  <c r="AI52" i="25"/>
  <c r="AG53" i="25"/>
  <c r="AG55" i="25"/>
  <c r="H52" i="22"/>
  <c r="H51" i="22"/>
  <c r="H53" i="22"/>
  <c r="N58" i="39"/>
  <c r="L60" i="39"/>
  <c r="L59" i="39"/>
  <c r="V58" i="39"/>
  <c r="L61" i="39"/>
  <c r="U58" i="41"/>
  <c r="V58" i="41" s="1"/>
  <c r="S59" i="41"/>
  <c r="S51" i="24"/>
  <c r="U50" i="24"/>
  <c r="V50" i="24" s="1"/>
  <c r="AC50" i="24"/>
  <c r="S53" i="24"/>
  <c r="AP56" i="19"/>
  <c r="AN57" i="19"/>
  <c r="AN59" i="19"/>
  <c r="L61" i="34"/>
  <c r="N58" i="34"/>
  <c r="O58" i="34" s="1"/>
  <c r="L59" i="34"/>
  <c r="V58" i="34"/>
  <c r="L54" i="35"/>
  <c r="L55" i="35"/>
  <c r="L53" i="35"/>
  <c r="N52" i="35"/>
  <c r="AB56" i="12"/>
  <c r="AC56" i="12" s="1"/>
  <c r="Z59" i="12"/>
  <c r="Z57" i="12"/>
  <c r="AJ56" i="12"/>
  <c r="AN59" i="41"/>
  <c r="AP58" i="41"/>
  <c r="AC56" i="10"/>
  <c r="U56" i="10"/>
  <c r="S59" i="10"/>
  <c r="S57" i="10"/>
  <c r="AB56" i="10"/>
  <c r="Z58" i="10"/>
  <c r="Z57" i="10"/>
  <c r="Z59" i="10"/>
  <c r="L57" i="11"/>
  <c r="L58" i="11" s="1"/>
  <c r="N56" i="11"/>
  <c r="O56" i="11" s="1"/>
  <c r="L59" i="11"/>
  <c r="Z59" i="26"/>
  <c r="Z60" i="26"/>
  <c r="Z61" i="26"/>
  <c r="AB58" i="26"/>
  <c r="Z52" i="21"/>
  <c r="Z53" i="21"/>
  <c r="Z51" i="21"/>
  <c r="AB50" i="21"/>
  <c r="H61" i="34"/>
  <c r="O61" i="34" s="1"/>
  <c r="H60" i="34"/>
  <c r="H59" i="34"/>
  <c r="H52" i="23"/>
  <c r="H51" i="23"/>
  <c r="O50" i="23"/>
  <c r="H53" i="23"/>
  <c r="U52" i="37"/>
  <c r="D42" i="1" s="1"/>
  <c r="S54" i="37"/>
  <c r="S53" i="37"/>
  <c r="S55" i="37"/>
  <c r="H53" i="33"/>
  <c r="H55" i="33"/>
  <c r="O55" i="33" s="1"/>
  <c r="AG61" i="38"/>
  <c r="AI58" i="38"/>
  <c r="AG59" i="38"/>
  <c r="AG60" i="38" s="1"/>
  <c r="AQ58" i="38"/>
  <c r="H54" i="26"/>
  <c r="H53" i="26"/>
  <c r="O52" i="26"/>
  <c r="C25" i="1" s="1"/>
  <c r="H55" i="26"/>
  <c r="O55" i="26" s="1"/>
  <c r="AI58" i="25"/>
  <c r="AG61" i="25"/>
  <c r="AG59" i="25"/>
  <c r="O56" i="15"/>
  <c r="H57" i="15"/>
  <c r="H58" i="15" s="1"/>
  <c r="H59" i="15"/>
  <c r="H57" i="22"/>
  <c r="H58" i="22"/>
  <c r="H59" i="22"/>
  <c r="AN61" i="33"/>
  <c r="AN60" i="33"/>
  <c r="AP58" i="33"/>
  <c r="AN59" i="33"/>
  <c r="AN61" i="38"/>
  <c r="AP61" i="38" s="1"/>
  <c r="AN59" i="38"/>
  <c r="AN60" i="38" s="1"/>
  <c r="AP58" i="38"/>
  <c r="AG57" i="11"/>
  <c r="AI56" i="11"/>
  <c r="AJ56" i="11" s="1"/>
  <c r="AG59" i="11"/>
  <c r="L52" i="9"/>
  <c r="N50" i="9"/>
  <c r="L51" i="9"/>
  <c r="L53" i="9"/>
  <c r="Z51" i="10"/>
  <c r="Z52" i="10" s="1"/>
  <c r="AB50" i="10"/>
  <c r="AC50" i="10" s="1"/>
  <c r="Z53" i="10"/>
  <c r="H55" i="29"/>
  <c r="O55" i="29" s="1"/>
  <c r="H53" i="29"/>
  <c r="H54" i="29" s="1"/>
  <c r="Z57" i="21"/>
  <c r="AB56" i="21"/>
  <c r="AC56" i="21" s="1"/>
  <c r="Z59" i="21"/>
  <c r="S58" i="17"/>
  <c r="U56" i="17"/>
  <c r="S57" i="17"/>
  <c r="S59" i="17"/>
  <c r="L52" i="14"/>
  <c r="L51" i="14"/>
  <c r="N50" i="14"/>
  <c r="O50" i="14" s="1"/>
  <c r="L53" i="14"/>
  <c r="V52" i="38"/>
  <c r="L53" i="38"/>
  <c r="L54" i="38" s="1"/>
  <c r="L55" i="38"/>
  <c r="N52" i="38"/>
  <c r="O52" i="38" s="1"/>
  <c r="N52" i="26"/>
  <c r="C24" i="1" s="1"/>
  <c r="L55" i="26"/>
  <c r="L53" i="26"/>
  <c r="L54" i="26" s="1"/>
  <c r="Z59" i="25"/>
  <c r="Z60" i="25" s="1"/>
  <c r="AB58" i="25"/>
  <c r="AC58" i="25" s="1"/>
  <c r="Z61" i="25"/>
  <c r="AJ58" i="25"/>
  <c r="AC56" i="9"/>
  <c r="S57" i="9"/>
  <c r="S58" i="9" s="1"/>
  <c r="U56" i="9"/>
  <c r="S59" i="9"/>
  <c r="S59" i="25"/>
  <c r="S61" i="25"/>
  <c r="S60" i="25"/>
  <c r="U58" i="25"/>
  <c r="S60" i="29"/>
  <c r="S59" i="29"/>
  <c r="U58" i="29"/>
  <c r="S61" i="29"/>
  <c r="AQ52" i="31"/>
  <c r="G31" i="1" s="1"/>
  <c r="AG53" i="31"/>
  <c r="AG55" i="31"/>
  <c r="AI52" i="31"/>
  <c r="F30" i="1" s="1"/>
  <c r="Z52" i="15"/>
  <c r="Z51" i="15"/>
  <c r="AJ50" i="15"/>
  <c r="F13" i="1" s="1"/>
  <c r="AB50" i="15"/>
  <c r="E12" i="1" s="1"/>
  <c r="Z53" i="15"/>
  <c r="AN54" i="29"/>
  <c r="AN53" i="29"/>
  <c r="AP53" i="29" s="1"/>
  <c r="AP52" i="29"/>
  <c r="AQ52" i="29" s="1"/>
  <c r="AN55" i="29"/>
  <c r="AP55" i="29" s="1"/>
  <c r="AI50" i="10"/>
  <c r="AJ50" i="10" s="1"/>
  <c r="AG52" i="10"/>
  <c r="AG51" i="10"/>
  <c r="AQ50" i="10"/>
  <c r="AG53" i="10"/>
  <c r="S52" i="22"/>
  <c r="S51" i="22"/>
  <c r="U50" i="22"/>
  <c r="S53" i="22"/>
  <c r="H57" i="24"/>
  <c r="H58" i="24"/>
  <c r="H59" i="24"/>
  <c r="S59" i="28"/>
  <c r="S60" i="28" s="1"/>
  <c r="S61" i="28"/>
  <c r="U58" i="28"/>
  <c r="AG59" i="28"/>
  <c r="AG61" i="28"/>
  <c r="AG60" i="28"/>
  <c r="AI58" i="28"/>
  <c r="H61" i="29"/>
  <c r="O61" i="29" s="1"/>
  <c r="H60" i="29"/>
  <c r="H59" i="29"/>
  <c r="AQ56" i="13"/>
  <c r="AG57" i="13"/>
  <c r="AG58" i="13" s="1"/>
  <c r="AI56" i="13"/>
  <c r="AJ56" i="13" s="1"/>
  <c r="AG59" i="13"/>
  <c r="S57" i="16"/>
  <c r="S58" i="16" s="1"/>
  <c r="U56" i="16"/>
  <c r="S59" i="16"/>
  <c r="Z52" i="14"/>
  <c r="AB50" i="14"/>
  <c r="Z53" i="14"/>
  <c r="Z51" i="14"/>
  <c r="H59" i="26"/>
  <c r="O58" i="26"/>
  <c r="H61" i="26"/>
  <c r="O61" i="26" s="1"/>
  <c r="U52" i="38"/>
  <c r="S53" i="38"/>
  <c r="S54" i="38"/>
  <c r="S55" i="38"/>
  <c r="Z59" i="32"/>
  <c r="Z60" i="32" s="1"/>
  <c r="AB58" i="32"/>
  <c r="AC58" i="32" s="1"/>
  <c r="Z61" i="32"/>
  <c r="AC50" i="18"/>
  <c r="S51" i="18"/>
  <c r="S52" i="18" s="1"/>
  <c r="S53" i="18"/>
  <c r="U50" i="18"/>
  <c r="V50" i="18" s="1"/>
  <c r="AG52" i="19"/>
  <c r="AG51" i="19"/>
  <c r="AI50" i="19"/>
  <c r="AG53" i="19"/>
  <c r="AQ50" i="19"/>
  <c r="AG61" i="40"/>
  <c r="AQ58" i="40"/>
  <c r="AG59" i="40"/>
  <c r="AG60" i="40" s="1"/>
  <c r="AI58" i="40"/>
  <c r="AJ58" i="40" s="1"/>
  <c r="AB58" i="28"/>
  <c r="AC58" i="28" s="1"/>
  <c r="Z60" i="28"/>
  <c r="AJ58" i="28"/>
  <c r="Z61" i="28"/>
  <c r="Z59" i="28"/>
  <c r="N58" i="30"/>
  <c r="L61" i="30"/>
  <c r="L59" i="30"/>
  <c r="L60" i="30"/>
  <c r="S61" i="41"/>
  <c r="X61" i="41"/>
  <c r="O50" i="11"/>
  <c r="H52" i="11"/>
  <c r="H53" i="11"/>
  <c r="H51" i="11"/>
  <c r="O50" i="13"/>
  <c r="H51" i="13"/>
  <c r="H52" i="13" s="1"/>
  <c r="H53" i="13"/>
  <c r="AI56" i="10"/>
  <c r="AJ56" i="10" s="1"/>
  <c r="AG57" i="10"/>
  <c r="AG59" i="10"/>
  <c r="AP50" i="23"/>
  <c r="AQ50" i="23" s="1"/>
  <c r="AN51" i="23"/>
  <c r="AP51" i="23" s="1"/>
  <c r="AN53" i="23"/>
  <c r="AP53" i="23" s="1"/>
  <c r="L61" i="35"/>
  <c r="V58" i="35"/>
  <c r="N58" i="35"/>
  <c r="L59" i="35"/>
  <c r="AC52" i="26"/>
  <c r="E25" i="1" s="1"/>
  <c r="U52" i="26"/>
  <c r="D24" i="1" s="1"/>
  <c r="S53" i="26"/>
  <c r="S54" i="26" s="1"/>
  <c r="S55" i="26"/>
  <c r="AP50" i="24"/>
  <c r="AN52" i="24"/>
  <c r="AN51" i="24"/>
  <c r="AN53" i="24"/>
  <c r="AP50" i="10"/>
  <c r="AN51" i="10"/>
  <c r="AP51" i="10" s="1"/>
  <c r="AN53" i="10"/>
  <c r="AP53" i="10" s="1"/>
  <c r="L57" i="17"/>
  <c r="N56" i="17"/>
  <c r="O56" i="17" s="1"/>
  <c r="L58" i="17"/>
  <c r="V56" i="17"/>
  <c r="L59" i="17"/>
  <c r="AB50" i="18"/>
  <c r="AJ50" i="18"/>
  <c r="Z53" i="18"/>
  <c r="Z51" i="18"/>
  <c r="Z52" i="18" s="1"/>
  <c r="AG58" i="9"/>
  <c r="AI56" i="9"/>
  <c r="AG57" i="9"/>
  <c r="AG59" i="9"/>
  <c r="AI58" i="33"/>
  <c r="AG61" i="33"/>
  <c r="AG60" i="33"/>
  <c r="AQ58" i="33"/>
  <c r="AG59" i="33"/>
  <c r="U50" i="11"/>
  <c r="V50" i="11" s="1"/>
  <c r="AC50" i="11"/>
  <c r="S52" i="11"/>
  <c r="S51" i="11"/>
  <c r="S53" i="11"/>
  <c r="U56" i="24"/>
  <c r="V56" i="24" s="1"/>
  <c r="S57" i="24"/>
  <c r="S58" i="24" s="1"/>
  <c r="AC56" i="24"/>
  <c r="S59" i="24"/>
  <c r="H58" i="23"/>
  <c r="H57" i="23"/>
  <c r="O56" i="23"/>
  <c r="H59" i="23"/>
  <c r="AJ52" i="28"/>
  <c r="Z53" i="28"/>
  <c r="Z54" i="28" s="1"/>
  <c r="AB52" i="28"/>
  <c r="AC52" i="28" s="1"/>
  <c r="Z55" i="28"/>
  <c r="H53" i="15"/>
  <c r="H51" i="15"/>
  <c r="H52" i="15" s="1"/>
  <c r="U56" i="11"/>
  <c r="V56" i="11" s="1"/>
  <c r="S57" i="11"/>
  <c r="S59" i="11"/>
  <c r="H61" i="39"/>
  <c r="O61" i="39" s="1"/>
  <c r="O58" i="39"/>
  <c r="H60" i="39"/>
  <c r="H59" i="39"/>
  <c r="AB58" i="37"/>
  <c r="AC58" i="37" s="1"/>
  <c r="Z60" i="37"/>
  <c r="Z59" i="37"/>
  <c r="AP56" i="23"/>
  <c r="AQ56" i="23" s="1"/>
  <c r="AN57" i="23"/>
  <c r="AP57" i="23" s="1"/>
  <c r="AN58" i="23"/>
  <c r="AN59" i="23"/>
  <c r="AP59" i="23" s="1"/>
  <c r="AJ52" i="38"/>
  <c r="Z55" i="38"/>
  <c r="Z54" i="38"/>
  <c r="Z53" i="38"/>
  <c r="AB52" i="38"/>
  <c r="AC52" i="38" s="1"/>
  <c r="L58" i="9"/>
  <c r="V56" i="9"/>
  <c r="L57" i="9"/>
  <c r="N56" i="9"/>
  <c r="L59" i="9"/>
  <c r="L51" i="17"/>
  <c r="L52" i="17" s="1"/>
  <c r="N50" i="17"/>
  <c r="L53" i="17"/>
  <c r="S53" i="17"/>
  <c r="S52" i="17"/>
  <c r="S51" i="17"/>
  <c r="U50" i="17"/>
  <c r="V50" i="17" s="1"/>
  <c r="H61" i="33"/>
  <c r="O61" i="33" s="1"/>
  <c r="H59" i="33"/>
  <c r="H60" i="33" s="1"/>
  <c r="AN55" i="34"/>
  <c r="AN53" i="34"/>
  <c r="AP53" i="34" s="1"/>
  <c r="AP52" i="34"/>
  <c r="G36" i="1" s="1"/>
  <c r="Z59" i="36"/>
  <c r="Z60" i="36" s="1"/>
  <c r="AB58" i="36"/>
  <c r="Z61" i="36"/>
  <c r="Z59" i="29"/>
  <c r="Z61" i="29"/>
  <c r="AB58" i="29"/>
  <c r="AC58" i="29" s="1"/>
  <c r="Z60" i="29"/>
  <c r="N56" i="14"/>
  <c r="O56" i="14" s="1"/>
  <c r="L57" i="14"/>
  <c r="L58" i="14" s="1"/>
  <c r="L59" i="14"/>
  <c r="V50" i="10"/>
  <c r="N50" i="10"/>
  <c r="L51" i="10"/>
  <c r="L52" i="10" s="1"/>
  <c r="L53" i="10"/>
  <c r="U50" i="13"/>
  <c r="V50" i="13" s="1"/>
  <c r="AC50" i="13"/>
  <c r="S53" i="13"/>
  <c r="S51" i="13"/>
  <c r="S52" i="13" s="1"/>
  <c r="H53" i="37"/>
  <c r="H54" i="37" s="1"/>
  <c r="O52" i="37"/>
  <c r="C43" i="1" s="1"/>
  <c r="H55" i="37"/>
  <c r="U58" i="27"/>
  <c r="V58" i="27" s="1"/>
  <c r="S61" i="27"/>
  <c r="S59" i="27"/>
  <c r="S60" i="27" s="1"/>
  <c r="L60" i="38"/>
  <c r="V58" i="38"/>
  <c r="L59" i="38"/>
  <c r="N58" i="38"/>
  <c r="O58" i="38" s="1"/>
  <c r="L61" i="38"/>
  <c r="AP52" i="26"/>
  <c r="G24" i="1" s="1"/>
  <c r="AN55" i="26"/>
  <c r="AN53" i="26"/>
  <c r="AP53" i="26" s="1"/>
  <c r="AN54" i="26"/>
  <c r="AQ50" i="14"/>
  <c r="AG51" i="14"/>
  <c r="AI50" i="14"/>
  <c r="AJ50" i="14" s="1"/>
  <c r="AG53" i="14"/>
  <c r="AE55" i="41"/>
  <c r="Z55" i="41"/>
  <c r="L59" i="26"/>
  <c r="L61" i="26"/>
  <c r="N58" i="26"/>
  <c r="L60" i="26"/>
  <c r="AG55" i="39"/>
  <c r="AI52" i="39"/>
  <c r="F48" i="1" s="1"/>
  <c r="AG53" i="39"/>
  <c r="AG54" i="39"/>
  <c r="AQ52" i="39"/>
  <c r="G49" i="1" s="1"/>
  <c r="S60" i="38"/>
  <c r="U58" i="38"/>
  <c r="S61" i="38"/>
  <c r="S59" i="38"/>
  <c r="O50" i="9"/>
  <c r="H53" i="9"/>
  <c r="H52" i="9"/>
  <c r="H51" i="9"/>
  <c r="AG57" i="16"/>
  <c r="AI56" i="16"/>
  <c r="AG59" i="16"/>
  <c r="S57" i="18"/>
  <c r="S58" i="18" s="1"/>
  <c r="U56" i="18"/>
  <c r="V56" i="18" s="1"/>
  <c r="S59" i="18"/>
  <c r="AQ56" i="19"/>
  <c r="AG57" i="19"/>
  <c r="AI56" i="19"/>
  <c r="AG58" i="19"/>
  <c r="AG59" i="19"/>
  <c r="AG58" i="27"/>
  <c r="AI42" i="27"/>
  <c r="AJ42" i="27" s="1"/>
  <c r="AQ42" i="27"/>
  <c r="AG52" i="27"/>
  <c r="AP52" i="28"/>
  <c r="AN55" i="28"/>
  <c r="AP55" i="28" s="1"/>
  <c r="AN53" i="28"/>
  <c r="AN61" i="29"/>
  <c r="AN59" i="29"/>
  <c r="AP59" i="29" s="1"/>
  <c r="AP58" i="29"/>
  <c r="AQ58" i="29" s="1"/>
  <c r="V52" i="29"/>
  <c r="L55" i="29"/>
  <c r="L54" i="29"/>
  <c r="L53" i="29"/>
  <c r="N52" i="29"/>
  <c r="O52" i="29" s="1"/>
  <c r="H57" i="11"/>
  <c r="H59" i="11"/>
  <c r="H58" i="11"/>
  <c r="S53" i="30"/>
  <c r="AC52" i="30"/>
  <c r="U52" i="30"/>
  <c r="S55" i="30"/>
  <c r="S54" i="30"/>
  <c r="O56" i="13"/>
  <c r="H58" i="13"/>
  <c r="H57" i="13"/>
  <c r="H59" i="13"/>
  <c r="Z55" i="34"/>
  <c r="AB52" i="34"/>
  <c r="E36" i="1" s="1"/>
  <c r="Z53" i="34"/>
  <c r="Z54" i="34"/>
  <c r="AN57" i="11"/>
  <c r="AP57" i="11" s="1"/>
  <c r="AP56" i="11"/>
  <c r="AQ56" i="11" s="1"/>
  <c r="AN59" i="11"/>
  <c r="AP59" i="11" s="1"/>
  <c r="H57" i="19"/>
  <c r="H58" i="19" s="1"/>
  <c r="O56" i="19"/>
  <c r="H59" i="19"/>
  <c r="AI56" i="17"/>
  <c r="AJ56" i="17" s="1"/>
  <c r="AG58" i="17"/>
  <c r="AG57" i="17"/>
  <c r="AG59" i="17"/>
  <c r="AC50" i="14"/>
  <c r="S51" i="14"/>
  <c r="S52" i="14" s="1"/>
  <c r="U50" i="14"/>
  <c r="V50" i="14" s="1"/>
  <c r="S53" i="14"/>
  <c r="AP56" i="24"/>
  <c r="AN57" i="24"/>
  <c r="AP57" i="24" s="1"/>
  <c r="AN58" i="10"/>
  <c r="AN57" i="10"/>
  <c r="AP57" i="10" s="1"/>
  <c r="AP56" i="10"/>
  <c r="AQ56" i="10" s="1"/>
  <c r="AN59" i="10"/>
  <c r="AP59" i="10" s="1"/>
  <c r="AB52" i="39"/>
  <c r="E48" i="1" s="1"/>
  <c r="Z53" i="39"/>
  <c r="Z54" i="39" s="1"/>
  <c r="Z55" i="39"/>
  <c r="AJ52" i="39"/>
  <c r="F49" i="1" s="1"/>
  <c r="W8" i="3"/>
  <c r="X8" i="3" s="1"/>
  <c r="X7" i="3"/>
  <c r="S54" i="36"/>
  <c r="AC52" i="36"/>
  <c r="S53" i="36"/>
  <c r="U52" i="36"/>
  <c r="V52" i="36" s="1"/>
  <c r="S55" i="36"/>
  <c r="H55" i="36"/>
  <c r="O55" i="36" s="1"/>
  <c r="O52" i="36"/>
  <c r="H54" i="36"/>
  <c r="H53" i="36"/>
  <c r="E68" i="1"/>
  <c r="E88" i="1" s="1"/>
  <c r="E87" i="1"/>
  <c r="S61" i="34"/>
  <c r="U58" i="34"/>
  <c r="S59" i="34"/>
  <c r="S60" i="34" s="1"/>
  <c r="AB56" i="18"/>
  <c r="AC56" i="18" s="1"/>
  <c r="AJ56" i="18"/>
  <c r="Z57" i="18"/>
  <c r="Z59" i="18"/>
  <c r="Z58" i="18"/>
  <c r="AI58" i="26"/>
  <c r="AJ58" i="26" s="1"/>
  <c r="AG59" i="26"/>
  <c r="AG61" i="26"/>
  <c r="V52" i="30"/>
  <c r="L55" i="30"/>
  <c r="N52" i="30"/>
  <c r="O52" i="30" s="1"/>
  <c r="L53" i="30"/>
  <c r="L54" i="30" s="1"/>
  <c r="AI58" i="29"/>
  <c r="AJ58" i="29" s="1"/>
  <c r="AG61" i="29"/>
  <c r="AG59" i="29"/>
  <c r="AG60" i="29"/>
  <c r="S58" i="22"/>
  <c r="S57" i="22"/>
  <c r="U56" i="22"/>
  <c r="V56" i="22" s="1"/>
  <c r="S59" i="22"/>
  <c r="Z52" i="12"/>
  <c r="Z53" i="12"/>
  <c r="AJ50" i="12"/>
  <c r="Z51" i="12"/>
  <c r="AB50" i="12"/>
  <c r="AC50" i="12" s="1"/>
  <c r="AC52" i="27"/>
  <c r="U52" i="27"/>
  <c r="V52" i="27" s="1"/>
  <c r="S53" i="27"/>
  <c r="S55" i="27"/>
  <c r="L58" i="10"/>
  <c r="V56" i="10"/>
  <c r="L57" i="10"/>
  <c r="N56" i="10"/>
  <c r="O56" i="10" s="1"/>
  <c r="L59" i="10"/>
  <c r="S57" i="13"/>
  <c r="S58" i="13" s="1"/>
  <c r="U56" i="13"/>
  <c r="V56" i="13" s="1"/>
  <c r="AC56" i="13"/>
  <c r="S59" i="13"/>
  <c r="T22" i="3"/>
  <c r="U22" i="3" s="1"/>
  <c r="H23" i="3"/>
  <c r="AN61" i="34"/>
  <c r="AP61" i="34" s="1"/>
  <c r="AN59" i="34"/>
  <c r="AP59" i="34" s="1"/>
  <c r="AP58" i="34"/>
  <c r="AQ58" i="34" s="1"/>
  <c r="AL55" i="37"/>
  <c r="AE61" i="37"/>
  <c r="AG61" i="37" s="1"/>
  <c r="AG55" i="37"/>
  <c r="H60" i="37"/>
  <c r="O58" i="37"/>
  <c r="H59" i="37"/>
  <c r="H61" i="37"/>
  <c r="AN59" i="26"/>
  <c r="AP59" i="26" s="1"/>
  <c r="AN61" i="26"/>
  <c r="AP61" i="26" s="1"/>
  <c r="AP58" i="26"/>
  <c r="AQ58" i="26" s="1"/>
  <c r="AQ56" i="14"/>
  <c r="AG57" i="14"/>
  <c r="AG58" i="14" s="1"/>
  <c r="AI56" i="14"/>
  <c r="AG59" i="14"/>
  <c r="AI42" i="32"/>
  <c r="AJ42" i="32" s="1"/>
  <c r="AG58" i="32"/>
  <c r="AQ42" i="32"/>
  <c r="AG52" i="32"/>
  <c r="AG59" i="39"/>
  <c r="AG60" i="39" s="1"/>
  <c r="AG61" i="39"/>
  <c r="AQ58" i="39"/>
  <c r="AI58" i="39"/>
  <c r="AJ58" i="39" s="1"/>
  <c r="O52" i="35"/>
  <c r="H55" i="35"/>
  <c r="O55" i="35" s="1"/>
  <c r="H54" i="35"/>
  <c r="H53" i="35"/>
  <c r="AI50" i="16"/>
  <c r="AG51" i="16"/>
  <c r="AG53" i="16"/>
  <c r="H53" i="41"/>
  <c r="H55" i="41"/>
  <c r="AG61" i="31"/>
  <c r="AQ58" i="31"/>
  <c r="AG59" i="31"/>
  <c r="AG60" i="31"/>
  <c r="AI58" i="31"/>
  <c r="AC56" i="15"/>
  <c r="U56" i="15"/>
  <c r="S58" i="15"/>
  <c r="S57" i="15"/>
  <c r="S59" i="15"/>
  <c r="L55" i="27"/>
  <c r="N52" i="27"/>
  <c r="L54" i="27"/>
  <c r="L53" i="27"/>
  <c r="N50" i="15"/>
  <c r="C12" i="1" s="1"/>
  <c r="L51" i="15"/>
  <c r="L52" i="15" s="1"/>
  <c r="L53" i="15"/>
  <c r="AC58" i="30"/>
  <c r="S61" i="30"/>
  <c r="S60" i="30"/>
  <c r="S59" i="30"/>
  <c r="U58" i="30"/>
  <c r="V58" i="30" s="1"/>
  <c r="Z55" i="33"/>
  <c r="Z53" i="33"/>
  <c r="Z54" i="33"/>
  <c r="AJ52" i="33"/>
  <c r="AB52" i="33"/>
  <c r="AC52" i="33" s="1"/>
  <c r="AP50" i="11"/>
  <c r="AN51" i="11"/>
  <c r="AN52" i="11" s="1"/>
  <c r="AN53" i="11"/>
  <c r="Z52" i="17"/>
  <c r="Z51" i="17"/>
  <c r="AB50" i="17"/>
  <c r="AC50" i="17" s="1"/>
  <c r="Z53" i="17"/>
  <c r="AG53" i="34"/>
  <c r="AG54" i="34" s="1"/>
  <c r="AG55" i="34"/>
  <c r="AI52" i="34"/>
  <c r="F36" i="1" s="1"/>
  <c r="AJ58" i="38"/>
  <c r="AB58" i="38"/>
  <c r="AC58" i="38" s="1"/>
  <c r="Z61" i="38"/>
  <c r="Z59" i="38"/>
  <c r="H51" i="19"/>
  <c r="H52" i="19" s="1"/>
  <c r="O50" i="19"/>
  <c r="H53" i="19"/>
  <c r="AQ50" i="17"/>
  <c r="AG52" i="17"/>
  <c r="AG51" i="17"/>
  <c r="AI50" i="17"/>
  <c r="AJ50" i="17" s="1"/>
  <c r="AG53" i="17"/>
  <c r="AB56" i="20"/>
  <c r="AC56" i="20" s="1"/>
  <c r="Z59" i="20"/>
  <c r="Z57" i="20"/>
  <c r="Z58" i="20" s="1"/>
  <c r="U56" i="14"/>
  <c r="V56" i="14" s="1"/>
  <c r="S57" i="14"/>
  <c r="S58" i="14" s="1"/>
  <c r="S59" i="14"/>
  <c r="U58" i="26"/>
  <c r="V58" i="26" s="1"/>
  <c r="S61" i="26"/>
  <c r="S59" i="26"/>
  <c r="S60" i="26" s="1"/>
  <c r="AC58" i="26"/>
  <c r="AI50" i="20"/>
  <c r="F18" i="1" s="1"/>
  <c r="AG53" i="20"/>
  <c r="AG51" i="20"/>
  <c r="AG52" i="20"/>
  <c r="AQ50" i="20"/>
  <c r="G19" i="1" s="1"/>
  <c r="G74" i="1" s="1"/>
  <c r="L51" i="22"/>
  <c r="L52" i="22" s="1"/>
  <c r="V50" i="22"/>
  <c r="N50" i="22"/>
  <c r="O50" i="22" s="1"/>
  <c r="L53" i="22"/>
  <c r="H59" i="36"/>
  <c r="H61" i="36"/>
  <c r="O61" i="36" s="1"/>
  <c r="O58" i="36"/>
  <c r="H60" i="36"/>
  <c r="Z53" i="27"/>
  <c r="Z54" i="27" s="1"/>
  <c r="Z55" i="27"/>
  <c r="AB52" i="27"/>
  <c r="H55" i="30"/>
  <c r="O55" i="30" s="1"/>
  <c r="H54" i="30"/>
  <c r="H53" i="30"/>
  <c r="AG55" i="36"/>
  <c r="AG54" i="36"/>
  <c r="AI52" i="36"/>
  <c r="AJ52" i="36" s="1"/>
  <c r="AG53" i="36"/>
  <c r="AQ52" i="36"/>
  <c r="AG52" i="24"/>
  <c r="AQ50" i="24"/>
  <c r="AG51" i="24"/>
  <c r="AI50" i="24"/>
  <c r="AJ50" i="24" s="1"/>
  <c r="AG53" i="24"/>
  <c r="AQ58" i="35"/>
  <c r="AI58" i="35"/>
  <c r="AJ58" i="35" s="1"/>
  <c r="AG61" i="35"/>
  <c r="AG59" i="35"/>
  <c r="AG60" i="35" s="1"/>
  <c r="Z53" i="25"/>
  <c r="Z55" i="25"/>
  <c r="AJ52" i="25"/>
  <c r="Z54" i="25"/>
  <c r="AB52" i="25"/>
  <c r="AC52" i="25" s="1"/>
  <c r="AG59" i="30"/>
  <c r="AG60" i="30" s="1"/>
  <c r="AI58" i="30"/>
  <c r="AJ58" i="30" s="1"/>
  <c r="AG61" i="30"/>
  <c r="AQ58" i="30"/>
  <c r="AC52" i="41"/>
  <c r="E55" i="1" s="1"/>
  <c r="S53" i="41"/>
  <c r="S54" i="41" s="1"/>
  <c r="U52" i="41"/>
  <c r="D54" i="1" s="1"/>
  <c r="H51" i="24"/>
  <c r="O50" i="24"/>
  <c r="H53" i="24"/>
  <c r="AN54" i="41"/>
  <c r="AN53" i="41"/>
  <c r="AP52" i="41"/>
  <c r="G54" i="1" s="1"/>
  <c r="AI52" i="28"/>
  <c r="AQ52" i="28"/>
  <c r="AG54" i="28"/>
  <c r="AG53" i="28"/>
  <c r="AG55" i="28"/>
  <c r="AC52" i="34"/>
  <c r="E37" i="1" s="1"/>
  <c r="S54" i="34"/>
  <c r="S55" i="34"/>
  <c r="U52" i="34"/>
  <c r="D36" i="1" s="1"/>
  <c r="S53" i="34"/>
  <c r="Z58" i="14"/>
  <c r="AJ56" i="14"/>
  <c r="Z57" i="14"/>
  <c r="AB56" i="14"/>
  <c r="AC56" i="14" s="1"/>
  <c r="Z59" i="14"/>
  <c r="AN57" i="9"/>
  <c r="AP57" i="9" s="1"/>
  <c r="AP56" i="9"/>
  <c r="AQ56" i="9" s="1"/>
  <c r="AN59" i="9"/>
  <c r="AP59" i="9" s="1"/>
  <c r="W18" i="3"/>
  <c r="X18" i="3" s="1"/>
  <c r="X17" i="3"/>
  <c r="Z52" i="16"/>
  <c r="AJ50" i="16"/>
  <c r="AB50" i="16"/>
  <c r="Z51" i="16"/>
  <c r="Z53" i="16"/>
  <c r="U50" i="19"/>
  <c r="V50" i="19" s="1"/>
  <c r="S53" i="19"/>
  <c r="S52" i="19"/>
  <c r="S51" i="19"/>
  <c r="AN55" i="27"/>
  <c r="AP52" i="27"/>
  <c r="AN54" i="27"/>
  <c r="AN53" i="27"/>
  <c r="Z61" i="37"/>
  <c r="AB56" i="23"/>
  <c r="Z57" i="23"/>
  <c r="Z58" i="23" s="1"/>
  <c r="Z59" i="23"/>
  <c r="Z54" i="40"/>
  <c r="Z53" i="40"/>
  <c r="Z55" i="40"/>
  <c r="AJ52" i="40"/>
  <c r="AB52" i="40"/>
  <c r="AC52" i="40" s="1"/>
  <c r="X22" i="3"/>
  <c r="W23" i="3"/>
  <c r="X23" i="3" s="1"/>
  <c r="L59" i="41"/>
  <c r="L60" i="41" s="1"/>
  <c r="N58" i="41"/>
  <c r="O58" i="41" s="1"/>
  <c r="O50" i="10"/>
  <c r="H51" i="10"/>
  <c r="H52" i="10" s="1"/>
  <c r="H53" i="10"/>
  <c r="AG59" i="37"/>
  <c r="AG60" i="37" s="1"/>
  <c r="AI58" i="37"/>
  <c r="AJ58" i="37" s="1"/>
  <c r="AQ58" i="37"/>
  <c r="AJ52" i="31"/>
  <c r="F31" i="1" s="1"/>
  <c r="Z53" i="31"/>
  <c r="Z54" i="31"/>
  <c r="Z55" i="31"/>
  <c r="AB52" i="31"/>
  <c r="E30" i="1" s="1"/>
  <c r="U52" i="39"/>
  <c r="D48" i="1" s="1"/>
  <c r="AC52" i="39"/>
  <c r="E49" i="1" s="1"/>
  <c r="S53" i="39"/>
  <c r="S54" i="39" s="1"/>
  <c r="S55" i="39"/>
  <c r="H52" i="20"/>
  <c r="O50" i="20"/>
  <c r="C19" i="1" s="1"/>
  <c r="C74" i="1" s="1"/>
  <c r="H51" i="20"/>
  <c r="H53" i="20"/>
  <c r="V56" i="16"/>
  <c r="N56" i="16"/>
  <c r="L57" i="16"/>
  <c r="L58" i="16" s="1"/>
  <c r="L59" i="16"/>
  <c r="O56" i="9"/>
  <c r="H57" i="9"/>
  <c r="H58" i="9" s="1"/>
  <c r="H59" i="9"/>
  <c r="H59" i="41"/>
  <c r="H60" i="41"/>
  <c r="H61" i="41"/>
  <c r="N61" i="41" s="1"/>
  <c r="AQ58" i="41"/>
  <c r="AG59" i="41"/>
  <c r="AG60" i="41" s="1"/>
  <c r="AI58" i="41"/>
  <c r="U52" i="31"/>
  <c r="D30" i="1" s="1"/>
  <c r="S53" i="31"/>
  <c r="S54" i="31" s="1"/>
  <c r="S55" i="31"/>
  <c r="AP56" i="16"/>
  <c r="AQ56" i="16" s="1"/>
  <c r="AN57" i="16"/>
  <c r="AN58" i="16" s="1"/>
  <c r="AN59" i="16"/>
  <c r="AP59" i="16" s="1"/>
  <c r="AC50" i="15"/>
  <c r="E13" i="1" s="1"/>
  <c r="U50" i="15"/>
  <c r="D12" i="1" s="1"/>
  <c r="S51" i="15"/>
  <c r="S52" i="15" s="1"/>
  <c r="S53" i="15"/>
  <c r="AP58" i="28"/>
  <c r="AQ58" i="28" s="1"/>
  <c r="AN61" i="28"/>
  <c r="AN60" i="28"/>
  <c r="AN59" i="28"/>
  <c r="AP59" i="28" s="1"/>
  <c r="L58" i="15"/>
  <c r="V56" i="15"/>
  <c r="N56" i="15"/>
  <c r="L57" i="15"/>
  <c r="L59" i="15"/>
  <c r="V58" i="29"/>
  <c r="L61" i="29"/>
  <c r="L59" i="29"/>
  <c r="N58" i="29"/>
  <c r="O58" i="29" s="1"/>
  <c r="AN55" i="32"/>
  <c r="AN53" i="32"/>
  <c r="AN54" i="32" s="1"/>
  <c r="Z57" i="22"/>
  <c r="AJ56" i="22"/>
  <c r="Z58" i="22"/>
  <c r="AB56" i="22"/>
  <c r="AC56" i="22" s="1"/>
  <c r="Z59" i="22"/>
  <c r="O52" i="40"/>
  <c r="H53" i="40"/>
  <c r="H54" i="40" s="1"/>
  <c r="H55" i="40"/>
  <c r="O55" i="40" s="1"/>
  <c r="Z59" i="34"/>
  <c r="AB58" i="34"/>
  <c r="AC58" i="34" s="1"/>
  <c r="Z61" i="34"/>
  <c r="Z59" i="33"/>
  <c r="AJ58" i="33"/>
  <c r="AB58" i="33"/>
  <c r="AC58" i="33" s="1"/>
  <c r="Z61" i="33"/>
  <c r="Z57" i="17"/>
  <c r="Z58" i="17" s="1"/>
  <c r="AB56" i="17"/>
  <c r="AC56" i="17" s="1"/>
  <c r="Z59" i="17"/>
  <c r="AP50" i="18"/>
  <c r="AQ50" i="18" s="1"/>
  <c r="AN53" i="18"/>
  <c r="AP53" i="18" s="1"/>
  <c r="AN51" i="18"/>
  <c r="AP51" i="18" s="1"/>
  <c r="Z58" i="19"/>
  <c r="AJ56" i="19"/>
  <c r="Z57" i="19"/>
  <c r="AB56" i="19"/>
  <c r="Z59" i="19"/>
  <c r="AB50" i="20"/>
  <c r="E18" i="1" s="1"/>
  <c r="Z53" i="20"/>
  <c r="AJ50" i="20"/>
  <c r="F19" i="1" s="1"/>
  <c r="F74" i="1" s="1"/>
  <c r="Z51" i="20"/>
  <c r="Z52" i="20"/>
  <c r="L54" i="33"/>
  <c r="V52" i="33"/>
  <c r="L53" i="33"/>
  <c r="N52" i="33"/>
  <c r="O52" i="33" s="1"/>
  <c r="L55" i="33"/>
  <c r="F87" i="1"/>
  <c r="F68" i="1"/>
  <c r="F88" i="1" s="1"/>
  <c r="AI56" i="20"/>
  <c r="AJ56" i="20" s="1"/>
  <c r="AQ56" i="20"/>
  <c r="AG59" i="20"/>
  <c r="AG57" i="20"/>
  <c r="N56" i="22"/>
  <c r="O56" i="22" s="1"/>
  <c r="L58" i="22"/>
  <c r="L57" i="22"/>
  <c r="L59" i="22"/>
  <c r="V50" i="12"/>
  <c r="L52" i="12"/>
  <c r="L51" i="12"/>
  <c r="N50" i="12"/>
  <c r="O50" i="12" s="1"/>
  <c r="L53" i="12"/>
  <c r="AB58" i="27"/>
  <c r="AC58" i="27" s="1"/>
  <c r="Z61" i="27"/>
  <c r="Z60" i="27"/>
  <c r="Z59" i="27"/>
  <c r="H61" i="30"/>
  <c r="O61" i="30" s="1"/>
  <c r="H59" i="30"/>
  <c r="H60" i="30" s="1"/>
  <c r="O58" i="30"/>
  <c r="AG57" i="24"/>
  <c r="AG58" i="24"/>
  <c r="AI56" i="24"/>
  <c r="AJ56" i="24" s="1"/>
  <c r="AQ56" i="24"/>
  <c r="AG59" i="24"/>
  <c r="AP56" i="17"/>
  <c r="AQ56" i="17" s="1"/>
  <c r="AN58" i="17"/>
  <c r="AN57" i="17"/>
  <c r="AP57" i="17" s="1"/>
  <c r="AN59" i="17"/>
  <c r="Z58" i="15"/>
  <c r="AJ56" i="15"/>
  <c r="AB56" i="15"/>
  <c r="Z57" i="15"/>
  <c r="Z59" i="15"/>
  <c r="H55" i="39"/>
  <c r="O55" i="39" s="1"/>
  <c r="O52" i="39"/>
  <c r="C49" i="1" s="1"/>
  <c r="H53" i="39"/>
  <c r="H54" i="39" s="1"/>
  <c r="Z53" i="37"/>
  <c r="Z54" i="37" s="1"/>
  <c r="AJ52" i="37"/>
  <c r="F43" i="1" s="1"/>
  <c r="AB52" i="37"/>
  <c r="E42" i="1" s="1"/>
  <c r="AQ50" i="13"/>
  <c r="AI50" i="13"/>
  <c r="AJ50" i="13" s="1"/>
  <c r="AG51" i="13"/>
  <c r="AG53" i="13"/>
  <c r="U50" i="16"/>
  <c r="S51" i="16"/>
  <c r="AC50" i="16"/>
  <c r="S52" i="16"/>
  <c r="S53" i="16"/>
  <c r="AP58" i="36"/>
  <c r="AN61" i="36"/>
  <c r="AN59" i="36"/>
  <c r="AN60" i="36" s="1"/>
  <c r="Z55" i="32"/>
  <c r="Z53" i="32"/>
  <c r="Z54" i="32" s="1"/>
  <c r="AB52" i="32"/>
  <c r="AC52" i="32" s="1"/>
  <c r="AG51" i="11"/>
  <c r="AQ50" i="11"/>
  <c r="AG53" i="11"/>
  <c r="AI50" i="11"/>
  <c r="Z58" i="16"/>
  <c r="AB56" i="16"/>
  <c r="AC56" i="16" s="1"/>
  <c r="Z57" i="16"/>
  <c r="AJ56" i="16"/>
  <c r="Z59" i="16"/>
  <c r="S57" i="19"/>
  <c r="U56" i="19"/>
  <c r="V56" i="19" s="1"/>
  <c r="S59" i="19"/>
  <c r="AC56" i="19"/>
  <c r="Z55" i="37"/>
  <c r="AN53" i="21"/>
  <c r="AN52" i="21"/>
  <c r="AP50" i="21"/>
  <c r="AN51" i="21"/>
  <c r="Z51" i="23"/>
  <c r="Z52" i="23" s="1"/>
  <c r="AB50" i="23"/>
  <c r="AC50" i="23" s="1"/>
  <c r="Z53" i="23"/>
  <c r="L54" i="41"/>
  <c r="V52" i="41"/>
  <c r="D55" i="1" s="1"/>
  <c r="L53" i="41"/>
  <c r="N52" i="41"/>
  <c r="C54" i="1" s="1"/>
  <c r="L55" i="41"/>
  <c r="H57" i="10"/>
  <c r="H58" i="10"/>
  <c r="H59" i="10"/>
  <c r="AN51" i="15"/>
  <c r="AP51" i="15" s="1"/>
  <c r="AP50" i="15"/>
  <c r="G12" i="1" s="1"/>
  <c r="AN52" i="15"/>
  <c r="AN53" i="15"/>
  <c r="AP53" i="15" s="1"/>
  <c r="I9" i="3" s="1"/>
  <c r="AG54" i="37"/>
  <c r="AQ52" i="37"/>
  <c r="G43" i="1" s="1"/>
  <c r="AG53" i="37"/>
  <c r="AI52" i="37"/>
  <c r="F42" i="1" s="1"/>
  <c r="O56" i="20"/>
  <c r="H57" i="20"/>
  <c r="H59" i="20"/>
  <c r="H53" i="28"/>
  <c r="H55" i="28"/>
  <c r="O55" i="28" s="1"/>
  <c r="O52" i="28"/>
  <c r="H54" i="28"/>
  <c r="L51" i="16"/>
  <c r="L52" i="16" s="1"/>
  <c r="V50" i="16"/>
  <c r="N50" i="16"/>
  <c r="L53" i="16"/>
  <c r="O58" i="35"/>
  <c r="H61" i="35"/>
  <c r="O61" i="35" s="1"/>
  <c r="H59" i="35"/>
  <c r="H60" i="35" s="1"/>
  <c r="G68" i="1"/>
  <c r="G88" i="1" s="1"/>
  <c r="G87" i="1"/>
  <c r="L52" i="18"/>
  <c r="N50" i="18"/>
  <c r="L51" i="18"/>
  <c r="L53" i="18"/>
  <c r="AQ52" i="41"/>
  <c r="G55" i="1" s="1"/>
  <c r="AG53" i="41"/>
  <c r="AG54" i="41" s="1"/>
  <c r="AI52" i="41"/>
  <c r="F54" i="1" s="1"/>
  <c r="AN51" i="16"/>
  <c r="AN52" i="16"/>
  <c r="AN53" i="16"/>
  <c r="AP53" i="16" s="1"/>
  <c r="AP50" i="16"/>
  <c r="AQ50" i="16" s="1"/>
  <c r="AP56" i="22"/>
  <c r="AQ56" i="22" s="1"/>
  <c r="AN58" i="22"/>
  <c r="AN57" i="22"/>
  <c r="AP57" i="22" s="1"/>
  <c r="AN55" i="35"/>
  <c r="AP55" i="35" s="1"/>
  <c r="AN53" i="35"/>
  <c r="AP52" i="35"/>
  <c r="AQ52" i="35" s="1"/>
  <c r="AN54" i="35"/>
  <c r="AN61" i="32"/>
  <c r="AN59" i="32"/>
  <c r="AP58" i="32"/>
  <c r="AJ50" i="22"/>
  <c r="Z51" i="22"/>
  <c r="Z52" i="22" s="1"/>
  <c r="AB50" i="22"/>
  <c r="AC50" i="22" s="1"/>
  <c r="Z53" i="22"/>
  <c r="H61" i="40"/>
  <c r="O61" i="40" s="1"/>
  <c r="H59" i="40"/>
  <c r="H60" i="40"/>
  <c r="U52" i="33"/>
  <c r="S55" i="33"/>
  <c r="S54" i="33"/>
  <c r="S53" i="33"/>
  <c r="AN58" i="18"/>
  <c r="AN57" i="18"/>
  <c r="AP57" i="18" s="1"/>
  <c r="AP56" i="18"/>
  <c r="AQ56" i="18" s="1"/>
  <c r="AN59" i="18"/>
  <c r="AP59" i="18" s="1"/>
  <c r="S51" i="23"/>
  <c r="U50" i="23"/>
  <c r="V50" i="23" s="1"/>
  <c r="S53" i="23"/>
  <c r="Z52" i="19"/>
  <c r="Z51" i="19"/>
  <c r="AB50" i="19"/>
  <c r="AC50" i="19" s="1"/>
  <c r="AJ50" i="19"/>
  <c r="Z53" i="19"/>
  <c r="AG52" i="21"/>
  <c r="AG51" i="21"/>
  <c r="AI50" i="21"/>
  <c r="AJ50" i="21" s="1"/>
  <c r="AQ50" i="21"/>
  <c r="AG53" i="21"/>
  <c r="N52" i="28"/>
  <c r="L55" i="28"/>
  <c r="L53" i="28"/>
  <c r="L54" i="28" s="1"/>
  <c r="V52" i="28"/>
  <c r="AB58" i="39"/>
  <c r="AC58" i="39" s="1"/>
  <c r="Z59" i="39"/>
  <c r="Z60" i="39" s="1"/>
  <c r="Z61" i="39"/>
  <c r="S61" i="36"/>
  <c r="AC58" i="36"/>
  <c r="S59" i="36"/>
  <c r="U58" i="36"/>
  <c r="V58" i="36" s="1"/>
  <c r="S53" i="21"/>
  <c r="S51" i="21"/>
  <c r="S52" i="21" s="1"/>
  <c r="AC50" i="21"/>
  <c r="U50" i="21"/>
  <c r="V50" i="21" s="1"/>
  <c r="V56" i="12"/>
  <c r="L57" i="12"/>
  <c r="L58" i="12" s="1"/>
  <c r="N56" i="12"/>
  <c r="O56" i="12" s="1"/>
  <c r="L59" i="12"/>
  <c r="S57" i="23"/>
  <c r="AC56" i="23"/>
  <c r="S58" i="23"/>
  <c r="S59" i="23"/>
  <c r="U56" i="23"/>
  <c r="V56" i="23" s="1"/>
  <c r="L53" i="31"/>
  <c r="N52" i="31"/>
  <c r="C30" i="1" s="1"/>
  <c r="L55" i="31"/>
  <c r="L54" i="31"/>
  <c r="AJ52" i="30"/>
  <c r="AB52" i="30"/>
  <c r="Z53" i="30"/>
  <c r="Z54" i="30"/>
  <c r="Z55" i="30"/>
  <c r="AG57" i="21"/>
  <c r="AG58" i="21" s="1"/>
  <c r="AI56" i="21"/>
  <c r="AJ56" i="21" s="1"/>
  <c r="AQ56" i="21"/>
  <c r="AG59" i="21"/>
  <c r="AN51" i="12"/>
  <c r="AP51" i="12" s="1"/>
  <c r="AP50" i="12"/>
  <c r="AQ50" i="12" s="1"/>
  <c r="AN53" i="12"/>
  <c r="AP53" i="12" s="1"/>
  <c r="O50" i="18"/>
  <c r="H51" i="18"/>
  <c r="H52" i="18" s="1"/>
  <c r="H53" i="18"/>
  <c r="S61" i="37"/>
  <c r="S57" i="21"/>
  <c r="S58" i="21" s="1"/>
  <c r="U56" i="21"/>
  <c r="V56" i="21" s="1"/>
  <c r="S59" i="21"/>
  <c r="H53" i="32"/>
  <c r="H54" i="32" s="1"/>
  <c r="O52" i="32"/>
  <c r="H55" i="32"/>
  <c r="O55" i="32" s="1"/>
  <c r="AP42" i="25"/>
  <c r="AQ42" i="25" s="1"/>
  <c r="AN58" i="25"/>
  <c r="AN52" i="25"/>
  <c r="AG59" i="36"/>
  <c r="AG60" i="36" s="1"/>
  <c r="AG61" i="36"/>
  <c r="AI58" i="36"/>
  <c r="AJ58" i="36" s="1"/>
  <c r="AQ58" i="36"/>
  <c r="U58" i="14" l="1"/>
  <c r="S60" i="14"/>
  <c r="L60" i="12"/>
  <c r="AI54" i="41"/>
  <c r="AB54" i="32"/>
  <c r="Z56" i="32"/>
  <c r="S54" i="15"/>
  <c r="U52" i="15"/>
  <c r="V52" i="15" s="1"/>
  <c r="H56" i="40"/>
  <c r="AG62" i="37"/>
  <c r="AI60" i="37"/>
  <c r="AB58" i="20"/>
  <c r="Z60" i="20"/>
  <c r="L54" i="15"/>
  <c r="N52" i="15"/>
  <c r="O52" i="15" s="1"/>
  <c r="Z56" i="39"/>
  <c r="AB54" i="39"/>
  <c r="S60" i="18"/>
  <c r="U58" i="18"/>
  <c r="U60" i="27"/>
  <c r="S62" i="27"/>
  <c r="H54" i="15"/>
  <c r="S60" i="24"/>
  <c r="U58" i="24"/>
  <c r="AG60" i="13"/>
  <c r="AI58" i="13"/>
  <c r="AP60" i="38"/>
  <c r="AQ60" i="38" s="1"/>
  <c r="AN62" i="38"/>
  <c r="L54" i="11"/>
  <c r="N52" i="11"/>
  <c r="AN62" i="27"/>
  <c r="AN62" i="35"/>
  <c r="AP62" i="35" s="1"/>
  <c r="AP60" i="35"/>
  <c r="L54" i="24"/>
  <c r="AP58" i="20"/>
  <c r="AN60" i="20"/>
  <c r="L56" i="32"/>
  <c r="N54" i="32"/>
  <c r="U60" i="31"/>
  <c r="S62" i="31"/>
  <c r="U54" i="39"/>
  <c r="AC54" i="39"/>
  <c r="S56" i="39"/>
  <c r="AG62" i="30"/>
  <c r="AI60" i="30"/>
  <c r="S60" i="20"/>
  <c r="U58" i="20"/>
  <c r="V58" i="20" s="1"/>
  <c r="AC58" i="20"/>
  <c r="H62" i="31"/>
  <c r="L54" i="19"/>
  <c r="N52" i="19"/>
  <c r="O52" i="19" s="1"/>
  <c r="AI52" i="12"/>
  <c r="AG54" i="12"/>
  <c r="AG54" i="23"/>
  <c r="AI52" i="23"/>
  <c r="AJ52" i="23" s="1"/>
  <c r="H54" i="19"/>
  <c r="AB54" i="37"/>
  <c r="Z56" i="37"/>
  <c r="V58" i="14"/>
  <c r="L60" i="14"/>
  <c r="U52" i="18"/>
  <c r="S54" i="18"/>
  <c r="Z54" i="10"/>
  <c r="AB52" i="10"/>
  <c r="AB60" i="35"/>
  <c r="Z62" i="35"/>
  <c r="O52" i="16"/>
  <c r="H54" i="16"/>
  <c r="AB60" i="39"/>
  <c r="Z62" i="39"/>
  <c r="N52" i="16"/>
  <c r="L54" i="16"/>
  <c r="Z56" i="27"/>
  <c r="H62" i="33"/>
  <c r="AG62" i="39"/>
  <c r="AI60" i="39"/>
  <c r="AJ60" i="39" s="1"/>
  <c r="AJ52" i="18"/>
  <c r="Z54" i="18"/>
  <c r="AB52" i="18"/>
  <c r="AC52" i="18" s="1"/>
  <c r="Z62" i="25"/>
  <c r="AB60" i="25"/>
  <c r="L62" i="41"/>
  <c r="N60" i="41"/>
  <c r="O60" i="41" s="1"/>
  <c r="AG56" i="34"/>
  <c r="AI54" i="34"/>
  <c r="H56" i="37"/>
  <c r="AG62" i="40"/>
  <c r="AI60" i="40"/>
  <c r="N54" i="26"/>
  <c r="L56" i="26"/>
  <c r="N58" i="20"/>
  <c r="L60" i="20"/>
  <c r="Z56" i="35"/>
  <c r="AB54" i="35"/>
  <c r="O60" i="30"/>
  <c r="H62" i="30"/>
  <c r="N54" i="28"/>
  <c r="L56" i="28"/>
  <c r="AB58" i="23"/>
  <c r="Z60" i="23"/>
  <c r="S54" i="21"/>
  <c r="U52" i="21"/>
  <c r="AB58" i="17"/>
  <c r="Z60" i="17"/>
  <c r="H56" i="39"/>
  <c r="U54" i="31"/>
  <c r="S56" i="31"/>
  <c r="N58" i="16"/>
  <c r="L60" i="16"/>
  <c r="S62" i="26"/>
  <c r="U60" i="26"/>
  <c r="N54" i="30"/>
  <c r="L56" i="30"/>
  <c r="S62" i="34"/>
  <c r="H60" i="19"/>
  <c r="S54" i="13"/>
  <c r="U52" i="13"/>
  <c r="H62" i="27"/>
  <c r="AN54" i="13"/>
  <c r="H54" i="18"/>
  <c r="AN62" i="36"/>
  <c r="AP62" i="36" s="1"/>
  <c r="AP60" i="36"/>
  <c r="Z54" i="23"/>
  <c r="H60" i="9"/>
  <c r="O54" i="32"/>
  <c r="H56" i="32"/>
  <c r="AB54" i="28"/>
  <c r="Z56" i="28"/>
  <c r="AI58" i="21"/>
  <c r="AG60" i="21"/>
  <c r="AB52" i="22"/>
  <c r="Z54" i="22"/>
  <c r="S60" i="21"/>
  <c r="U58" i="21"/>
  <c r="H62" i="35"/>
  <c r="AN56" i="32"/>
  <c r="S60" i="13"/>
  <c r="U58" i="13"/>
  <c r="Z62" i="32"/>
  <c r="AB60" i="32"/>
  <c r="O60" i="32"/>
  <c r="H62" i="32"/>
  <c r="Z60" i="11"/>
  <c r="N52" i="20"/>
  <c r="O52" i="20" s="1"/>
  <c r="V52" i="20"/>
  <c r="L54" i="20"/>
  <c r="H54" i="10"/>
  <c r="AG62" i="38"/>
  <c r="S54" i="20"/>
  <c r="U52" i="20"/>
  <c r="AN60" i="16"/>
  <c r="AI60" i="35"/>
  <c r="AJ60" i="35" s="1"/>
  <c r="AG62" i="35"/>
  <c r="AQ60" i="35"/>
  <c r="AI60" i="41"/>
  <c r="AJ60" i="41" s="1"/>
  <c r="S56" i="41"/>
  <c r="U54" i="41"/>
  <c r="U54" i="26"/>
  <c r="V54" i="26" s="1"/>
  <c r="S56" i="26"/>
  <c r="U58" i="16"/>
  <c r="V58" i="16" s="1"/>
  <c r="S60" i="16"/>
  <c r="V58" i="21"/>
  <c r="N58" i="21"/>
  <c r="O58" i="21" s="1"/>
  <c r="L60" i="21"/>
  <c r="N52" i="23"/>
  <c r="O52" i="23" s="1"/>
  <c r="L54" i="23"/>
  <c r="S54" i="14"/>
  <c r="U52" i="14"/>
  <c r="L56" i="38"/>
  <c r="N54" i="38"/>
  <c r="H60" i="15"/>
  <c r="L60" i="11"/>
  <c r="N58" i="11"/>
  <c r="H60" i="21"/>
  <c r="AI60" i="34"/>
  <c r="AG62" i="34"/>
  <c r="AB52" i="11"/>
  <c r="Z54" i="11"/>
  <c r="AG62" i="36"/>
  <c r="AI60" i="36"/>
  <c r="AJ60" i="36" s="1"/>
  <c r="AQ60" i="36"/>
  <c r="N52" i="22"/>
  <c r="L54" i="22"/>
  <c r="AN54" i="11"/>
  <c r="AG60" i="14"/>
  <c r="AI58" i="14"/>
  <c r="L54" i="10"/>
  <c r="N52" i="10"/>
  <c r="O52" i="10" s="1"/>
  <c r="Z62" i="36"/>
  <c r="L54" i="17"/>
  <c r="N52" i="17"/>
  <c r="H54" i="13"/>
  <c r="S62" i="28"/>
  <c r="U60" i="28"/>
  <c r="V60" i="28" s="1"/>
  <c r="U58" i="9"/>
  <c r="S60" i="9"/>
  <c r="H56" i="29"/>
  <c r="AG54" i="9"/>
  <c r="AI52" i="9"/>
  <c r="N60" i="36"/>
  <c r="L62" i="36"/>
  <c r="N55" i="28"/>
  <c r="V55" i="28"/>
  <c r="AI51" i="16"/>
  <c r="AG60" i="19"/>
  <c r="AI58" i="19"/>
  <c r="AJ60" i="28"/>
  <c r="AB60" i="28"/>
  <c r="AC60" i="28" s="1"/>
  <c r="Z62" i="28"/>
  <c r="H54" i="22"/>
  <c r="O52" i="22"/>
  <c r="U51" i="9"/>
  <c r="AC51" i="9"/>
  <c r="AG54" i="18"/>
  <c r="AI52" i="18"/>
  <c r="H54" i="21"/>
  <c r="V58" i="24"/>
  <c r="L60" i="24"/>
  <c r="N58" i="24"/>
  <c r="V55" i="36"/>
  <c r="N55" i="36"/>
  <c r="N53" i="23"/>
  <c r="O53" i="23" s="1"/>
  <c r="V53" i="23"/>
  <c r="V59" i="33"/>
  <c r="N59" i="33"/>
  <c r="AB53" i="30"/>
  <c r="U59" i="36"/>
  <c r="V59" i="36" s="1"/>
  <c r="U53" i="23"/>
  <c r="AN54" i="16"/>
  <c r="U57" i="19"/>
  <c r="V57" i="19" s="1"/>
  <c r="U51" i="16"/>
  <c r="AI59" i="24"/>
  <c r="AQ57" i="20"/>
  <c r="AI57" i="20"/>
  <c r="Z54" i="20"/>
  <c r="AB52" i="20"/>
  <c r="AC52" i="20" s="1"/>
  <c r="N57" i="15"/>
  <c r="E93" i="1"/>
  <c r="E69" i="1"/>
  <c r="U53" i="19"/>
  <c r="AI55" i="28"/>
  <c r="AQ55" i="28"/>
  <c r="AJ55" i="25"/>
  <c r="AB55" i="25"/>
  <c r="AG54" i="20"/>
  <c r="AI52" i="20"/>
  <c r="AJ52" i="20" s="1"/>
  <c r="O53" i="19"/>
  <c r="AQ52" i="34"/>
  <c r="G37" i="1" s="1"/>
  <c r="V50" i="15"/>
  <c r="D13" i="1" s="1"/>
  <c r="U55" i="27"/>
  <c r="AC55" i="27"/>
  <c r="AC57" i="22"/>
  <c r="U57" i="22"/>
  <c r="U53" i="36"/>
  <c r="V53" i="36" s="1"/>
  <c r="AC53" i="36"/>
  <c r="AI57" i="17"/>
  <c r="AQ57" i="17"/>
  <c r="AJ53" i="34"/>
  <c r="AB53" i="34"/>
  <c r="AC53" i="30"/>
  <c r="U53" i="30"/>
  <c r="AN60" i="29"/>
  <c r="AI53" i="39"/>
  <c r="AI51" i="14"/>
  <c r="Z62" i="29"/>
  <c r="AJ60" i="29"/>
  <c r="AB60" i="29"/>
  <c r="AP55" i="34"/>
  <c r="AB55" i="38"/>
  <c r="AJ55" i="38"/>
  <c r="AQ59" i="9"/>
  <c r="AI59" i="9"/>
  <c r="AQ59" i="10"/>
  <c r="AI59" i="10"/>
  <c r="AJ59" i="10" s="1"/>
  <c r="U53" i="18"/>
  <c r="U53" i="38"/>
  <c r="H60" i="24"/>
  <c r="O58" i="24"/>
  <c r="AC61" i="25"/>
  <c r="AB57" i="21"/>
  <c r="AJ57" i="10"/>
  <c r="AB57" i="10"/>
  <c r="U59" i="41"/>
  <c r="AN52" i="17"/>
  <c r="AP59" i="21"/>
  <c r="AQ59" i="21" s="1"/>
  <c r="N59" i="21"/>
  <c r="V59" i="21"/>
  <c r="U59" i="37"/>
  <c r="AP61" i="30"/>
  <c r="O59" i="21"/>
  <c r="N57" i="19"/>
  <c r="S52" i="9"/>
  <c r="AQ52" i="26"/>
  <c r="G25" i="1" s="1"/>
  <c r="V59" i="37"/>
  <c r="N59" i="37"/>
  <c r="O59" i="37" s="1"/>
  <c r="V57" i="23"/>
  <c r="N57" i="23"/>
  <c r="N61" i="28"/>
  <c r="V61" i="28"/>
  <c r="AC61" i="33"/>
  <c r="U61" i="33"/>
  <c r="N53" i="39"/>
  <c r="AN60" i="37"/>
  <c r="AI55" i="33"/>
  <c r="AQ55" i="33"/>
  <c r="AN58" i="13"/>
  <c r="N59" i="24"/>
  <c r="O59" i="24" s="1"/>
  <c r="V61" i="27"/>
  <c r="N61" i="27"/>
  <c r="N53" i="36"/>
  <c r="O53" i="36" s="1"/>
  <c r="L60" i="33"/>
  <c r="U60" i="33" s="1"/>
  <c r="AB57" i="9"/>
  <c r="AP61" i="39"/>
  <c r="U53" i="40"/>
  <c r="V53" i="40" s="1"/>
  <c r="O52" i="31"/>
  <c r="C31" i="1" s="1"/>
  <c r="N59" i="40"/>
  <c r="AG56" i="39"/>
  <c r="AI54" i="39"/>
  <c r="AJ54" i="39" s="1"/>
  <c r="H54" i="11"/>
  <c r="O52" i="11"/>
  <c r="V53" i="14"/>
  <c r="N53" i="14"/>
  <c r="N59" i="34"/>
  <c r="O59" i="34" s="1"/>
  <c r="AJ61" i="30"/>
  <c r="AB61" i="30"/>
  <c r="N61" i="37"/>
  <c r="O61" i="37" s="1"/>
  <c r="N60" i="28"/>
  <c r="L62" i="28"/>
  <c r="S62" i="33"/>
  <c r="N57" i="20"/>
  <c r="V53" i="37"/>
  <c r="N53" i="37"/>
  <c r="O53" i="37" s="1"/>
  <c r="AB53" i="35"/>
  <c r="L56" i="34"/>
  <c r="U57" i="23"/>
  <c r="V59" i="12"/>
  <c r="N59" i="12"/>
  <c r="O59" i="12" s="1"/>
  <c r="S60" i="36"/>
  <c r="AN60" i="32"/>
  <c r="AP51" i="16"/>
  <c r="AQ51" i="16" s="1"/>
  <c r="S58" i="19"/>
  <c r="AQ59" i="20"/>
  <c r="AI59" i="20"/>
  <c r="AJ59" i="20" s="1"/>
  <c r="AB51" i="20"/>
  <c r="AN52" i="18"/>
  <c r="AJ61" i="34"/>
  <c r="AB61" i="34"/>
  <c r="AB57" i="22"/>
  <c r="AB55" i="31"/>
  <c r="AJ55" i="31"/>
  <c r="AN58" i="9"/>
  <c r="AQ53" i="28"/>
  <c r="AI53" i="28"/>
  <c r="AB53" i="25"/>
  <c r="AI53" i="36"/>
  <c r="AQ51" i="20"/>
  <c r="AI51" i="20"/>
  <c r="AJ51" i="20" s="1"/>
  <c r="Z56" i="33"/>
  <c r="AB54" i="33"/>
  <c r="AG62" i="31"/>
  <c r="AI60" i="31"/>
  <c r="AI58" i="32"/>
  <c r="AJ58" i="32" s="1"/>
  <c r="AG61" i="32"/>
  <c r="AQ58" i="32"/>
  <c r="AG59" i="32"/>
  <c r="AP59" i="32" s="1"/>
  <c r="U53" i="27"/>
  <c r="S60" i="22"/>
  <c r="U58" i="22"/>
  <c r="AI61" i="26"/>
  <c r="AQ61" i="26"/>
  <c r="AN60" i="10"/>
  <c r="AG60" i="17"/>
  <c r="AI58" i="17"/>
  <c r="AJ58" i="17" s="1"/>
  <c r="AP61" i="29"/>
  <c r="AI57" i="19"/>
  <c r="AG52" i="14"/>
  <c r="AN54" i="34"/>
  <c r="U53" i="11"/>
  <c r="AI57" i="9"/>
  <c r="AJ57" i="9" s="1"/>
  <c r="AQ57" i="9"/>
  <c r="N57" i="17"/>
  <c r="O57" i="17" s="1"/>
  <c r="AE61" i="41"/>
  <c r="Z61" i="41"/>
  <c r="Z62" i="41" s="1"/>
  <c r="AI55" i="31"/>
  <c r="AQ55" i="31"/>
  <c r="V52" i="26"/>
  <c r="D25" i="1" s="1"/>
  <c r="N51" i="14"/>
  <c r="O51" i="14" s="1"/>
  <c r="Z58" i="21"/>
  <c r="N51" i="9"/>
  <c r="O51" i="9" s="1"/>
  <c r="V51" i="9"/>
  <c r="AP59" i="33"/>
  <c r="AI59" i="25"/>
  <c r="AJ59" i="25" s="1"/>
  <c r="Z60" i="10"/>
  <c r="AB57" i="12"/>
  <c r="L60" i="34"/>
  <c r="AP53" i="17"/>
  <c r="AQ59" i="18"/>
  <c r="AI59" i="18"/>
  <c r="AP59" i="35"/>
  <c r="AQ59" i="35" s="1"/>
  <c r="AN58" i="21"/>
  <c r="AI53" i="26"/>
  <c r="AQ53" i="26"/>
  <c r="S56" i="32"/>
  <c r="U54" i="32"/>
  <c r="V54" i="32" s="1"/>
  <c r="AC54" i="32"/>
  <c r="N54" i="39"/>
  <c r="O54" i="39" s="1"/>
  <c r="L56" i="39"/>
  <c r="V54" i="39"/>
  <c r="AI59" i="23"/>
  <c r="AQ59" i="23"/>
  <c r="N57" i="24"/>
  <c r="AQ53" i="38"/>
  <c r="AI53" i="38"/>
  <c r="AQ54" i="40"/>
  <c r="AG56" i="40"/>
  <c r="AI54" i="40"/>
  <c r="AP53" i="40"/>
  <c r="H58" i="18"/>
  <c r="Z58" i="9"/>
  <c r="AI58" i="9" s="1"/>
  <c r="U59" i="39"/>
  <c r="AC61" i="31"/>
  <c r="U61" i="31"/>
  <c r="AP57" i="15"/>
  <c r="AC53" i="29"/>
  <c r="U53" i="29"/>
  <c r="H62" i="36"/>
  <c r="O60" i="36"/>
  <c r="AI53" i="20"/>
  <c r="AJ53" i="20" s="1"/>
  <c r="AQ53" i="20"/>
  <c r="AB53" i="17"/>
  <c r="AB53" i="33"/>
  <c r="V53" i="27"/>
  <c r="N53" i="27"/>
  <c r="O53" i="27" s="1"/>
  <c r="AI59" i="31"/>
  <c r="O53" i="35"/>
  <c r="U59" i="13"/>
  <c r="AC59" i="13"/>
  <c r="AQ59" i="26"/>
  <c r="AI59" i="26"/>
  <c r="U61" i="34"/>
  <c r="AC61" i="34"/>
  <c r="S56" i="36"/>
  <c r="U54" i="36"/>
  <c r="AN58" i="24"/>
  <c r="AJ52" i="34"/>
  <c r="F37" i="1" s="1"/>
  <c r="H60" i="11"/>
  <c r="O58" i="11"/>
  <c r="AP53" i="28"/>
  <c r="O52" i="9"/>
  <c r="H54" i="9"/>
  <c r="AQ55" i="39"/>
  <c r="AI55" i="39"/>
  <c r="U59" i="27"/>
  <c r="V59" i="27" s="1"/>
  <c r="N53" i="10"/>
  <c r="U59" i="11"/>
  <c r="AJ53" i="28"/>
  <c r="AB53" i="28"/>
  <c r="U51" i="11"/>
  <c r="AQ57" i="10"/>
  <c r="AI57" i="10"/>
  <c r="U61" i="41"/>
  <c r="V61" i="41" s="1"/>
  <c r="U51" i="18"/>
  <c r="AG62" i="28"/>
  <c r="AI60" i="28"/>
  <c r="O57" i="24"/>
  <c r="AQ53" i="31"/>
  <c r="AI53" i="31"/>
  <c r="AG60" i="25"/>
  <c r="AI61" i="38"/>
  <c r="AQ61" i="38"/>
  <c r="Z58" i="12"/>
  <c r="V61" i="34"/>
  <c r="N61" i="34"/>
  <c r="S60" i="41"/>
  <c r="AB60" i="41" s="1"/>
  <c r="AI55" i="25"/>
  <c r="AQ55" i="25"/>
  <c r="AI53" i="9"/>
  <c r="H58" i="17"/>
  <c r="U53" i="10"/>
  <c r="V53" i="10" s="1"/>
  <c r="H60" i="25"/>
  <c r="H60" i="38"/>
  <c r="AP54" i="37"/>
  <c r="AC55" i="29"/>
  <c r="U55" i="29"/>
  <c r="V61" i="32"/>
  <c r="N61" i="32"/>
  <c r="U53" i="32"/>
  <c r="U59" i="33"/>
  <c r="N53" i="19"/>
  <c r="V53" i="19"/>
  <c r="AI57" i="23"/>
  <c r="AQ57" i="23"/>
  <c r="AQ53" i="33"/>
  <c r="AI53" i="33"/>
  <c r="AJ53" i="33" s="1"/>
  <c r="H54" i="27"/>
  <c r="U59" i="12"/>
  <c r="AQ55" i="35"/>
  <c r="AI55" i="35"/>
  <c r="AI55" i="38"/>
  <c r="AQ55" i="38"/>
  <c r="N59" i="27"/>
  <c r="AI53" i="40"/>
  <c r="AQ53" i="40"/>
  <c r="O53" i="12"/>
  <c r="V61" i="33"/>
  <c r="N61" i="33"/>
  <c r="N53" i="13"/>
  <c r="AJ53" i="41"/>
  <c r="AB53" i="41"/>
  <c r="AC53" i="41" s="1"/>
  <c r="AJ59" i="40"/>
  <c r="AB59" i="40"/>
  <c r="S54" i="40"/>
  <c r="AN58" i="15"/>
  <c r="N61" i="40"/>
  <c r="V61" i="40"/>
  <c r="U52" i="19"/>
  <c r="V52" i="19" s="1"/>
  <c r="S54" i="19"/>
  <c r="L60" i="10"/>
  <c r="N58" i="10"/>
  <c r="AC59" i="34"/>
  <c r="U59" i="34"/>
  <c r="V59" i="34" s="1"/>
  <c r="AJ54" i="34"/>
  <c r="Z56" i="34"/>
  <c r="AB54" i="34"/>
  <c r="N60" i="38"/>
  <c r="L62" i="38"/>
  <c r="AJ55" i="28"/>
  <c r="AB55" i="28"/>
  <c r="U53" i="26"/>
  <c r="H62" i="29"/>
  <c r="AB59" i="25"/>
  <c r="AC59" i="25" s="1"/>
  <c r="AB52" i="21"/>
  <c r="AC52" i="21" s="1"/>
  <c r="Z54" i="21"/>
  <c r="AP54" i="36"/>
  <c r="AN56" i="36"/>
  <c r="N51" i="20"/>
  <c r="O51" i="20" s="1"/>
  <c r="AI53" i="13"/>
  <c r="AB59" i="17"/>
  <c r="AB53" i="20"/>
  <c r="AC53" i="20" s="1"/>
  <c r="AG62" i="29"/>
  <c r="AI60" i="29"/>
  <c r="N55" i="39"/>
  <c r="V55" i="39"/>
  <c r="AG56" i="30"/>
  <c r="AI54" i="30"/>
  <c r="N51" i="19"/>
  <c r="O51" i="19" s="1"/>
  <c r="V51" i="19"/>
  <c r="AI54" i="33"/>
  <c r="AJ54" i="33" s="1"/>
  <c r="AG56" i="33"/>
  <c r="U58" i="12"/>
  <c r="V58" i="12" s="1"/>
  <c r="S60" i="12"/>
  <c r="AI53" i="35"/>
  <c r="AJ53" i="35" s="1"/>
  <c r="AQ55" i="40"/>
  <c r="AI55" i="40"/>
  <c r="N54" i="36"/>
  <c r="V54" i="36"/>
  <c r="L56" i="36"/>
  <c r="AN56" i="40"/>
  <c r="AP56" i="40" s="1"/>
  <c r="AP54" i="40"/>
  <c r="AP59" i="14"/>
  <c r="N52" i="13"/>
  <c r="O52" i="13" s="1"/>
  <c r="L54" i="13"/>
  <c r="V52" i="13"/>
  <c r="AJ52" i="41"/>
  <c r="F55" i="1" s="1"/>
  <c r="AJ61" i="40"/>
  <c r="AB61" i="40"/>
  <c r="L62" i="40"/>
  <c r="N60" i="40"/>
  <c r="AC55" i="33"/>
  <c r="U55" i="33"/>
  <c r="AN54" i="15"/>
  <c r="AI51" i="11"/>
  <c r="AJ61" i="27"/>
  <c r="AB61" i="27"/>
  <c r="AQ59" i="41"/>
  <c r="AI59" i="41"/>
  <c r="T23" i="3"/>
  <c r="U23" i="3" s="1"/>
  <c r="S56" i="38"/>
  <c r="U54" i="38"/>
  <c r="V54" i="38" s="1"/>
  <c r="AB52" i="15"/>
  <c r="AC52" i="15" s="1"/>
  <c r="Z54" i="15"/>
  <c r="N53" i="9"/>
  <c r="AB59" i="10"/>
  <c r="AC59" i="10" s="1"/>
  <c r="U51" i="24"/>
  <c r="S62" i="40"/>
  <c r="U60" i="40"/>
  <c r="V60" i="40" s="1"/>
  <c r="V53" i="11"/>
  <c r="N53" i="11"/>
  <c r="AB59" i="35"/>
  <c r="Z54" i="9"/>
  <c r="AJ52" i="9"/>
  <c r="AB52" i="9"/>
  <c r="AC55" i="40"/>
  <c r="U55" i="40"/>
  <c r="O53" i="32"/>
  <c r="AI53" i="21"/>
  <c r="N53" i="12"/>
  <c r="O61" i="41"/>
  <c r="AJ59" i="23"/>
  <c r="AB59" i="23"/>
  <c r="U53" i="41"/>
  <c r="U59" i="21"/>
  <c r="L56" i="31"/>
  <c r="V54" i="31"/>
  <c r="U51" i="23"/>
  <c r="AN56" i="35"/>
  <c r="AP54" i="35"/>
  <c r="AI51" i="13"/>
  <c r="AB59" i="34"/>
  <c r="O53" i="20"/>
  <c r="AJ53" i="31"/>
  <c r="AB53" i="31"/>
  <c r="N59" i="41"/>
  <c r="O59" i="41" s="1"/>
  <c r="V59" i="41"/>
  <c r="AJ57" i="23"/>
  <c r="AB57" i="23"/>
  <c r="AC57" i="23" s="1"/>
  <c r="AJ53" i="16"/>
  <c r="AB53" i="16"/>
  <c r="AJ55" i="33"/>
  <c r="AB55" i="33"/>
  <c r="H56" i="35"/>
  <c r="O53" i="9"/>
  <c r="AP54" i="26"/>
  <c r="AQ54" i="26" s="1"/>
  <c r="AN56" i="26"/>
  <c r="O59" i="33"/>
  <c r="S54" i="11"/>
  <c r="AC52" i="11"/>
  <c r="U52" i="11"/>
  <c r="V52" i="11" s="1"/>
  <c r="N53" i="26"/>
  <c r="V53" i="26"/>
  <c r="L54" i="14"/>
  <c r="V52" i="14"/>
  <c r="L54" i="9"/>
  <c r="N52" i="9"/>
  <c r="AP60" i="33"/>
  <c r="AN62" i="33"/>
  <c r="H54" i="23"/>
  <c r="AP59" i="19"/>
  <c r="AQ53" i="25"/>
  <c r="AI53" i="25"/>
  <c r="AJ53" i="25" s="1"/>
  <c r="AQ57" i="18"/>
  <c r="AI57" i="18"/>
  <c r="AC52" i="10"/>
  <c r="S54" i="10"/>
  <c r="U52" i="10"/>
  <c r="V52" i="10" s="1"/>
  <c r="AB61" i="35"/>
  <c r="AJ61" i="35"/>
  <c r="L62" i="37"/>
  <c r="N60" i="37"/>
  <c r="O60" i="37" s="1"/>
  <c r="U59" i="31"/>
  <c r="AN52" i="12"/>
  <c r="V55" i="31"/>
  <c r="N55" i="31"/>
  <c r="AB61" i="39"/>
  <c r="AJ61" i="39"/>
  <c r="S52" i="23"/>
  <c r="AB52" i="23" s="1"/>
  <c r="O59" i="40"/>
  <c r="AP51" i="21"/>
  <c r="AB57" i="16"/>
  <c r="AJ57" i="16"/>
  <c r="AB55" i="32"/>
  <c r="AJ55" i="32"/>
  <c r="AB57" i="15"/>
  <c r="AQ57" i="24"/>
  <c r="AI57" i="24"/>
  <c r="N51" i="12"/>
  <c r="O51" i="12" s="1"/>
  <c r="AG58" i="20"/>
  <c r="Z60" i="34"/>
  <c r="AB51" i="16"/>
  <c r="AC51" i="16" s="1"/>
  <c r="AJ51" i="16"/>
  <c r="AB57" i="14"/>
  <c r="AQ61" i="35"/>
  <c r="AI61" i="35"/>
  <c r="AI55" i="36"/>
  <c r="AQ55" i="36"/>
  <c r="AB59" i="20"/>
  <c r="AB59" i="38"/>
  <c r="AJ51" i="17"/>
  <c r="AB51" i="17"/>
  <c r="AQ61" i="31"/>
  <c r="AI61" i="31"/>
  <c r="AI55" i="37"/>
  <c r="S54" i="27"/>
  <c r="AB54" i="27" s="1"/>
  <c r="AQ59" i="29"/>
  <c r="AI59" i="29"/>
  <c r="AJ59" i="29" s="1"/>
  <c r="AB59" i="29"/>
  <c r="AC59" i="29" s="1"/>
  <c r="N59" i="9"/>
  <c r="U57" i="11"/>
  <c r="AG58" i="10"/>
  <c r="AP58" i="10" s="1"/>
  <c r="V59" i="30"/>
  <c r="N59" i="30"/>
  <c r="AJ61" i="32"/>
  <c r="AB61" i="32"/>
  <c r="AQ59" i="13"/>
  <c r="AI59" i="13"/>
  <c r="AJ59" i="13" s="1"/>
  <c r="AI59" i="28"/>
  <c r="AQ59" i="28"/>
  <c r="AG54" i="31"/>
  <c r="N55" i="26"/>
  <c r="V55" i="26"/>
  <c r="AC59" i="17"/>
  <c r="U59" i="17"/>
  <c r="AP61" i="33"/>
  <c r="AB60" i="26"/>
  <c r="AC60" i="26" s="1"/>
  <c r="Z62" i="26"/>
  <c r="U57" i="10"/>
  <c r="AC57" i="10"/>
  <c r="AP57" i="19"/>
  <c r="AQ57" i="19" s="1"/>
  <c r="N61" i="39"/>
  <c r="V61" i="39"/>
  <c r="AG54" i="25"/>
  <c r="AB53" i="29"/>
  <c r="S56" i="35"/>
  <c r="U54" i="35"/>
  <c r="V54" i="35" s="1"/>
  <c r="AC54" i="35"/>
  <c r="AP53" i="37"/>
  <c r="AC53" i="25"/>
  <c r="U53" i="12"/>
  <c r="V53" i="12" s="1"/>
  <c r="AQ59" i="15"/>
  <c r="AI59" i="15"/>
  <c r="AP53" i="39"/>
  <c r="AQ53" i="39" s="1"/>
  <c r="U55" i="32"/>
  <c r="AC55" i="32"/>
  <c r="AN54" i="30"/>
  <c r="V59" i="31"/>
  <c r="N59" i="31"/>
  <c r="O59" i="31" s="1"/>
  <c r="AP59" i="20"/>
  <c r="V52" i="39"/>
  <c r="D49" i="1" s="1"/>
  <c r="AI53" i="30"/>
  <c r="AJ53" i="30" s="1"/>
  <c r="AQ53" i="30"/>
  <c r="AJ53" i="24"/>
  <c r="AB53" i="24"/>
  <c r="AG54" i="35"/>
  <c r="AG54" i="38"/>
  <c r="V55" i="32"/>
  <c r="N55" i="32"/>
  <c r="AP55" i="40"/>
  <c r="H52" i="12"/>
  <c r="AP57" i="14"/>
  <c r="AP51" i="20"/>
  <c r="AQ53" i="22"/>
  <c r="AI53" i="22"/>
  <c r="AJ53" i="22" s="1"/>
  <c r="H58" i="14"/>
  <c r="N58" i="14" s="1"/>
  <c r="Z54" i="41"/>
  <c r="AB53" i="36"/>
  <c r="AJ53" i="36"/>
  <c r="Z56" i="30"/>
  <c r="AJ54" i="30"/>
  <c r="AB54" i="30"/>
  <c r="AJ53" i="23"/>
  <c r="AB53" i="23"/>
  <c r="AC53" i="23" s="1"/>
  <c r="O53" i="39"/>
  <c r="L56" i="33"/>
  <c r="N59" i="15"/>
  <c r="V57" i="16"/>
  <c r="N57" i="16"/>
  <c r="Z56" i="40"/>
  <c r="AB54" i="40"/>
  <c r="AJ54" i="40"/>
  <c r="AG54" i="24"/>
  <c r="AI52" i="24"/>
  <c r="AQ53" i="34"/>
  <c r="AI53" i="34"/>
  <c r="AI52" i="32"/>
  <c r="AJ52" i="32" s="1"/>
  <c r="AG55" i="32"/>
  <c r="AG53" i="32"/>
  <c r="AI57" i="16"/>
  <c r="AQ57" i="16"/>
  <c r="AC53" i="13"/>
  <c r="U53" i="13"/>
  <c r="V53" i="13" s="1"/>
  <c r="H62" i="39"/>
  <c r="L60" i="17"/>
  <c r="N58" i="17"/>
  <c r="U59" i="16"/>
  <c r="AG54" i="10"/>
  <c r="AI52" i="10"/>
  <c r="AJ52" i="10" s="1"/>
  <c r="S62" i="25"/>
  <c r="AC60" i="25"/>
  <c r="AI59" i="38"/>
  <c r="AJ59" i="38" s="1"/>
  <c r="AP59" i="41"/>
  <c r="U60" i="37"/>
  <c r="V60" i="37" s="1"/>
  <c r="AC60" i="37"/>
  <c r="S62" i="37"/>
  <c r="AQ55" i="26"/>
  <c r="AI55" i="26"/>
  <c r="N58" i="23"/>
  <c r="O58" i="23" s="1"/>
  <c r="L60" i="23"/>
  <c r="O53" i="31"/>
  <c r="AB59" i="16"/>
  <c r="AC59" i="16" s="1"/>
  <c r="AP57" i="16"/>
  <c r="AI59" i="35"/>
  <c r="AJ59" i="35" s="1"/>
  <c r="AC61" i="36"/>
  <c r="U61" i="36"/>
  <c r="O57" i="20"/>
  <c r="AI58" i="24"/>
  <c r="AG60" i="24"/>
  <c r="L60" i="15"/>
  <c r="N58" i="15"/>
  <c r="O58" i="15" s="1"/>
  <c r="H62" i="41"/>
  <c r="AJ57" i="20"/>
  <c r="AB57" i="20"/>
  <c r="N54" i="27"/>
  <c r="L56" i="27"/>
  <c r="AI59" i="14"/>
  <c r="AQ59" i="14"/>
  <c r="AJ55" i="34"/>
  <c r="AB55" i="34"/>
  <c r="U59" i="18"/>
  <c r="L62" i="26"/>
  <c r="V60" i="26"/>
  <c r="U61" i="27"/>
  <c r="AC61" i="27"/>
  <c r="N51" i="10"/>
  <c r="N51" i="17"/>
  <c r="AP58" i="23"/>
  <c r="AN60" i="23"/>
  <c r="AG60" i="9"/>
  <c r="N59" i="35"/>
  <c r="O59" i="35" s="1"/>
  <c r="V60" i="30"/>
  <c r="L62" i="30"/>
  <c r="N60" i="30"/>
  <c r="AI59" i="40"/>
  <c r="AC57" i="16"/>
  <c r="U57" i="16"/>
  <c r="AQ61" i="28"/>
  <c r="AI61" i="28"/>
  <c r="U53" i="22"/>
  <c r="V53" i="22" s="1"/>
  <c r="U59" i="9"/>
  <c r="V59" i="9" s="1"/>
  <c r="AQ61" i="25"/>
  <c r="AI61" i="25"/>
  <c r="AJ61" i="26"/>
  <c r="AB61" i="26"/>
  <c r="AB59" i="12"/>
  <c r="AC59" i="12" s="1"/>
  <c r="AI51" i="9"/>
  <c r="AJ51" i="9" s="1"/>
  <c r="O53" i="14"/>
  <c r="V57" i="21"/>
  <c r="N57" i="21"/>
  <c r="O57" i="21" s="1"/>
  <c r="N60" i="32"/>
  <c r="L62" i="32"/>
  <c r="N51" i="24"/>
  <c r="O51" i="24" s="1"/>
  <c r="V51" i="24"/>
  <c r="AN54" i="22"/>
  <c r="AP54" i="22" s="1"/>
  <c r="AP52" i="22"/>
  <c r="AQ52" i="22" s="1"/>
  <c r="AI59" i="21"/>
  <c r="AI51" i="21"/>
  <c r="AJ51" i="21" s="1"/>
  <c r="AQ51" i="21"/>
  <c r="AP53" i="35"/>
  <c r="AQ53" i="35" s="1"/>
  <c r="N53" i="16"/>
  <c r="H58" i="20"/>
  <c r="L54" i="12"/>
  <c r="AB59" i="19"/>
  <c r="AP52" i="32"/>
  <c r="AQ52" i="32" s="1"/>
  <c r="AP60" i="28"/>
  <c r="AQ60" i="28" s="1"/>
  <c r="AN62" i="28"/>
  <c r="AP62" i="28" s="1"/>
  <c r="AC52" i="31"/>
  <c r="E31" i="1" s="1"/>
  <c r="AB61" i="37"/>
  <c r="AC61" i="37" s="1"/>
  <c r="O53" i="30"/>
  <c r="Z60" i="38"/>
  <c r="U59" i="30"/>
  <c r="O55" i="41"/>
  <c r="AQ61" i="37"/>
  <c r="AI61" i="37"/>
  <c r="AJ61" i="37" s="1"/>
  <c r="AG60" i="26"/>
  <c r="U53" i="14"/>
  <c r="O57" i="13"/>
  <c r="AN54" i="28"/>
  <c r="U59" i="38"/>
  <c r="AC59" i="38"/>
  <c r="V61" i="26"/>
  <c r="N61" i="26"/>
  <c r="AP55" i="26"/>
  <c r="O55" i="37"/>
  <c r="S58" i="11"/>
  <c r="AB58" i="11" s="1"/>
  <c r="AB51" i="18"/>
  <c r="AC51" i="18" s="1"/>
  <c r="AN52" i="10"/>
  <c r="L60" i="35"/>
  <c r="AQ61" i="40"/>
  <c r="AI61" i="40"/>
  <c r="H60" i="26"/>
  <c r="AC61" i="29"/>
  <c r="U61" i="29"/>
  <c r="AC57" i="17"/>
  <c r="U57" i="17"/>
  <c r="V57" i="17" s="1"/>
  <c r="AQ59" i="11"/>
  <c r="AI59" i="11"/>
  <c r="H54" i="33"/>
  <c r="AB59" i="26"/>
  <c r="AC59" i="26" s="1"/>
  <c r="AJ59" i="26"/>
  <c r="S58" i="10"/>
  <c r="AN58" i="19"/>
  <c r="Z54" i="29"/>
  <c r="AG58" i="18"/>
  <c r="AP58" i="18" s="1"/>
  <c r="H52" i="14"/>
  <c r="N52" i="14" s="1"/>
  <c r="AC53" i="35"/>
  <c r="U53" i="35"/>
  <c r="H54" i="34"/>
  <c r="N54" i="34" s="1"/>
  <c r="AQ53" i="29"/>
  <c r="AI53" i="29"/>
  <c r="AJ53" i="29" s="1"/>
  <c r="AI59" i="12"/>
  <c r="AJ59" i="12" s="1"/>
  <c r="S54" i="25"/>
  <c r="N59" i="32"/>
  <c r="N53" i="24"/>
  <c r="O53" i="24" s="1"/>
  <c r="V53" i="24"/>
  <c r="AQ59" i="34"/>
  <c r="AI59" i="34"/>
  <c r="AJ59" i="34" s="1"/>
  <c r="AB59" i="13"/>
  <c r="AP55" i="30"/>
  <c r="V61" i="31"/>
  <c r="N61" i="31"/>
  <c r="AQ59" i="22"/>
  <c r="AI59" i="22"/>
  <c r="AJ59" i="22" s="1"/>
  <c r="V59" i="13"/>
  <c r="N59" i="13"/>
  <c r="O59" i="13" s="1"/>
  <c r="AG58" i="23"/>
  <c r="AJ51" i="24"/>
  <c r="AB51" i="24"/>
  <c r="AC51" i="24" s="1"/>
  <c r="U53" i="20"/>
  <c r="AQ53" i="15"/>
  <c r="I10" i="3" s="1"/>
  <c r="AI53" i="15"/>
  <c r="H9" i="3" s="1"/>
  <c r="AN58" i="14"/>
  <c r="AQ51" i="22"/>
  <c r="AI51" i="22"/>
  <c r="AB59" i="24"/>
  <c r="AC59" i="24" s="1"/>
  <c r="AJ59" i="24"/>
  <c r="AB61" i="31"/>
  <c r="AJ61" i="31"/>
  <c r="Z60" i="40"/>
  <c r="U61" i="35"/>
  <c r="AC61" i="35"/>
  <c r="Z54" i="36"/>
  <c r="AI54" i="36" s="1"/>
  <c r="Z54" i="19"/>
  <c r="AB52" i="19"/>
  <c r="AC52" i="19" s="1"/>
  <c r="AB53" i="27"/>
  <c r="AC53" i="27" s="1"/>
  <c r="AB51" i="23"/>
  <c r="AC51" i="23" s="1"/>
  <c r="AJ61" i="29"/>
  <c r="AB61" i="29"/>
  <c r="AQ61" i="36"/>
  <c r="AI61" i="36"/>
  <c r="AC57" i="21"/>
  <c r="U57" i="21"/>
  <c r="N53" i="31"/>
  <c r="AI52" i="21"/>
  <c r="AJ52" i="21" s="1"/>
  <c r="AG54" i="21"/>
  <c r="AQ52" i="21"/>
  <c r="AB53" i="22"/>
  <c r="AC53" i="22" s="1"/>
  <c r="V53" i="18"/>
  <c r="N53" i="18"/>
  <c r="N55" i="41"/>
  <c r="AN54" i="21"/>
  <c r="AP52" i="21"/>
  <c r="AB58" i="16"/>
  <c r="AC58" i="16" s="1"/>
  <c r="Z60" i="16"/>
  <c r="AP59" i="36"/>
  <c r="AQ59" i="36" s="1"/>
  <c r="AG52" i="13"/>
  <c r="AP52" i="13" s="1"/>
  <c r="AJ57" i="17"/>
  <c r="AB57" i="17"/>
  <c r="AP61" i="28"/>
  <c r="U55" i="31"/>
  <c r="AC55" i="31"/>
  <c r="O59" i="9"/>
  <c r="H54" i="20"/>
  <c r="AP53" i="27"/>
  <c r="AB58" i="14"/>
  <c r="AC58" i="14" s="1"/>
  <c r="Z60" i="14"/>
  <c r="AJ58" i="14"/>
  <c r="AP53" i="41"/>
  <c r="AQ53" i="41" s="1"/>
  <c r="AQ61" i="30"/>
  <c r="AI61" i="30"/>
  <c r="N53" i="22"/>
  <c r="O53" i="22" s="1"/>
  <c r="U59" i="26"/>
  <c r="AJ61" i="38"/>
  <c r="AB61" i="38"/>
  <c r="AB52" i="17"/>
  <c r="Z54" i="17"/>
  <c r="U60" i="30"/>
  <c r="S62" i="30"/>
  <c r="V55" i="27"/>
  <c r="N55" i="27"/>
  <c r="O52" i="41"/>
  <c r="C55" i="1" s="1"/>
  <c r="AI57" i="14"/>
  <c r="AJ57" i="14" s="1"/>
  <c r="AQ57" i="14"/>
  <c r="AL61" i="37"/>
  <c r="AN61" i="37" s="1"/>
  <c r="AP61" i="37" s="1"/>
  <c r="AN55" i="37"/>
  <c r="AP55" i="37" s="1"/>
  <c r="AQ55" i="37" s="1"/>
  <c r="U57" i="13"/>
  <c r="V57" i="13" s="1"/>
  <c r="AC57" i="13"/>
  <c r="AB51" i="12"/>
  <c r="AC51" i="12" s="1"/>
  <c r="AI61" i="29"/>
  <c r="AQ61" i="29"/>
  <c r="AB58" i="18"/>
  <c r="AC58" i="18" s="1"/>
  <c r="Z60" i="18"/>
  <c r="O57" i="19"/>
  <c r="H60" i="13"/>
  <c r="O58" i="13"/>
  <c r="N53" i="29"/>
  <c r="O53" i="29" s="1"/>
  <c r="V53" i="29"/>
  <c r="AG53" i="27"/>
  <c r="AG55" i="27"/>
  <c r="AQ52" i="27"/>
  <c r="AI52" i="27"/>
  <c r="AJ52" i="27" s="1"/>
  <c r="AC61" i="38"/>
  <c r="U61" i="38"/>
  <c r="N59" i="26"/>
  <c r="O59" i="26" s="1"/>
  <c r="V59" i="26"/>
  <c r="V57" i="9"/>
  <c r="N57" i="9"/>
  <c r="AB59" i="37"/>
  <c r="AC59" i="37" s="1"/>
  <c r="O57" i="23"/>
  <c r="AI59" i="33"/>
  <c r="AQ59" i="33"/>
  <c r="AJ53" i="18"/>
  <c r="AB53" i="18"/>
  <c r="AC53" i="18" s="1"/>
  <c r="AP53" i="24"/>
  <c r="O53" i="13"/>
  <c r="N61" i="30"/>
  <c r="V61" i="30"/>
  <c r="AB51" i="14"/>
  <c r="AC51" i="14" s="1"/>
  <c r="AJ51" i="14"/>
  <c r="U51" i="22"/>
  <c r="AN56" i="29"/>
  <c r="AP54" i="29"/>
  <c r="AQ54" i="29" s="1"/>
  <c r="AC57" i="9"/>
  <c r="U57" i="9"/>
  <c r="AB53" i="10"/>
  <c r="AC53" i="10" s="1"/>
  <c r="H62" i="34"/>
  <c r="V59" i="11"/>
  <c r="N59" i="11"/>
  <c r="O59" i="11" s="1"/>
  <c r="U59" i="10"/>
  <c r="N53" i="35"/>
  <c r="V53" i="35"/>
  <c r="V59" i="39"/>
  <c r="N59" i="39"/>
  <c r="N53" i="21"/>
  <c r="O53" i="21" s="1"/>
  <c r="V53" i="21"/>
  <c r="N59" i="36"/>
  <c r="O59" i="36" s="1"/>
  <c r="U51" i="10"/>
  <c r="V51" i="10" s="1"/>
  <c r="AN54" i="38"/>
  <c r="AI55" i="29"/>
  <c r="AQ55" i="29"/>
  <c r="U59" i="20"/>
  <c r="AC59" i="20"/>
  <c r="AQ57" i="15"/>
  <c r="AI57" i="15"/>
  <c r="AJ57" i="15" s="1"/>
  <c r="AQ61" i="34"/>
  <c r="AI61" i="34"/>
  <c r="AP54" i="39"/>
  <c r="AQ54" i="39" s="1"/>
  <c r="AN56" i="39"/>
  <c r="AP56" i="39" s="1"/>
  <c r="AJ57" i="13"/>
  <c r="AB57" i="13"/>
  <c r="AP53" i="14"/>
  <c r="N60" i="31"/>
  <c r="O60" i="31" s="1"/>
  <c r="L62" i="31"/>
  <c r="V60" i="31"/>
  <c r="AP57" i="20"/>
  <c r="AQ55" i="30"/>
  <c r="AI55" i="30"/>
  <c r="AI53" i="12"/>
  <c r="AJ53" i="12" s="1"/>
  <c r="AQ53" i="12"/>
  <c r="AC57" i="12"/>
  <c r="U57" i="12"/>
  <c r="N53" i="40"/>
  <c r="AI51" i="15"/>
  <c r="AQ51" i="15"/>
  <c r="N53" i="32"/>
  <c r="V53" i="32"/>
  <c r="AJ53" i="13"/>
  <c r="AB53" i="13"/>
  <c r="O59" i="32"/>
  <c r="AJ52" i="26"/>
  <c r="F25" i="1" s="1"/>
  <c r="AP59" i="12"/>
  <c r="AQ59" i="12" s="1"/>
  <c r="AP52" i="20"/>
  <c r="AQ52" i="20" s="1"/>
  <c r="AN54" i="20"/>
  <c r="AP54" i="20" s="1"/>
  <c r="I19" i="3" s="1"/>
  <c r="N51" i="13"/>
  <c r="AB58" i="24"/>
  <c r="AC58" i="24" s="1"/>
  <c r="Z60" i="24"/>
  <c r="AJ58" i="24"/>
  <c r="AP53" i="13"/>
  <c r="AQ53" i="13" s="1"/>
  <c r="AB60" i="31"/>
  <c r="AC60" i="31" s="1"/>
  <c r="Z62" i="31"/>
  <c r="AJ60" i="31"/>
  <c r="U59" i="32"/>
  <c r="V59" i="32" s="1"/>
  <c r="S62" i="35"/>
  <c r="AC60" i="35"/>
  <c r="V59" i="18"/>
  <c r="N59" i="18"/>
  <c r="O59" i="18" s="1"/>
  <c r="AP59" i="27"/>
  <c r="AJ55" i="36"/>
  <c r="AB55" i="36"/>
  <c r="AJ59" i="33"/>
  <c r="AB59" i="33"/>
  <c r="AC59" i="33" s="1"/>
  <c r="AP60" i="39"/>
  <c r="AQ60" i="39" s="1"/>
  <c r="AN62" i="39"/>
  <c r="AP62" i="39" s="1"/>
  <c r="AB53" i="32"/>
  <c r="AC53" i="32" s="1"/>
  <c r="Z56" i="31"/>
  <c r="AB54" i="31"/>
  <c r="AC54" i="31" s="1"/>
  <c r="AI54" i="28"/>
  <c r="AJ54" i="28" s="1"/>
  <c r="AG56" i="28"/>
  <c r="O58" i="10"/>
  <c r="H60" i="10"/>
  <c r="H62" i="37"/>
  <c r="AI59" i="36"/>
  <c r="AJ59" i="36" s="1"/>
  <c r="V52" i="31"/>
  <c r="D31" i="1" s="1"/>
  <c r="AB59" i="39"/>
  <c r="AC59" i="39" s="1"/>
  <c r="AB53" i="19"/>
  <c r="AC53" i="19" s="1"/>
  <c r="AI53" i="37"/>
  <c r="AQ53" i="37"/>
  <c r="AP53" i="21"/>
  <c r="AQ53" i="21" s="1"/>
  <c r="AP61" i="36"/>
  <c r="AB58" i="15"/>
  <c r="Z60" i="15"/>
  <c r="O59" i="30"/>
  <c r="V59" i="22"/>
  <c r="N59" i="22"/>
  <c r="O59" i="22" s="1"/>
  <c r="V55" i="33"/>
  <c r="N55" i="33"/>
  <c r="AJ57" i="19"/>
  <c r="AB57" i="19"/>
  <c r="AC57" i="19" s="1"/>
  <c r="AJ61" i="33"/>
  <c r="AB61" i="33"/>
  <c r="O53" i="40"/>
  <c r="N59" i="29"/>
  <c r="AC55" i="39"/>
  <c r="U55" i="39"/>
  <c r="AN56" i="27"/>
  <c r="Z54" i="16"/>
  <c r="AB52" i="16"/>
  <c r="AC52" i="16" s="1"/>
  <c r="U53" i="34"/>
  <c r="AC53" i="34"/>
  <c r="AP54" i="41"/>
  <c r="AQ54" i="41" s="1"/>
  <c r="AI53" i="24"/>
  <c r="AQ53" i="24"/>
  <c r="H56" i="30"/>
  <c r="O54" i="30"/>
  <c r="U61" i="26"/>
  <c r="AC61" i="26"/>
  <c r="AQ53" i="17"/>
  <c r="AI53" i="17"/>
  <c r="AJ53" i="17" s="1"/>
  <c r="AP53" i="11"/>
  <c r="AQ53" i="11" s="1"/>
  <c r="U61" i="30"/>
  <c r="AC61" i="30"/>
  <c r="AC59" i="15"/>
  <c r="U59" i="15"/>
  <c r="V59" i="15" s="1"/>
  <c r="O53" i="41"/>
  <c r="V59" i="10"/>
  <c r="N59" i="10"/>
  <c r="O59" i="10" s="1"/>
  <c r="AB59" i="18"/>
  <c r="AC59" i="18" s="1"/>
  <c r="AJ59" i="18"/>
  <c r="O54" i="36"/>
  <c r="H56" i="36"/>
  <c r="AJ55" i="39"/>
  <c r="AB55" i="39"/>
  <c r="L56" i="29"/>
  <c r="N54" i="29"/>
  <c r="O54" i="29" s="1"/>
  <c r="AC57" i="18"/>
  <c r="U57" i="18"/>
  <c r="V61" i="38"/>
  <c r="N61" i="38"/>
  <c r="N59" i="14"/>
  <c r="O59" i="14" s="1"/>
  <c r="AB61" i="36"/>
  <c r="AJ61" i="36"/>
  <c r="AC51" i="17"/>
  <c r="U51" i="17"/>
  <c r="V51" i="17" s="1"/>
  <c r="AJ60" i="37"/>
  <c r="AB60" i="37"/>
  <c r="Z62" i="37"/>
  <c r="H60" i="23"/>
  <c r="AP51" i="24"/>
  <c r="AQ51" i="24" s="1"/>
  <c r="V61" i="35"/>
  <c r="N61" i="35"/>
  <c r="O51" i="13"/>
  <c r="AI53" i="19"/>
  <c r="AJ53" i="19" s="1"/>
  <c r="AQ53" i="19"/>
  <c r="AI57" i="13"/>
  <c r="AQ57" i="13"/>
  <c r="U52" i="22"/>
  <c r="V52" i="22" s="1"/>
  <c r="S54" i="22"/>
  <c r="AC52" i="22"/>
  <c r="AJ53" i="15"/>
  <c r="H10" i="3" s="1"/>
  <c r="AB53" i="15"/>
  <c r="G9" i="3" s="1"/>
  <c r="U58" i="17"/>
  <c r="V58" i="17" s="1"/>
  <c r="AC58" i="17"/>
  <c r="S60" i="17"/>
  <c r="AQ57" i="11"/>
  <c r="AI57" i="11"/>
  <c r="H60" i="22"/>
  <c r="U55" i="37"/>
  <c r="AC55" i="37"/>
  <c r="U53" i="24"/>
  <c r="AC53" i="24"/>
  <c r="V60" i="39"/>
  <c r="L62" i="39"/>
  <c r="N60" i="39"/>
  <c r="O60" i="39" s="1"/>
  <c r="AP59" i="31"/>
  <c r="AQ59" i="31" s="1"/>
  <c r="AB55" i="29"/>
  <c r="AJ55" i="29"/>
  <c r="AC55" i="35"/>
  <c r="U55" i="35"/>
  <c r="AP61" i="40"/>
  <c r="AC53" i="28"/>
  <c r="U53" i="28"/>
  <c r="AP54" i="33"/>
  <c r="AQ54" i="33" s="1"/>
  <c r="AN56" i="33"/>
  <c r="AP56" i="33" s="1"/>
  <c r="AI57" i="12"/>
  <c r="AJ57" i="12" s="1"/>
  <c r="AC55" i="25"/>
  <c r="U55" i="25"/>
  <c r="U51" i="12"/>
  <c r="V51" i="12" s="1"/>
  <c r="AI58" i="15"/>
  <c r="AJ58" i="15" s="1"/>
  <c r="AG60" i="15"/>
  <c r="AB53" i="9"/>
  <c r="AJ53" i="9"/>
  <c r="AP55" i="39"/>
  <c r="AI57" i="22"/>
  <c r="AJ57" i="22" s="1"/>
  <c r="AQ57" i="22"/>
  <c r="AB53" i="11"/>
  <c r="AC53" i="11" s="1"/>
  <c r="N57" i="13"/>
  <c r="AC50" i="20"/>
  <c r="E19" i="1" s="1"/>
  <c r="E74" i="1" s="1"/>
  <c r="L54" i="40"/>
  <c r="N55" i="37"/>
  <c r="V55" i="37"/>
  <c r="AG52" i="15"/>
  <c r="AJ55" i="26"/>
  <c r="AB55" i="26"/>
  <c r="V55" i="34"/>
  <c r="N55" i="34"/>
  <c r="AI52" i="22"/>
  <c r="AJ52" i="22" s="1"/>
  <c r="AG54" i="22"/>
  <c r="AP59" i="24"/>
  <c r="AQ59" i="24" s="1"/>
  <c r="AJ59" i="31"/>
  <c r="AB59" i="31"/>
  <c r="AC59" i="31" s="1"/>
  <c r="V58" i="18"/>
  <c r="L60" i="18"/>
  <c r="N58" i="18"/>
  <c r="AP53" i="9"/>
  <c r="AQ53" i="9" s="1"/>
  <c r="AB58" i="22"/>
  <c r="AC58" i="22" s="1"/>
  <c r="Z60" i="22"/>
  <c r="N53" i="17"/>
  <c r="O53" i="17" s="1"/>
  <c r="AC60" i="39"/>
  <c r="S62" i="39"/>
  <c r="U60" i="39"/>
  <c r="H62" i="40"/>
  <c r="O60" i="40"/>
  <c r="AJ59" i="14"/>
  <c r="AB59" i="14"/>
  <c r="AC59" i="14" s="1"/>
  <c r="N57" i="12"/>
  <c r="O57" i="12" s="1"/>
  <c r="V57" i="12"/>
  <c r="AI53" i="41"/>
  <c r="AB59" i="15"/>
  <c r="AJ59" i="15"/>
  <c r="AP55" i="32"/>
  <c r="AG56" i="36"/>
  <c r="AQ54" i="36"/>
  <c r="AP52" i="25"/>
  <c r="AQ52" i="25" s="1"/>
  <c r="AN55" i="25"/>
  <c r="AP55" i="25" s="1"/>
  <c r="AN54" i="25"/>
  <c r="AN53" i="25"/>
  <c r="AP53" i="25" s="1"/>
  <c r="U61" i="37"/>
  <c r="V61" i="37" s="1"/>
  <c r="AN60" i="18"/>
  <c r="AN60" i="22"/>
  <c r="V51" i="18"/>
  <c r="N51" i="18"/>
  <c r="N53" i="41"/>
  <c r="V53" i="41"/>
  <c r="AJ55" i="37"/>
  <c r="AB55" i="37"/>
  <c r="AI53" i="11"/>
  <c r="AJ53" i="11" s="1"/>
  <c r="AP59" i="17"/>
  <c r="V57" i="22"/>
  <c r="N57" i="22"/>
  <c r="L60" i="29"/>
  <c r="U53" i="15"/>
  <c r="F9" i="3" s="1"/>
  <c r="AC53" i="15"/>
  <c r="G10" i="3" s="1"/>
  <c r="U53" i="31"/>
  <c r="V53" i="31" s="1"/>
  <c r="AC53" i="31"/>
  <c r="O57" i="9"/>
  <c r="AQ59" i="37"/>
  <c r="AI59" i="37"/>
  <c r="AJ59" i="37" s="1"/>
  <c r="AI59" i="30"/>
  <c r="AQ59" i="30"/>
  <c r="AC57" i="15"/>
  <c r="U57" i="15"/>
  <c r="V57" i="15" s="1"/>
  <c r="H54" i="41"/>
  <c r="AI61" i="39"/>
  <c r="AQ61" i="39"/>
  <c r="AN60" i="34"/>
  <c r="AB53" i="12"/>
  <c r="AC53" i="12" s="1"/>
  <c r="V53" i="30"/>
  <c r="N53" i="30"/>
  <c r="AB57" i="18"/>
  <c r="AJ57" i="18"/>
  <c r="AB53" i="39"/>
  <c r="AJ53" i="39"/>
  <c r="U51" i="14"/>
  <c r="V51" i="14" s="1"/>
  <c r="U54" i="30"/>
  <c r="V54" i="30" s="1"/>
  <c r="S56" i="30"/>
  <c r="AC54" i="30"/>
  <c r="V55" i="29"/>
  <c r="N55" i="29"/>
  <c r="AI59" i="16"/>
  <c r="AJ59" i="16" s="1"/>
  <c r="AQ59" i="16"/>
  <c r="AB55" i="41"/>
  <c r="AC55" i="41" s="1"/>
  <c r="U52" i="17"/>
  <c r="V52" i="17" s="1"/>
  <c r="AC52" i="17"/>
  <c r="S54" i="17"/>
  <c r="N58" i="9"/>
  <c r="O58" i="9" s="1"/>
  <c r="L60" i="9"/>
  <c r="V58" i="9"/>
  <c r="U59" i="24"/>
  <c r="V59" i="24" s="1"/>
  <c r="AQ60" i="33"/>
  <c r="AG62" i="33"/>
  <c r="AP52" i="24"/>
  <c r="AQ52" i="24" s="1"/>
  <c r="AN54" i="24"/>
  <c r="AJ59" i="28"/>
  <c r="AB59" i="28"/>
  <c r="AC59" i="28" s="1"/>
  <c r="AB59" i="32"/>
  <c r="AC59" i="32" s="1"/>
  <c r="AB53" i="14"/>
  <c r="AC53" i="14" s="1"/>
  <c r="AQ53" i="10"/>
  <c r="AI53" i="10"/>
  <c r="AJ53" i="10" s="1"/>
  <c r="U59" i="29"/>
  <c r="V59" i="29" s="1"/>
  <c r="V55" i="38"/>
  <c r="N55" i="38"/>
  <c r="AG58" i="11"/>
  <c r="O57" i="22"/>
  <c r="O53" i="26"/>
  <c r="U53" i="37"/>
  <c r="N55" i="35"/>
  <c r="V55" i="35"/>
  <c r="AP61" i="31"/>
  <c r="AC61" i="40"/>
  <c r="U61" i="40"/>
  <c r="N51" i="21"/>
  <c r="O51" i="21" s="1"/>
  <c r="V51" i="21"/>
  <c r="AP53" i="36"/>
  <c r="AQ53" i="36" s="1"/>
  <c r="N61" i="36"/>
  <c r="V61" i="36"/>
  <c r="AP59" i="40"/>
  <c r="AQ59" i="40" s="1"/>
  <c r="AC54" i="28"/>
  <c r="S56" i="28"/>
  <c r="U54" i="28"/>
  <c r="V54" i="28" s="1"/>
  <c r="AI54" i="29"/>
  <c r="AG56" i="29"/>
  <c r="AG60" i="12"/>
  <c r="AI58" i="12"/>
  <c r="AC53" i="9"/>
  <c r="U53" i="9"/>
  <c r="V53" i="9" s="1"/>
  <c r="S52" i="12"/>
  <c r="O51" i="17"/>
  <c r="L53" i="25"/>
  <c r="N52" i="25"/>
  <c r="O52" i="25" s="1"/>
  <c r="V52" i="25"/>
  <c r="L55" i="25"/>
  <c r="H58" i="12"/>
  <c r="AP51" i="14"/>
  <c r="AQ51" i="14" s="1"/>
  <c r="AG58" i="22"/>
  <c r="AB52" i="24"/>
  <c r="AJ52" i="24"/>
  <c r="Z54" i="24"/>
  <c r="AP55" i="31"/>
  <c r="V55" i="40"/>
  <c r="N55" i="40"/>
  <c r="V52" i="37"/>
  <c r="D43" i="1" s="1"/>
  <c r="AB55" i="35"/>
  <c r="AJ55" i="35"/>
  <c r="AB51" i="13"/>
  <c r="AJ51" i="13"/>
  <c r="AB53" i="26"/>
  <c r="AC53" i="26" s="1"/>
  <c r="AJ53" i="26"/>
  <c r="AP57" i="12"/>
  <c r="AQ57" i="12" s="1"/>
  <c r="AI53" i="23"/>
  <c r="AQ53" i="23"/>
  <c r="AJ57" i="24"/>
  <c r="AB57" i="24"/>
  <c r="N53" i="20"/>
  <c r="V53" i="20"/>
  <c r="AC59" i="35"/>
  <c r="U59" i="35"/>
  <c r="V59" i="35" s="1"/>
  <c r="N57" i="18"/>
  <c r="O57" i="18" s="1"/>
  <c r="V57" i="18"/>
  <c r="AP51" i="9"/>
  <c r="AQ51" i="9" s="1"/>
  <c r="AB54" i="38"/>
  <c r="AC54" i="38" s="1"/>
  <c r="Z56" i="38"/>
  <c r="AN61" i="25"/>
  <c r="AP61" i="25" s="1"/>
  <c r="AN60" i="25"/>
  <c r="AN59" i="25"/>
  <c r="AP59" i="25" s="1"/>
  <c r="AQ59" i="25" s="1"/>
  <c r="AP58" i="25"/>
  <c r="AQ58" i="25" s="1"/>
  <c r="O53" i="18"/>
  <c r="AI57" i="21"/>
  <c r="AJ57" i="21" s="1"/>
  <c r="AQ57" i="21"/>
  <c r="U59" i="23"/>
  <c r="V59" i="23" s="1"/>
  <c r="AC59" i="23"/>
  <c r="U51" i="21"/>
  <c r="U53" i="33"/>
  <c r="AC53" i="33"/>
  <c r="AB51" i="22"/>
  <c r="AC51" i="22" s="1"/>
  <c r="AJ51" i="22"/>
  <c r="N51" i="16"/>
  <c r="V51" i="16"/>
  <c r="AQ54" i="37"/>
  <c r="AI54" i="37"/>
  <c r="AJ54" i="37" s="1"/>
  <c r="AG56" i="37"/>
  <c r="AG52" i="11"/>
  <c r="AP52" i="11" s="1"/>
  <c r="U53" i="16"/>
  <c r="V53" i="16" s="1"/>
  <c r="AC53" i="16"/>
  <c r="AB59" i="27"/>
  <c r="AC59" i="27" s="1"/>
  <c r="L60" i="22"/>
  <c r="N58" i="22"/>
  <c r="O58" i="22" s="1"/>
  <c r="V58" i="22"/>
  <c r="N53" i="33"/>
  <c r="O53" i="33" s="1"/>
  <c r="V53" i="33"/>
  <c r="AB58" i="19"/>
  <c r="Z60" i="19"/>
  <c r="AJ58" i="19"/>
  <c r="AB59" i="22"/>
  <c r="N61" i="29"/>
  <c r="V61" i="29"/>
  <c r="U53" i="39"/>
  <c r="V53" i="39" s="1"/>
  <c r="AC53" i="39"/>
  <c r="O53" i="10"/>
  <c r="AJ55" i="40"/>
  <c r="AB55" i="40"/>
  <c r="AP55" i="27"/>
  <c r="AC55" i="34"/>
  <c r="U55" i="34"/>
  <c r="H52" i="24"/>
  <c r="N52" i="24" s="1"/>
  <c r="AI51" i="24"/>
  <c r="U59" i="14"/>
  <c r="V59" i="14" s="1"/>
  <c r="AI51" i="17"/>
  <c r="AQ51" i="17"/>
  <c r="AP51" i="11"/>
  <c r="AQ51" i="11" s="1"/>
  <c r="V53" i="15"/>
  <c r="F10" i="3" s="1"/>
  <c r="N53" i="15"/>
  <c r="E9" i="3" s="1"/>
  <c r="U58" i="15"/>
  <c r="V58" i="15" s="1"/>
  <c r="AC58" i="15"/>
  <c r="S60" i="15"/>
  <c r="AI53" i="16"/>
  <c r="AQ53" i="16"/>
  <c r="AN60" i="26"/>
  <c r="N57" i="10"/>
  <c r="O57" i="10" s="1"/>
  <c r="V57" i="10"/>
  <c r="Z54" i="12"/>
  <c r="AJ52" i="12"/>
  <c r="AB52" i="12"/>
  <c r="AN58" i="11"/>
  <c r="U55" i="30"/>
  <c r="AC55" i="30"/>
  <c r="AQ58" i="27"/>
  <c r="AI58" i="27"/>
  <c r="AJ58" i="27" s="1"/>
  <c r="AG59" i="27"/>
  <c r="AG61" i="27"/>
  <c r="AG60" i="27"/>
  <c r="U60" i="38"/>
  <c r="V60" i="38" s="1"/>
  <c r="S62" i="38"/>
  <c r="AL55" i="41"/>
  <c r="AN55" i="41" s="1"/>
  <c r="AN56" i="41" s="1"/>
  <c r="AG55" i="41"/>
  <c r="V59" i="38"/>
  <c r="N59" i="38"/>
  <c r="O59" i="38" s="1"/>
  <c r="N57" i="14"/>
  <c r="O57" i="14" s="1"/>
  <c r="AB59" i="36"/>
  <c r="AC59" i="36" s="1"/>
  <c r="AI61" i="33"/>
  <c r="AQ61" i="33"/>
  <c r="N59" i="17"/>
  <c r="O59" i="17" s="1"/>
  <c r="V59" i="17"/>
  <c r="AN52" i="23"/>
  <c r="AB61" i="28"/>
  <c r="AJ61" i="28"/>
  <c r="AQ51" i="19"/>
  <c r="AI51" i="19"/>
  <c r="O59" i="29"/>
  <c r="AC61" i="28"/>
  <c r="U61" i="28"/>
  <c r="F93" i="1"/>
  <c r="F69" i="1"/>
  <c r="U60" i="29"/>
  <c r="AC60" i="29"/>
  <c r="S62" i="29"/>
  <c r="AJ61" i="25"/>
  <c r="AB61" i="25"/>
  <c r="N53" i="38"/>
  <c r="O53" i="38" s="1"/>
  <c r="V53" i="38"/>
  <c r="AJ59" i="21"/>
  <c r="AB59" i="21"/>
  <c r="AC59" i="21" s="1"/>
  <c r="O59" i="15"/>
  <c r="O54" i="26"/>
  <c r="H56" i="26"/>
  <c r="AC54" i="37"/>
  <c r="S56" i="37"/>
  <c r="AB51" i="21"/>
  <c r="AC51" i="21" s="1"/>
  <c r="AN60" i="41"/>
  <c r="L56" i="35"/>
  <c r="N54" i="35"/>
  <c r="O54" i="35" s="1"/>
  <c r="O59" i="27"/>
  <c r="V52" i="21"/>
  <c r="L54" i="21"/>
  <c r="N52" i="21"/>
  <c r="O52" i="21" s="1"/>
  <c r="O59" i="28"/>
  <c r="AN62" i="40"/>
  <c r="AP62" i="40" s="1"/>
  <c r="AP60" i="40"/>
  <c r="AQ60" i="40" s="1"/>
  <c r="U55" i="28"/>
  <c r="AC55" i="28"/>
  <c r="AB59" i="30"/>
  <c r="AC59" i="30" s="1"/>
  <c r="AJ59" i="30"/>
  <c r="AN52" i="19"/>
  <c r="O57" i="16"/>
  <c r="N59" i="19"/>
  <c r="O59" i="19" s="1"/>
  <c r="H54" i="17"/>
  <c r="O52" i="17"/>
  <c r="AQ53" i="18"/>
  <c r="AI53" i="18"/>
  <c r="AB51" i="9"/>
  <c r="AB58" i="13"/>
  <c r="AC58" i="13" s="1"/>
  <c r="AJ58" i="13"/>
  <c r="Z60" i="13"/>
  <c r="AP52" i="14"/>
  <c r="AN54" i="14"/>
  <c r="H56" i="25"/>
  <c r="O51" i="16"/>
  <c r="V58" i="13"/>
  <c r="L60" i="13"/>
  <c r="N58" i="13"/>
  <c r="AI51" i="12"/>
  <c r="AJ51" i="12" s="1"/>
  <c r="AQ51" i="12"/>
  <c r="AC51" i="20"/>
  <c r="U51" i="20"/>
  <c r="V51" i="20" s="1"/>
  <c r="AN54" i="31"/>
  <c r="N59" i="20"/>
  <c r="O59" i="20" s="1"/>
  <c r="V59" i="20"/>
  <c r="L54" i="37"/>
  <c r="AQ50" i="15"/>
  <c r="G13" i="1" s="1"/>
  <c r="Z54" i="13"/>
  <c r="AB52" i="13"/>
  <c r="AC52" i="13" s="1"/>
  <c r="Z56" i="26"/>
  <c r="AB54" i="26"/>
  <c r="AC54" i="26" s="1"/>
  <c r="AJ54" i="26"/>
  <c r="AP58" i="12"/>
  <c r="AQ58" i="12" s="1"/>
  <c r="AN60" i="12"/>
  <c r="AP60" i="12" s="1"/>
  <c r="N53" i="34"/>
  <c r="O53" i="34" s="1"/>
  <c r="V53" i="34"/>
  <c r="H56" i="38"/>
  <c r="O54" i="38"/>
  <c r="AJ59" i="11"/>
  <c r="AB59" i="11"/>
  <c r="AC59" i="11" s="1"/>
  <c r="AP51" i="13"/>
  <c r="AQ51" i="13" s="1"/>
  <c r="AC61" i="32"/>
  <c r="U61" i="32"/>
  <c r="AB59" i="9"/>
  <c r="AC59" i="9" s="1"/>
  <c r="AJ59" i="9"/>
  <c r="O51" i="18"/>
  <c r="AJ55" i="30"/>
  <c r="AB55" i="30"/>
  <c r="U58" i="23"/>
  <c r="V58" i="23" s="1"/>
  <c r="AC58" i="23"/>
  <c r="S60" i="23"/>
  <c r="U53" i="21"/>
  <c r="N53" i="28"/>
  <c r="O53" i="28" s="1"/>
  <c r="V53" i="28"/>
  <c r="AJ51" i="19"/>
  <c r="AB51" i="19"/>
  <c r="AC51" i="19" s="1"/>
  <c r="AC54" i="33"/>
  <c r="U54" i="33"/>
  <c r="V54" i="33" s="1"/>
  <c r="S56" i="33"/>
  <c r="N52" i="18"/>
  <c r="O52" i="18" s="1"/>
  <c r="L54" i="18"/>
  <c r="V52" i="18"/>
  <c r="H56" i="28"/>
  <c r="O54" i="28"/>
  <c r="V54" i="41"/>
  <c r="L56" i="41"/>
  <c r="N54" i="41"/>
  <c r="AC59" i="19"/>
  <c r="U59" i="19"/>
  <c r="V59" i="19" s="1"/>
  <c r="S54" i="16"/>
  <c r="U52" i="16"/>
  <c r="V52" i="16" s="1"/>
  <c r="AJ53" i="37"/>
  <c r="AB53" i="37"/>
  <c r="AC53" i="37" s="1"/>
  <c r="AN60" i="17"/>
  <c r="AP58" i="17"/>
  <c r="AQ58" i="17" s="1"/>
  <c r="AB60" i="27"/>
  <c r="AC60" i="27" s="1"/>
  <c r="Z62" i="27"/>
  <c r="Z60" i="33"/>
  <c r="U51" i="15"/>
  <c r="V59" i="16"/>
  <c r="N59" i="16"/>
  <c r="O59" i="16" s="1"/>
  <c r="O51" i="10"/>
  <c r="AJ53" i="40"/>
  <c r="AB53" i="40"/>
  <c r="AC53" i="40" s="1"/>
  <c r="U51" i="19"/>
  <c r="AC54" i="34"/>
  <c r="S56" i="34"/>
  <c r="U54" i="34"/>
  <c r="V54" i="34" s="1"/>
  <c r="Z56" i="25"/>
  <c r="AB54" i="25"/>
  <c r="AJ55" i="27"/>
  <c r="AB55" i="27"/>
  <c r="N51" i="22"/>
  <c r="V51" i="22"/>
  <c r="AC57" i="14"/>
  <c r="U57" i="14"/>
  <c r="V57" i="14" s="1"/>
  <c r="AG54" i="17"/>
  <c r="AI52" i="17"/>
  <c r="AJ52" i="17" s="1"/>
  <c r="AI55" i="34"/>
  <c r="AQ55" i="34"/>
  <c r="V51" i="15"/>
  <c r="N51" i="15"/>
  <c r="O51" i="15" s="1"/>
  <c r="AG52" i="16"/>
  <c r="AP52" i="16" s="1"/>
  <c r="AI59" i="39"/>
  <c r="AJ59" i="39" s="1"/>
  <c r="U59" i="22"/>
  <c r="AC59" i="22"/>
  <c r="N55" i="30"/>
  <c r="V55" i="30"/>
  <c r="AC55" i="36"/>
  <c r="U55" i="36"/>
  <c r="AQ59" i="17"/>
  <c r="AI59" i="17"/>
  <c r="AJ59" i="17" s="1"/>
  <c r="AI59" i="19"/>
  <c r="AJ59" i="19" s="1"/>
  <c r="AQ59" i="19"/>
  <c r="AG58" i="16"/>
  <c r="AP58" i="16" s="1"/>
  <c r="AQ53" i="14"/>
  <c r="AI53" i="14"/>
  <c r="AJ53" i="14" s="1"/>
  <c r="U51" i="13"/>
  <c r="V51" i="13" s="1"/>
  <c r="AC51" i="13"/>
  <c r="AC53" i="17"/>
  <c r="U53" i="17"/>
  <c r="V53" i="17" s="1"/>
  <c r="AJ53" i="38"/>
  <c r="AB53" i="38"/>
  <c r="AC53" i="38" s="1"/>
  <c r="O59" i="39"/>
  <c r="O50" i="15"/>
  <c r="C13" i="1" s="1"/>
  <c r="AC57" i="24"/>
  <c r="U57" i="24"/>
  <c r="V57" i="24" s="1"/>
  <c r="AC55" i="26"/>
  <c r="U55" i="26"/>
  <c r="O53" i="11"/>
  <c r="AI52" i="19"/>
  <c r="AJ52" i="19" s="1"/>
  <c r="AG54" i="19"/>
  <c r="U55" i="38"/>
  <c r="AC55" i="38"/>
  <c r="AB52" i="14"/>
  <c r="AC52" i="14" s="1"/>
  <c r="Z54" i="14"/>
  <c r="U59" i="28"/>
  <c r="V59" i="28" s="1"/>
  <c r="AQ51" i="10"/>
  <c r="AI51" i="10"/>
  <c r="AJ51" i="15"/>
  <c r="AB51" i="15"/>
  <c r="AC51" i="15" s="1"/>
  <c r="AJ51" i="10"/>
  <c r="AB51" i="10"/>
  <c r="AC51" i="10" s="1"/>
  <c r="AP59" i="38"/>
  <c r="AQ59" i="38" s="1"/>
  <c r="O57" i="15"/>
  <c r="AC52" i="37"/>
  <c r="E43" i="1" s="1"/>
  <c r="AB53" i="21"/>
  <c r="AC53" i="21" s="1"/>
  <c r="AJ53" i="21"/>
  <c r="N57" i="11"/>
  <c r="O57" i="11" s="1"/>
  <c r="V57" i="11"/>
  <c r="S52" i="24"/>
  <c r="O51" i="22"/>
  <c r="AP60" i="31"/>
  <c r="AQ60" i="31" s="1"/>
  <c r="AN62" i="31"/>
  <c r="AP62" i="31" s="1"/>
  <c r="U59" i="40"/>
  <c r="V59" i="40" s="1"/>
  <c r="AC59" i="40"/>
  <c r="H62" i="28"/>
  <c r="O60" i="28"/>
  <c r="N51" i="11"/>
  <c r="O51" i="11" s="1"/>
  <c r="V51" i="11"/>
  <c r="AN60" i="30"/>
  <c r="AB60" i="30"/>
  <c r="AC60" i="30" s="1"/>
  <c r="AJ60" i="30"/>
  <c r="Z62" i="30"/>
  <c r="H60" i="16"/>
  <c r="O58" i="16"/>
  <c r="N58" i="19"/>
  <c r="O58" i="19" s="1"/>
  <c r="L60" i="19"/>
  <c r="S54" i="29"/>
  <c r="U57" i="20"/>
  <c r="V57" i="20" s="1"/>
  <c r="AC57" i="20"/>
  <c r="AG56" i="26"/>
  <c r="AI54" i="26"/>
  <c r="AQ51" i="18"/>
  <c r="AI51" i="18"/>
  <c r="AJ51" i="18" s="1"/>
  <c r="L61" i="25"/>
  <c r="V58" i="25"/>
  <c r="L59" i="25"/>
  <c r="N58" i="25"/>
  <c r="O58" i="25" s="1"/>
  <c r="L60" i="25"/>
  <c r="N59" i="23"/>
  <c r="O59" i="23" s="1"/>
  <c r="N59" i="28"/>
  <c r="O53" i="16"/>
  <c r="AJ51" i="11"/>
  <c r="AB51" i="11"/>
  <c r="AC51" i="11" s="1"/>
  <c r="AJ59" i="41"/>
  <c r="AB59" i="41"/>
  <c r="AC59" i="41" s="1"/>
  <c r="L62" i="27"/>
  <c r="N60" i="27"/>
  <c r="O60" i="27" s="1"/>
  <c r="V60" i="27"/>
  <c r="V51" i="23"/>
  <c r="N51" i="23"/>
  <c r="O51" i="23" s="1"/>
  <c r="V52" i="34"/>
  <c r="D37" i="1" s="1"/>
  <c r="AB57" i="11"/>
  <c r="AC57" i="11" s="1"/>
  <c r="AJ57" i="11"/>
  <c r="AQ51" i="23"/>
  <c r="AI51" i="23"/>
  <c r="AJ51" i="23" s="1"/>
  <c r="AP59" i="39"/>
  <c r="AQ59" i="39" s="1"/>
  <c r="AC61" i="39"/>
  <c r="U61" i="39"/>
  <c r="U60" i="32"/>
  <c r="V60" i="32" s="1"/>
  <c r="S62" i="32"/>
  <c r="AC60" i="32"/>
  <c r="H54" i="31"/>
  <c r="N54" i="31" s="1"/>
  <c r="AN54" i="9"/>
  <c r="AP52" i="9"/>
  <c r="AQ52" i="9" s="1"/>
  <c r="U55" i="41"/>
  <c r="V55" i="41" s="1"/>
  <c r="AB62" i="41" l="1"/>
  <c r="AI58" i="22"/>
  <c r="AJ58" i="22" s="1"/>
  <c r="AG60" i="22"/>
  <c r="AP60" i="22" s="1"/>
  <c r="AP60" i="34"/>
  <c r="AQ60" i="34" s="1"/>
  <c r="AN62" i="34"/>
  <c r="AP62" i="34" s="1"/>
  <c r="AB62" i="31"/>
  <c r="U62" i="38"/>
  <c r="H60" i="12"/>
  <c r="AQ60" i="12"/>
  <c r="AI60" i="12"/>
  <c r="AP54" i="24"/>
  <c r="AI52" i="15"/>
  <c r="AJ52" i="15" s="1"/>
  <c r="AG54" i="15"/>
  <c r="N62" i="39"/>
  <c r="AB54" i="16"/>
  <c r="AB60" i="16"/>
  <c r="AJ54" i="29"/>
  <c r="Z56" i="29"/>
  <c r="AB54" i="29"/>
  <c r="AI54" i="10"/>
  <c r="AI54" i="31"/>
  <c r="AJ54" i="31" s="1"/>
  <c r="AG56" i="31"/>
  <c r="N54" i="9"/>
  <c r="O54" i="9" s="1"/>
  <c r="U54" i="40"/>
  <c r="AC54" i="40"/>
  <c r="S56" i="40"/>
  <c r="AN56" i="37"/>
  <c r="AP56" i="37" s="1"/>
  <c r="AI62" i="28"/>
  <c r="AQ62" i="28"/>
  <c r="AP52" i="18"/>
  <c r="AQ52" i="18" s="1"/>
  <c r="AN54" i="18"/>
  <c r="AP54" i="18" s="1"/>
  <c r="AN54" i="17"/>
  <c r="AP54" i="17" s="1"/>
  <c r="AP52" i="17"/>
  <c r="AQ52" i="17" s="1"/>
  <c r="N62" i="36"/>
  <c r="O62" i="36" s="1"/>
  <c r="N54" i="10"/>
  <c r="O54" i="10" s="1"/>
  <c r="AB54" i="11"/>
  <c r="AB62" i="32"/>
  <c r="AB54" i="22"/>
  <c r="AC54" i="22" s="1"/>
  <c r="AC54" i="13"/>
  <c r="U54" i="13"/>
  <c r="AB62" i="39"/>
  <c r="AI54" i="23"/>
  <c r="N54" i="15"/>
  <c r="C90" i="1"/>
  <c r="AN60" i="11"/>
  <c r="AP58" i="11"/>
  <c r="AQ58" i="11" s="1"/>
  <c r="AB56" i="25"/>
  <c r="AN56" i="31"/>
  <c r="AP56" i="31" s="1"/>
  <c r="AP54" i="31"/>
  <c r="AQ54" i="31" s="1"/>
  <c r="AJ54" i="12"/>
  <c r="V55" i="25"/>
  <c r="N55" i="25"/>
  <c r="O54" i="41"/>
  <c r="H56" i="41"/>
  <c r="AP58" i="19"/>
  <c r="AQ58" i="19" s="1"/>
  <c r="AN60" i="19"/>
  <c r="AP60" i="19" s="1"/>
  <c r="AQ60" i="19" s="1"/>
  <c r="H62" i="26"/>
  <c r="AB60" i="38"/>
  <c r="AC60" i="38" s="1"/>
  <c r="Z62" i="38"/>
  <c r="N62" i="26"/>
  <c r="AI53" i="32"/>
  <c r="AJ53" i="32" s="1"/>
  <c r="H54" i="12"/>
  <c r="N54" i="12" s="1"/>
  <c r="O52" i="12"/>
  <c r="AP52" i="12"/>
  <c r="AQ52" i="12" s="1"/>
  <c r="AN54" i="12"/>
  <c r="AP54" i="12" s="1"/>
  <c r="AQ54" i="12" s="1"/>
  <c r="AB54" i="15"/>
  <c r="E90" i="1"/>
  <c r="H62" i="38"/>
  <c r="O60" i="38"/>
  <c r="AJ58" i="12"/>
  <c r="Z60" i="12"/>
  <c r="AB58" i="12"/>
  <c r="AC58" i="12" s="1"/>
  <c r="AI56" i="40"/>
  <c r="AJ56" i="40" s="1"/>
  <c r="AQ56" i="40"/>
  <c r="AB58" i="21"/>
  <c r="AC58" i="21" s="1"/>
  <c r="AJ58" i="21"/>
  <c r="Z60" i="21"/>
  <c r="AI61" i="32"/>
  <c r="AQ61" i="32"/>
  <c r="AN62" i="37"/>
  <c r="AP62" i="37" s="1"/>
  <c r="AP60" i="37"/>
  <c r="AQ60" i="37" s="1"/>
  <c r="U52" i="9"/>
  <c r="V52" i="9" s="1"/>
  <c r="AC52" i="9"/>
  <c r="S54" i="9"/>
  <c r="AJ62" i="29"/>
  <c r="AB62" i="29"/>
  <c r="AC62" i="29" s="1"/>
  <c r="AI54" i="20"/>
  <c r="H19" i="3" s="1"/>
  <c r="AQ54" i="20"/>
  <c r="I20" i="3" s="1"/>
  <c r="X20" i="3"/>
  <c r="W20" i="3"/>
  <c r="AJ54" i="20"/>
  <c r="H20" i="3" s="1"/>
  <c r="AB54" i="20"/>
  <c r="G19" i="3" s="1"/>
  <c r="U62" i="28"/>
  <c r="V62" i="28" s="1"/>
  <c r="AC62" i="28"/>
  <c r="N60" i="16"/>
  <c r="O60" i="16" s="1"/>
  <c r="AC54" i="21"/>
  <c r="U54" i="21"/>
  <c r="AB56" i="35"/>
  <c r="AI54" i="12"/>
  <c r="N54" i="11"/>
  <c r="O54" i="11" s="1"/>
  <c r="AC62" i="27"/>
  <c r="U62" i="27"/>
  <c r="AB60" i="20"/>
  <c r="AB56" i="32"/>
  <c r="G29" i="3" s="1"/>
  <c r="L56" i="37"/>
  <c r="U56" i="37" s="1"/>
  <c r="N54" i="37"/>
  <c r="O54" i="37" s="1"/>
  <c r="AI55" i="41"/>
  <c r="AJ55" i="41" s="1"/>
  <c r="N62" i="27"/>
  <c r="V62" i="27"/>
  <c r="N59" i="25"/>
  <c r="O59" i="25" s="1"/>
  <c r="V61" i="25"/>
  <c r="N61" i="25"/>
  <c r="Z62" i="33"/>
  <c r="AJ60" i="33"/>
  <c r="AB60" i="33"/>
  <c r="AC60" i="33" s="1"/>
  <c r="AB60" i="13"/>
  <c r="AN54" i="19"/>
  <c r="AP54" i="19" s="1"/>
  <c r="AP52" i="19"/>
  <c r="AQ52" i="19" s="1"/>
  <c r="AQ56" i="29"/>
  <c r="AI60" i="33"/>
  <c r="N60" i="29"/>
  <c r="O60" i="29" s="1"/>
  <c r="L62" i="29"/>
  <c r="V60" i="29"/>
  <c r="AP58" i="22"/>
  <c r="AQ58" i="22" s="1"/>
  <c r="AI56" i="36"/>
  <c r="AB60" i="24"/>
  <c r="AC60" i="24" s="1"/>
  <c r="AB60" i="18"/>
  <c r="AN60" i="14"/>
  <c r="AP60" i="14" s="1"/>
  <c r="AP58" i="14"/>
  <c r="AQ58" i="14" s="1"/>
  <c r="S56" i="25"/>
  <c r="AC54" i="25"/>
  <c r="S60" i="10"/>
  <c r="U58" i="10"/>
  <c r="V58" i="10" s="1"/>
  <c r="AC62" i="37"/>
  <c r="U62" i="37"/>
  <c r="AB56" i="40"/>
  <c r="AB62" i="26"/>
  <c r="AI56" i="30"/>
  <c r="AJ56" i="30" s="1"/>
  <c r="AQ56" i="30"/>
  <c r="H62" i="25"/>
  <c r="AP58" i="24"/>
  <c r="AQ58" i="24" s="1"/>
  <c r="AN60" i="24"/>
  <c r="AP60" i="24" s="1"/>
  <c r="AQ60" i="24" s="1"/>
  <c r="N60" i="34"/>
  <c r="O60" i="34" s="1"/>
  <c r="V60" i="34"/>
  <c r="L62" i="34"/>
  <c r="AJ62" i="28"/>
  <c r="AB62" i="28"/>
  <c r="U60" i="16"/>
  <c r="V60" i="16" s="1"/>
  <c r="AC60" i="16"/>
  <c r="AQ62" i="35"/>
  <c r="AI62" i="35"/>
  <c r="N54" i="20"/>
  <c r="E19" i="3" s="1"/>
  <c r="U60" i="13"/>
  <c r="AC60" i="13"/>
  <c r="AJ54" i="23"/>
  <c r="AI56" i="34"/>
  <c r="H34" i="3" s="1"/>
  <c r="V60" i="14"/>
  <c r="AI62" i="30"/>
  <c r="AJ62" i="30" s="1"/>
  <c r="O54" i="17"/>
  <c r="AQ54" i="19"/>
  <c r="AI54" i="19"/>
  <c r="AJ54" i="19" s="1"/>
  <c r="U56" i="34"/>
  <c r="F34" i="3" s="1"/>
  <c r="AB62" i="27"/>
  <c r="O53" i="15"/>
  <c r="E10" i="3" s="1"/>
  <c r="AI60" i="27"/>
  <c r="AJ60" i="27" s="1"/>
  <c r="AG62" i="27"/>
  <c r="N60" i="22"/>
  <c r="O60" i="22" s="1"/>
  <c r="AP60" i="25"/>
  <c r="AQ60" i="25" s="1"/>
  <c r="AN62" i="25"/>
  <c r="AP62" i="25" s="1"/>
  <c r="AI62" i="33"/>
  <c r="AC62" i="39"/>
  <c r="U62" i="39"/>
  <c r="V62" i="39" s="1"/>
  <c r="N54" i="40"/>
  <c r="O54" i="40" s="1"/>
  <c r="V54" i="40"/>
  <c r="L56" i="40"/>
  <c r="O56" i="30"/>
  <c r="N62" i="31"/>
  <c r="O62" i="31" s="1"/>
  <c r="AP54" i="21"/>
  <c r="AB54" i="19"/>
  <c r="T9" i="3"/>
  <c r="T10" i="3" s="1"/>
  <c r="U10" i="3" s="1"/>
  <c r="AP54" i="28"/>
  <c r="AQ54" i="28" s="1"/>
  <c r="AN56" i="28"/>
  <c r="AP56" i="28" s="1"/>
  <c r="N52" i="12"/>
  <c r="AP53" i="32"/>
  <c r="AQ53" i="32" s="1"/>
  <c r="AI55" i="32"/>
  <c r="AQ55" i="32"/>
  <c r="AB56" i="30"/>
  <c r="AP54" i="30"/>
  <c r="AQ54" i="30" s="1"/>
  <c r="AN56" i="30"/>
  <c r="AP56" i="30" s="1"/>
  <c r="N56" i="31"/>
  <c r="AP52" i="15"/>
  <c r="AQ52" i="15" s="1"/>
  <c r="N54" i="13"/>
  <c r="O54" i="13" s="1"/>
  <c r="V54" i="13"/>
  <c r="AP54" i="34"/>
  <c r="AQ54" i="34" s="1"/>
  <c r="AN56" i="34"/>
  <c r="AP56" i="34" s="1"/>
  <c r="I34" i="3" s="1"/>
  <c r="N60" i="33"/>
  <c r="O60" i="33" s="1"/>
  <c r="V60" i="33"/>
  <c r="L62" i="33"/>
  <c r="N60" i="24"/>
  <c r="AQ60" i="14"/>
  <c r="AI60" i="14"/>
  <c r="AQ62" i="34"/>
  <c r="N56" i="38"/>
  <c r="V56" i="38"/>
  <c r="AB60" i="23"/>
  <c r="V60" i="20"/>
  <c r="N60" i="20"/>
  <c r="AQ62" i="39"/>
  <c r="AI62" i="39"/>
  <c r="AJ62" i="39" s="1"/>
  <c r="O54" i="16"/>
  <c r="U56" i="39"/>
  <c r="AP60" i="20"/>
  <c r="AP62" i="38"/>
  <c r="AB62" i="30"/>
  <c r="N56" i="35"/>
  <c r="O56" i="35" s="1"/>
  <c r="AN62" i="26"/>
  <c r="AP62" i="26" s="1"/>
  <c r="AP60" i="26"/>
  <c r="AQ60" i="26" s="1"/>
  <c r="N53" i="25"/>
  <c r="O53" i="25" s="1"/>
  <c r="V53" i="25"/>
  <c r="AI60" i="15"/>
  <c r="AJ60" i="15" s="1"/>
  <c r="U54" i="22"/>
  <c r="AB54" i="36"/>
  <c r="AC54" i="36" s="1"/>
  <c r="Z56" i="36"/>
  <c r="AJ54" i="36"/>
  <c r="V60" i="35"/>
  <c r="N60" i="35"/>
  <c r="O60" i="35" s="1"/>
  <c r="L62" i="35"/>
  <c r="AC56" i="35"/>
  <c r="U56" i="35"/>
  <c r="V56" i="35" s="1"/>
  <c r="AQ52" i="14"/>
  <c r="AI52" i="14"/>
  <c r="AJ52" i="14" s="1"/>
  <c r="AG54" i="14"/>
  <c r="V56" i="34"/>
  <c r="F35" i="3" s="1"/>
  <c r="N62" i="28"/>
  <c r="AI54" i="9"/>
  <c r="U56" i="31"/>
  <c r="V56" i="31" s="1"/>
  <c r="AP54" i="9"/>
  <c r="AQ54" i="9" s="1"/>
  <c r="S54" i="24"/>
  <c r="AC52" i="24"/>
  <c r="U52" i="24"/>
  <c r="V52" i="24" s="1"/>
  <c r="AB56" i="26"/>
  <c r="AC56" i="26" s="1"/>
  <c r="AQ59" i="27"/>
  <c r="AI59" i="27"/>
  <c r="AJ59" i="27" s="1"/>
  <c r="AB56" i="38"/>
  <c r="L54" i="25"/>
  <c r="AQ54" i="22"/>
  <c r="AI54" i="22"/>
  <c r="AJ54" i="22" s="1"/>
  <c r="U60" i="35"/>
  <c r="AP56" i="29"/>
  <c r="AI55" i="27"/>
  <c r="AQ55" i="27"/>
  <c r="H56" i="33"/>
  <c r="N56" i="33" s="1"/>
  <c r="AN54" i="10"/>
  <c r="AP54" i="10" s="1"/>
  <c r="AQ54" i="10" s="1"/>
  <c r="AP52" i="10"/>
  <c r="AQ52" i="10" s="1"/>
  <c r="O58" i="20"/>
  <c r="H60" i="20"/>
  <c r="N62" i="32"/>
  <c r="O62" i="32" s="1"/>
  <c r="N60" i="15"/>
  <c r="AG54" i="32"/>
  <c r="AG56" i="38"/>
  <c r="AI54" i="38"/>
  <c r="AJ54" i="38" s="1"/>
  <c r="N62" i="37"/>
  <c r="V62" i="37"/>
  <c r="U60" i="12"/>
  <c r="V60" i="12" s="1"/>
  <c r="AP56" i="36"/>
  <c r="AQ56" i="36" s="1"/>
  <c r="O58" i="17"/>
  <c r="H60" i="17"/>
  <c r="N60" i="17" s="1"/>
  <c r="AG62" i="25"/>
  <c r="AI60" i="25"/>
  <c r="AJ60" i="25" s="1"/>
  <c r="AQ62" i="31"/>
  <c r="AI62" i="31"/>
  <c r="AJ62" i="31" s="1"/>
  <c r="AP58" i="9"/>
  <c r="AQ58" i="9" s="1"/>
  <c r="AN60" i="9"/>
  <c r="AP60" i="9" s="1"/>
  <c r="AQ60" i="9" s="1"/>
  <c r="S60" i="19"/>
  <c r="AC58" i="19"/>
  <c r="U58" i="19"/>
  <c r="V58" i="19" s="1"/>
  <c r="V54" i="17"/>
  <c r="N54" i="17"/>
  <c r="U56" i="26"/>
  <c r="U62" i="34"/>
  <c r="N56" i="26"/>
  <c r="O56" i="26" s="1"/>
  <c r="V56" i="26"/>
  <c r="N62" i="41"/>
  <c r="O62" i="41" s="1"/>
  <c r="AJ62" i="35"/>
  <c r="AB62" i="35"/>
  <c r="N54" i="19"/>
  <c r="AC60" i="18"/>
  <c r="U60" i="18"/>
  <c r="V60" i="18" s="1"/>
  <c r="AG56" i="41"/>
  <c r="AC54" i="29"/>
  <c r="S56" i="29"/>
  <c r="U54" i="29"/>
  <c r="V54" i="29" s="1"/>
  <c r="AQ54" i="17"/>
  <c r="AI54" i="17"/>
  <c r="N56" i="41"/>
  <c r="AI61" i="27"/>
  <c r="AQ61" i="27"/>
  <c r="AB62" i="37"/>
  <c r="AB56" i="31"/>
  <c r="AC56" i="31" s="1"/>
  <c r="U62" i="40"/>
  <c r="AP54" i="15"/>
  <c r="G90" i="1"/>
  <c r="N60" i="10"/>
  <c r="U56" i="36"/>
  <c r="U56" i="32"/>
  <c r="F29" i="3" s="1"/>
  <c r="AC56" i="32"/>
  <c r="G30" i="3" s="1"/>
  <c r="O54" i="31"/>
  <c r="H56" i="31"/>
  <c r="AP60" i="41"/>
  <c r="AQ60" i="41" s="1"/>
  <c r="AC56" i="28"/>
  <c r="U56" i="28"/>
  <c r="N56" i="29"/>
  <c r="AB60" i="15"/>
  <c r="AC62" i="35"/>
  <c r="AQ53" i="27"/>
  <c r="AI53" i="27"/>
  <c r="AJ53" i="27" s="1"/>
  <c r="AC62" i="30"/>
  <c r="U62" i="30"/>
  <c r="AI60" i="24"/>
  <c r="AJ60" i="24" s="1"/>
  <c r="AP61" i="27"/>
  <c r="AQ54" i="35"/>
  <c r="AI54" i="35"/>
  <c r="AJ54" i="35" s="1"/>
  <c r="AG56" i="35"/>
  <c r="Z62" i="34"/>
  <c r="AI62" i="34" s="1"/>
  <c r="AJ60" i="34"/>
  <c r="AB60" i="34"/>
  <c r="AC60" i="34" s="1"/>
  <c r="AC56" i="38"/>
  <c r="U56" i="38"/>
  <c r="AI62" i="29"/>
  <c r="AC54" i="19"/>
  <c r="U54" i="19"/>
  <c r="V54" i="19" s="1"/>
  <c r="U59" i="25"/>
  <c r="V59" i="25" s="1"/>
  <c r="AB58" i="10"/>
  <c r="AC58" i="10" s="1"/>
  <c r="U60" i="22"/>
  <c r="V60" i="22" s="1"/>
  <c r="AC60" i="22"/>
  <c r="AQ56" i="39"/>
  <c r="AI56" i="39"/>
  <c r="AP60" i="29"/>
  <c r="AQ60" i="29" s="1"/>
  <c r="AN62" i="29"/>
  <c r="AP62" i="29" s="1"/>
  <c r="AQ62" i="29" s="1"/>
  <c r="O56" i="29"/>
  <c r="U54" i="14"/>
  <c r="V54" i="14" s="1"/>
  <c r="AC54" i="14"/>
  <c r="AJ56" i="28"/>
  <c r="AB56" i="28"/>
  <c r="U60" i="34"/>
  <c r="AB56" i="37"/>
  <c r="AC56" i="37" s="1"/>
  <c r="AI62" i="37"/>
  <c r="AJ62" i="37" s="1"/>
  <c r="AQ62" i="37"/>
  <c r="AP60" i="17"/>
  <c r="N60" i="13"/>
  <c r="V60" i="13"/>
  <c r="AC60" i="15"/>
  <c r="U60" i="15"/>
  <c r="V60" i="15" s="1"/>
  <c r="O52" i="24"/>
  <c r="H54" i="24"/>
  <c r="AB54" i="24"/>
  <c r="S54" i="12"/>
  <c r="AC52" i="12"/>
  <c r="U52" i="12"/>
  <c r="V52" i="12" s="1"/>
  <c r="AB60" i="22"/>
  <c r="AN56" i="38"/>
  <c r="AP56" i="38" s="1"/>
  <c r="AP54" i="38"/>
  <c r="AQ54" i="38" s="1"/>
  <c r="AG54" i="27"/>
  <c r="AJ60" i="40"/>
  <c r="AB60" i="40"/>
  <c r="AC60" i="40" s="1"/>
  <c r="Z62" i="40"/>
  <c r="O54" i="34"/>
  <c r="H56" i="34"/>
  <c r="N56" i="34" s="1"/>
  <c r="E34" i="3" s="1"/>
  <c r="AG62" i="26"/>
  <c r="AI60" i="26"/>
  <c r="AJ60" i="26" s="1"/>
  <c r="AP61" i="32"/>
  <c r="O62" i="39"/>
  <c r="N54" i="33"/>
  <c r="O54" i="33" s="1"/>
  <c r="AJ54" i="41"/>
  <c r="Z56" i="41"/>
  <c r="AB54" i="41"/>
  <c r="AC54" i="41" s="1"/>
  <c r="AG60" i="20"/>
  <c r="AQ58" i="20"/>
  <c r="AI58" i="20"/>
  <c r="AJ58" i="20" s="1"/>
  <c r="O54" i="23"/>
  <c r="AB61" i="41"/>
  <c r="AC61" i="41" s="1"/>
  <c r="AI60" i="19"/>
  <c r="AJ60" i="19" s="1"/>
  <c r="N54" i="22"/>
  <c r="O54" i="22" s="1"/>
  <c r="V54" i="22"/>
  <c r="O60" i="21"/>
  <c r="AB60" i="11"/>
  <c r="N56" i="30"/>
  <c r="N56" i="28"/>
  <c r="O56" i="28" s="1"/>
  <c r="V56" i="28"/>
  <c r="U62" i="31"/>
  <c r="V62" i="31" s="1"/>
  <c r="AC62" i="31"/>
  <c r="AI60" i="13"/>
  <c r="AJ60" i="13" s="1"/>
  <c r="N60" i="12"/>
  <c r="C93" i="1"/>
  <c r="C69" i="1"/>
  <c r="AP52" i="23"/>
  <c r="AQ52" i="23" s="1"/>
  <c r="AN54" i="23"/>
  <c r="AP54" i="23" s="1"/>
  <c r="AQ54" i="23" s="1"/>
  <c r="AI56" i="26"/>
  <c r="AJ56" i="26" s="1"/>
  <c r="AP60" i="30"/>
  <c r="AQ60" i="30" s="1"/>
  <c r="AN62" i="30"/>
  <c r="AP62" i="30" s="1"/>
  <c r="AQ62" i="30" s="1"/>
  <c r="AC62" i="32"/>
  <c r="U62" i="32"/>
  <c r="V62" i="32" s="1"/>
  <c r="AI58" i="16"/>
  <c r="AJ58" i="16" s="1"/>
  <c r="AQ58" i="16"/>
  <c r="AG60" i="16"/>
  <c r="AC60" i="23"/>
  <c r="U60" i="23"/>
  <c r="AB54" i="13"/>
  <c r="AI52" i="11"/>
  <c r="AJ52" i="11" s="1"/>
  <c r="AQ52" i="11"/>
  <c r="AG54" i="11"/>
  <c r="O62" i="37"/>
  <c r="AC58" i="11"/>
  <c r="S60" i="11"/>
  <c r="U58" i="11"/>
  <c r="V58" i="11" s="1"/>
  <c r="N62" i="30"/>
  <c r="V62" i="30"/>
  <c r="N56" i="27"/>
  <c r="E24" i="3" s="1"/>
  <c r="O58" i="14"/>
  <c r="H60" i="14"/>
  <c r="N60" i="14" s="1"/>
  <c r="AI54" i="25"/>
  <c r="AJ54" i="25" s="1"/>
  <c r="AG56" i="25"/>
  <c r="U52" i="23"/>
  <c r="V52" i="23" s="1"/>
  <c r="S54" i="23"/>
  <c r="AC52" i="23"/>
  <c r="AP62" i="33"/>
  <c r="AQ62" i="33" s="1"/>
  <c r="AC54" i="11"/>
  <c r="U54" i="11"/>
  <c r="V54" i="11" s="1"/>
  <c r="AQ56" i="33"/>
  <c r="AI56" i="33"/>
  <c r="V62" i="38"/>
  <c r="N62" i="38"/>
  <c r="O54" i="27"/>
  <c r="H56" i="27"/>
  <c r="AL61" i="41"/>
  <c r="AN61" i="41" s="1"/>
  <c r="AN62" i="41" s="1"/>
  <c r="AG61" i="41"/>
  <c r="AJ56" i="33"/>
  <c r="AB56" i="33"/>
  <c r="AP60" i="32"/>
  <c r="AN62" i="32"/>
  <c r="D93" i="1"/>
  <c r="D69" i="1"/>
  <c r="AJ62" i="36"/>
  <c r="N54" i="23"/>
  <c r="U56" i="41"/>
  <c r="V56" i="41" s="1"/>
  <c r="U54" i="20"/>
  <c r="F19" i="3" s="1"/>
  <c r="AC54" i="20"/>
  <c r="G20" i="3" s="1"/>
  <c r="AP54" i="13"/>
  <c r="N58" i="12"/>
  <c r="O58" i="12" s="1"/>
  <c r="N60" i="25"/>
  <c r="O60" i="25" s="1"/>
  <c r="L62" i="25"/>
  <c r="AB54" i="14"/>
  <c r="AI52" i="16"/>
  <c r="AJ52" i="16" s="1"/>
  <c r="AG54" i="16"/>
  <c r="AQ52" i="16"/>
  <c r="N54" i="18"/>
  <c r="O54" i="18" s="1"/>
  <c r="G93" i="1"/>
  <c r="G69" i="1"/>
  <c r="U54" i="37"/>
  <c r="V54" i="37" s="1"/>
  <c r="AI56" i="37"/>
  <c r="AJ56" i="37" s="1"/>
  <c r="AQ56" i="37"/>
  <c r="V60" i="9"/>
  <c r="N60" i="9"/>
  <c r="AP54" i="25"/>
  <c r="AQ54" i="25" s="1"/>
  <c r="AN56" i="25"/>
  <c r="AP56" i="25" s="1"/>
  <c r="O60" i="10"/>
  <c r="AJ54" i="17"/>
  <c r="AB54" i="17"/>
  <c r="AG54" i="13"/>
  <c r="AQ52" i="13"/>
  <c r="AI52" i="13"/>
  <c r="AJ52" i="13" s="1"/>
  <c r="AG60" i="23"/>
  <c r="AP60" i="23" s="1"/>
  <c r="AQ58" i="23"/>
  <c r="AI58" i="23"/>
  <c r="AJ58" i="23" s="1"/>
  <c r="V60" i="23"/>
  <c r="N60" i="23"/>
  <c r="O60" i="23" s="1"/>
  <c r="U60" i="25"/>
  <c r="V60" i="25" s="1"/>
  <c r="V62" i="40"/>
  <c r="N62" i="40"/>
  <c r="O62" i="40" s="1"/>
  <c r="V56" i="36"/>
  <c r="N56" i="36"/>
  <c r="AB54" i="21"/>
  <c r="Z60" i="9"/>
  <c r="AJ58" i="9"/>
  <c r="AB58" i="9"/>
  <c r="AC58" i="9" s="1"/>
  <c r="AP58" i="21"/>
  <c r="AQ58" i="21" s="1"/>
  <c r="AN60" i="21"/>
  <c r="AP60" i="21" s="1"/>
  <c r="AQ60" i="21" s="1"/>
  <c r="U60" i="36"/>
  <c r="V60" i="36" s="1"/>
  <c r="AC60" i="36"/>
  <c r="S62" i="36"/>
  <c r="AB62" i="36" s="1"/>
  <c r="U61" i="25"/>
  <c r="AI54" i="18"/>
  <c r="AQ54" i="18"/>
  <c r="U60" i="9"/>
  <c r="AB60" i="36"/>
  <c r="N60" i="11"/>
  <c r="O60" i="11" s="1"/>
  <c r="AB60" i="17"/>
  <c r="AC60" i="17" s="1"/>
  <c r="O62" i="30"/>
  <c r="AB62" i="25"/>
  <c r="N54" i="16"/>
  <c r="AB54" i="10"/>
  <c r="AJ54" i="10"/>
  <c r="O54" i="19"/>
  <c r="AJ56" i="39"/>
  <c r="AB56" i="39"/>
  <c r="AC56" i="39" s="1"/>
  <c r="U60" i="14"/>
  <c r="AC56" i="30"/>
  <c r="U56" i="30"/>
  <c r="V56" i="30" s="1"/>
  <c r="U60" i="17"/>
  <c r="V60" i="17" s="1"/>
  <c r="O56" i="36"/>
  <c r="AB60" i="14"/>
  <c r="AC60" i="14" s="1"/>
  <c r="AJ60" i="14"/>
  <c r="O52" i="14"/>
  <c r="H54" i="14"/>
  <c r="AC62" i="25"/>
  <c r="U62" i="25"/>
  <c r="AQ54" i="24"/>
  <c r="AI54" i="24"/>
  <c r="AJ54" i="24" s="1"/>
  <c r="AQ58" i="10"/>
  <c r="AG60" i="10"/>
  <c r="AI58" i="10"/>
  <c r="AJ58" i="10" s="1"/>
  <c r="U54" i="27"/>
  <c r="V54" i="27" s="1"/>
  <c r="AC54" i="27"/>
  <c r="S56" i="27"/>
  <c r="AC54" i="10"/>
  <c r="U54" i="10"/>
  <c r="V54" i="10" s="1"/>
  <c r="AP56" i="26"/>
  <c r="AQ56" i="26" s="1"/>
  <c r="AJ54" i="9"/>
  <c r="AB54" i="9"/>
  <c r="AC60" i="41"/>
  <c r="S62" i="41"/>
  <c r="U60" i="41"/>
  <c r="V60" i="41" s="1"/>
  <c r="H60" i="18"/>
  <c r="N60" i="18" s="1"/>
  <c r="O58" i="18"/>
  <c r="AQ60" i="17"/>
  <c r="AI60" i="17"/>
  <c r="AJ60" i="17" s="1"/>
  <c r="AQ59" i="32"/>
  <c r="AI59" i="32"/>
  <c r="AJ59" i="32" s="1"/>
  <c r="AP58" i="13"/>
  <c r="AQ58" i="13" s="1"/>
  <c r="AN60" i="13"/>
  <c r="AP60" i="13" s="1"/>
  <c r="AQ60" i="13" s="1"/>
  <c r="N60" i="21"/>
  <c r="AI62" i="38"/>
  <c r="AQ62" i="38"/>
  <c r="U60" i="21"/>
  <c r="V60" i="21" s="1"/>
  <c r="O62" i="27"/>
  <c r="AI62" i="40"/>
  <c r="AQ62" i="40"/>
  <c r="N56" i="32"/>
  <c r="E29" i="3" s="1"/>
  <c r="AP60" i="27"/>
  <c r="AQ60" i="27" s="1"/>
  <c r="U60" i="24"/>
  <c r="V60" i="24" s="1"/>
  <c r="O56" i="38"/>
  <c r="N60" i="19"/>
  <c r="O60" i="19" s="1"/>
  <c r="O62" i="28"/>
  <c r="U54" i="16"/>
  <c r="V54" i="16" s="1"/>
  <c r="AC54" i="16"/>
  <c r="U56" i="33"/>
  <c r="V56" i="33" s="1"/>
  <c r="AC56" i="33"/>
  <c r="V54" i="21"/>
  <c r="N54" i="21"/>
  <c r="O54" i="21" s="1"/>
  <c r="AP55" i="41"/>
  <c r="AQ55" i="41" s="1"/>
  <c r="AI58" i="11"/>
  <c r="AJ58" i="11" s="1"/>
  <c r="AG60" i="11"/>
  <c r="U54" i="17"/>
  <c r="AC54" i="17"/>
  <c r="AQ56" i="28"/>
  <c r="AI56" i="28"/>
  <c r="O60" i="13"/>
  <c r="AI54" i="21"/>
  <c r="AJ54" i="21" s="1"/>
  <c r="AQ54" i="21"/>
  <c r="AG60" i="18"/>
  <c r="AP60" i="18" s="1"/>
  <c r="AI58" i="18"/>
  <c r="AJ58" i="18" s="1"/>
  <c r="AQ58" i="18"/>
  <c r="N60" i="26"/>
  <c r="O60" i="26" s="1"/>
  <c r="U53" i="25"/>
  <c r="AJ56" i="34"/>
  <c r="H35" i="3" s="1"/>
  <c r="AB56" i="34"/>
  <c r="G34" i="3" s="1"/>
  <c r="AN60" i="15"/>
  <c r="AP60" i="15" s="1"/>
  <c r="AQ60" i="15" s="1"/>
  <c r="AP58" i="15"/>
  <c r="AQ58" i="15" s="1"/>
  <c r="V56" i="39"/>
  <c r="N56" i="39"/>
  <c r="O56" i="39" s="1"/>
  <c r="AG60" i="32"/>
  <c r="O60" i="24"/>
  <c r="AP54" i="16"/>
  <c r="AI62" i="36"/>
  <c r="AQ62" i="36"/>
  <c r="O60" i="15"/>
  <c r="AI60" i="38"/>
  <c r="AJ60" i="38" s="1"/>
  <c r="O60" i="9"/>
  <c r="U62" i="26"/>
  <c r="V62" i="26" s="1"/>
  <c r="AC62" i="26"/>
  <c r="AJ54" i="18"/>
  <c r="AB54" i="18"/>
  <c r="U54" i="18"/>
  <c r="V54" i="18" s="1"/>
  <c r="AC54" i="18"/>
  <c r="U60" i="20"/>
  <c r="AC60" i="20"/>
  <c r="O54" i="15"/>
  <c r="B90" i="1"/>
  <c r="U54" i="15"/>
  <c r="V54" i="15" s="1"/>
  <c r="AC54" i="15"/>
  <c r="D90" i="1"/>
  <c r="D91" i="1" s="1"/>
  <c r="D92" i="1" s="1"/>
  <c r="O56" i="32" l="1"/>
  <c r="E30" i="3" s="1"/>
  <c r="AQ60" i="20"/>
  <c r="AI60" i="20"/>
  <c r="AJ60" i="20" s="1"/>
  <c r="AB62" i="40"/>
  <c r="AC62" i="40" s="1"/>
  <c r="AJ62" i="40"/>
  <c r="AC56" i="29"/>
  <c r="U56" i="29"/>
  <c r="V56" i="29" s="1"/>
  <c r="O60" i="20"/>
  <c r="V54" i="25"/>
  <c r="N54" i="25"/>
  <c r="O54" i="25" s="1"/>
  <c r="L56" i="25"/>
  <c r="O54" i="20"/>
  <c r="E20" i="3" s="1"/>
  <c r="V62" i="29"/>
  <c r="N62" i="29"/>
  <c r="O62" i="29" s="1"/>
  <c r="AB60" i="21"/>
  <c r="AC60" i="21" s="1"/>
  <c r="AB62" i="38"/>
  <c r="AC62" i="38" s="1"/>
  <c r="AJ62" i="38"/>
  <c r="O54" i="14"/>
  <c r="AJ62" i="34"/>
  <c r="AB62" i="34"/>
  <c r="AC62" i="34" s="1"/>
  <c r="O56" i="31"/>
  <c r="U60" i="19"/>
  <c r="V60" i="19" s="1"/>
  <c r="N56" i="40"/>
  <c r="O56" i="40" s="1"/>
  <c r="AI62" i="27"/>
  <c r="AJ62" i="27" s="1"/>
  <c r="V54" i="20"/>
  <c r="F20" i="3" s="1"/>
  <c r="AC56" i="40"/>
  <c r="U56" i="40"/>
  <c r="V56" i="40" s="1"/>
  <c r="AB56" i="41"/>
  <c r="AC56" i="41" s="1"/>
  <c r="AJ56" i="41"/>
  <c r="AI56" i="35"/>
  <c r="AJ56" i="35" s="1"/>
  <c r="AI56" i="41"/>
  <c r="N62" i="35"/>
  <c r="O62" i="35" s="1"/>
  <c r="O62" i="25"/>
  <c r="U54" i="9"/>
  <c r="V54" i="9" s="1"/>
  <c r="AC54" i="9"/>
  <c r="AB56" i="29"/>
  <c r="AI54" i="11"/>
  <c r="AJ54" i="11" s="1"/>
  <c r="U56" i="27"/>
  <c r="AI54" i="16"/>
  <c r="AJ54" i="16" s="1"/>
  <c r="AQ54" i="16"/>
  <c r="AB56" i="27"/>
  <c r="G24" i="3" s="1"/>
  <c r="AI54" i="27"/>
  <c r="AJ54" i="27" s="1"/>
  <c r="AG56" i="27"/>
  <c r="AP54" i="27"/>
  <c r="AQ54" i="27" s="1"/>
  <c r="U62" i="35"/>
  <c r="V62" i="35" s="1"/>
  <c r="AI56" i="29"/>
  <c r="AJ56" i="29" s="1"/>
  <c r="O62" i="26"/>
  <c r="AI60" i="23"/>
  <c r="AJ60" i="23" s="1"/>
  <c r="AQ60" i="23"/>
  <c r="AI61" i="41"/>
  <c r="AJ61" i="41" s="1"/>
  <c r="AG62" i="41"/>
  <c r="AP61" i="41"/>
  <c r="AQ61" i="41" s="1"/>
  <c r="AQ60" i="16"/>
  <c r="AI60" i="16"/>
  <c r="AJ60" i="16" s="1"/>
  <c r="N54" i="24"/>
  <c r="O54" i="24" s="1"/>
  <c r="AP62" i="27"/>
  <c r="AQ62" i="27" s="1"/>
  <c r="AB60" i="19"/>
  <c r="AC60" i="19" s="1"/>
  <c r="AI56" i="38"/>
  <c r="AJ56" i="38" s="1"/>
  <c r="AQ56" i="38"/>
  <c r="AB56" i="36"/>
  <c r="AC56" i="36" s="1"/>
  <c r="AJ56" i="36"/>
  <c r="N62" i="33"/>
  <c r="O62" i="33" s="1"/>
  <c r="U9" i="3"/>
  <c r="U34" i="3"/>
  <c r="T34" i="3"/>
  <c r="T35" i="3" s="1"/>
  <c r="U35" i="3" s="1"/>
  <c r="AB60" i="12"/>
  <c r="AC60" i="12" s="1"/>
  <c r="AJ60" i="12"/>
  <c r="AP60" i="11"/>
  <c r="AQ60" i="11" s="1"/>
  <c r="O60" i="12"/>
  <c r="O56" i="33"/>
  <c r="AQ60" i="22"/>
  <c r="AI60" i="22"/>
  <c r="AJ60" i="22" s="1"/>
  <c r="AP60" i="16"/>
  <c r="O54" i="12"/>
  <c r="AI60" i="11"/>
  <c r="AJ60" i="11" s="1"/>
  <c r="AI60" i="10"/>
  <c r="AJ60" i="10" s="1"/>
  <c r="AQ60" i="10"/>
  <c r="AQ54" i="13"/>
  <c r="AI54" i="13"/>
  <c r="AJ54" i="13" s="1"/>
  <c r="U62" i="29"/>
  <c r="N62" i="25"/>
  <c r="V62" i="25"/>
  <c r="O56" i="27"/>
  <c r="E25" i="3" s="1"/>
  <c r="AQ56" i="25"/>
  <c r="AI56" i="25"/>
  <c r="AJ56" i="25" s="1"/>
  <c r="U60" i="11"/>
  <c r="V60" i="11" s="1"/>
  <c r="AC60" i="11"/>
  <c r="AI62" i="25"/>
  <c r="AJ62" i="25" s="1"/>
  <c r="AQ62" i="25"/>
  <c r="AI54" i="32"/>
  <c r="AJ54" i="32" s="1"/>
  <c r="AG56" i="32"/>
  <c r="AP54" i="32"/>
  <c r="AQ54" i="32" s="1"/>
  <c r="AC56" i="34"/>
  <c r="G35" i="3" s="1"/>
  <c r="N54" i="14"/>
  <c r="U54" i="25"/>
  <c r="U20" i="3"/>
  <c r="U62" i="33"/>
  <c r="V62" i="33" s="1"/>
  <c r="O56" i="41"/>
  <c r="AQ56" i="31"/>
  <c r="AI56" i="31"/>
  <c r="AJ56" i="31" s="1"/>
  <c r="AJ60" i="9"/>
  <c r="AB60" i="9"/>
  <c r="AC60" i="9" s="1"/>
  <c r="O60" i="18"/>
  <c r="U54" i="23"/>
  <c r="V54" i="23" s="1"/>
  <c r="AQ56" i="34"/>
  <c r="I35" i="3" s="1"/>
  <c r="U60" i="10"/>
  <c r="V60" i="10" s="1"/>
  <c r="AC62" i="41"/>
  <c r="U62" i="41"/>
  <c r="V62" i="41" s="1"/>
  <c r="AB60" i="10"/>
  <c r="AC60" i="10" s="1"/>
  <c r="AP54" i="11"/>
  <c r="AQ54" i="11" s="1"/>
  <c r="AB54" i="23"/>
  <c r="AC54" i="23" s="1"/>
  <c r="C91" i="1"/>
  <c r="C92" i="1" s="1"/>
  <c r="AC62" i="36"/>
  <c r="U62" i="36"/>
  <c r="V62" i="36" s="1"/>
  <c r="AI62" i="26"/>
  <c r="AJ62" i="26" s="1"/>
  <c r="AQ62" i="26"/>
  <c r="O60" i="17"/>
  <c r="U54" i="24"/>
  <c r="V54" i="24" s="1"/>
  <c r="AC54" i="24"/>
  <c r="AQ54" i="14"/>
  <c r="AI54" i="14"/>
  <c r="AJ54" i="14" s="1"/>
  <c r="AI60" i="21"/>
  <c r="AJ60" i="21" s="1"/>
  <c r="V62" i="34"/>
  <c r="N62" i="34"/>
  <c r="O62" i="34" s="1"/>
  <c r="U56" i="25"/>
  <c r="AC56" i="25"/>
  <c r="O62" i="38"/>
  <c r="O56" i="34"/>
  <c r="E35" i="3" s="1"/>
  <c r="N56" i="37"/>
  <c r="O56" i="37" s="1"/>
  <c r="V56" i="37"/>
  <c r="AQ54" i="15"/>
  <c r="AI54" i="15"/>
  <c r="AJ54" i="15" s="1"/>
  <c r="F90" i="1"/>
  <c r="F91" i="1" s="1"/>
  <c r="F92" i="1" s="1"/>
  <c r="AI60" i="18"/>
  <c r="AJ60" i="18" s="1"/>
  <c r="AQ60" i="18"/>
  <c r="O60" i="14"/>
  <c r="U54" i="12"/>
  <c r="V54" i="12" s="1"/>
  <c r="AQ60" i="32"/>
  <c r="AG62" i="32"/>
  <c r="AI60" i="32"/>
  <c r="AJ60" i="32" s="1"/>
  <c r="V56" i="32"/>
  <c r="F30" i="3" s="1"/>
  <c r="AP56" i="35"/>
  <c r="AQ56" i="35" s="1"/>
  <c r="AJ62" i="33"/>
  <c r="AB62" i="33"/>
  <c r="AC62" i="33" s="1"/>
  <c r="U19" i="3"/>
  <c r="T19" i="3"/>
  <c r="T20" i="3" s="1"/>
  <c r="AP60" i="10"/>
  <c r="E91" i="1"/>
  <c r="E92" i="1" s="1"/>
  <c r="AB54" i="12"/>
  <c r="AC54" i="12" s="1"/>
  <c r="AI60" i="9"/>
  <c r="AP54" i="14"/>
  <c r="AP56" i="41"/>
  <c r="AQ56" i="41" s="1"/>
  <c r="AI56" i="32" l="1"/>
  <c r="AP56" i="32"/>
  <c r="I29" i="3" s="1"/>
  <c r="AI62" i="32"/>
  <c r="AJ62" i="32" s="1"/>
  <c r="AQ62" i="32"/>
  <c r="AI62" i="41"/>
  <c r="AJ62" i="41" s="1"/>
  <c r="AP62" i="32"/>
  <c r="AI56" i="27"/>
  <c r="AP56" i="27"/>
  <c r="I24" i="3" s="1"/>
  <c r="G91" i="1"/>
  <c r="G92" i="1" s="1"/>
  <c r="F24" i="3"/>
  <c r="V56" i="27"/>
  <c r="F25" i="3" s="1"/>
  <c r="AC56" i="27"/>
  <c r="G25" i="3" s="1"/>
  <c r="N56" i="25"/>
  <c r="O56" i="25" s="1"/>
  <c r="V56" i="25"/>
  <c r="AP62" i="41"/>
  <c r="AQ62" i="41" s="1"/>
  <c r="H24" i="3" l="1"/>
  <c r="AJ56" i="27"/>
  <c r="H25" i="3" s="1"/>
  <c r="AQ56" i="27"/>
  <c r="I25" i="3" s="1"/>
  <c r="H29" i="3"/>
  <c r="AJ56" i="32"/>
  <c r="H30" i="3" s="1"/>
  <c r="AQ56" i="32"/>
  <c r="I30" i="3" s="1"/>
  <c r="T29" i="3" l="1"/>
  <c r="T30" i="3" s="1"/>
  <c r="U30" i="3" s="1"/>
  <c r="T24" i="3"/>
  <c r="T25" i="3" s="1"/>
  <c r="U25" i="3" s="1"/>
  <c r="U24" i="3" l="1"/>
  <c r="U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V4" authorId="0" shapeId="0" xr:uid="{00000000-0006-0000-0200-00001A000000}">
      <text>
        <r>
          <rPr>
            <sz val="10"/>
            <color rgb="FF000000"/>
            <rFont val="Arial"/>
            <scheme val="minor"/>
          </rPr>
          <t>======
ID#AAABeFn1oMQ
    (2024-12-22 22:19:47)
Grp 1 '25 RR not included</t>
        </r>
      </text>
    </comment>
    <comment ref="W6" authorId="0" shapeId="0" xr:uid="{00000000-0006-0000-0200-000018000000}">
      <text>
        <r>
          <rPr>
            <sz val="10"/>
            <color rgb="FF000000"/>
            <rFont val="Arial"/>
            <scheme val="minor"/>
          </rPr>
          <t>======
ID#AAABeFn1oNo
    (2024-12-22 22:19:47)
LRAM RR rate is the same for '23-'25
Inflate 2025 with YoY '23 vs '22 (for now)</t>
        </r>
      </text>
    </comment>
    <comment ref="F9" authorId="0" shapeId="0" xr:uid="{00000000-0006-0000-0200-000002000000}">
      <text>
        <r>
          <rPr>
            <sz val="10"/>
            <color rgb="FF000000"/>
            <rFont val="Arial"/>
            <scheme val="minor"/>
          </rPr>
          <t>======
ID#AAABeFn1oM4
    (2024-12-22 22:19:47)
$ change per OEB model $1.84</t>
        </r>
      </text>
    </comment>
    <comment ref="W9" authorId="0" shapeId="0" xr:uid="{00000000-0006-0000-0200-000011000000}">
      <text>
        <r>
          <rPr>
            <sz val="10"/>
            <color rgb="FF000000"/>
            <rFont val="Arial"/>
            <scheme val="minor"/>
          </rPr>
          <t>======
ID#AAABeFn1oMU
    (2024-12-22 22:19:47)
does not include '25's Grp 1 RRs impact on total bill in 2025</t>
        </r>
      </text>
    </comment>
    <comment ref="F10" authorId="0" shapeId="0" xr:uid="{00000000-0006-0000-0200-00001B000000}">
      <text>
        <r>
          <rPr>
            <sz val="10"/>
            <color rgb="FF000000"/>
            <rFont val="Arial"/>
            <scheme val="minor"/>
          </rPr>
          <t>======
ID#AAABeFn1oN0
    (2024-12-22 22:19:47)
This does not match OEB model for 2021 vs 2022 total bill increase because of change in SMC and OER % Total bill % per OEB model 1.6%</t>
        </r>
      </text>
    </comment>
    <comment ref="W10" authorId="0" shapeId="0" xr:uid="{00000000-0006-0000-0200-000016000000}">
      <text>
        <r>
          <rPr>
            <sz val="10"/>
            <color rgb="FF000000"/>
            <rFont val="Arial"/>
            <scheme val="minor"/>
          </rPr>
          <t>======
ID#AAABeFn1oNg
    (2024-12-22 22:19:47)
% of above on 2024 total bill</t>
        </r>
      </text>
    </comment>
    <comment ref="X10" authorId="0" shapeId="0" xr:uid="{00000000-0006-0000-0200-00000E000000}">
      <text>
        <r>
          <rPr>
            <sz val="10"/>
            <color rgb="FF000000"/>
            <rFont val="Arial"/>
            <scheme val="minor"/>
          </rPr>
          <t>======
ID#AAABeFn1oM0
    (2024-12-22 22:19:47)
% of above on 2024 total bill</t>
        </r>
      </text>
    </comment>
    <comment ref="W11" authorId="0" shapeId="0" xr:uid="{00000000-0006-0000-0200-000012000000}">
      <text>
        <r>
          <rPr>
            <sz val="10"/>
            <color rgb="FF000000"/>
            <rFont val="Arial"/>
            <scheme val="minor"/>
          </rPr>
          <t>======
ID#AAABeFn1oN4
    (2024-12-22 22:19:47)
LRAM RR rate is the same for '23-'25
Inflate 2025 with YoY '23 vs '22 (for now)</t>
        </r>
      </text>
    </comment>
    <comment ref="W14" authorId="0" shapeId="0" xr:uid="{00000000-0006-0000-0200-000006000000}">
      <text>
        <r>
          <rPr>
            <sz val="10"/>
            <color rgb="FF000000"/>
            <rFont val="Arial"/>
            <scheme val="minor"/>
          </rPr>
          <t>======
ID#AAABeFn1oMw
    (2024-12-22 22:19:47)
does not include '25's Grp 1 RRs impact on total bill in 2025</t>
        </r>
      </text>
    </comment>
    <comment ref="W16" authorId="0" shapeId="0" xr:uid="{00000000-0006-0000-0200-00000B000000}">
      <text>
        <r>
          <rPr>
            <sz val="10"/>
            <color rgb="FF000000"/>
            <rFont val="Arial"/>
            <scheme val="minor"/>
          </rPr>
          <t>======
ID#AAABeFn1oNM
    (2024-12-22 22:19:47)
LRAM RR rate is the same for '23-'25
Inflate 2025 with YoY '23 vs '22 (for now)</t>
        </r>
      </text>
    </comment>
    <comment ref="F19" authorId="0" shapeId="0" xr:uid="{00000000-0006-0000-0200-00000D000000}">
      <text>
        <r>
          <rPr>
            <sz val="10"/>
            <color rgb="FF000000"/>
            <rFont val="Arial"/>
            <scheme val="minor"/>
          </rPr>
          <t>======
ID#AAABeFn1oNQ
    (2024-12-22 22:19:47)
Last year's model had $4.68 per OEB model due to previous rates used</t>
        </r>
      </text>
    </comment>
    <comment ref="W19" authorId="0" shapeId="0" xr:uid="{00000000-0006-0000-0200-00000A000000}">
      <text>
        <r>
          <rPr>
            <sz val="10"/>
            <color rgb="FF000000"/>
            <rFont val="Arial"/>
            <scheme val="minor"/>
          </rPr>
          <t>======
ID#AAABeFn1oMg
    (2024-12-22 22:19:47)
does not include '25's Grp 1 RRs impact on total bill in 2025</t>
        </r>
      </text>
    </comment>
    <comment ref="F20" authorId="0" shapeId="0" xr:uid="{00000000-0006-0000-0200-000004000000}">
      <text>
        <r>
          <rPr>
            <sz val="10"/>
            <color rgb="FF000000"/>
            <rFont val="Arial"/>
            <scheme val="minor"/>
          </rPr>
          <t>======
ID#AAABeFn1oNY
    (2024-12-22 22:19:47)
This does not match OEB model for 2021 vs 2022 total bill increase because of change in SMC and OER % Total bill % per OEB model 1.6%</t>
        </r>
      </text>
    </comment>
    <comment ref="W21" authorId="0" shapeId="0" xr:uid="{00000000-0006-0000-0200-000015000000}">
      <text>
        <r>
          <rPr>
            <sz val="10"/>
            <color rgb="FF000000"/>
            <rFont val="Arial"/>
            <scheme val="minor"/>
          </rPr>
          <t>======
ID#AAABeFn1oNA
    (2024-12-22 22:19:47)
LRAM RR rate is the same for '23-'25
Inflate 2025 with YoY '23 vs '22 (for now) for VDC only</t>
        </r>
      </text>
    </comment>
    <comment ref="W24" authorId="0" shapeId="0" xr:uid="{00000000-0006-0000-0200-000017000000}">
      <text>
        <r>
          <rPr>
            <sz val="10"/>
            <color rgb="FF000000"/>
            <rFont val="Arial"/>
            <scheme val="minor"/>
          </rPr>
          <t>======
ID#AAABeFn1oNk
    (2024-12-22 22:19:47)
does not include '25's Grp 1 RRs impact on total bill in 2025</t>
        </r>
      </text>
    </comment>
    <comment ref="W26" authorId="0" shapeId="0" xr:uid="{00000000-0006-0000-0200-000005000000}">
      <text>
        <r>
          <rPr>
            <sz val="10"/>
            <color rgb="FF000000"/>
            <rFont val="Arial"/>
            <scheme val="minor"/>
          </rPr>
          <t>======
ID#AAABeFn1oM8
    (2024-12-22 22:19:47)
LRAM RR rate is the same for '23-'25
Inflate 2025 with YoY '23 vs '22 (for now) for VDC only</t>
        </r>
      </text>
    </comment>
    <comment ref="W29" authorId="0" shapeId="0" xr:uid="{00000000-0006-0000-0200-000013000000}">
      <text>
        <r>
          <rPr>
            <sz val="10"/>
            <color rgb="FF000000"/>
            <rFont val="Arial"/>
            <scheme val="minor"/>
          </rPr>
          <t>======
ID#AAABeFn1oMY
    (2024-12-22 22:19:47)
does not include '25's Grp 1 RRs impact on total bill in 2025</t>
        </r>
      </text>
    </comment>
    <comment ref="W31" authorId="0" shapeId="0" xr:uid="{00000000-0006-0000-0200-000003000000}">
      <text>
        <r>
          <rPr>
            <sz val="10"/>
            <color rgb="FF000000"/>
            <rFont val="Arial"/>
            <scheme val="minor"/>
          </rPr>
          <t>======
ID#AAABeFn1oMs
    (2024-12-22 22:19:47)
LRAM RR rate is the same for '23-'25
Inflate 2025 with YoY '23 vs '22 (for now) for VDC only</t>
        </r>
      </text>
    </comment>
    <comment ref="W34" authorId="0" shapeId="0" xr:uid="{00000000-0006-0000-0200-000008000000}">
      <text>
        <r>
          <rPr>
            <sz val="10"/>
            <color rgb="FF000000"/>
            <rFont val="Arial"/>
            <scheme val="minor"/>
          </rPr>
          <t>======
ID#AAABeFn1oNE
    (2024-12-22 22:19:47)
does not include '25's Grp 1 RRs impact on total bill in 2025</t>
        </r>
      </text>
    </comment>
    <comment ref="W36" authorId="0" shapeId="0" xr:uid="{00000000-0006-0000-0200-000014000000}">
      <text>
        <r>
          <rPr>
            <sz val="10"/>
            <color rgb="FF000000"/>
            <rFont val="Arial"/>
            <scheme val="minor"/>
          </rPr>
          <t>======
ID#AAABeFn1oN8
    (2024-12-22 22:19:47)
LRAM RR rate is the same for '23-'25
Inflate 2025 with YoY '23 vs '22 (for now) for VDC only ---not including lower band adjustment</t>
        </r>
      </text>
    </comment>
    <comment ref="W39" authorId="0" shapeId="0" xr:uid="{00000000-0006-0000-0200-000009000000}">
      <text>
        <r>
          <rPr>
            <sz val="10"/>
            <color rgb="FF000000"/>
            <rFont val="Arial"/>
            <scheme val="minor"/>
          </rPr>
          <t>======
ID#AAABeFn1oNI
    (2024-12-22 22:19:47)
does not include '25's Grp 1 RRs impact on total bill in 2025</t>
        </r>
      </text>
    </comment>
    <comment ref="W41" authorId="0" shapeId="0" xr:uid="{00000000-0006-0000-0200-000007000000}">
      <text>
        <r>
          <rPr>
            <sz val="10"/>
            <color rgb="FF000000"/>
            <rFont val="Arial"/>
            <scheme val="minor"/>
          </rPr>
          <t>======
ID#AAABeFn1oNc
    (2024-12-22 22:19:47)
LRAM RR rate is the same for '23-'25
Inflate 2025 with YoY '23 vs '22 (for now) for VDC only</t>
        </r>
      </text>
    </comment>
    <comment ref="W44" authorId="0" shapeId="0" xr:uid="{00000000-0006-0000-0200-000010000000}">
      <text>
        <r>
          <rPr>
            <sz val="10"/>
            <color rgb="FF000000"/>
            <rFont val="Arial"/>
            <scheme val="minor"/>
          </rPr>
          <t>======
ID#AAABeFn1oNw
    (2024-12-22 22:19:47)
does not include '25's Grp 1 RRs impact on total bill in 2025</t>
        </r>
      </text>
    </comment>
    <comment ref="W46" authorId="0" shapeId="0" xr:uid="{00000000-0006-0000-0200-000019000000}">
      <text>
        <r>
          <rPr>
            <sz val="10"/>
            <color rgb="FF000000"/>
            <rFont val="Arial"/>
            <scheme val="minor"/>
          </rPr>
          <t>======
ID#AAABeFn1oNs
    (2024-12-22 22:19:47)
LRAM RR rate is the same for '23-'25
Inflate 2025 with YoY '23 vs '22 (for now) for VDC only</t>
        </r>
      </text>
    </comment>
    <comment ref="W49" authorId="0" shapeId="0" xr:uid="{00000000-0006-0000-0200-00000C000000}">
      <text>
        <r>
          <rPr>
            <sz val="10"/>
            <color rgb="FF000000"/>
            <rFont val="Arial"/>
            <scheme val="minor"/>
          </rPr>
          <t>======
ID#AAABeFn1oMk
    (2024-12-22 22:19:47)
does not include '25's Grp 1 RRs impact on total bill in 2025</t>
        </r>
      </text>
    </comment>
    <comment ref="W51" authorId="0" shapeId="0" xr:uid="{00000000-0006-0000-0200-000001000000}">
      <text>
        <r>
          <rPr>
            <sz val="10"/>
            <color rgb="FF000000"/>
            <rFont val="Arial"/>
            <scheme val="minor"/>
          </rPr>
          <t>======
ID#AAABeFn1oNU
    (2024-12-22 22:19:47)
LRAM RR rate is the same for '23-'25
Inflate 2025 with YoY '23 vs '22 (for now) for VDC only</t>
        </r>
      </text>
    </comment>
    <comment ref="W54" authorId="0" shapeId="0" xr:uid="{00000000-0006-0000-0200-00000F000000}">
      <text>
        <r>
          <rPr>
            <sz val="10"/>
            <color rgb="FF000000"/>
            <rFont val="Arial"/>
            <scheme val="minor"/>
          </rPr>
          <t>======
ID#AAABeFn1oMo
    (2024-12-22 22:19:47)
does not include '25's Grp 1 RRs impact on total bill in 2025</t>
        </r>
      </text>
    </comment>
  </commentList>
  <extLst>
    <ext xmlns:r="http://schemas.openxmlformats.org/officeDocument/2006/relationships" uri="GoogleSheetsCustomDataVersion2">
      <go:sheetsCustomData xmlns:go="http://customooxmlschemas.google.com/" r:id="rId1" roundtripDataSignature="AMtx7mhU0PB+/XSnJn7izLV6R6qxgLjC1g=="/>
    </ext>
  </extLst>
</comments>
</file>

<file path=xl/sharedStrings.xml><?xml version="1.0" encoding="utf-8"?>
<sst xmlns="http://schemas.openxmlformats.org/spreadsheetml/2006/main" count="7614" uniqueCount="459">
  <si>
    <t>Rates Summary 2026-2030</t>
  </si>
  <si>
    <t>2025A</t>
  </si>
  <si>
    <t>2026F</t>
  </si>
  <si>
    <t>2027F</t>
  </si>
  <si>
    <t>2028F</t>
  </si>
  <si>
    <t>2029F</t>
  </si>
  <si>
    <t>2030F</t>
  </si>
  <si>
    <t>Approved</t>
  </si>
  <si>
    <t>Estimate</t>
  </si>
  <si>
    <t>Residential (750 kWh)</t>
  </si>
  <si>
    <t>Distribution</t>
  </si>
  <si>
    <t>Change in Distribution</t>
  </si>
  <si>
    <t>% Change in Distribution</t>
  </si>
  <si>
    <t>Total Bill Change</t>
  </si>
  <si>
    <t>% Total Bill Change</t>
  </si>
  <si>
    <t>General Service &lt;50 kW (2000 kWh)</t>
  </si>
  <si>
    <t>General Service  50 kW - 1,499 kW (185 kW)</t>
  </si>
  <si>
    <t>General Service 1,500 kW - 4,999 kW (1,925 kW)</t>
  </si>
  <si>
    <t>Large Use (7,500 kW)</t>
  </si>
  <si>
    <t>Sentinel Lighting (0.4 kW)</t>
  </si>
  <si>
    <t>Street Lighting (50 kW)</t>
  </si>
  <si>
    <t>Unmetered Scattered Load (470 kWh)</t>
  </si>
  <si>
    <t>Rate Riders</t>
  </si>
  <si>
    <t>Distribution with Rate Riders</t>
  </si>
  <si>
    <t>Total Bill ( After Tax)</t>
  </si>
  <si>
    <t>% Total Bill Change before Taxes and OER</t>
  </si>
  <si>
    <t>Hydro Ottawa Limited</t>
  </si>
  <si>
    <t>TARIFF OF RATES AND CHARGES</t>
  </si>
  <si>
    <t>Effective Date January 1, 2026</t>
  </si>
  <si>
    <t>Implementation Date June 1, 2026</t>
  </si>
  <si>
    <t>This schedule supersedes and replaces all previously</t>
  </si>
  <si>
    <t>approved schedules of Rates, Charges and Loss Factors</t>
  </si>
  <si>
    <t>EB-2024-0115</t>
  </si>
  <si>
    <t>RESIDENTIAL SERVICE CLASSIFICATION</t>
  </si>
  <si>
    <t>This classification includes accounts taking electricity at 120/240 volts single phase where the electricity is used exclusively in a separately metered living accommodation. Customers shall be residing in single-dwelling units that consist of a detached house or one unit of a semi-detached, duplex, triple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</si>
  <si>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</si>
  <si>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</si>
  <si>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</si>
  <si>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</si>
  <si>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</si>
  <si>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</si>
  <si>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</si>
  <si>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</si>
  <si>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Recovery of 2026 Foregone Revenue - effective until May 31, 2027</t>
  </si>
  <si>
    <t>Rate Rider for Lost Revenue Adjustment Mechanism (LRAM) Recovery - effective until December 31, 2027</t>
  </si>
  <si>
    <t>Rate Rider for Group 2 Accounts - effective until December 31, 2026</t>
  </si>
  <si>
    <t>Smart Metering Entity Charge</t>
  </si>
  <si>
    <t>Low Voltage Service Rate</t>
  </si>
  <si>
    <t>$/kWh</t>
  </si>
  <si>
    <t>Rate Rider for Disposition of Deferral/Variance Accounts</t>
  </si>
  <si>
    <t>Rate Rider for Disposition of Capacity Based Recovery (CBR) Account Applicable for Class B Customers - effective until December 31, 2026</t>
  </si>
  <si>
    <t>Rate Rider for RSVA Global Adjustment  - effective until May 31, 2027</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</si>
  <si>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</si>
  <si>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</si>
  <si>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</si>
  <si>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</si>
  <si>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</si>
  <si>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</si>
  <si>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</si>
  <si>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</si>
  <si>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non residential accounts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</si>
  <si>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Board approval, such as the Global Adjustment and the HST.</t>
  </si>
  <si>
    <t>Distribution Volumetric Rate</t>
  </si>
  <si>
    <t>Rate Rider for Lost Revenue Adjustment Mechanism (LRAM) Recovery - effective until December 31, 2026</t>
  </si>
  <si>
    <t>GENERAL SERVICE 50 TO 1,499 KW SERVICE CLASSIFICATION</t>
  </si>
  <si>
    <t>This classification refers to non residential accounts whose monthly average peak demand is equal to or greater than, or is forecast to be equal to or greater than, 50 kW but less than 1,500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</si>
  <si>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</si>
  <si>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</si>
  <si>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Note: A Customer shall be billed for Demand based on the greater of the measured kilowatts or ninety percent (90%) of the measured kilovolt-amperes.</t>
  </si>
  <si>
    <t>$/kW</t>
  </si>
  <si>
    <t>Rate Rider for Disposition of Deferral/Variance Accounts (exlcuding Global Adj.) NON-WMP</t>
  </si>
  <si>
    <t>Retail Transmission Rate - Network Service Rate - EV CHARGING*</t>
  </si>
  <si>
    <t>Retail Transmission Rate - Line and Transformation Connection Service Rate - EV CHARGING*</t>
  </si>
  <si>
    <r>
      <rPr>
        <sz val="8"/>
        <color theme="1"/>
        <rFont val="Arial"/>
      </rPr>
      <t xml:space="preserve">* In accordance with the OEB's March 31, 2025 report, </t>
    </r>
    <r>
      <rPr>
        <i/>
        <sz val="8"/>
        <color theme="1"/>
        <rFont val="Arial"/>
      </rPr>
      <t>Electric Vehicle Charging Rate Overview - Final Report</t>
    </r>
    <r>
      <rPr>
        <sz val="8"/>
        <color theme="1"/>
        <rFont val="Arial"/>
      </rPr>
      <t>, Hydro Ottawa Limited will</t>
    </r>
  </si>
  <si>
    <t>provide eligible customers with the option to elect to be charged Retail Transmission Service Rates on the basis of the Electric Vehicle</t>
  </si>
  <si>
    <t>Charging Rate, subject to the standard terms and conditions set out in Appendix A of the report.</t>
  </si>
  <si>
    <t>GENERAL SERVICE 1,500 TO 4,999 KW SERVICE CLASSIFICATION</t>
  </si>
  <si>
    <t>This classification refers to non residential accounts whose monthly average peak demand is equal to or greater than, or is forecast to be equal to or greater than, 1,500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</si>
  <si>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Ontario Energy Board, or as specified herein.</t>
  </si>
  <si>
    <r>
      <rPr>
        <sz val="8"/>
        <color theme="1"/>
        <rFont val="Arial"/>
      </rPr>
      <t xml:space="preserve">* In accordance with the OEB's March 31, 2025 report, </t>
    </r>
    <r>
      <rPr>
        <i/>
        <sz val="8"/>
        <color theme="1"/>
        <rFont val="Arial"/>
      </rPr>
      <t>Electric Vehicle Charging Rate Overview - Final Report</t>
    </r>
    <r>
      <rPr>
        <sz val="8"/>
        <color theme="1"/>
        <rFont val="Arial"/>
      </rPr>
      <t>, Hydro Ottawa Limited will</t>
    </r>
  </si>
  <si>
    <t>LARGE USE SERVICE CLASSIFICATION</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</si>
  <si>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</si>
  <si>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Board, or as specified herein.</t>
  </si>
  <si>
    <t>UNMETERED SCATTERED LOAD SERVICE CLASSIFICATION</t>
  </si>
  <si>
    <t>This classification includes accounts taking electricity at 120/240 volts single phase whose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Qualification for this classification is at the discretion of Hydro Ottawa as defined in its Conditions of Service.</t>
  </si>
  <si>
    <t>Service Charge (per connection)</t>
  </si>
  <si>
    <t>STANDBY POWER SERVICE CLASSIFICATION</t>
  </si>
  <si>
    <t>This classification refers to an account that has Load Displacement Generation equal to or greater than 500 kW and requires the distributor to provide back-up service.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</si>
  <si>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</si>
  <si>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It should be noted that this schedule does not list any charges, assessments or credits that are required by law to be invoiced by a distributor and that are not subject to Ontario Energy Board approval, such asthe Global Adjustment and the HST.</t>
  </si>
  <si>
    <t>MONTHLY RATES AND CHARGES - Delivery Component - Approved on an Interim Basis</t>
  </si>
  <si>
    <t>General Service 50 TO 1,499 kW customer</t>
  </si>
  <si>
    <t>General Service 1,500 TO 4,999 kW customer</t>
  </si>
  <si>
    <t>General Service Large User kW customer</t>
  </si>
  <si>
    <t>General Service 50 TO 1,499 kW customer - Backup Overrun</t>
  </si>
  <si>
    <t>General Service 1,500 TO 4,999 kW customer - Backup Overrun</t>
  </si>
  <si>
    <t xml:space="preserve">General Service Large User kW customer - Backup Overrun </t>
  </si>
  <si>
    <t>Rate Rider for Recovery of 2026 Foregone Revenue General Service 50 TO 1,499 kW customer - effective until May 31, 2027</t>
  </si>
  <si>
    <t>Rate Rider for Recovery of 2026 Foregone Revenue General Service 1,500 TO 4,999 kW customer - effective until May 31, 2027</t>
  </si>
  <si>
    <t>Rate Rider for Recovery of 2026 Foregone Revenue General Service Large User kW customer - effective until May 31, 2027</t>
  </si>
  <si>
    <t>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</si>
  <si>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</si>
  <si>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</si>
  <si>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controlled by photocells. The consumption for these customers is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</si>
  <si>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It should be noted that this schedule does not list any charges, assessements or credits that are required by law to be invoiced by a distributor and that are not subject to Ontario Energy Board approval, such as the Global Adjustment and the HST.</t>
  </si>
  <si>
    <t>Rate Rider for Disposition of Accounts 1595 - Effective until December 31, 2026</t>
  </si>
  <si>
    <t>NET-METERING SERVICE CLASSIFICATION</t>
  </si>
  <si>
    <t>This classification applies to an eligible electricity generation facility as defined in O. Reg. 541/05 .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</si>
  <si>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</si>
  <si>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MICROFIT AND OTHER GENERATION &lt;10kW SERVICE CLASSIFICATION</t>
  </si>
  <si>
    <t>This classification applies to an electricity generation facility contracted under the Independent Electricity System Operator's microFIT program or other generation &lt;10kW and connected to the distributor's distribution system. This charge would not apply to customers with generation who are considered a load customer within another rate classification that receive a monthly fixed service charge. Further servicing details are available in the distributor's Conditions of Service.</t>
  </si>
  <si>
    <t>FIT SERVICE AND OTHER GENERATION &gt;10kW CLASSIFICATION</t>
  </si>
  <si>
    <t>This classification applies to an electricity generation facility contracted under the Independent Electricity System Operator's FIT program or other generation &gt;10kW (but does not meet the requirements of HCI, RESOP, OTHER ENERGY RESOURCE SERVICE CLASSIFICATION) and connected to the distributor's distribution system. This charge would not apply to customers with generation who are considered a load customer within another rate classification that receive a monthly fixed service charge. Further servicing details are available in the distributor's Conditions of Service.</t>
  </si>
  <si>
    <t>HCI, RESOP, OTHER ENERGY RESOURCE SERVICE CLASSIFICATION</t>
  </si>
  <si>
    <t>This classification applies to an electricity generation facility contracted under the Independent Electricity System Operator's HCI, RESOP and Other Energy Resource programs and connected to the distributor's distribution system.  Further servicing details are available in the distributor's Conditions of Service.</t>
  </si>
  <si>
    <t>ALLOWANCES</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</si>
  <si>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</si>
  <si>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</si>
  <si>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</si>
  <si>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</si>
  <si>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</si>
  <si>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</si>
  <si>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Easement Certificate for Unregistered Easements</t>
  </si>
  <si>
    <t>Duplicate invoices for previous billing</t>
  </si>
  <si>
    <t>Special billing service per hour (min 1 hour, 15 min incremental billing thereafter)</t>
  </si>
  <si>
    <t>Credit reference/credit check (plus credit agency costs)</t>
  </si>
  <si>
    <t>Unprocessed payment charge (plus bank charges)</t>
  </si>
  <si>
    <t>Account set up charge/change of occupancy charge (plus credit agency costs if applicable)</t>
  </si>
  <si>
    <t>Interval meter - field reading</t>
  </si>
  <si>
    <t>High bill investigation - if billing is correct</t>
  </si>
  <si>
    <t>Non-Payment of Account</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</si>
  <si>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</si>
  <si>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</si>
  <si>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</si>
  <si>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</si>
  <si>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</si>
  <si>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</si>
  <si>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Temporary service - install &amp; remove - overhead - no transformer</t>
  </si>
  <si>
    <t>Temporary service - install &amp; remove - underground - no transformer</t>
  </si>
  <si>
    <t>Temporary service - install &amp; remove - overhead - with transformer</t>
  </si>
  <si>
    <t>Specific charge for access to the power poles - $/pole/year
(with the exception of wireless attachments)</t>
  </si>
  <si>
    <t>Dry core transformer distribution charge</t>
  </si>
  <si>
    <t>Energy resource facility administration charge (account set-up charge separately if applicable)</t>
  </si>
  <si>
    <t>RETAIL SERVICE CHARGES (if applicable)</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</si>
  <si>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</si>
  <si>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</si>
  <si>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</si>
  <si>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</si>
  <si>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</si>
  <si>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</si>
  <si>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</si>
  <si>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</si>
  <si>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</si>
  <si>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</si>
  <si>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</si>
  <si>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</si>
  <si>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</si>
  <si>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</si>
  <si>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</si>
  <si>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More than twice a year, per request (plus incremental delivery costs)</t>
  </si>
  <si>
    <t>Notice of switch letter charge, per letter (unless the distributor has opted out of applying the charge as</t>
  </si>
  <si>
    <t>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</si>
  <si>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</si>
  <si>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</si>
  <si>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</si>
  <si>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</si>
  <si>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</si>
  <si>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</si>
  <si>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EB-2023-0032
ORIGINAL
DATE TBD, 2023</t>
  </si>
  <si>
    <t>2024 Rate riders if balances are disposed over X years:</t>
  </si>
  <si>
    <t>effect of no '24 RR on '25 total bill</t>
  </si>
  <si>
    <t>effect of '24 RR on '25 total bill</t>
  </si>
  <si>
    <t>NOT REVIEWED/USED for UPDATE</t>
  </si>
  <si>
    <t>2024'S RATE RIDERS OVER X year(s)---&gt;</t>
  </si>
  <si>
    <t>n/a</t>
  </si>
  <si>
    <t>Excludes 2025's Grp 1 RRs</t>
  </si>
  <si>
    <t>Rates Summary 2020-2025</t>
  </si>
  <si>
    <t>SELECTED 1 YR</t>
  </si>
  <si>
    <t>2024 RR</t>
  </si>
  <si>
    <t>2025 RR</t>
  </si>
  <si>
    <t>Rate Class</t>
  </si>
  <si>
    <t>2020 Approved</t>
  </si>
  <si>
    <t>2021 Proposed</t>
  </si>
  <si>
    <t>2022 Approved</t>
  </si>
  <si>
    <t>2023 Approved</t>
  </si>
  <si>
    <t>2024 Proposed with 1 Yr '24 RR</t>
  </si>
  <si>
    <t>2025 Proposed</t>
  </si>
  <si>
    <t>Y2 '23 DVA Grp 1, excl GA</t>
  </si>
  <si>
    <t>Yr 2 DVA Grp 1 - Non -WMP</t>
  </si>
  <si>
    <t>24 DVA Grp 1, excl GA</t>
  </si>
  <si>
    <t>24 CBR</t>
  </si>
  <si>
    <t>2024 Grp 1 - non WMP</t>
  </si>
  <si>
    <t>2024 Grp 1 GA Non-RPP</t>
  </si>
  <si>
    <t>2024 LRAM</t>
  </si>
  <si>
    <t>Total '24</t>
  </si>
  <si>
    <t>2024 proposed with 2Yr '24 RR</t>
  </si>
  <si>
    <t>2024 Change</t>
  </si>
  <si>
    <t>2025 LRAM</t>
  </si>
  <si>
    <t>2025 with no '24 RRs</t>
  </si>
  <si>
    <t>2025 with '24 RRs</t>
  </si>
  <si>
    <t>2025 impact with no '24 RRs</t>
  </si>
  <si>
    <t>2025 impact with '24 RRs</t>
  </si>
  <si>
    <t>2026 with no '24 RR impact</t>
  </si>
  <si>
    <t>2026 with '24 RR impact</t>
  </si>
  <si>
    <t>check</t>
  </si>
  <si>
    <t>Residential
 (750 kWh)</t>
  </si>
  <si>
    <t>Distribution Charge</t>
  </si>
  <si>
    <t>Change in Distribution Charge</t>
  </si>
  <si>
    <t>LRAM Rate riders dropping off</t>
  </si>
  <si>
    <t>% Distribution Increase</t>
  </si>
  <si>
    <t>Change in Total Bill</t>
  </si>
  <si>
    <t>All rate riders dropping off</t>
  </si>
  <si>
    <t>% Increase of Total Bill</t>
  </si>
  <si>
    <t>#REF!</t>
  </si>
  <si>
    <t>Residential
 (232 kWh)</t>
  </si>
  <si>
    <t>General Service &lt;50kW 
(2000 kWh)</t>
  </si>
  <si>
    <t>General Service 50-1,499 kWh 
(250 KW)</t>
  </si>
  <si>
    <t>rate</t>
  </si>
  <si>
    <t>$$</t>
  </si>
  <si>
    <t>General Service 1,500-4,999 kWh
(2500 KW)</t>
  </si>
  <si>
    <t>Large Use
 (7500KW)</t>
  </si>
  <si>
    <t>Sentinel Lighting
(94 kWh)</t>
  </si>
  <si>
    <t>Street Lighting
(5196 KW)</t>
  </si>
  <si>
    <t>Street Lighting
(50 KW)</t>
  </si>
  <si>
    <t>Unmetered Scattered Load
(470 kWh)</t>
  </si>
  <si>
    <t>PROPOSED - TARIFF OF RATES AND CHARGES</t>
  </si>
  <si>
    <t>Effective and Implementation Date January 1, 2027</t>
  </si>
  <si>
    <t>Rate Rider for RSVA Global Adjustment - effective until May 31, 2027</t>
  </si>
  <si>
    <r>
      <rPr>
        <sz val="8"/>
        <color theme="1"/>
        <rFont val="Arial"/>
      </rPr>
      <t xml:space="preserve">* In accordance with the OEB's March 31, 2025 report, </t>
    </r>
    <r>
      <rPr>
        <i/>
        <sz val="8"/>
        <color theme="1"/>
        <rFont val="Arial"/>
      </rPr>
      <t>Electric Vehicle Charging Rate Overview - Final Report</t>
    </r>
    <r>
      <rPr>
        <sz val="8"/>
        <color theme="1"/>
        <rFont val="Arial"/>
      </rPr>
      <t>, Hydro Ottawa Limited will</t>
    </r>
  </si>
  <si>
    <r>
      <rPr>
        <sz val="8"/>
        <color theme="1"/>
        <rFont val="Arial"/>
      </rPr>
      <t xml:space="preserve">* In accordance with the OEB's March 31, 2025 report, </t>
    </r>
    <r>
      <rPr>
        <i/>
        <sz val="8"/>
        <color theme="1"/>
        <rFont val="Arial"/>
      </rPr>
      <t>Electric Vehicle Charging Rate Overview - Final Report</t>
    </r>
    <r>
      <rPr>
        <sz val="8"/>
        <color theme="1"/>
        <rFont val="Arial"/>
      </rPr>
      <t>, Hydro Ottawa Limited will</t>
    </r>
  </si>
  <si>
    <t>Rate Rider for Recovery of (year) Foregone Revenue - effective until May 31, 2027</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</si>
  <si>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</si>
  <si>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Effective and Implementation Date January 1, 2028</t>
  </si>
  <si>
    <t>Rate Rider for RSVA Global Adjustment</t>
  </si>
  <si>
    <r>
      <rPr>
        <sz val="8"/>
        <color theme="1"/>
        <rFont val="Arial"/>
      </rPr>
      <t xml:space="preserve">* In accordance with the OEB's March 31, 2025 report, </t>
    </r>
    <r>
      <rPr>
        <i/>
        <sz val="8"/>
        <color theme="1"/>
        <rFont val="Arial"/>
      </rPr>
      <t>Electric Vehicle Charging Rate Overview - Final Report</t>
    </r>
    <r>
      <rPr>
        <sz val="8"/>
        <color theme="1"/>
        <rFont val="Arial"/>
      </rPr>
      <t>, Hydro Ottawa Limited will</t>
    </r>
  </si>
  <si>
    <r>
      <rPr>
        <sz val="8"/>
        <color theme="1"/>
        <rFont val="Arial"/>
      </rPr>
      <t xml:space="preserve">* In accordance with the OEB's March 31, 2025 report, </t>
    </r>
    <r>
      <rPr>
        <i/>
        <sz val="8"/>
        <color theme="1"/>
        <rFont val="Arial"/>
      </rPr>
      <t>Electric Vehicle Charging Rate Overview - Final Report</t>
    </r>
    <r>
      <rPr>
        <sz val="8"/>
        <color theme="1"/>
        <rFont val="Arial"/>
      </rPr>
      <t>, Hydro Ottawa Limited will</t>
    </r>
  </si>
  <si>
    <t>Effective and Implementation Date January 1, 2029</t>
  </si>
  <si>
    <r>
      <rPr>
        <sz val="8"/>
        <color theme="1"/>
        <rFont val="Arial"/>
      </rPr>
      <t xml:space="preserve">* In accordance with the OEB's March 31, 2025 report, </t>
    </r>
    <r>
      <rPr>
        <i/>
        <sz val="8"/>
        <color theme="1"/>
        <rFont val="Arial"/>
      </rPr>
      <t>Electric Vehicle Charging Rate Overview - Final Report</t>
    </r>
    <r>
      <rPr>
        <sz val="8"/>
        <color theme="1"/>
        <rFont val="Arial"/>
      </rPr>
      <t>, Hydro Ottawa Limited will</t>
    </r>
  </si>
  <si>
    <r>
      <rPr>
        <sz val="8"/>
        <color theme="1"/>
        <rFont val="Arial"/>
      </rPr>
      <t xml:space="preserve">* In accordance with the OEB's March 31, 2025 report, </t>
    </r>
    <r>
      <rPr>
        <i/>
        <sz val="8"/>
        <color theme="1"/>
        <rFont val="Arial"/>
      </rPr>
      <t>Electric Vehicle Charging Rate Overview - Final Report</t>
    </r>
    <r>
      <rPr>
        <sz val="8"/>
        <color theme="1"/>
        <rFont val="Arial"/>
      </rPr>
      <t>, Hydro Ottawa Limited will</t>
    </r>
  </si>
  <si>
    <t>Effective and Implementation Date January 1, 2030</t>
  </si>
  <si>
    <r>
      <rPr>
        <sz val="8"/>
        <color theme="1"/>
        <rFont val="Arial"/>
      </rPr>
      <t xml:space="preserve">* In accordance with the OEB's March 31, 2025 report, </t>
    </r>
    <r>
      <rPr>
        <i/>
        <sz val="8"/>
        <color theme="1"/>
        <rFont val="Arial"/>
      </rPr>
      <t>Electric Vehicle Charging Rate Overview - Final Report</t>
    </r>
    <r>
      <rPr>
        <sz val="8"/>
        <color theme="1"/>
        <rFont val="Arial"/>
      </rPr>
      <t>, Hydro Ottawa Limited will</t>
    </r>
  </si>
  <si>
    <r>
      <rPr>
        <sz val="8"/>
        <color theme="1"/>
        <rFont val="Arial"/>
      </rPr>
      <t xml:space="preserve">* In accordance with the OEB's March 31, 2025 report, </t>
    </r>
    <r>
      <rPr>
        <i/>
        <sz val="8"/>
        <color theme="1"/>
        <rFont val="Arial"/>
      </rPr>
      <t>Electric Vehicle Charging Rate Overview - Final Report</t>
    </r>
    <r>
      <rPr>
        <sz val="8"/>
        <color theme="1"/>
        <rFont val="Arial"/>
      </rPr>
      <t>, Hydro Ottawa Limited will</t>
    </r>
  </si>
  <si>
    <t>Proposed Rate</t>
  </si>
  <si>
    <t>2025F</t>
  </si>
  <si>
    <t>lookup</t>
  </si>
  <si>
    <t>Fixed</t>
  </si>
  <si>
    <t>Monthly Service Charge</t>
  </si>
  <si>
    <t>Residential</t>
  </si>
  <si>
    <t>General Service &lt; 50 kW</t>
  </si>
  <si>
    <t>General Service 50 to 1,499 KW</t>
  </si>
  <si>
    <t>General Service 1,500 to 4,999 KW</t>
  </si>
  <si>
    <t>Large User</t>
  </si>
  <si>
    <t>Street Light</t>
  </si>
  <si>
    <t>Sentinel Lights</t>
  </si>
  <si>
    <t>Unmetered Scattered Load</t>
  </si>
  <si>
    <t>Standby Power General Service 50 to 1,499 KW</t>
  </si>
  <si>
    <t>Standby Power General Service 1,500 to 4,999 KW</t>
  </si>
  <si>
    <t>Standby Power Large Use</t>
  </si>
  <si>
    <t>Variable</t>
  </si>
  <si>
    <t>Deferral/Variance Account Disposition Rate Rider</t>
  </si>
  <si>
    <t xml:space="preserve">Approved Rate Riders for DVA Group 1 Accts excluding GA </t>
  </si>
  <si>
    <t>1550, 1551, 1584, 1586, 1595</t>
  </si>
  <si>
    <t>DVA Disposition Rate Rider Group 1 -2025</t>
  </si>
  <si>
    <t>Proposed Rate Riders for DVA Group 1 Accts excluding GA (2024)</t>
  </si>
  <si>
    <t>DVA Disposition Rate Rider Group 1 - 2024</t>
  </si>
  <si>
    <t>Deferral/Variance Account Disposition Rate Rider Group 2</t>
  </si>
  <si>
    <t xml:space="preserve">Rate Rider Calculation for Group 2 Accounts  </t>
  </si>
  <si>
    <t>per customer per month</t>
  </si>
  <si>
    <t>Approved Rate Riders Year 2 for Accounts 1595 [1568] (2023)</t>
  </si>
  <si>
    <t>LRAM Rate Rider</t>
  </si>
  <si>
    <t>Rate Rider for Disposition of Lost Revenue Adjustment Mechanism Variance Account (LRAMVA) (2026)</t>
  </si>
  <si>
    <t>Rate Rider Capacity Based Recovery Account Applicable for only for Class B</t>
  </si>
  <si>
    <t>CBR Class B Rate Riders</t>
  </si>
  <si>
    <t>Rate Rider Calculation for Forgone Revenue - variable</t>
  </si>
  <si>
    <t>Rate Rider Calculation for Forgone Revenue - fixed</t>
  </si>
  <si>
    <t>MicroFIT</t>
  </si>
  <si>
    <t>FIT</t>
  </si>
  <si>
    <t>HCI, RESOP</t>
  </si>
  <si>
    <t xml:space="preserve">Rate Rider Calculation for RSVA - Power - GA  --  for NON-RPP Class B Customers </t>
  </si>
  <si>
    <t>GA Rate Riders</t>
  </si>
  <si>
    <t>Approved Rate Rider Year 2 for DVA Grp 1 (excluding Global Adj.) - NON-WMP</t>
  </si>
  <si>
    <t>1580 and 1588</t>
  </si>
  <si>
    <t>Total Deferral/Variance Account Rate RidersYr2</t>
  </si>
  <si>
    <t>Rate Rider Calculation for DVA Grp 1 Balances (excluding Global Adj.) - NON-WMP (2024)</t>
  </si>
  <si>
    <t>Total Deferral/Variance Account Rate Riders</t>
  </si>
  <si>
    <t>RTSR - Network</t>
  </si>
  <si>
    <t>General Service 50 to 1,499 KW - EV</t>
  </si>
  <si>
    <t>General Service 1,500 to 4,999 KW - EV</t>
  </si>
  <si>
    <t>RTSR - Line and Transformation Connection</t>
  </si>
  <si>
    <t>Wholesale Market Service Charge (WMSC)</t>
  </si>
  <si>
    <t>Rural and Remote Rate Protection (RRRP)</t>
  </si>
  <si>
    <t>Standard Supply Service Charge</t>
  </si>
  <si>
    <t>RPP Rates</t>
  </si>
  <si>
    <t>TOU - Off Peak</t>
  </si>
  <si>
    <t>TOU - Mid Peak</t>
  </si>
  <si>
    <t>TOU - On Peak</t>
  </si>
  <si>
    <t>Energy - RPP - Tier 1</t>
  </si>
  <si>
    <t>Energy - RPP - Tier 2</t>
  </si>
  <si>
    <t>Average IESO Wholesale Market Price</t>
  </si>
  <si>
    <t>Low Voltage</t>
  </si>
  <si>
    <t>Low Voltage Service Charge</t>
  </si>
  <si>
    <t>SME</t>
  </si>
  <si>
    <t>Smart Meter Entity Charge</t>
  </si>
  <si>
    <t>Provincial Government Rebate</t>
  </si>
  <si>
    <t>Provincial Rebate</t>
  </si>
  <si>
    <t>Loss Factor (Bill Impacts)</t>
  </si>
  <si>
    <t>Loss Factor (Rate Order)</t>
  </si>
  <si>
    <t>Disconnect/reconnect at meter - regular hours (new account)</t>
  </si>
  <si>
    <t>Disconnect/reconnect at meter - after regular hours (new account)</t>
  </si>
  <si>
    <t>Per Attached Table</t>
  </si>
  <si>
    <t>Service Transaction Requests (STR)</t>
  </si>
  <si>
    <t>Electronic Business Transaction (EBT) system, applied to the requesting party</t>
  </si>
  <si>
    <t>Up to twice a year</t>
  </si>
  <si>
    <t>no charge</t>
  </si>
  <si>
    <t>Notice of switch letter charge, per letter (unless the distributor has opted out of applying the charge as per the</t>
  </si>
  <si>
    <t>Ontario Energy Board's Decision and Order EB-2015-0304, issued on February 14, 2019)</t>
  </si>
  <si>
    <t>Proposed</t>
  </si>
  <si>
    <t>HCI, RESOP, Other Energy Resource</t>
  </si>
  <si>
    <t>Net-Metering</t>
  </si>
  <si>
    <t>Tiered KWH</t>
  </si>
  <si>
    <t>Appendix 2-W</t>
  </si>
  <si>
    <t>Use "1" for Summer and "2" for Winter</t>
  </si>
  <si>
    <t>Bill Impacts</t>
  </si>
  <si>
    <t>Customer Class:</t>
  </si>
  <si>
    <t>TOU / non-TOU:</t>
  </si>
  <si>
    <t>TOU</t>
  </si>
  <si>
    <t>Consumption</t>
  </si>
  <si>
    <t>kWh</t>
  </si>
  <si>
    <t>Charge Unit</t>
  </si>
  <si>
    <t>Rate</t>
  </si>
  <si>
    <t>Volume</t>
  </si>
  <si>
    <t>Charge</t>
  </si>
  <si>
    <t>$ Change</t>
  </si>
  <si>
    <t>% Change</t>
  </si>
  <si>
    <t>($)</t>
  </si>
  <si>
    <t>Monthly</t>
  </si>
  <si>
    <t>Smart Meter Rate Adder</t>
  </si>
  <si>
    <t>per kWh</t>
  </si>
  <si>
    <t>Smart Meter Disposition Rider</t>
  </si>
  <si>
    <t>Sub-Total A (excluding pass through)</t>
  </si>
  <si>
    <t>GA Disposition Rate Rider-NonRPP</t>
  </si>
  <si>
    <t>Line Losses on Cost of Power</t>
  </si>
  <si>
    <t>Sub-Total B - Distribution (includes Sub-Total A)</t>
  </si>
  <si>
    <t>Sub-Total C - Delivery (including Sub-Total B)</t>
  </si>
  <si>
    <t>Total Bill on TOU (before Taxes)</t>
  </si>
  <si>
    <t>HST</t>
  </si>
  <si>
    <r>
      <rPr>
        <b/>
        <sz val="10"/>
        <color theme="1"/>
        <rFont val="Arial"/>
      </rPr>
      <t xml:space="preserve">Total Bill </t>
    </r>
    <r>
      <rPr>
        <sz val="10"/>
        <color theme="1"/>
        <rFont val="Arial"/>
      </rPr>
      <t>(including HST)</t>
    </r>
  </si>
  <si>
    <t>Total Bill on TOU (incl Prov. Rebate)</t>
  </si>
  <si>
    <t>Total Bill on RPP (before Taxes)</t>
  </si>
  <si>
    <r>
      <rPr>
        <b/>
        <sz val="10"/>
        <color theme="1"/>
        <rFont val="Arial"/>
      </rPr>
      <t xml:space="preserve">Total Bill </t>
    </r>
    <r>
      <rPr>
        <sz val="10"/>
        <color theme="1"/>
        <rFont val="Arial"/>
      </rPr>
      <t>(including HST)</t>
    </r>
  </si>
  <si>
    <t>Total Bill on RPP (incl Prov. Rebate)</t>
  </si>
  <si>
    <t>Loss Factor (%)</t>
  </si>
  <si>
    <r>
      <rPr>
        <sz val="10"/>
        <color theme="1"/>
        <rFont val="Arial"/>
      </rPr>
      <t>1</t>
    </r>
    <r>
      <rPr>
        <sz val="10"/>
        <color theme="1"/>
        <rFont val="Arial"/>
      </rPr>
      <t xml:space="preserve"> Applicable to eligible customers only.  Refer to the </t>
    </r>
    <r>
      <rPr>
        <i/>
        <sz val="10"/>
        <color theme="1"/>
        <rFont val="Arial"/>
      </rPr>
      <t>Ontario Clean Energy Benefit Act, 2010.</t>
    </r>
  </si>
  <si>
    <t xml:space="preserve">Note that the "Charge $" columns provide breakdowns of the amounts that each bill component contributes to the total monthly bill at the referenced </t>
  </si>
  <si>
    <t>consumption level at existing and proposed rates.</t>
  </si>
  <si>
    <t>Applicants must provide bill impacts for residential at 800 kWh and GS&lt;50kW at 2000 kWh. In addition, their filing must cover the range that is relevant</t>
  </si>
  <si>
    <t>to their service territory, class by class. A general guideline of consumption levels follows:</t>
  </si>
  <si>
    <t>Residential (kWh) - 100, 250, 500, 800, 1000, 1500, 2000</t>
  </si>
  <si>
    <t>GS&lt;50kW (kWh) - 1000, 2000, 5000, 10000, 15000</t>
  </si>
  <si>
    <t>GS&gt;50kW (kW) - 60, 100, 500, 1000</t>
  </si>
  <si>
    <t>Large User - range appropriate for utility</t>
  </si>
  <si>
    <t>Lighting Classes and USL - 150 kWh and 1 kW, range appropriate for utility.</t>
  </si>
  <si>
    <t>Note that cells with the highlighted color shown to the left indicate quantities that are loss adjusted.</t>
  </si>
  <si>
    <t>Hydro Ottawa has updated column Fto reflect the most recent Board Approved TOU and Tier RPP rates.</t>
  </si>
  <si>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</si>
  <si>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</si>
  <si>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</si>
  <si>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</si>
  <si>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</si>
  <si>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</si>
  <si>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</si>
  <si>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</si>
  <si>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</si>
  <si>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t xml:space="preserve"> kWh</t>
  </si>
  <si>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</si>
  <si>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</si>
  <si>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</si>
  <si>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</si>
  <si>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</si>
  <si>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</si>
  <si>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</si>
  <si>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</si>
  <si>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</si>
  <si>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</si>
  <si>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</si>
  <si>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</si>
  <si>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</si>
  <si>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</si>
  <si>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</si>
  <si>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</si>
  <si>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</si>
  <si>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</si>
  <si>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</si>
  <si>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</si>
  <si>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</si>
  <si>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</si>
  <si>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</si>
  <si>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</si>
  <si>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</si>
  <si>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</si>
  <si>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</si>
  <si>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</si>
  <si>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</si>
  <si>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</si>
  <si>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t>non-TOU</t>
  </si>
  <si>
    <t>kW</t>
  </si>
  <si>
    <t>per kW</t>
  </si>
  <si>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</si>
  <si>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</si>
  <si>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</si>
  <si>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</si>
  <si>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</si>
  <si>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</si>
  <si>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</si>
  <si>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</si>
  <si>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</si>
  <si>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</si>
  <si>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</si>
  <si>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</si>
  <si>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</si>
  <si>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</si>
  <si>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</si>
  <si>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</si>
  <si>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</si>
  <si>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</si>
  <si>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</si>
  <si>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</si>
  <si>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</si>
  <si>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</si>
  <si>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</si>
  <si>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</si>
  <si>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</si>
  <si>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</si>
  <si>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</si>
  <si>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</si>
  <si>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</si>
  <si>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</si>
  <si>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</si>
  <si>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</si>
  <si>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</si>
  <si>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</si>
  <si>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</si>
  <si>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</si>
  <si>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</si>
  <si>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</si>
  <si>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</si>
  <si>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</si>
  <si>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</si>
  <si>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t>OEB's Bill impact #s</t>
  </si>
  <si>
    <t># of Units</t>
  </si>
  <si>
    <r>
      <rPr>
        <b/>
        <sz val="10"/>
        <color theme="1"/>
        <rFont val="Arial"/>
      </rPr>
      <t xml:space="preserve">Total Bill </t>
    </r>
    <r>
      <rPr>
        <sz val="10"/>
        <color theme="1"/>
        <rFont val="Arial"/>
      </rPr>
      <t>(including HST)</t>
    </r>
  </si>
  <si>
    <r>
      <rPr>
        <b/>
        <strike/>
        <sz val="10"/>
        <color theme="1"/>
        <rFont val="Arial"/>
      </rPr>
      <t xml:space="preserve">Total Bill </t>
    </r>
    <r>
      <rPr>
        <strike/>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</si>
  <si>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</si>
  <si>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t>City's #s</t>
  </si>
  <si>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</si>
  <si>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</si>
  <si>
    <r>
      <rPr>
        <sz val="10"/>
        <color theme="1"/>
        <rFont val="Arial"/>
      </rPr>
      <t>1</t>
    </r>
    <r>
      <rPr>
        <sz val="10"/>
        <color theme="1"/>
        <rFont val="Arial"/>
      </rPr>
      <t xml:space="preserve"> Applicable to eligible customers only.  Refer to the </t>
    </r>
    <r>
      <rPr>
        <i/>
        <sz val="10"/>
        <color theme="1"/>
        <rFont val="Arial"/>
      </rPr>
      <t>Ontario Clean Energy Benefit Act, 2010.</t>
    </r>
  </si>
  <si>
    <r>
      <rPr>
        <b/>
        <sz val="10"/>
        <color theme="1"/>
        <rFont val="Arial"/>
      </rPr>
      <t xml:space="preserve">Total Bill </t>
    </r>
    <r>
      <rPr>
        <sz val="10"/>
        <color theme="1"/>
        <rFont val="Arial"/>
      </rPr>
      <t>(including HST)</t>
    </r>
  </si>
  <si>
    <r>
      <rPr>
        <b/>
        <sz val="10"/>
        <color theme="1"/>
        <rFont val="Arial"/>
      </rPr>
      <t xml:space="preserve">Total Bill </t>
    </r>
    <r>
      <rPr>
        <sz val="10"/>
        <color theme="1"/>
        <rFont val="Arial"/>
      </rPr>
      <t>(including HST)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</si>
</sst>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quot;$&quot;#,##0.00"/>
    <numFmt numFmtId="165" formatCode="_-&quot;$&quot;* #,##0.00_-;\-&quot;$&quot;* #,##0.00_-;_-&quot;$&quot;* &quot;-&quot;??_-;_-@"/>
    <numFmt numFmtId="166" formatCode="_-* #,##0.00_-;\-* #,##0.00_-;_-* &quot;-&quot;??_-;_-@"/>
    <numFmt numFmtId="167" formatCode="#,##0.00;[Red]\(#,##0.00\)"/>
    <numFmt numFmtId="168" formatCode="0.0000"/>
    <numFmt numFmtId="169" formatCode="0.00000"/>
    <numFmt numFmtId="170" formatCode="#,##0.0000;[Red]\(#,##0.0000\)"/>
    <numFmt numFmtId="171" formatCode="[$-409]mmmm\ d\,\ yyyy"/>
    <numFmt numFmtId="172" formatCode="0.0%"/>
    <numFmt numFmtId="173" formatCode="_-&quot;$&quot;* #,##0.0000_-;\-&quot;$&quot;* #,##0.0000_-;_-&quot;$&quot;* &quot;-&quot;??.000_-;_-@"/>
    <numFmt numFmtId="174" formatCode="_-&quot;$&quot;* #,##0.0000_-;\-&quot;$&quot;* #,##0.0000_-;_-&quot;$&quot;* &quot;-&quot;??.0000_-;_-@"/>
    <numFmt numFmtId="175" formatCode="_-&quot;$&quot;* #,##0.0000_-;\-&quot;$&quot;* #,##0.0000_-;_-&quot;$&quot;* &quot;-&quot;??_-;_-@"/>
    <numFmt numFmtId="176" formatCode="_-* #,##0.0_-;\-* #,##0.0_-;_-* &quot;-&quot;??_-;_-@"/>
    <numFmt numFmtId="177" formatCode="0.000000"/>
    <numFmt numFmtId="178" formatCode="&quot;$&quot;#,##0.00;[Red]\-&quot;$&quot;#,##0.00"/>
    <numFmt numFmtId="179" formatCode="#,##0.0000"/>
    <numFmt numFmtId="180" formatCode="&quot;$&quot;#,##0.00000_);[Red]\(&quot;$&quot;#,##0.00000\)"/>
    <numFmt numFmtId="181" formatCode="_-* #,##0_-;\-* #,##0_-;_-* &quot;-&quot;??_-;_-@"/>
    <numFmt numFmtId="182" formatCode="_-&quot;$&quot;* #,##0.0000_-;\-&quot;$&quot;* #,##0.0000_-;_-&quot;$&quot;* &quot;-&quot;??.00_-;_-@"/>
    <numFmt numFmtId="183" formatCode="_-&quot;$&quot;* #,##0.00000_-;\-&quot;$&quot;* #,##0.00000_-;_-&quot;$&quot;* &quot;-&quot;??_-;_-@"/>
    <numFmt numFmtId="184" formatCode="0.0000%"/>
    <numFmt numFmtId="185" formatCode="_-&quot;$&quot;* #,##0.000000_-;\-&quot;$&quot;* #,##0.000000_-;_-&quot;$&quot;* &quot;-&quot;??_-;_-@"/>
    <numFmt numFmtId="186" formatCode="_-* #,##0.0_-;\-* #,##0.0_-;_-* &quot;-&quot;??.0_-;_-@"/>
    <numFmt numFmtId="187" formatCode="_-&quot;$&quot;* #,##0.000_-;\-&quot;$&quot;* #,##0.000_-;_-&quot;$&quot;* &quot;-&quot;??_-;_-@"/>
    <numFmt numFmtId="188" formatCode="_(* #,##0.0_);_(* \(#,##0.0\);_(* &quot;-&quot;_);_(@_)"/>
  </numFmts>
  <fonts count="89">
    <font>
      <sz val="10"/>
      <color rgb="FF000000"/>
      <name val="Arial"/>
      <scheme val="minor"/>
    </font>
    <font>
      <b/>
      <sz val="11"/>
      <color rgb="FF1F1F1F"/>
      <name val="Arial"/>
    </font>
    <font>
      <b/>
      <sz val="11"/>
      <color rgb="FF005B9B"/>
      <name val="Arial"/>
    </font>
    <font>
      <sz val="10"/>
      <color rgb="FF000000"/>
      <name val="Arial"/>
    </font>
    <font>
      <sz val="9"/>
      <color rgb="FF444746"/>
      <name val="Arial"/>
    </font>
    <font>
      <sz val="10"/>
      <color theme="1"/>
      <name val="Arial"/>
    </font>
    <font>
      <sz val="12"/>
      <color theme="1"/>
      <name val="Arial"/>
    </font>
    <font>
      <b/>
      <sz val="9"/>
      <color rgb="FFFFFFFF"/>
      <name val="Arial"/>
    </font>
    <font>
      <sz val="10"/>
      <name val="Arial"/>
    </font>
    <font>
      <sz val="8"/>
      <color rgb="FFD9D9D9"/>
      <name val="Arial"/>
    </font>
    <font>
      <sz val="8"/>
      <color theme="1"/>
      <name val="Arial"/>
    </font>
    <font>
      <b/>
      <sz val="8"/>
      <color rgb="FF005B9B"/>
      <name val="Arial"/>
    </font>
    <font>
      <b/>
      <sz val="8"/>
      <color rgb="FFD9D9D9"/>
      <name val="Arial"/>
    </font>
    <font>
      <b/>
      <sz val="9"/>
      <color rgb="FF000000"/>
      <name val="Arial"/>
    </font>
    <font>
      <sz val="9"/>
      <color rgb="FF000000"/>
      <name val="Arial"/>
    </font>
    <font>
      <sz val="9"/>
      <color rgb="FFFFFFFF"/>
      <name val="Arial"/>
    </font>
    <font>
      <b/>
      <sz val="10"/>
      <color rgb="FF000000"/>
      <name val="Arial"/>
    </font>
    <font>
      <sz val="9"/>
      <color theme="0"/>
      <name val="Arial"/>
    </font>
    <font>
      <sz val="9"/>
      <color theme="1"/>
      <name val="Arial"/>
    </font>
    <font>
      <b/>
      <sz val="9"/>
      <color theme="1"/>
      <name val="Arial"/>
    </font>
    <font>
      <b/>
      <sz val="18"/>
      <color theme="1"/>
      <name val="Arial"/>
    </font>
    <font>
      <sz val="11"/>
      <color theme="1"/>
      <name val="Calibri"/>
    </font>
    <font>
      <b/>
      <sz val="14"/>
      <color theme="1"/>
      <name val="Arial"/>
    </font>
    <font>
      <b/>
      <sz val="12"/>
      <color theme="1"/>
      <name val="Arial"/>
    </font>
    <font>
      <b/>
      <sz val="10"/>
      <color theme="1"/>
      <name val="Arial"/>
    </font>
    <font>
      <b/>
      <sz val="8"/>
      <color theme="1"/>
      <name val="Arial"/>
    </font>
    <font>
      <sz val="14"/>
      <color theme="1"/>
      <name val="Calibri"/>
    </font>
    <font>
      <i/>
      <sz val="9"/>
      <color theme="1"/>
      <name val="Arial"/>
    </font>
    <font>
      <sz val="6"/>
      <color theme="1"/>
      <name val="Calibri"/>
    </font>
    <font>
      <b/>
      <sz val="11"/>
      <color theme="1"/>
      <name val="Calibri"/>
    </font>
    <font>
      <i/>
      <sz val="11"/>
      <color rgb="FF1155CC"/>
      <name val="Calibri"/>
    </font>
    <font>
      <sz val="10"/>
      <color rgb="FF666666"/>
      <name val="Arial"/>
    </font>
    <font>
      <sz val="9"/>
      <color theme="1"/>
      <name val="Helvetica Neue"/>
    </font>
    <font>
      <sz val="9"/>
      <color theme="1"/>
      <name val="Calibri"/>
    </font>
    <font>
      <b/>
      <sz val="11"/>
      <color rgb="FFFFFFFF"/>
      <name val="Helvetica Neue"/>
    </font>
    <font>
      <b/>
      <sz val="11"/>
      <color rgb="FF980000"/>
      <name val="Helvetica Neue"/>
    </font>
    <font>
      <sz val="11"/>
      <color rgb="FFFFFFFF"/>
      <name val="Calibri"/>
    </font>
    <font>
      <sz val="12"/>
      <color rgb="FF666666"/>
      <name val="Calibri"/>
    </font>
    <font>
      <sz val="7"/>
      <color theme="1"/>
      <name val="Calibri"/>
    </font>
    <font>
      <sz val="6"/>
      <color theme="1"/>
      <name val="Arial"/>
    </font>
    <font>
      <b/>
      <sz val="11"/>
      <color rgb="FF1155CC"/>
      <name val="Calibri"/>
    </font>
    <font>
      <sz val="10"/>
      <color rgb="FF1155CC"/>
      <name val="Arial"/>
    </font>
    <font>
      <b/>
      <sz val="13"/>
      <color theme="1"/>
      <name val="Calibri"/>
    </font>
    <font>
      <b/>
      <sz val="6"/>
      <color theme="1"/>
      <name val="Calibri"/>
    </font>
    <font>
      <b/>
      <sz val="10"/>
      <color theme="1"/>
      <name val="Helvetica Neue"/>
    </font>
    <font>
      <sz val="9"/>
      <color rgb="FF666666"/>
      <name val="Calibri"/>
    </font>
    <font>
      <b/>
      <sz val="11"/>
      <color theme="1"/>
      <name val="Helvetica Neue"/>
    </font>
    <font>
      <b/>
      <sz val="7"/>
      <color theme="1"/>
      <name val="Helvetica Neue"/>
    </font>
    <font>
      <b/>
      <sz val="6"/>
      <color theme="1"/>
      <name val="Helvetica Neue"/>
    </font>
    <font>
      <b/>
      <sz val="11"/>
      <color rgb="FF666666"/>
      <name val="Helvetica Neue"/>
    </font>
    <font>
      <sz val="11"/>
      <color theme="1"/>
      <name val="Helvetica Neue"/>
    </font>
    <font>
      <sz val="7"/>
      <color theme="1"/>
      <name val="Helvetica Neue"/>
    </font>
    <font>
      <sz val="6"/>
      <color theme="1"/>
      <name val="Helvetica Neue"/>
    </font>
    <font>
      <sz val="11"/>
      <color rgb="FF666666"/>
      <name val="Helvetica Neue"/>
    </font>
    <font>
      <sz val="11"/>
      <color theme="0"/>
      <name val="Helvetica Neue"/>
    </font>
    <font>
      <i/>
      <sz val="11"/>
      <color rgb="FFA4C2F4"/>
      <name val="Calibri"/>
    </font>
    <font>
      <sz val="11"/>
      <color rgb="FFB7B7B7"/>
      <name val="Helvetica Neue"/>
    </font>
    <font>
      <sz val="7"/>
      <color theme="1"/>
      <name val="Arial"/>
    </font>
    <font>
      <sz val="11"/>
      <color theme="1"/>
      <name val="Arial"/>
    </font>
    <font>
      <b/>
      <sz val="13"/>
      <color rgb="FF980000"/>
      <name val="Arial"/>
    </font>
    <font>
      <i/>
      <sz val="10"/>
      <color rgb="FFD9D9D9"/>
      <name val="Arial"/>
    </font>
    <font>
      <b/>
      <i/>
      <sz val="10"/>
      <color theme="1"/>
      <name val="Arial"/>
    </font>
    <font>
      <b/>
      <u/>
      <sz val="10"/>
      <color theme="1"/>
      <name val="Arial"/>
    </font>
    <font>
      <b/>
      <sz val="12"/>
      <color rgb="FF000000"/>
      <name val="Arial"/>
    </font>
    <font>
      <b/>
      <i/>
      <sz val="10"/>
      <color rgb="FF0000FF"/>
      <name val="Arial"/>
    </font>
    <font>
      <sz val="12"/>
      <color rgb="FF000000"/>
      <name val="Arial"/>
    </font>
    <font>
      <u/>
      <sz val="10"/>
      <color theme="1"/>
      <name val="Arial"/>
    </font>
    <font>
      <i/>
      <sz val="10"/>
      <color theme="1"/>
      <name val="Arial"/>
    </font>
    <font>
      <sz val="10"/>
      <color rgb="FF1F1F1F"/>
      <name val="Arial"/>
    </font>
    <font>
      <b/>
      <sz val="10"/>
      <color rgb="FFFFFFFF"/>
      <name val="Arial"/>
    </font>
    <font>
      <b/>
      <sz val="11"/>
      <color rgb="FF000000"/>
      <name val="Arial"/>
    </font>
    <font>
      <b/>
      <sz val="11"/>
      <color theme="1"/>
      <name val="Arial"/>
    </font>
    <font>
      <sz val="10"/>
      <color rgb="FFD9D9D9"/>
      <name val="Arial"/>
    </font>
    <font>
      <i/>
      <sz val="5"/>
      <color theme="1"/>
      <name val="Arial"/>
    </font>
    <font>
      <sz val="10"/>
      <color rgb="FFFF0000"/>
      <name val="Arial"/>
    </font>
    <font>
      <vertAlign val="superscript"/>
      <sz val="10"/>
      <color theme="1"/>
      <name val="Arial"/>
    </font>
    <font>
      <strike/>
      <sz val="10"/>
      <color theme="1"/>
      <name val="Arial"/>
    </font>
    <font>
      <b/>
      <strike/>
      <sz val="10"/>
      <color theme="1"/>
      <name val="Arial"/>
    </font>
    <font>
      <b/>
      <i/>
      <strike/>
      <sz val="10"/>
      <color theme="1"/>
      <name val="Arial"/>
    </font>
    <font>
      <strike/>
      <sz val="10"/>
      <color rgb="FFFF0000"/>
      <name val="Arial"/>
    </font>
    <font>
      <i/>
      <strike/>
      <sz val="9"/>
      <color theme="1"/>
      <name val="Arial"/>
    </font>
    <font>
      <strike/>
      <sz val="10"/>
      <color rgb="FF000000"/>
      <name val="Arial"/>
    </font>
    <font>
      <sz val="5"/>
      <color theme="1"/>
      <name val="Arial"/>
    </font>
    <font>
      <b/>
      <sz val="5"/>
      <color theme="1"/>
      <name val="Arial"/>
    </font>
    <font>
      <strike/>
      <sz val="5"/>
      <color theme="1"/>
      <name val="Arial"/>
    </font>
    <font>
      <sz val="5"/>
      <color rgb="FF000000"/>
      <name val="Arial"/>
    </font>
    <font>
      <b/>
      <sz val="7"/>
      <color theme="1"/>
      <name val="Arial"/>
    </font>
    <font>
      <i/>
      <sz val="7"/>
      <color theme="1"/>
      <name val="Arial"/>
    </font>
    <font>
      <i/>
      <sz val="8"/>
      <color theme="1"/>
      <name val="Arial"/>
    </font>
  </fonts>
  <fills count="20">
    <fill>
      <patternFill patternType="none"/>
    </fill>
    <fill>
      <patternFill patternType="gray125"/>
    </fill>
    <fill>
      <patternFill patternType="solid">
        <fgColor rgb="FFFFFFFF"/>
        <bgColor rgb="FFFFFFFF"/>
      </patternFill>
    </fill>
    <fill>
      <patternFill patternType="solid">
        <fgColor rgb="FF005B9B"/>
        <bgColor rgb="FF005B9B"/>
      </patternFill>
    </fill>
    <fill>
      <patternFill patternType="solid">
        <fgColor theme="0"/>
        <bgColor theme="0"/>
      </patternFill>
    </fill>
    <fill>
      <patternFill patternType="solid">
        <fgColor rgb="FFFFFF00"/>
        <bgColor rgb="FFFFFF00"/>
      </patternFill>
    </fill>
    <fill>
      <patternFill patternType="solid">
        <fgColor rgb="FFF2F3DA"/>
        <bgColor rgb="FFF2F3DA"/>
      </patternFill>
    </fill>
    <fill>
      <patternFill patternType="solid">
        <fgColor rgb="FFF9CB9C"/>
        <bgColor rgb="FFF9CB9C"/>
      </patternFill>
    </fill>
    <fill>
      <patternFill patternType="solid">
        <fgColor rgb="FFDAEEF3"/>
        <bgColor rgb="FFDAEEF3"/>
      </patternFill>
    </fill>
    <fill>
      <patternFill patternType="solid">
        <fgColor rgb="FFF4CCCC"/>
        <bgColor rgb="FFF4CCCC"/>
      </patternFill>
    </fill>
    <fill>
      <patternFill patternType="solid">
        <fgColor rgb="FFB8CCE4"/>
        <bgColor rgb="FFB8CCE4"/>
      </patternFill>
    </fill>
    <fill>
      <patternFill patternType="solid">
        <fgColor rgb="FFC2D69B"/>
        <bgColor rgb="FFC2D69B"/>
      </patternFill>
    </fill>
    <fill>
      <patternFill patternType="solid">
        <fgColor rgb="FFD9D2E9"/>
        <bgColor rgb="FFD9D2E9"/>
      </patternFill>
    </fill>
    <fill>
      <patternFill patternType="solid">
        <fgColor rgb="FFFFFF99"/>
        <bgColor rgb="FFFFFF99"/>
      </patternFill>
    </fill>
    <fill>
      <patternFill patternType="solid">
        <fgColor rgb="FFEAF1DD"/>
        <bgColor rgb="FFEAF1DD"/>
      </patternFill>
    </fill>
    <fill>
      <patternFill patternType="solid">
        <fgColor rgb="FFDBE5F1"/>
        <bgColor rgb="FFDBE5F1"/>
      </patternFill>
    </fill>
    <fill>
      <patternFill patternType="solid">
        <fgColor rgb="FFF2F2F2"/>
        <bgColor rgb="FFF2F2F2"/>
      </patternFill>
    </fill>
    <fill>
      <patternFill patternType="solid">
        <fgColor rgb="FF7F7F7F"/>
        <bgColor rgb="FF7F7F7F"/>
      </patternFill>
    </fill>
    <fill>
      <patternFill patternType="solid">
        <fgColor rgb="FFFDE9D9"/>
        <bgColor rgb="FFFDE9D9"/>
      </patternFill>
    </fill>
    <fill>
      <patternFill patternType="solid">
        <fgColor rgb="FFFFF2CC"/>
        <bgColor rgb="FFFFF2CC"/>
      </patternFill>
    </fill>
  </fills>
  <borders count="113">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diagonal/>
    </border>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diagonal/>
    </border>
    <border>
      <left style="thick">
        <color rgb="FF000000"/>
      </left>
      <right style="medium">
        <color rgb="FF000000"/>
      </right>
      <top style="thick">
        <color rgb="FF000000"/>
      </top>
      <bottom/>
      <diagonal/>
    </border>
    <border>
      <left style="medium">
        <color rgb="FF000000"/>
      </left>
      <right/>
      <top style="thick">
        <color rgb="FF000000"/>
      </top>
      <bottom style="thin">
        <color rgb="FF000000"/>
      </bottom>
      <diagonal/>
    </border>
    <border>
      <left style="medium">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medium">
        <color rgb="FF000000"/>
      </right>
      <top style="thick">
        <color rgb="FF000000"/>
      </top>
      <bottom style="thin">
        <color rgb="FF000000"/>
      </bottom>
      <diagonal/>
    </border>
    <border>
      <left/>
      <right/>
      <top style="thick">
        <color rgb="FF000000"/>
      </top>
      <bottom/>
      <diagonal/>
    </border>
    <border>
      <left style="thin">
        <color rgb="FF000000"/>
      </left>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diagonal/>
    </border>
    <border>
      <left/>
      <right style="thick">
        <color rgb="FF000000"/>
      </right>
      <top style="thick">
        <color rgb="FF000000"/>
      </top>
      <bottom/>
      <diagonal/>
    </border>
    <border>
      <left style="thick">
        <color rgb="FF000000"/>
      </left>
      <right style="medium">
        <color rgb="FF000000"/>
      </right>
      <top/>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diagonal/>
    </border>
    <border>
      <left/>
      <right style="thick">
        <color rgb="FF000000"/>
      </right>
      <top/>
      <bottom/>
      <diagonal/>
    </border>
    <border>
      <left style="thick">
        <color rgb="FF000000"/>
      </left>
      <right style="medium">
        <color rgb="FF000000"/>
      </right>
      <top/>
      <bottom style="thick">
        <color rgb="FF000000"/>
      </bottom>
      <diagonal/>
    </border>
    <border>
      <left style="medium">
        <color rgb="FF000000"/>
      </left>
      <right/>
      <top style="thin">
        <color rgb="FF000000"/>
      </top>
      <bottom style="thick">
        <color rgb="FF000000"/>
      </bottom>
      <diagonal/>
    </border>
    <border>
      <left style="medium">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medium">
        <color rgb="FF000000"/>
      </right>
      <top style="thin">
        <color rgb="FF000000"/>
      </top>
      <bottom style="thick">
        <color rgb="FF000000"/>
      </bottom>
      <diagonal/>
    </border>
    <border>
      <left/>
      <right/>
      <top/>
      <bottom style="thick">
        <color rgb="FF000000"/>
      </bottom>
      <diagonal/>
    </border>
    <border>
      <left style="thin">
        <color rgb="FF000000"/>
      </left>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top/>
      <bottom style="thick">
        <color rgb="FF000000"/>
      </bottom>
      <diagonal/>
    </border>
    <border>
      <left/>
      <right style="thick">
        <color rgb="FF000000"/>
      </right>
      <top/>
      <bottom style="thick">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thin">
        <color rgb="FF000000"/>
      </left>
      <right/>
      <top style="thin">
        <color rgb="FF000000"/>
      </top>
      <bottom style="thick">
        <color rgb="FF000000"/>
      </bottom>
      <diagonal/>
    </border>
    <border>
      <left/>
      <right style="thin">
        <color rgb="FF000000"/>
      </right>
      <top style="thick">
        <color rgb="FF000000"/>
      </top>
      <bottom style="thin">
        <color rgb="FF000000"/>
      </bottom>
      <diagonal/>
    </border>
    <border>
      <left/>
      <right style="medium">
        <color rgb="FF000000"/>
      </right>
      <top style="thick">
        <color rgb="FF000000"/>
      </top>
      <bottom style="thin">
        <color rgb="FF000000"/>
      </bottom>
      <diagonal/>
    </border>
    <border>
      <left/>
      <right/>
      <top style="thick">
        <color rgb="FF000000"/>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ck">
        <color rgb="FF000000"/>
      </bottom>
      <diagonal/>
    </border>
    <border>
      <left/>
      <right style="thin">
        <color rgb="FF000000"/>
      </right>
      <top/>
      <bottom style="thick">
        <color rgb="FF000000"/>
      </bottom>
      <diagonal/>
    </border>
    <border>
      <left/>
      <right style="medium">
        <color rgb="FF000000"/>
      </right>
      <top/>
      <bottom style="thick">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bottom/>
      <diagonal/>
    </border>
  </borders>
  <cellStyleXfs count="1">
    <xf numFmtId="0" fontId="0" fillId="0" borderId="0"/>
  </cellStyleXfs>
  <cellXfs count="645">
    <xf numFmtId="0" fontId="0" fillId="0" borderId="0" xfId="0" applyFont="1" applyAlignment="1"/>
    <xf numFmtId="0" fontId="1" fillId="2" borderId="1" xfId="0" applyFont="1" applyFill="1" applyBorder="1"/>
    <xf numFmtId="0" fontId="2" fillId="0" borderId="0" xfId="0" applyFont="1" applyAlignment="1">
      <alignment horizontal="center"/>
    </xf>
    <xf numFmtId="0" fontId="3" fillId="0" borderId="0" xfId="0" applyFont="1"/>
    <xf numFmtId="0" fontId="4" fillId="0" borderId="0" xfId="0" applyFont="1" applyAlignment="1">
      <alignment vertical="center" wrapText="1"/>
    </xf>
    <xf numFmtId="0" fontId="5" fillId="0" borderId="0" xfId="0" applyFont="1" applyAlignment="1">
      <alignment horizontal="center"/>
    </xf>
    <xf numFmtId="0" fontId="6" fillId="0" borderId="0" xfId="0" applyFont="1"/>
    <xf numFmtId="0" fontId="7" fillId="3" borderId="2" xfId="0" applyFont="1" applyFill="1" applyBorder="1" applyAlignment="1">
      <alignment horizontal="center" vertical="center" wrapText="1"/>
    </xf>
    <xf numFmtId="49" fontId="9" fillId="0" borderId="0" xfId="0" applyNumberFormat="1" applyFont="1" applyAlignment="1">
      <alignment horizontal="right"/>
    </xf>
    <xf numFmtId="0" fontId="10" fillId="0" borderId="0" xfId="0" applyFont="1"/>
    <xf numFmtId="0" fontId="11" fillId="0" borderId="0" xfId="0" applyFont="1" applyAlignment="1">
      <alignment horizontal="center"/>
    </xf>
    <xf numFmtId="49" fontId="12" fillId="0" borderId="0" xfId="0" applyNumberFormat="1" applyFont="1" applyAlignment="1">
      <alignment horizontal="center"/>
    </xf>
    <xf numFmtId="0" fontId="10" fillId="0" borderId="0" xfId="0" applyFont="1" applyAlignment="1">
      <alignment horizontal="center"/>
    </xf>
    <xf numFmtId="0" fontId="5" fillId="0" borderId="7" xfId="0" applyFont="1" applyBorder="1"/>
    <xf numFmtId="0" fontId="7" fillId="0" borderId="0" xfId="0" applyFont="1" applyAlignment="1">
      <alignment horizontal="center" vertical="center" wrapText="1"/>
    </xf>
    <xf numFmtId="0" fontId="7" fillId="3" borderId="9" xfId="0" applyFont="1" applyFill="1" applyBorder="1" applyAlignment="1">
      <alignment horizontal="center"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4" fillId="0" borderId="12" xfId="0" applyFont="1" applyBorder="1" applyAlignment="1">
      <alignment horizontal="left" wrapText="1"/>
    </xf>
    <xf numFmtId="164" fontId="14" fillId="0" borderId="13" xfId="0" applyNumberFormat="1" applyFont="1" applyBorder="1" applyAlignment="1">
      <alignment horizontal="right" wrapText="1"/>
    </xf>
    <xf numFmtId="164" fontId="14" fillId="0" borderId="0" xfId="0" applyNumberFormat="1" applyFont="1" applyAlignment="1">
      <alignment horizontal="right" wrapText="1"/>
    </xf>
    <xf numFmtId="8" fontId="5" fillId="0" borderId="0" xfId="0" applyNumberFormat="1" applyFont="1" applyAlignment="1">
      <alignment horizontal="center"/>
    </xf>
    <xf numFmtId="8" fontId="3" fillId="0" borderId="0" xfId="0" applyNumberFormat="1" applyFont="1"/>
    <xf numFmtId="8" fontId="6" fillId="0" borderId="0" xfId="0" applyNumberFormat="1" applyFont="1"/>
    <xf numFmtId="164" fontId="3" fillId="0" borderId="0" xfId="0" applyNumberFormat="1" applyFont="1"/>
    <xf numFmtId="164" fontId="15" fillId="4" borderId="12" xfId="0" applyNumberFormat="1" applyFont="1" applyFill="1" applyBorder="1" applyAlignment="1">
      <alignment horizontal="right" wrapText="1"/>
    </xf>
    <xf numFmtId="164" fontId="14" fillId="0" borderId="12" xfId="0" applyNumberFormat="1" applyFont="1" applyBorder="1" applyAlignment="1">
      <alignment horizontal="right" wrapText="1"/>
    </xf>
    <xf numFmtId="0" fontId="13" fillId="0" borderId="12" xfId="0" applyFont="1" applyBorder="1" applyAlignment="1">
      <alignment horizontal="left" wrapText="1"/>
    </xf>
    <xf numFmtId="10" fontId="15" fillId="4" borderId="12" xfId="0" applyNumberFormat="1" applyFont="1" applyFill="1" applyBorder="1" applyAlignment="1">
      <alignment horizontal="right" wrapText="1"/>
    </xf>
    <xf numFmtId="10" fontId="16" fillId="0" borderId="12" xfId="0" applyNumberFormat="1" applyFont="1" applyBorder="1" applyAlignment="1">
      <alignment horizontal="right" wrapText="1"/>
    </xf>
    <xf numFmtId="10" fontId="16" fillId="0" borderId="0" xfId="0" applyNumberFormat="1" applyFont="1" applyAlignment="1">
      <alignment horizontal="right" wrapText="1"/>
    </xf>
    <xf numFmtId="10" fontId="5" fillId="0" borderId="0" xfId="0" applyNumberFormat="1" applyFont="1" applyAlignment="1">
      <alignment horizontal="center"/>
    </xf>
    <xf numFmtId="10" fontId="3" fillId="0" borderId="0" xfId="0" applyNumberFormat="1" applyFont="1"/>
    <xf numFmtId="10" fontId="6" fillId="0" borderId="0" xfId="0" applyNumberFormat="1" applyFont="1"/>
    <xf numFmtId="10" fontId="14" fillId="0" borderId="0" xfId="0" applyNumberFormat="1" applyFont="1" applyAlignment="1">
      <alignment horizontal="right" wrapText="1"/>
    </xf>
    <xf numFmtId="10" fontId="14" fillId="0" borderId="12" xfId="0" applyNumberFormat="1" applyFont="1" applyBorder="1" applyAlignment="1">
      <alignment horizontal="right" wrapText="1"/>
    </xf>
    <xf numFmtId="0" fontId="13" fillId="0" borderId="10" xfId="0" applyFont="1" applyBorder="1" applyAlignment="1">
      <alignment horizontal="left" wrapText="1"/>
    </xf>
    <xf numFmtId="0" fontId="13" fillId="0" borderId="11" xfId="0" applyFont="1" applyBorder="1" applyAlignment="1">
      <alignment horizontal="left" wrapText="1"/>
    </xf>
    <xf numFmtId="164" fontId="17" fillId="0" borderId="12" xfId="0" applyNumberFormat="1" applyFont="1" applyBorder="1" applyAlignment="1">
      <alignment horizontal="right" wrapText="1"/>
    </xf>
    <xf numFmtId="10" fontId="17" fillId="0" borderId="12" xfId="0" applyNumberFormat="1" applyFont="1" applyBorder="1" applyAlignment="1">
      <alignment horizontal="right" wrapText="1"/>
    </xf>
    <xf numFmtId="0" fontId="13" fillId="0" borderId="10" xfId="0" applyFont="1" applyBorder="1" applyAlignment="1">
      <alignment horizontal="left"/>
    </xf>
    <xf numFmtId="0" fontId="13" fillId="0" borderId="11" xfId="0" applyFont="1" applyBorder="1" applyAlignment="1">
      <alignment horizontal="left"/>
    </xf>
    <xf numFmtId="164" fontId="18" fillId="0" borderId="15" xfId="0" applyNumberFormat="1" applyFont="1" applyBorder="1" applyAlignment="1">
      <alignment horizontal="right" wrapText="1"/>
    </xf>
    <xf numFmtId="164" fontId="15" fillId="2" borderId="16" xfId="0" applyNumberFormat="1" applyFont="1" applyFill="1" applyBorder="1" applyAlignment="1">
      <alignment horizontal="right" wrapText="1"/>
    </xf>
    <xf numFmtId="10" fontId="15" fillId="2" borderId="16" xfId="0" applyNumberFormat="1" applyFont="1" applyFill="1" applyBorder="1" applyAlignment="1">
      <alignment horizontal="right" wrapText="1"/>
    </xf>
    <xf numFmtId="10" fontId="18" fillId="0" borderId="15" xfId="0" applyNumberFormat="1" applyFont="1" applyBorder="1" applyAlignment="1">
      <alignment horizontal="right" wrapText="1"/>
    </xf>
    <xf numFmtId="10" fontId="19" fillId="0" borderId="15" xfId="0" applyNumberFormat="1" applyFont="1" applyBorder="1" applyAlignment="1">
      <alignment horizontal="right" wrapText="1"/>
    </xf>
    <xf numFmtId="165" fontId="3" fillId="0" borderId="12" xfId="0" applyNumberFormat="1" applyFont="1" applyBorder="1"/>
    <xf numFmtId="0" fontId="14" fillId="0" borderId="10" xfId="0" applyFont="1" applyBorder="1" applyAlignment="1">
      <alignment horizontal="left" wrapText="1"/>
    </xf>
    <xf numFmtId="164" fontId="15" fillId="2" borderId="12" xfId="0" applyNumberFormat="1" applyFont="1" applyFill="1" applyBorder="1" applyAlignment="1">
      <alignment horizontal="right" wrapText="1"/>
    </xf>
    <xf numFmtId="164" fontId="14" fillId="0" borderId="10" xfId="0" applyNumberFormat="1" applyFont="1" applyBorder="1" applyAlignment="1">
      <alignment horizontal="right" wrapText="1"/>
    </xf>
    <xf numFmtId="164" fontId="18" fillId="0" borderId="7" xfId="0" applyNumberFormat="1" applyFont="1" applyBorder="1" applyAlignment="1">
      <alignment horizontal="right" wrapText="1"/>
    </xf>
    <xf numFmtId="0" fontId="13" fillId="0" borderId="13" xfId="0" applyFont="1" applyBorder="1"/>
    <xf numFmtId="0" fontId="5" fillId="0" borderId="0" xfId="0" applyFont="1"/>
    <xf numFmtId="0" fontId="21" fillId="4" borderId="20" xfId="0" applyFont="1" applyFill="1" applyBorder="1"/>
    <xf numFmtId="0" fontId="18" fillId="4" borderId="20" xfId="0" applyFont="1" applyFill="1" applyBorder="1" applyAlignment="1">
      <alignment horizontal="left" vertical="top" wrapText="1"/>
    </xf>
    <xf numFmtId="0" fontId="18" fillId="4" borderId="20" xfId="0" applyFont="1" applyFill="1" applyBorder="1" applyAlignment="1">
      <alignment horizontal="right" vertical="top" wrapText="1"/>
    </xf>
    <xf numFmtId="0" fontId="24" fillId="4" borderId="20" xfId="0" applyFont="1" applyFill="1" applyBorder="1" applyAlignment="1">
      <alignment horizontal="left" vertical="top"/>
    </xf>
    <xf numFmtId="0" fontId="18" fillId="4" borderId="20" xfId="0" applyFont="1" applyFill="1" applyBorder="1" applyAlignment="1">
      <alignment horizontal="left" vertical="top"/>
    </xf>
    <xf numFmtId="0" fontId="18" fillId="4" borderId="20" xfId="0" applyFont="1" applyFill="1" applyBorder="1" applyAlignment="1">
      <alignment horizontal="right" vertical="top"/>
    </xf>
    <xf numFmtId="0" fontId="24" fillId="4" borderId="20" xfId="0" applyFont="1" applyFill="1" applyBorder="1" applyAlignment="1">
      <alignment horizontal="left"/>
    </xf>
    <xf numFmtId="0" fontId="18" fillId="4" borderId="20" xfId="0" applyFont="1" applyFill="1" applyBorder="1" applyAlignment="1">
      <alignment horizontal="left"/>
    </xf>
    <xf numFmtId="0" fontId="18" fillId="4" borderId="20" xfId="0" applyFont="1" applyFill="1" applyBorder="1" applyAlignment="1">
      <alignment horizontal="right"/>
    </xf>
    <xf numFmtId="0" fontId="10" fillId="4" borderId="20" xfId="0" applyFont="1" applyFill="1" applyBorder="1"/>
    <xf numFmtId="0" fontId="5" fillId="0" borderId="20" xfId="0" applyFont="1" applyBorder="1"/>
    <xf numFmtId="0" fontId="10" fillId="4" borderId="20" xfId="0" applyFont="1" applyFill="1" applyBorder="1" applyAlignment="1">
      <alignment horizontal="left"/>
    </xf>
    <xf numFmtId="166" fontId="10" fillId="4" borderId="20" xfId="0" applyNumberFormat="1" applyFont="1" applyFill="1" applyBorder="1" applyAlignment="1">
      <alignment horizontal="right"/>
    </xf>
    <xf numFmtId="0" fontId="10" fillId="4" borderId="1" xfId="0" applyFont="1" applyFill="1" applyBorder="1" applyAlignment="1">
      <alignment horizontal="left"/>
    </xf>
    <xf numFmtId="167" fontId="10" fillId="4" borderId="1" xfId="0" applyNumberFormat="1" applyFont="1" applyFill="1" applyBorder="1" applyAlignment="1">
      <alignment horizontal="right"/>
    </xf>
    <xf numFmtId="168" fontId="10" fillId="4" borderId="20" xfId="0" applyNumberFormat="1" applyFont="1" applyFill="1" applyBorder="1" applyAlignment="1">
      <alignment horizontal="right"/>
    </xf>
    <xf numFmtId="2" fontId="10" fillId="4" borderId="20" xfId="0" applyNumberFormat="1" applyFont="1" applyFill="1" applyBorder="1" applyAlignment="1">
      <alignment horizontal="right"/>
    </xf>
    <xf numFmtId="169" fontId="10" fillId="4" borderId="20" xfId="0" applyNumberFormat="1" applyFont="1" applyFill="1" applyBorder="1" applyAlignment="1">
      <alignment horizontal="right"/>
    </xf>
    <xf numFmtId="170" fontId="10" fillId="4" borderId="1" xfId="0" applyNumberFormat="1" applyFont="1" applyFill="1" applyBorder="1" applyAlignment="1">
      <alignment horizontal="right"/>
    </xf>
    <xf numFmtId="0" fontId="10" fillId="4" borderId="20" xfId="0" applyFont="1" applyFill="1" applyBorder="1" applyAlignment="1">
      <alignment wrapText="1"/>
    </xf>
    <xf numFmtId="0" fontId="10" fillId="4" borderId="20" xfId="0" applyFont="1" applyFill="1" applyBorder="1" applyAlignment="1">
      <alignment horizontal="right"/>
    </xf>
    <xf numFmtId="0" fontId="24" fillId="4" borderId="20" xfId="0" applyFont="1" applyFill="1" applyBorder="1"/>
    <xf numFmtId="0" fontId="26" fillId="4" borderId="20" xfId="0" applyFont="1" applyFill="1" applyBorder="1"/>
    <xf numFmtId="0" fontId="5" fillId="4" borderId="20" xfId="0" applyFont="1" applyFill="1" applyBorder="1" applyAlignment="1">
      <alignment horizontal="right"/>
    </xf>
    <xf numFmtId="0" fontId="27" fillId="4" borderId="20" xfId="0" applyFont="1" applyFill="1" applyBorder="1" applyAlignment="1">
      <alignment horizontal="left" vertical="top" wrapText="1"/>
    </xf>
    <xf numFmtId="0" fontId="27" fillId="4" borderId="20" xfId="0" applyFont="1" applyFill="1" applyBorder="1" applyAlignment="1">
      <alignment horizontal="right" vertical="top" wrapText="1"/>
    </xf>
    <xf numFmtId="0" fontId="10" fillId="0" borderId="20" xfId="0" applyFont="1" applyBorder="1"/>
    <xf numFmtId="0" fontId="10" fillId="0" borderId="20" xfId="0" applyFont="1" applyBorder="1" applyAlignment="1">
      <alignment horizontal="left"/>
    </xf>
    <xf numFmtId="0" fontId="21" fillId="0" borderId="20" xfId="0" applyFont="1" applyBorder="1"/>
    <xf numFmtId="0" fontId="24" fillId="4" borderId="20" xfId="0" applyFont="1" applyFill="1" applyBorder="1" applyAlignment="1">
      <alignment wrapText="1"/>
    </xf>
    <xf numFmtId="0" fontId="5" fillId="0" borderId="20" xfId="0" applyFont="1" applyBorder="1" applyAlignment="1">
      <alignment wrapText="1"/>
    </xf>
    <xf numFmtId="0" fontId="5" fillId="4" borderId="20" xfId="0" applyFont="1" applyFill="1" applyBorder="1" applyAlignment="1">
      <alignment horizontal="right" wrapText="1"/>
    </xf>
    <xf numFmtId="0" fontId="24" fillId="4" borderId="20" xfId="0" applyFont="1" applyFill="1" applyBorder="1" applyAlignment="1">
      <alignment horizontal="left" wrapText="1"/>
    </xf>
    <xf numFmtId="0" fontId="18" fillId="4" borderId="20" xfId="0" applyFont="1" applyFill="1" applyBorder="1" applyAlignment="1">
      <alignment horizontal="left" wrapText="1"/>
    </xf>
    <xf numFmtId="0" fontId="18" fillId="4" borderId="20" xfId="0" applyFont="1" applyFill="1" applyBorder="1" applyAlignment="1">
      <alignment horizontal="right" wrapText="1"/>
    </xf>
    <xf numFmtId="0" fontId="10" fillId="4" borderId="20" xfId="0" applyFont="1" applyFill="1" applyBorder="1" applyAlignment="1">
      <alignment horizontal="left" wrapText="1"/>
    </xf>
    <xf numFmtId="166" fontId="10" fillId="4" borderId="20" xfId="0" applyNumberFormat="1" applyFont="1" applyFill="1" applyBorder="1" applyAlignment="1">
      <alignment horizontal="right" wrapText="1"/>
    </xf>
    <xf numFmtId="168" fontId="10" fillId="4" borderId="20" xfId="0" applyNumberFormat="1" applyFont="1" applyFill="1" applyBorder="1" applyAlignment="1">
      <alignment horizontal="right" wrapText="1"/>
    </xf>
    <xf numFmtId="168" fontId="10" fillId="4" borderId="1" xfId="0" applyNumberFormat="1" applyFont="1" applyFill="1" applyBorder="1" applyAlignment="1">
      <alignment horizontal="right" wrapText="1"/>
    </xf>
    <xf numFmtId="0" fontId="10" fillId="4" borderId="20" xfId="0" applyFont="1" applyFill="1" applyBorder="1" applyAlignment="1">
      <alignment horizontal="right" wrapText="1"/>
    </xf>
    <xf numFmtId="0" fontId="10" fillId="4" borderId="20" xfId="0" applyFont="1" applyFill="1" applyBorder="1" applyAlignment="1">
      <alignment vertical="top"/>
    </xf>
    <xf numFmtId="0" fontId="10" fillId="4" borderId="20" xfId="0" applyFont="1" applyFill="1" applyBorder="1" applyAlignment="1">
      <alignment horizontal="left" vertical="top"/>
    </xf>
    <xf numFmtId="168" fontId="10" fillId="4" borderId="20" xfId="0" applyNumberFormat="1" applyFont="1" applyFill="1" applyBorder="1" applyAlignment="1">
      <alignment horizontal="right" vertical="top"/>
    </xf>
    <xf numFmtId="0" fontId="10" fillId="4" borderId="20" xfId="0" applyFont="1" applyFill="1" applyBorder="1" applyAlignment="1">
      <alignment horizontal="right" vertical="top"/>
    </xf>
    <xf numFmtId="8" fontId="10" fillId="0" borderId="20" xfId="0" applyNumberFormat="1" applyFont="1" applyBorder="1" applyAlignment="1">
      <alignment horizontal="right"/>
    </xf>
    <xf numFmtId="0" fontId="10" fillId="4" borderId="23" xfId="0" applyFont="1" applyFill="1" applyBorder="1"/>
    <xf numFmtId="0" fontId="5" fillId="0" borderId="18" xfId="0" applyFont="1" applyBorder="1"/>
    <xf numFmtId="0" fontId="10" fillId="4" borderId="24" xfId="0" applyFont="1" applyFill="1" applyBorder="1" applyAlignment="1">
      <alignment horizontal="left"/>
    </xf>
    <xf numFmtId="2" fontId="10" fillId="4" borderId="25" xfId="0" applyNumberFormat="1" applyFont="1" applyFill="1" applyBorder="1" applyAlignment="1">
      <alignment horizontal="right"/>
    </xf>
    <xf numFmtId="8" fontId="10" fillId="4" borderId="20" xfId="0" applyNumberFormat="1" applyFont="1" applyFill="1" applyBorder="1" applyAlignment="1">
      <alignment horizontal="right"/>
    </xf>
    <xf numFmtId="0" fontId="5" fillId="4" borderId="20" xfId="0" applyFont="1" applyFill="1" applyBorder="1" applyAlignment="1">
      <alignment horizontal="left" wrapText="1"/>
    </xf>
    <xf numFmtId="15" fontId="22" fillId="4" borderId="20" xfId="0" applyNumberFormat="1" applyFont="1" applyFill="1" applyBorder="1" applyAlignment="1">
      <alignment horizontal="left"/>
    </xf>
    <xf numFmtId="0" fontId="5" fillId="4" borderId="20" xfId="0" applyFont="1" applyFill="1" applyBorder="1"/>
    <xf numFmtId="171" fontId="10" fillId="4" borderId="20" xfId="0" applyNumberFormat="1" applyFont="1" applyFill="1" applyBorder="1" applyAlignment="1">
      <alignment horizontal="left"/>
    </xf>
    <xf numFmtId="15" fontId="19" fillId="4" borderId="20" xfId="0" applyNumberFormat="1" applyFont="1" applyFill="1" applyBorder="1" applyAlignment="1">
      <alignment horizontal="left" vertical="top" wrapText="1"/>
    </xf>
    <xf numFmtId="15" fontId="24" fillId="4" borderId="20" xfId="0" applyNumberFormat="1" applyFont="1" applyFill="1" applyBorder="1" applyAlignment="1">
      <alignment horizontal="left"/>
    </xf>
    <xf numFmtId="6" fontId="10" fillId="4" borderId="20" xfId="0" applyNumberFormat="1" applyFont="1" applyFill="1" applyBorder="1" applyAlignment="1">
      <alignment horizontal="right"/>
    </xf>
    <xf numFmtId="10" fontId="10" fillId="4" borderId="20" xfId="0" applyNumberFormat="1" applyFont="1" applyFill="1" applyBorder="1" applyAlignment="1">
      <alignment horizontal="right"/>
    </xf>
    <xf numFmtId="0" fontId="10" fillId="4" borderId="20" xfId="0" applyFont="1" applyFill="1" applyBorder="1" applyAlignment="1">
      <alignment horizontal="left" vertical="center"/>
    </xf>
    <xf numFmtId="8" fontId="10" fillId="4" borderId="20" xfId="0" applyNumberFormat="1" applyFont="1" applyFill="1" applyBorder="1" applyAlignment="1">
      <alignment horizontal="right" vertical="top"/>
    </xf>
    <xf numFmtId="2" fontId="10" fillId="4" borderId="20" xfId="0" applyNumberFormat="1" applyFont="1" applyFill="1" applyBorder="1" applyAlignment="1">
      <alignment horizontal="right" vertical="top"/>
    </xf>
    <xf numFmtId="0" fontId="10" fillId="4" borderId="20" xfId="0" applyFont="1" applyFill="1" applyBorder="1" applyAlignment="1">
      <alignment vertical="center"/>
    </xf>
    <xf numFmtId="0" fontId="22" fillId="4" borderId="20" xfId="0" applyFont="1" applyFill="1" applyBorder="1" applyAlignment="1">
      <alignment horizontal="left"/>
    </xf>
    <xf numFmtId="0" fontId="26" fillId="4" borderId="20" xfId="0" applyFont="1" applyFill="1" applyBorder="1" applyAlignment="1">
      <alignment horizontal="center"/>
    </xf>
    <xf numFmtId="0" fontId="26" fillId="4" borderId="20" xfId="0" applyFont="1" applyFill="1" applyBorder="1" applyAlignment="1">
      <alignment horizontal="right"/>
    </xf>
    <xf numFmtId="0" fontId="21" fillId="4" borderId="20" xfId="0" applyFont="1" applyFill="1" applyBorder="1" applyAlignment="1">
      <alignment horizontal="right"/>
    </xf>
    <xf numFmtId="0" fontId="3" fillId="4" borderId="20" xfId="0" applyFont="1" applyFill="1" applyBorder="1" applyAlignment="1">
      <alignment horizontal="right"/>
    </xf>
    <xf numFmtId="0" fontId="21" fillId="5" borderId="1" xfId="0" applyFont="1" applyFill="1" applyBorder="1" applyAlignment="1">
      <alignment horizontal="right" vertical="top" wrapText="1"/>
    </xf>
    <xf numFmtId="0" fontId="28" fillId="5" borderId="1" xfId="0" applyFont="1" applyFill="1" applyBorder="1" applyAlignment="1">
      <alignment horizontal="right" vertical="top" wrapText="1"/>
    </xf>
    <xf numFmtId="0" fontId="21" fillId="0" borderId="0" xfId="0" applyFont="1"/>
    <xf numFmtId="0" fontId="29" fillId="2" borderId="1" xfId="0" applyFont="1" applyFill="1" applyBorder="1"/>
    <xf numFmtId="0" fontId="21" fillId="2" borderId="1" xfId="0" applyFont="1" applyFill="1" applyBorder="1"/>
    <xf numFmtId="168" fontId="30" fillId="0" borderId="0" xfId="0" applyNumberFormat="1" applyFont="1"/>
    <xf numFmtId="0" fontId="31" fillId="0" borderId="0" xfId="0" applyFont="1"/>
    <xf numFmtId="165" fontId="32" fillId="6" borderId="12" xfId="0" applyNumberFormat="1" applyFont="1" applyFill="1" applyBorder="1" applyAlignment="1">
      <alignment vertical="center" wrapText="1"/>
    </xf>
    <xf numFmtId="0" fontId="33" fillId="0" borderId="0" xfId="0" applyFont="1" applyAlignment="1">
      <alignment horizontal="center" vertical="center"/>
    </xf>
    <xf numFmtId="0" fontId="34" fillId="2" borderId="1" xfId="0" applyFont="1" applyFill="1" applyBorder="1" applyAlignment="1">
      <alignment horizontal="center" vertical="center" wrapText="1"/>
    </xf>
    <xf numFmtId="0" fontId="36" fillId="2" borderId="1" xfId="0" applyFont="1" applyFill="1" applyBorder="1"/>
    <xf numFmtId="0" fontId="37" fillId="0" borderId="0" xfId="0" applyFont="1"/>
    <xf numFmtId="0" fontId="33" fillId="0" borderId="0" xfId="0" applyFont="1" applyAlignment="1">
      <alignment horizontal="center"/>
    </xf>
    <xf numFmtId="0" fontId="21" fillId="0" borderId="0" xfId="0" applyFont="1" applyAlignment="1">
      <alignment vertical="center"/>
    </xf>
    <xf numFmtId="0" fontId="38" fillId="0" borderId="0" xfId="0" applyFont="1" applyAlignment="1">
      <alignment vertical="center"/>
    </xf>
    <xf numFmtId="0" fontId="39" fillId="0" borderId="0" xfId="0" applyFont="1"/>
    <xf numFmtId="0" fontId="40" fillId="0" borderId="0" xfId="0" applyFont="1" applyAlignment="1">
      <alignment horizontal="right" vertical="center"/>
    </xf>
    <xf numFmtId="0" fontId="5" fillId="0" borderId="0" xfId="0" applyFont="1" applyAlignment="1">
      <alignment vertical="center"/>
    </xf>
    <xf numFmtId="0" fontId="41" fillId="0" borderId="0" xfId="0" applyFont="1" applyAlignment="1">
      <alignment horizontal="center" vertical="center"/>
    </xf>
    <xf numFmtId="0" fontId="37" fillId="0" borderId="0" xfId="0" applyFont="1" applyAlignment="1">
      <alignment vertical="center"/>
    </xf>
    <xf numFmtId="0" fontId="33" fillId="0" borderId="0" xfId="0" applyFont="1" applyAlignment="1">
      <alignment horizontal="center" vertical="center" wrapText="1"/>
    </xf>
    <xf numFmtId="0" fontId="42" fillId="0" borderId="29" xfId="0" applyFont="1" applyBorder="1" applyAlignment="1">
      <alignment horizontal="left"/>
    </xf>
    <xf numFmtId="0" fontId="42" fillId="0" borderId="30" xfId="0" applyFont="1" applyBorder="1" applyAlignment="1">
      <alignment horizontal="left"/>
    </xf>
    <xf numFmtId="0" fontId="29" fillId="0" borderId="30" xfId="0" applyFont="1" applyBorder="1" applyAlignment="1">
      <alignment horizontal="left"/>
    </xf>
    <xf numFmtId="0" fontId="33" fillId="0" borderId="31" xfId="0" applyFont="1" applyBorder="1" applyAlignment="1">
      <alignment horizontal="center"/>
    </xf>
    <xf numFmtId="0" fontId="43" fillId="0" borderId="31" xfId="0" applyFont="1" applyBorder="1" applyAlignment="1">
      <alignment horizontal="left"/>
    </xf>
    <xf numFmtId="0" fontId="44" fillId="0" borderId="12" xfId="0" applyFont="1" applyBorder="1" applyAlignment="1">
      <alignment horizontal="center" vertical="center" wrapText="1"/>
    </xf>
    <xf numFmtId="0" fontId="45" fillId="0" borderId="0" xfId="0" applyFont="1" applyAlignment="1">
      <alignment horizontal="center"/>
    </xf>
    <xf numFmtId="0" fontId="46" fillId="0" borderId="32" xfId="0" applyFont="1" applyBorder="1" applyAlignment="1">
      <alignment horizontal="center" vertical="center" wrapText="1"/>
    </xf>
    <xf numFmtId="0" fontId="46" fillId="0" borderId="33" xfId="0" applyFont="1" applyBorder="1" applyAlignment="1">
      <alignment horizontal="center" vertical="center" wrapText="1"/>
    </xf>
    <xf numFmtId="0" fontId="47" fillId="0" borderId="33" xfId="0" applyFont="1" applyBorder="1" applyAlignment="1">
      <alignment horizontal="center" vertical="center" wrapText="1"/>
    </xf>
    <xf numFmtId="0" fontId="46" fillId="7" borderId="34" xfId="0" applyFont="1" applyFill="1" applyBorder="1" applyAlignment="1">
      <alignment horizontal="center" vertical="center" wrapText="1"/>
    </xf>
    <xf numFmtId="0" fontId="48" fillId="0" borderId="33" xfId="0" applyFont="1" applyBorder="1" applyAlignment="1">
      <alignment horizontal="center" vertical="center" wrapText="1"/>
    </xf>
    <xf numFmtId="0" fontId="44" fillId="0" borderId="35" xfId="0" applyFont="1" applyBorder="1" applyAlignment="1">
      <alignment horizontal="center" vertical="center" wrapText="1"/>
    </xf>
    <xf numFmtId="0" fontId="44" fillId="0" borderId="35" xfId="0" quotePrefix="1" applyFont="1" applyBorder="1" applyAlignment="1">
      <alignment horizontal="center" vertical="center" wrapText="1"/>
    </xf>
    <xf numFmtId="0" fontId="49" fillId="7" borderId="34" xfId="0" applyFont="1" applyFill="1" applyBorder="1" applyAlignment="1">
      <alignment horizontal="center" vertical="center" wrapText="1"/>
    </xf>
    <xf numFmtId="0" fontId="44" fillId="0" borderId="32" xfId="0" applyFont="1" applyBorder="1" applyAlignment="1">
      <alignment horizontal="center" vertical="center" wrapText="1"/>
    </xf>
    <xf numFmtId="0" fontId="44" fillId="0" borderId="33" xfId="0" applyFont="1" applyBorder="1" applyAlignment="1">
      <alignment horizontal="center" vertical="center" wrapText="1"/>
    </xf>
    <xf numFmtId="0" fontId="50" fillId="0" borderId="37" xfId="0" applyFont="1" applyBorder="1" applyAlignment="1">
      <alignment vertical="center" wrapText="1"/>
    </xf>
    <xf numFmtId="165" fontId="51" fillId="0" borderId="38" xfId="0" applyNumberFormat="1" applyFont="1" applyBorder="1" applyAlignment="1">
      <alignment vertical="center" wrapText="1"/>
    </xf>
    <xf numFmtId="165" fontId="51" fillId="0" borderId="39" xfId="0" applyNumberFormat="1" applyFont="1" applyBorder="1" applyAlignment="1">
      <alignment vertical="center" wrapText="1"/>
    </xf>
    <xf numFmtId="165" fontId="50" fillId="0" borderId="39" xfId="0" applyNumberFormat="1" applyFont="1" applyBorder="1" applyAlignment="1">
      <alignment vertical="center" wrapText="1"/>
    </xf>
    <xf numFmtId="165" fontId="52" fillId="0" borderId="40" xfId="0" applyNumberFormat="1" applyFont="1" applyBorder="1" applyAlignment="1">
      <alignment vertical="center" wrapText="1"/>
    </xf>
    <xf numFmtId="0" fontId="21" fillId="0" borderId="41" xfId="0" applyFont="1" applyBorder="1"/>
    <xf numFmtId="0" fontId="5" fillId="0" borderId="41" xfId="0" applyFont="1" applyBorder="1"/>
    <xf numFmtId="164" fontId="33" fillId="0" borderId="41" xfId="0" applyNumberFormat="1" applyFont="1" applyBorder="1" applyAlignment="1">
      <alignment horizontal="center"/>
    </xf>
    <xf numFmtId="165" fontId="53" fillId="0" borderId="42" xfId="0" applyNumberFormat="1" applyFont="1" applyBorder="1" applyAlignment="1">
      <alignment vertical="center" wrapText="1"/>
    </xf>
    <xf numFmtId="165" fontId="50" fillId="0" borderId="43" xfId="0" applyNumberFormat="1" applyFont="1" applyBorder="1" applyAlignment="1">
      <alignment vertical="center" wrapText="1"/>
    </xf>
    <xf numFmtId="0" fontId="33" fillId="0" borderId="41" xfId="0" applyFont="1" applyBorder="1" applyAlignment="1">
      <alignment horizontal="center" vertical="center"/>
    </xf>
    <xf numFmtId="164" fontId="33" fillId="0" borderId="44" xfId="0" applyNumberFormat="1" applyFont="1" applyBorder="1" applyAlignment="1">
      <alignment horizontal="center"/>
    </xf>
    <xf numFmtId="164" fontId="33" fillId="0" borderId="45" xfId="0" applyNumberFormat="1" applyFont="1" applyBorder="1" applyAlignment="1">
      <alignment horizontal="center"/>
    </xf>
    <xf numFmtId="164" fontId="33" fillId="0" borderId="0" xfId="0" applyNumberFormat="1" applyFont="1" applyAlignment="1">
      <alignment horizontal="center"/>
    </xf>
    <xf numFmtId="0" fontId="50" fillId="0" borderId="47" xfId="0" applyFont="1" applyBorder="1" applyAlignment="1">
      <alignment vertical="center" wrapText="1"/>
    </xf>
    <xf numFmtId="165" fontId="51" fillId="0" borderId="48" xfId="0" applyNumberFormat="1" applyFont="1" applyBorder="1" applyAlignment="1">
      <alignment vertical="center" wrapText="1"/>
    </xf>
    <xf numFmtId="165" fontId="51" fillId="0" borderId="13" xfId="0" applyNumberFormat="1" applyFont="1" applyBorder="1" applyAlignment="1">
      <alignment vertical="center" wrapText="1"/>
    </xf>
    <xf numFmtId="165" fontId="54" fillId="2" borderId="9" xfId="0" applyNumberFormat="1" applyFont="1" applyFill="1" applyBorder="1" applyAlignment="1">
      <alignment vertical="center" wrapText="1"/>
    </xf>
    <xf numFmtId="165" fontId="50" fillId="0" borderId="13" xfId="0" applyNumberFormat="1" applyFont="1" applyBorder="1" applyAlignment="1">
      <alignment vertical="center" wrapText="1"/>
    </xf>
    <xf numFmtId="165" fontId="52" fillId="0" borderId="49" xfId="0" applyNumberFormat="1" applyFont="1" applyBorder="1" applyAlignment="1">
      <alignment vertical="center" wrapText="1"/>
    </xf>
    <xf numFmtId="168" fontId="21" fillId="0" borderId="0" xfId="0" applyNumberFormat="1" applyFont="1"/>
    <xf numFmtId="165" fontId="53" fillId="0" borderId="50" xfId="0" applyNumberFormat="1" applyFont="1" applyBorder="1" applyAlignment="1">
      <alignment vertical="center" wrapText="1"/>
    </xf>
    <xf numFmtId="165" fontId="50" fillId="0" borderId="51" xfId="0" applyNumberFormat="1" applyFont="1" applyBorder="1" applyAlignment="1">
      <alignment vertical="center" wrapText="1"/>
    </xf>
    <xf numFmtId="168" fontId="5" fillId="0" borderId="0" xfId="0" applyNumberFormat="1" applyFont="1"/>
    <xf numFmtId="165" fontId="50" fillId="6" borderId="52" xfId="0" applyNumberFormat="1" applyFont="1" applyFill="1" applyBorder="1" applyAlignment="1">
      <alignment vertical="center" wrapText="1"/>
    </xf>
    <xf numFmtId="165" fontId="50" fillId="6" borderId="12" xfId="0" applyNumberFormat="1" applyFont="1" applyFill="1" applyBorder="1" applyAlignment="1">
      <alignment vertical="center" wrapText="1"/>
    </xf>
    <xf numFmtId="165" fontId="50" fillId="6" borderId="53" xfId="0" applyNumberFormat="1" applyFont="1" applyFill="1" applyBorder="1" applyAlignment="1">
      <alignment vertical="center" wrapText="1"/>
    </xf>
    <xf numFmtId="0" fontId="50" fillId="0" borderId="54" xfId="0" applyFont="1" applyBorder="1" applyAlignment="1">
      <alignment vertical="center" wrapText="1"/>
    </xf>
    <xf numFmtId="0" fontId="51" fillId="0" borderId="52" xfId="0" applyFont="1" applyBorder="1" applyAlignment="1">
      <alignment vertical="center" wrapText="1"/>
    </xf>
    <xf numFmtId="10" fontId="51" fillId="8" borderId="12" xfId="0" applyNumberFormat="1" applyFont="1" applyFill="1" applyBorder="1" applyAlignment="1">
      <alignment vertical="center" wrapText="1"/>
    </xf>
    <xf numFmtId="172" fontId="51" fillId="8" borderId="12" xfId="0" applyNumberFormat="1" applyFont="1" applyFill="1" applyBorder="1" applyAlignment="1">
      <alignment vertical="center" wrapText="1"/>
    </xf>
    <xf numFmtId="10" fontId="54" fillId="2" borderId="12" xfId="0" applyNumberFormat="1" applyFont="1" applyFill="1" applyBorder="1" applyAlignment="1">
      <alignment vertical="center" wrapText="1"/>
    </xf>
    <xf numFmtId="10" fontId="50" fillId="8" borderId="12" xfId="0" applyNumberFormat="1" applyFont="1" applyFill="1" applyBorder="1" applyAlignment="1">
      <alignment vertical="center" wrapText="1"/>
    </xf>
    <xf numFmtId="10" fontId="52" fillId="8" borderId="55" xfId="0" applyNumberFormat="1" applyFont="1" applyFill="1" applyBorder="1" applyAlignment="1">
      <alignment vertical="center" wrapText="1"/>
    </xf>
    <xf numFmtId="165" fontId="21" fillId="0" borderId="0" xfId="0" applyNumberFormat="1" applyFont="1"/>
    <xf numFmtId="10" fontId="53" fillId="8" borderId="56" xfId="0" applyNumberFormat="1" applyFont="1" applyFill="1" applyBorder="1" applyAlignment="1">
      <alignment vertical="center" wrapText="1"/>
    </xf>
    <xf numFmtId="10" fontId="50" fillId="8" borderId="57" xfId="0" applyNumberFormat="1" applyFont="1" applyFill="1" applyBorder="1" applyAlignment="1">
      <alignment vertical="center" wrapText="1"/>
    </xf>
    <xf numFmtId="165" fontId="5" fillId="0" borderId="0" xfId="0" applyNumberFormat="1" applyFont="1"/>
    <xf numFmtId="164" fontId="33" fillId="0" borderId="58" xfId="0" applyNumberFormat="1" applyFont="1" applyBorder="1" applyAlignment="1">
      <alignment horizontal="center"/>
    </xf>
    <xf numFmtId="164" fontId="33" fillId="0" borderId="59" xfId="0" applyNumberFormat="1" applyFont="1" applyBorder="1" applyAlignment="1">
      <alignment horizontal="center"/>
    </xf>
    <xf numFmtId="165" fontId="51" fillId="0" borderId="12" xfId="0" applyNumberFormat="1" applyFont="1" applyBorder="1" applyAlignment="1">
      <alignment vertical="center" wrapText="1"/>
    </xf>
    <xf numFmtId="165" fontId="54" fillId="2" borderId="12" xfId="0" applyNumberFormat="1" applyFont="1" applyFill="1" applyBorder="1" applyAlignment="1">
      <alignment vertical="center" wrapText="1"/>
    </xf>
    <xf numFmtId="165" fontId="50" fillId="0" borderId="12" xfId="0" applyNumberFormat="1" applyFont="1" applyBorder="1" applyAlignment="1">
      <alignment vertical="center" wrapText="1"/>
    </xf>
    <xf numFmtId="165" fontId="52" fillId="0" borderId="55" xfId="0" applyNumberFormat="1" applyFont="1" applyBorder="1" applyAlignment="1">
      <alignment vertical="center" wrapText="1"/>
    </xf>
    <xf numFmtId="173" fontId="55" fillId="0" borderId="0" xfId="0" applyNumberFormat="1" applyFont="1"/>
    <xf numFmtId="174" fontId="55" fillId="0" borderId="0" xfId="0" applyNumberFormat="1" applyFont="1"/>
    <xf numFmtId="165" fontId="53" fillId="0" borderId="10" xfId="0" applyNumberFormat="1" applyFont="1" applyBorder="1" applyAlignment="1">
      <alignment vertical="center" wrapText="1"/>
    </xf>
    <xf numFmtId="165" fontId="50" fillId="0" borderId="57" xfId="0" applyNumberFormat="1" applyFont="1" applyBorder="1" applyAlignment="1">
      <alignment vertical="center" wrapText="1"/>
    </xf>
    <xf numFmtId="0" fontId="50" fillId="0" borderId="61" xfId="0" applyFont="1" applyBorder="1" applyAlignment="1">
      <alignment vertical="center" wrapText="1"/>
    </xf>
    <xf numFmtId="0" fontId="51" fillId="0" borderId="62" xfId="0" applyFont="1" applyBorder="1" applyAlignment="1">
      <alignment vertical="center" wrapText="1"/>
    </xf>
    <xf numFmtId="10" fontId="51" fillId="0" borderId="63" xfId="0" applyNumberFormat="1" applyFont="1" applyBorder="1" applyAlignment="1">
      <alignment vertical="center" wrapText="1"/>
    </xf>
    <xf numFmtId="10" fontId="54" fillId="2" borderId="63" xfId="0" applyNumberFormat="1" applyFont="1" applyFill="1" applyBorder="1" applyAlignment="1">
      <alignment vertical="center" wrapText="1"/>
    </xf>
    <xf numFmtId="10" fontId="50" fillId="0" borderId="63" xfId="0" applyNumberFormat="1" applyFont="1" applyBorder="1" applyAlignment="1">
      <alignment vertical="center" wrapText="1"/>
    </xf>
    <xf numFmtId="10" fontId="52" fillId="0" borderId="64" xfId="0" applyNumberFormat="1" applyFont="1" applyBorder="1" applyAlignment="1">
      <alignment vertical="center" wrapText="1"/>
    </xf>
    <xf numFmtId="0" fontId="21" fillId="0" borderId="65" xfId="0" applyFont="1" applyBorder="1"/>
    <xf numFmtId="165" fontId="55" fillId="0" borderId="65" xfId="0" applyNumberFormat="1" applyFont="1" applyBorder="1"/>
    <xf numFmtId="10" fontId="53" fillId="0" borderId="66" xfId="0" applyNumberFormat="1" applyFont="1" applyBorder="1" applyAlignment="1">
      <alignment vertical="center" wrapText="1"/>
    </xf>
    <xf numFmtId="10" fontId="50" fillId="0" borderId="67" xfId="0" applyNumberFormat="1" applyFont="1" applyBorder="1" applyAlignment="1">
      <alignment vertical="center" wrapText="1"/>
    </xf>
    <xf numFmtId="0" fontId="5" fillId="0" borderId="65" xfId="0" applyFont="1" applyBorder="1"/>
    <xf numFmtId="10" fontId="56" fillId="0" borderId="63" xfId="0" applyNumberFormat="1" applyFont="1" applyBorder="1" applyAlignment="1">
      <alignment vertical="center" wrapText="1"/>
    </xf>
    <xf numFmtId="164" fontId="33" fillId="0" borderId="65" xfId="0" applyNumberFormat="1" applyFont="1" applyBorder="1" applyAlignment="1">
      <alignment horizontal="center"/>
    </xf>
    <xf numFmtId="164" fontId="33" fillId="0" borderId="68" xfId="0" applyNumberFormat="1" applyFont="1" applyBorder="1" applyAlignment="1">
      <alignment horizontal="center"/>
    </xf>
    <xf numFmtId="164" fontId="33" fillId="0" borderId="69" xfId="0" applyNumberFormat="1" applyFont="1" applyBorder="1" applyAlignment="1">
      <alignment horizontal="center"/>
    </xf>
    <xf numFmtId="175" fontId="5" fillId="0" borderId="0" xfId="0" applyNumberFormat="1" applyFont="1"/>
    <xf numFmtId="164" fontId="33" fillId="0" borderId="71" xfId="0" applyNumberFormat="1" applyFont="1" applyBorder="1" applyAlignment="1">
      <alignment horizontal="center"/>
    </xf>
    <xf numFmtId="165" fontId="50" fillId="6" borderId="55" xfId="0" applyNumberFormat="1" applyFont="1" applyFill="1" applyBorder="1" applyAlignment="1">
      <alignment vertical="center" wrapText="1"/>
    </xf>
    <xf numFmtId="0" fontId="50" fillId="0" borderId="73" xfId="0" applyFont="1" applyBorder="1" applyAlignment="1">
      <alignment vertical="center" wrapText="1"/>
    </xf>
    <xf numFmtId="0" fontId="51" fillId="0" borderId="74" xfId="0" applyFont="1" applyBorder="1" applyAlignment="1">
      <alignment vertical="center" wrapText="1"/>
    </xf>
    <xf numFmtId="10" fontId="51" fillId="0" borderId="35" xfId="0" applyNumberFormat="1" applyFont="1" applyBorder="1" applyAlignment="1">
      <alignment vertical="center" wrapText="1"/>
    </xf>
    <xf numFmtId="10" fontId="54" fillId="2" borderId="2" xfId="0" applyNumberFormat="1" applyFont="1" applyFill="1" applyBorder="1" applyAlignment="1">
      <alignment vertical="center" wrapText="1"/>
    </xf>
    <xf numFmtId="10" fontId="50" fillId="0" borderId="35" xfId="0" applyNumberFormat="1" applyFont="1" applyBorder="1" applyAlignment="1">
      <alignment vertical="center" wrapText="1"/>
    </xf>
    <xf numFmtId="10" fontId="52" fillId="0" borderId="75" xfId="0" applyNumberFormat="1" applyFont="1" applyBorder="1" applyAlignment="1">
      <alignment vertical="center" wrapText="1"/>
    </xf>
    <xf numFmtId="165" fontId="55" fillId="0" borderId="0" xfId="0" applyNumberFormat="1" applyFont="1"/>
    <xf numFmtId="10" fontId="53" fillId="0" borderId="76" xfId="0" applyNumberFormat="1" applyFont="1" applyBorder="1" applyAlignment="1">
      <alignment vertical="center" wrapText="1"/>
    </xf>
    <xf numFmtId="10" fontId="50" fillId="0" borderId="77" xfId="0" applyNumberFormat="1" applyFont="1" applyBorder="1" applyAlignment="1">
      <alignment vertical="center" wrapText="1"/>
    </xf>
    <xf numFmtId="10" fontId="56" fillId="0" borderId="35" xfId="0" applyNumberFormat="1" applyFont="1" applyBorder="1" applyAlignment="1">
      <alignment vertical="center" wrapText="1"/>
    </xf>
    <xf numFmtId="175" fontId="5" fillId="0" borderId="41" xfId="0" applyNumberFormat="1" applyFont="1" applyBorder="1"/>
    <xf numFmtId="165" fontId="50" fillId="9" borderId="12" xfId="0" applyNumberFormat="1" applyFont="1" applyFill="1" applyBorder="1" applyAlignment="1">
      <alignment vertical="center" wrapText="1"/>
    </xf>
    <xf numFmtId="0" fontId="30" fillId="0" borderId="0" xfId="0" applyFont="1"/>
    <xf numFmtId="0" fontId="30" fillId="0" borderId="65" xfId="0" applyFont="1" applyBorder="1"/>
    <xf numFmtId="165" fontId="30" fillId="0" borderId="65" xfId="0" applyNumberFormat="1" applyFont="1" applyBorder="1"/>
    <xf numFmtId="10" fontId="50" fillId="9" borderId="63" xfId="0" applyNumberFormat="1" applyFont="1" applyFill="1" applyBorder="1" applyAlignment="1">
      <alignment vertical="center" wrapText="1"/>
    </xf>
    <xf numFmtId="10" fontId="53" fillId="9" borderId="78" xfId="0" applyNumberFormat="1" applyFont="1" applyFill="1" applyBorder="1" applyAlignment="1">
      <alignment vertical="center" wrapText="1"/>
    </xf>
    <xf numFmtId="10" fontId="50" fillId="9" borderId="67" xfId="0" applyNumberFormat="1" applyFont="1" applyFill="1" applyBorder="1" applyAlignment="1">
      <alignment vertical="center" wrapText="1"/>
    </xf>
    <xf numFmtId="165" fontId="51" fillId="0" borderId="38" xfId="0" applyNumberFormat="1" applyFont="1" applyBorder="1" applyAlignment="1">
      <alignment horizontal="right" wrapText="1"/>
    </xf>
    <xf numFmtId="165" fontId="51" fillId="0" borderId="79" xfId="0" applyNumberFormat="1" applyFont="1" applyBorder="1" applyAlignment="1">
      <alignment horizontal="right" wrapText="1"/>
    </xf>
    <xf numFmtId="165" fontId="50" fillId="0" borderId="79" xfId="0" applyNumberFormat="1" applyFont="1" applyBorder="1" applyAlignment="1">
      <alignment horizontal="right" wrapText="1"/>
    </xf>
    <xf numFmtId="165" fontId="52" fillId="0" borderId="80" xfId="0" applyNumberFormat="1" applyFont="1" applyBorder="1" applyAlignment="1">
      <alignment horizontal="right" wrapText="1"/>
    </xf>
    <xf numFmtId="165" fontId="53" fillId="0" borderId="81" xfId="0" applyNumberFormat="1" applyFont="1" applyBorder="1" applyAlignment="1">
      <alignment horizontal="right" wrapText="1"/>
    </xf>
    <xf numFmtId="165" fontId="50" fillId="0" borderId="43" xfId="0" applyNumberFormat="1" applyFont="1" applyBorder="1" applyAlignment="1">
      <alignment horizontal="right" wrapText="1"/>
    </xf>
    <xf numFmtId="165" fontId="57" fillId="0" borderId="48" xfId="0" applyNumberFormat="1" applyFont="1" applyBorder="1"/>
    <xf numFmtId="165" fontId="51" fillId="0" borderId="15" xfId="0" applyNumberFormat="1" applyFont="1" applyBorder="1" applyAlignment="1">
      <alignment horizontal="right" wrapText="1"/>
    </xf>
    <xf numFmtId="165" fontId="50" fillId="0" borderId="15" xfId="0" applyNumberFormat="1" applyFont="1" applyBorder="1" applyAlignment="1">
      <alignment horizontal="right" wrapText="1"/>
    </xf>
    <xf numFmtId="165" fontId="52" fillId="0" borderId="82" xfId="0" applyNumberFormat="1" applyFont="1" applyBorder="1" applyAlignment="1">
      <alignment horizontal="right" wrapText="1"/>
    </xf>
    <xf numFmtId="165" fontId="53" fillId="0" borderId="83" xfId="0" applyNumberFormat="1" applyFont="1" applyBorder="1" applyAlignment="1">
      <alignment horizontal="right" wrapText="1"/>
    </xf>
    <xf numFmtId="165" fontId="50" fillId="0" borderId="51" xfId="0" applyNumberFormat="1" applyFont="1" applyBorder="1" applyAlignment="1">
      <alignment horizontal="right" wrapText="1"/>
    </xf>
    <xf numFmtId="0" fontId="57" fillId="0" borderId="48" xfId="0" applyFont="1" applyBorder="1"/>
    <xf numFmtId="10" fontId="51" fillId="8" borderId="16" xfId="0" applyNumberFormat="1" applyFont="1" applyFill="1" applyBorder="1" applyAlignment="1">
      <alignment horizontal="right" wrapText="1"/>
    </xf>
    <xf numFmtId="10" fontId="50" fillId="8" borderId="16" xfId="0" applyNumberFormat="1" applyFont="1" applyFill="1" applyBorder="1" applyAlignment="1">
      <alignment horizontal="right" wrapText="1"/>
    </xf>
    <xf numFmtId="10" fontId="52" fillId="8" borderId="84" xfId="0" applyNumberFormat="1" applyFont="1" applyFill="1" applyBorder="1" applyAlignment="1">
      <alignment horizontal="right" wrapText="1"/>
    </xf>
    <xf numFmtId="10" fontId="53" fillId="8" borderId="85" xfId="0" applyNumberFormat="1" applyFont="1" applyFill="1" applyBorder="1" applyAlignment="1">
      <alignment horizontal="right" wrapText="1"/>
    </xf>
    <xf numFmtId="10" fontId="50" fillId="8" borderId="86" xfId="0" applyNumberFormat="1" applyFont="1" applyFill="1" applyBorder="1" applyAlignment="1">
      <alignment horizontal="right" wrapText="1"/>
    </xf>
    <xf numFmtId="0" fontId="57" fillId="0" borderId="87" xfId="0" applyFont="1" applyBorder="1"/>
    <xf numFmtId="10" fontId="51" fillId="0" borderId="88" xfId="0" applyNumberFormat="1" applyFont="1" applyBorder="1" applyAlignment="1">
      <alignment horizontal="right" wrapText="1"/>
    </xf>
    <xf numFmtId="10" fontId="52" fillId="0" borderId="89" xfId="0" applyNumberFormat="1" applyFont="1" applyBorder="1" applyAlignment="1">
      <alignment horizontal="right" wrapText="1"/>
    </xf>
    <xf numFmtId="0" fontId="50" fillId="0" borderId="80" xfId="0" applyFont="1" applyBorder="1" applyAlignment="1">
      <alignment wrapText="1"/>
    </xf>
    <xf numFmtId="165" fontId="57" fillId="0" borderId="79" xfId="0" applyNumberFormat="1" applyFont="1" applyBorder="1"/>
    <xf numFmtId="165" fontId="39" fillId="0" borderId="80" xfId="0" applyNumberFormat="1" applyFont="1" applyBorder="1"/>
    <xf numFmtId="0" fontId="50" fillId="0" borderId="82" xfId="0" applyFont="1" applyBorder="1" applyAlignment="1">
      <alignment wrapText="1"/>
    </xf>
    <xf numFmtId="165" fontId="57" fillId="0" borderId="15" xfId="0" applyNumberFormat="1" applyFont="1" applyBorder="1"/>
    <xf numFmtId="165" fontId="39" fillId="0" borderId="82" xfId="0" applyNumberFormat="1" applyFont="1" applyBorder="1"/>
    <xf numFmtId="0" fontId="57" fillId="0" borderId="15" xfId="0" applyFont="1" applyBorder="1"/>
    <xf numFmtId="10" fontId="57" fillId="8" borderId="16" xfId="0" applyNumberFormat="1" applyFont="1" applyFill="1" applyBorder="1"/>
    <xf numFmtId="10" fontId="39" fillId="8" borderId="84" xfId="0" applyNumberFormat="1" applyFont="1" applyFill="1" applyBorder="1"/>
    <xf numFmtId="0" fontId="50" fillId="0" borderId="89" xfId="0" applyFont="1" applyBorder="1" applyAlignment="1">
      <alignment wrapText="1"/>
    </xf>
    <xf numFmtId="0" fontId="57" fillId="0" borderId="88" xfId="0" applyFont="1" applyBorder="1"/>
    <xf numFmtId="10" fontId="57" fillId="0" borderId="88" xfId="0" applyNumberFormat="1" applyFont="1" applyBorder="1"/>
    <xf numFmtId="10" fontId="39" fillId="0" borderId="89" xfId="0" applyNumberFormat="1" applyFont="1" applyBorder="1"/>
    <xf numFmtId="10" fontId="21" fillId="0" borderId="0" xfId="0" applyNumberFormat="1" applyFont="1"/>
    <xf numFmtId="10" fontId="21" fillId="0" borderId="65" xfId="0" applyNumberFormat="1" applyFont="1" applyBorder="1"/>
    <xf numFmtId="0" fontId="33" fillId="0" borderId="65" xfId="0" applyFont="1" applyBorder="1" applyAlignment="1">
      <alignment horizontal="center"/>
    </xf>
    <xf numFmtId="0" fontId="33" fillId="0" borderId="68" xfId="0" applyFont="1" applyBorder="1" applyAlignment="1">
      <alignment horizontal="center"/>
    </xf>
    <xf numFmtId="0" fontId="33" fillId="0" borderId="69" xfId="0" applyFont="1" applyBorder="1" applyAlignment="1">
      <alignment horizontal="center"/>
    </xf>
    <xf numFmtId="0" fontId="38" fillId="0" borderId="0" xfId="0" applyFont="1"/>
    <xf numFmtId="10" fontId="38" fillId="0" borderId="0" xfId="0" applyNumberFormat="1" applyFont="1"/>
    <xf numFmtId="10" fontId="28" fillId="0" borderId="0" xfId="0" applyNumberFormat="1" applyFont="1"/>
    <xf numFmtId="0" fontId="28" fillId="0" borderId="0" xfId="0" applyFont="1"/>
    <xf numFmtId="0" fontId="29" fillId="0" borderId="0" xfId="0" applyFont="1"/>
    <xf numFmtId="10" fontId="57" fillId="0" borderId="0" xfId="0" applyNumberFormat="1" applyFont="1"/>
    <xf numFmtId="10" fontId="58" fillId="0" borderId="0" xfId="0" applyNumberFormat="1" applyFont="1"/>
    <xf numFmtId="10" fontId="39" fillId="0" borderId="0" xfId="0" applyNumberFormat="1" applyFont="1"/>
    <xf numFmtId="166" fontId="10" fillId="0" borderId="20" xfId="0" applyNumberFormat="1" applyFont="1" applyBorder="1" applyAlignment="1">
      <alignment horizontal="right"/>
    </xf>
    <xf numFmtId="168" fontId="10" fillId="0" borderId="20" xfId="0" applyNumberFormat="1" applyFont="1" applyBorder="1" applyAlignment="1">
      <alignment horizontal="right"/>
    </xf>
    <xf numFmtId="2" fontId="10" fillId="0" borderId="20" xfId="0" applyNumberFormat="1" applyFont="1" applyBorder="1" applyAlignment="1">
      <alignment horizontal="right"/>
    </xf>
    <xf numFmtId="169" fontId="10" fillId="0" borderId="20" xfId="0" applyNumberFormat="1" applyFont="1" applyBorder="1" applyAlignment="1">
      <alignment horizontal="right"/>
    </xf>
    <xf numFmtId="0" fontId="10" fillId="0" borderId="20" xfId="0" applyFont="1" applyBorder="1" applyAlignment="1">
      <alignment horizontal="right"/>
    </xf>
    <xf numFmtId="0" fontId="26" fillId="0" borderId="20" xfId="0" applyFont="1" applyBorder="1"/>
    <xf numFmtId="0" fontId="10" fillId="0" borderId="20" xfId="0" applyFont="1" applyBorder="1" applyAlignment="1">
      <alignment wrapText="1"/>
    </xf>
    <xf numFmtId="0" fontId="10" fillId="0" borderId="20" xfId="0" applyFont="1" applyBorder="1" applyAlignment="1">
      <alignment horizontal="left" wrapText="1"/>
    </xf>
    <xf numFmtId="166" fontId="10" fillId="0" borderId="20" xfId="0" applyNumberFormat="1" applyFont="1" applyBorder="1" applyAlignment="1">
      <alignment horizontal="right" wrapText="1"/>
    </xf>
    <xf numFmtId="168" fontId="10" fillId="0" borderId="20" xfId="0" applyNumberFormat="1" applyFont="1" applyBorder="1" applyAlignment="1">
      <alignment horizontal="right" wrapText="1"/>
    </xf>
    <xf numFmtId="168" fontId="10" fillId="0" borderId="20" xfId="0" applyNumberFormat="1" applyFont="1" applyBorder="1" applyAlignment="1">
      <alignment horizontal="right" vertical="top"/>
    </xf>
    <xf numFmtId="0" fontId="10" fillId="0" borderId="20" xfId="0" applyFont="1" applyBorder="1" applyAlignment="1">
      <alignment horizontal="right" vertical="top"/>
    </xf>
    <xf numFmtId="0" fontId="10" fillId="4" borderId="23" xfId="0" applyFont="1" applyFill="1" applyBorder="1" applyAlignment="1">
      <alignment horizontal="left" wrapText="1"/>
    </xf>
    <xf numFmtId="0" fontId="10" fillId="4" borderId="25" xfId="0" applyFont="1" applyFill="1" applyBorder="1" applyAlignment="1">
      <alignment horizontal="right"/>
    </xf>
    <xf numFmtId="0" fontId="5" fillId="0" borderId="19" xfId="0" applyFont="1" applyBorder="1"/>
    <xf numFmtId="0" fontId="5" fillId="0" borderId="20" xfId="0" applyFont="1" applyBorder="1" applyAlignment="1">
      <alignment horizontal="right"/>
    </xf>
    <xf numFmtId="6" fontId="10" fillId="0" borderId="20" xfId="0" applyNumberFormat="1" applyFont="1" applyBorder="1" applyAlignment="1">
      <alignment horizontal="right"/>
    </xf>
    <xf numFmtId="10" fontId="10" fillId="0" borderId="20" xfId="0" applyNumberFormat="1" applyFont="1" applyBorder="1" applyAlignment="1">
      <alignment horizontal="right"/>
    </xf>
    <xf numFmtId="8" fontId="10" fillId="0" borderId="20" xfId="0" applyNumberFormat="1" applyFont="1" applyBorder="1" applyAlignment="1">
      <alignment horizontal="right" vertical="top"/>
    </xf>
    <xf numFmtId="0" fontId="59" fillId="0" borderId="20" xfId="0" applyFont="1" applyBorder="1"/>
    <xf numFmtId="0" fontId="18" fillId="0" borderId="20" xfId="0" applyFont="1" applyBorder="1" applyAlignment="1">
      <alignment horizontal="right"/>
    </xf>
    <xf numFmtId="0" fontId="3" fillId="0" borderId="20" xfId="0" applyFont="1" applyBorder="1"/>
    <xf numFmtId="0" fontId="3" fillId="0" borderId="20" xfId="0" applyFont="1" applyBorder="1" applyAlignment="1">
      <alignment horizontal="right"/>
    </xf>
    <xf numFmtId="168" fontId="3" fillId="0" borderId="0" xfId="0" applyNumberFormat="1" applyFont="1"/>
    <xf numFmtId="0" fontId="24" fillId="0" borderId="0" xfId="0" applyFont="1"/>
    <xf numFmtId="0" fontId="60" fillId="0" borderId="0" xfId="0" applyFont="1"/>
    <xf numFmtId="0" fontId="16" fillId="0" borderId="0" xfId="0" applyFont="1" applyAlignment="1">
      <alignment horizontal="center"/>
    </xf>
    <xf numFmtId="0" fontId="24" fillId="0" borderId="0" xfId="0" applyFont="1" applyAlignment="1">
      <alignment horizontal="center"/>
    </xf>
    <xf numFmtId="0" fontId="24" fillId="10" borderId="1" xfId="0" applyFont="1" applyFill="1" applyBorder="1"/>
    <xf numFmtId="0" fontId="5" fillId="10" borderId="1" xfId="0" applyFont="1" applyFill="1" applyBorder="1"/>
    <xf numFmtId="176" fontId="3" fillId="10" borderId="1" xfId="0" applyNumberFormat="1" applyFont="1" applyFill="1" applyBorder="1"/>
    <xf numFmtId="176" fontId="5" fillId="10" borderId="1" xfId="0" applyNumberFormat="1" applyFont="1" applyFill="1" applyBorder="1"/>
    <xf numFmtId="0" fontId="3" fillId="10" borderId="1" xfId="0" applyFont="1" applyFill="1" applyBorder="1"/>
    <xf numFmtId="176" fontId="3" fillId="0" borderId="0" xfId="0" applyNumberFormat="1" applyFont="1"/>
    <xf numFmtId="176" fontId="5" fillId="0" borderId="0" xfId="0" applyNumberFormat="1" applyFont="1"/>
    <xf numFmtId="0" fontId="23" fillId="0" borderId="0" xfId="0" applyFont="1"/>
    <xf numFmtId="0" fontId="16" fillId="0" borderId="0" xfId="0" applyFont="1" applyAlignment="1">
      <alignment horizontal="right"/>
    </xf>
    <xf numFmtId="0" fontId="24" fillId="0" borderId="0" xfId="0" applyFont="1" applyAlignment="1">
      <alignment horizontal="right"/>
    </xf>
    <xf numFmtId="0" fontId="5" fillId="0" borderId="0" xfId="0" applyFont="1" applyAlignment="1">
      <alignment vertical="top"/>
    </xf>
    <xf numFmtId="166" fontId="3" fillId="0" borderId="0" xfId="0" applyNumberFormat="1" applyFont="1"/>
    <xf numFmtId="166" fontId="5" fillId="11" borderId="1" xfId="0" applyNumberFormat="1" applyFont="1" applyFill="1" applyBorder="1"/>
    <xf numFmtId="4" fontId="3" fillId="0" borderId="0" xfId="0" applyNumberFormat="1" applyFont="1"/>
    <xf numFmtId="168" fontId="5" fillId="11" borderId="1" xfId="0" applyNumberFormat="1" applyFont="1" applyFill="1" applyBorder="1"/>
    <xf numFmtId="10" fontId="5" fillId="0" borderId="0" xfId="0" applyNumberFormat="1" applyFont="1"/>
    <xf numFmtId="0" fontId="5" fillId="0" borderId="0" xfId="0" applyFont="1" applyAlignment="1">
      <alignment wrapText="1"/>
    </xf>
    <xf numFmtId="177" fontId="5" fillId="0" borderId="0" xfId="0" applyNumberFormat="1" applyFont="1"/>
    <xf numFmtId="178" fontId="5" fillId="0" borderId="0" xfId="0" applyNumberFormat="1" applyFont="1"/>
    <xf numFmtId="0" fontId="61" fillId="0" borderId="0" xfId="0" applyFont="1"/>
    <xf numFmtId="164" fontId="5" fillId="0" borderId="0" xfId="0" applyNumberFormat="1" applyFont="1"/>
    <xf numFmtId="168" fontId="5" fillId="11" borderId="1" xfId="0" applyNumberFormat="1" applyFont="1" applyFill="1" applyBorder="1" applyAlignment="1">
      <alignment horizontal="right"/>
    </xf>
    <xf numFmtId="2" fontId="5" fillId="0" borderId="0" xfId="0" applyNumberFormat="1" applyFont="1"/>
    <xf numFmtId="0" fontId="62" fillId="0" borderId="0" xfId="0" applyFont="1"/>
    <xf numFmtId="169" fontId="5" fillId="0" borderId="0" xfId="0" applyNumberFormat="1" applyFont="1"/>
    <xf numFmtId="0" fontId="63" fillId="0" borderId="0" xfId="0" applyFont="1"/>
    <xf numFmtId="0" fontId="3" fillId="11" borderId="1" xfId="0" applyFont="1" applyFill="1" applyBorder="1"/>
    <xf numFmtId="0" fontId="16" fillId="0" borderId="0" xfId="0" applyFont="1"/>
    <xf numFmtId="0" fontId="64" fillId="0" borderId="0" xfId="0" applyFont="1"/>
    <xf numFmtId="0" fontId="5" fillId="4" borderId="1" xfId="0" applyFont="1" applyFill="1" applyBorder="1"/>
    <xf numFmtId="0" fontId="65" fillId="4" borderId="1" xfId="0" applyFont="1" applyFill="1" applyBorder="1"/>
    <xf numFmtId="179" fontId="5" fillId="0" borderId="0" xfId="0" applyNumberFormat="1" applyFont="1"/>
    <xf numFmtId="177" fontId="3" fillId="0" borderId="0" xfId="0" applyNumberFormat="1" applyFont="1"/>
    <xf numFmtId="0" fontId="66" fillId="0" borderId="0" xfId="0" applyFont="1"/>
    <xf numFmtId="168" fontId="3" fillId="11" borderId="1" xfId="0" applyNumberFormat="1" applyFont="1" applyFill="1" applyBorder="1"/>
    <xf numFmtId="169" fontId="3" fillId="0" borderId="0" xfId="0" applyNumberFormat="1" applyFont="1"/>
    <xf numFmtId="0" fontId="67" fillId="0" borderId="0" xfId="0" applyFont="1"/>
    <xf numFmtId="0" fontId="24" fillId="12" borderId="1" xfId="0" applyFont="1" applyFill="1" applyBorder="1" applyAlignment="1">
      <alignment horizontal="center"/>
    </xf>
    <xf numFmtId="10" fontId="24" fillId="12" borderId="1" xfId="0" applyNumberFormat="1" applyFont="1" applyFill="1" applyBorder="1" applyAlignment="1">
      <alignment horizontal="right"/>
    </xf>
    <xf numFmtId="0" fontId="68" fillId="2" borderId="1" xfId="0" applyFont="1" applyFill="1" applyBorder="1"/>
    <xf numFmtId="180" fontId="5" fillId="0" borderId="0" xfId="0" applyNumberFormat="1" applyFont="1"/>
    <xf numFmtId="2" fontId="3" fillId="0" borderId="0" xfId="0" applyNumberFormat="1" applyFont="1"/>
    <xf numFmtId="172" fontId="3" fillId="0" borderId="0" xfId="0" applyNumberFormat="1" applyFont="1"/>
    <xf numFmtId="172" fontId="5" fillId="0" borderId="0" xfId="0" applyNumberFormat="1" applyFont="1"/>
    <xf numFmtId="9" fontId="3" fillId="0" borderId="0" xfId="0" applyNumberFormat="1" applyFont="1"/>
    <xf numFmtId="9" fontId="5" fillId="0" borderId="0" xfId="0" applyNumberFormat="1" applyFont="1"/>
    <xf numFmtId="10" fontId="5" fillId="11" borderId="1" xfId="0" applyNumberFormat="1" applyFont="1" applyFill="1" applyBorder="1"/>
    <xf numFmtId="0" fontId="5" fillId="11" borderId="1" xfId="0" applyFont="1" applyFill="1" applyBorder="1"/>
    <xf numFmtId="8" fontId="5" fillId="0" borderId="0" xfId="0" applyNumberFormat="1" applyFont="1"/>
    <xf numFmtId="8" fontId="5" fillId="11" borderId="1" xfId="0" applyNumberFormat="1" applyFont="1" applyFill="1" applyBorder="1"/>
    <xf numFmtId="43" fontId="5" fillId="0" borderId="0" xfId="0" applyNumberFormat="1" applyFont="1"/>
    <xf numFmtId="15" fontId="24" fillId="4" borderId="1" xfId="0" applyNumberFormat="1" applyFont="1" applyFill="1" applyBorder="1" applyAlignment="1">
      <alignment horizontal="left"/>
    </xf>
    <xf numFmtId="15" fontId="23" fillId="4" borderId="1" xfId="0" applyNumberFormat="1" applyFont="1" applyFill="1" applyBorder="1" applyAlignment="1">
      <alignment horizontal="left"/>
    </xf>
    <xf numFmtId="0" fontId="3" fillId="0" borderId="0" xfId="0" applyFont="1" applyAlignment="1">
      <alignment wrapText="1"/>
    </xf>
    <xf numFmtId="0" fontId="69" fillId="0" borderId="0" xfId="0" applyFont="1" applyAlignment="1">
      <alignment horizontal="center" wrapText="1"/>
    </xf>
    <xf numFmtId="0" fontId="22" fillId="0" borderId="0" xfId="0" applyFont="1"/>
    <xf numFmtId="0" fontId="71" fillId="13" borderId="90" xfId="0" applyFont="1" applyFill="1" applyBorder="1" applyAlignment="1">
      <alignment horizontal="center" vertical="center"/>
    </xf>
    <xf numFmtId="0" fontId="23" fillId="14" borderId="1" xfId="0" applyFont="1" applyFill="1" applyBorder="1" applyAlignment="1">
      <alignment horizontal="left" vertical="center"/>
    </xf>
    <xf numFmtId="0" fontId="23" fillId="0" borderId="0" xfId="0" applyFont="1" applyAlignment="1">
      <alignment horizontal="left" vertical="center"/>
    </xf>
    <xf numFmtId="0" fontId="5" fillId="0" borderId="0" xfId="0" applyFont="1" applyAlignment="1">
      <alignment horizontal="right"/>
    </xf>
    <xf numFmtId="0" fontId="23" fillId="0" borderId="0" xfId="0" applyFont="1" applyAlignment="1">
      <alignment horizontal="center"/>
    </xf>
    <xf numFmtId="0" fontId="6" fillId="15" borderId="1" xfId="0" applyFont="1" applyFill="1" applyBorder="1" applyAlignment="1">
      <alignment horizontal="center"/>
    </xf>
    <xf numFmtId="181" fontId="24" fillId="14" borderId="12" xfId="0" applyNumberFormat="1" applyFont="1" applyFill="1" applyBorder="1"/>
    <xf numFmtId="0" fontId="72" fillId="0" borderId="0" xfId="0" applyFont="1" applyAlignment="1">
      <alignment horizontal="right"/>
    </xf>
    <xf numFmtId="0" fontId="24" fillId="0" borderId="0" xfId="0" applyFont="1" applyAlignment="1">
      <alignment horizontal="center" wrapText="1"/>
    </xf>
    <xf numFmtId="0" fontId="24" fillId="0" borderId="35" xfId="0" applyFont="1" applyBorder="1" applyAlignment="1">
      <alignment horizontal="center"/>
    </xf>
    <xf numFmtId="0" fontId="24" fillId="0" borderId="94" xfId="0" applyFont="1" applyBorder="1" applyAlignment="1">
      <alignment horizontal="center"/>
    </xf>
    <xf numFmtId="0" fontId="24" fillId="0" borderId="95" xfId="0" applyFont="1" applyBorder="1" applyAlignment="1">
      <alignment horizontal="center"/>
    </xf>
    <xf numFmtId="0" fontId="24" fillId="0" borderId="13" xfId="0" quotePrefix="1" applyFont="1" applyBorder="1" applyAlignment="1">
      <alignment horizontal="center"/>
    </xf>
    <xf numFmtId="0" fontId="24" fillId="0" borderId="15" xfId="0" applyFont="1" applyBorder="1" applyAlignment="1">
      <alignment horizontal="center"/>
    </xf>
    <xf numFmtId="0" fontId="24" fillId="0" borderId="15" xfId="0" quotePrefix="1" applyFont="1" applyBorder="1" applyAlignment="1">
      <alignment horizontal="center"/>
    </xf>
    <xf numFmtId="0" fontId="73" fillId="0" borderId="0" xfId="0" applyFont="1" applyAlignment="1">
      <alignment vertical="top"/>
    </xf>
    <xf numFmtId="0" fontId="5" fillId="15" borderId="1" xfId="0" applyFont="1" applyFill="1" applyBorder="1" applyAlignment="1">
      <alignment vertical="top"/>
    </xf>
    <xf numFmtId="165" fontId="5" fillId="14" borderId="97" xfId="0" applyNumberFormat="1" applyFont="1" applyFill="1" applyBorder="1" applyAlignment="1">
      <alignment vertical="top"/>
    </xf>
    <xf numFmtId="181" fontId="5" fillId="0" borderId="95" xfId="0" applyNumberFormat="1" applyFont="1" applyBorder="1" applyAlignment="1">
      <alignment vertical="center"/>
    </xf>
    <xf numFmtId="44" fontId="5" fillId="0" borderId="95" xfId="0" applyNumberFormat="1" applyFont="1" applyBorder="1" applyAlignment="1">
      <alignment vertical="center"/>
    </xf>
    <xf numFmtId="165" fontId="5" fillId="0" borderId="95" xfId="0" applyNumberFormat="1" applyFont="1" applyBorder="1" applyAlignment="1">
      <alignment vertical="center"/>
    </xf>
    <xf numFmtId="165" fontId="5" fillId="0" borderId="96" xfId="0" applyNumberFormat="1" applyFont="1" applyBorder="1" applyAlignment="1">
      <alignment vertical="center"/>
    </xf>
    <xf numFmtId="10" fontId="5" fillId="0" borderId="95" xfId="0" applyNumberFormat="1" applyFont="1" applyBorder="1" applyAlignment="1">
      <alignment vertical="center"/>
    </xf>
    <xf numFmtId="10" fontId="5" fillId="0" borderId="0" xfId="0" applyNumberFormat="1" applyFont="1" applyAlignment="1">
      <alignment vertical="center"/>
    </xf>
    <xf numFmtId="0" fontId="5" fillId="14" borderId="1" xfId="0" applyFont="1" applyFill="1" applyBorder="1" applyAlignment="1">
      <alignment vertical="top"/>
    </xf>
    <xf numFmtId="0" fontId="24" fillId="16" borderId="56" xfId="0" applyFont="1" applyFill="1" applyBorder="1" applyAlignment="1">
      <alignment vertical="top"/>
    </xf>
    <xf numFmtId="0" fontId="24" fillId="16" borderId="98" xfId="0" applyFont="1" applyFill="1" applyBorder="1" applyAlignment="1">
      <alignment vertical="top"/>
    </xf>
    <xf numFmtId="175" fontId="24" fillId="16" borderId="12" xfId="0" applyNumberFormat="1" applyFont="1" applyFill="1" applyBorder="1" applyAlignment="1">
      <alignment vertical="top"/>
    </xf>
    <xf numFmtId="0" fontId="24" fillId="16" borderId="99" xfId="0" applyFont="1" applyFill="1" applyBorder="1" applyAlignment="1">
      <alignment vertical="center"/>
    </xf>
    <xf numFmtId="165" fontId="24" fillId="16" borderId="99" xfId="0" applyNumberFormat="1" applyFont="1" applyFill="1" applyBorder="1" applyAlignment="1">
      <alignment vertical="center"/>
    </xf>
    <xf numFmtId="0" fontId="24" fillId="16" borderId="1" xfId="0" applyFont="1" applyFill="1" applyBorder="1" applyAlignment="1">
      <alignment vertical="center"/>
    </xf>
    <xf numFmtId="165" fontId="24" fillId="16" borderId="12" xfId="0" applyNumberFormat="1" applyFont="1" applyFill="1" applyBorder="1" applyAlignment="1">
      <alignment vertical="center"/>
    </xf>
    <xf numFmtId="10" fontId="24" fillId="16" borderId="99" xfId="0" applyNumberFormat="1" applyFont="1" applyFill="1" applyBorder="1" applyAlignment="1">
      <alignment vertical="center"/>
    </xf>
    <xf numFmtId="10" fontId="24" fillId="16" borderId="1" xfId="0" applyNumberFormat="1" applyFont="1" applyFill="1" applyBorder="1" applyAlignment="1">
      <alignment vertical="center"/>
    </xf>
    <xf numFmtId="175" fontId="5" fillId="14" borderId="97" xfId="0" applyNumberFormat="1" applyFont="1" applyFill="1" applyBorder="1" applyAlignment="1">
      <alignment vertical="top"/>
    </xf>
    <xf numFmtId="41" fontId="5" fillId="0" borderId="95" xfId="0" applyNumberFormat="1" applyFont="1" applyBorder="1" applyAlignment="1">
      <alignment vertical="center"/>
    </xf>
    <xf numFmtId="182" fontId="5" fillId="0" borderId="95" xfId="0" applyNumberFormat="1" applyFont="1" applyBorder="1" applyAlignment="1">
      <alignment vertical="center"/>
    </xf>
    <xf numFmtId="0" fontId="5" fillId="0" borderId="96" xfId="0" applyFont="1" applyBorder="1" applyAlignment="1">
      <alignment vertical="center"/>
    </xf>
    <xf numFmtId="183" fontId="5" fillId="14" borderId="97" xfId="0" applyNumberFormat="1" applyFont="1" applyFill="1" applyBorder="1" applyAlignment="1">
      <alignment vertical="top"/>
    </xf>
    <xf numFmtId="41" fontId="5" fillId="13" borderId="100" xfId="0" applyNumberFormat="1" applyFont="1" applyFill="1" applyBorder="1" applyAlignment="1">
      <alignment vertical="center"/>
    </xf>
    <xf numFmtId="175" fontId="5" fillId="4" borderId="97" xfId="0" applyNumberFormat="1" applyFont="1" applyFill="1" applyBorder="1" applyAlignment="1">
      <alignment vertical="center"/>
    </xf>
    <xf numFmtId="41" fontId="5" fillId="13" borderId="97" xfId="0" applyNumberFormat="1" applyFont="1" applyFill="1" applyBorder="1" applyAlignment="1">
      <alignment vertical="center"/>
    </xf>
    <xf numFmtId="0" fontId="5" fillId="16" borderId="98" xfId="0" applyFont="1" applyFill="1" applyBorder="1"/>
    <xf numFmtId="0" fontId="5" fillId="16" borderId="12" xfId="0" applyFont="1" applyFill="1" applyBorder="1"/>
    <xf numFmtId="41" fontId="5" fillId="16" borderId="99" xfId="0" applyNumberFormat="1" applyFont="1" applyFill="1" applyBorder="1" applyAlignment="1">
      <alignment vertical="center"/>
    </xf>
    <xf numFmtId="0" fontId="5" fillId="16" borderId="1" xfId="0" applyFont="1" applyFill="1" applyBorder="1" applyAlignment="1">
      <alignment vertical="center"/>
    </xf>
    <xf numFmtId="0" fontId="5" fillId="15" borderId="1" xfId="0" applyFont="1" applyFill="1" applyBorder="1" applyAlignment="1">
      <alignment vertical="center"/>
    </xf>
    <xf numFmtId="0" fontId="5" fillId="16" borderId="98" xfId="0" applyFont="1" applyFill="1" applyBorder="1" applyAlignment="1">
      <alignment vertical="top"/>
    </xf>
    <xf numFmtId="0" fontId="5" fillId="16" borderId="12" xfId="0" applyFont="1" applyFill="1" applyBorder="1" applyAlignment="1">
      <alignment vertical="top"/>
    </xf>
    <xf numFmtId="41" fontId="24" fillId="16" borderId="99" xfId="0" applyNumberFormat="1" applyFont="1" applyFill="1" applyBorder="1" applyAlignment="1">
      <alignment vertical="center"/>
    </xf>
    <xf numFmtId="175" fontId="5" fillId="0" borderId="96" xfId="0" applyNumberFormat="1" applyFont="1" applyBorder="1" applyAlignment="1">
      <alignment vertical="top"/>
    </xf>
    <xf numFmtId="41" fontId="3" fillId="13" borderId="97" xfId="0" applyNumberFormat="1" applyFont="1" applyFill="1" applyBorder="1" applyAlignment="1">
      <alignment horizontal="right" vertical="center" wrapText="1"/>
    </xf>
    <xf numFmtId="175" fontId="5" fillId="0" borderId="7" xfId="0" applyNumberFormat="1" applyFont="1" applyBorder="1" applyAlignment="1">
      <alignment vertical="top"/>
    </xf>
    <xf numFmtId="41" fontId="3" fillId="13" borderId="9" xfId="0" applyNumberFormat="1" applyFont="1" applyFill="1" applyBorder="1" applyAlignment="1">
      <alignment horizontal="right" vertical="center" wrapText="1"/>
    </xf>
    <xf numFmtId="0" fontId="5" fillId="17" borderId="101" xfId="0" applyFont="1" applyFill="1" applyBorder="1"/>
    <xf numFmtId="0" fontId="5" fillId="17" borderId="102" xfId="0" applyFont="1" applyFill="1" applyBorder="1" applyAlignment="1">
      <alignment vertical="top"/>
    </xf>
    <xf numFmtId="175" fontId="5" fillId="17" borderId="103" xfId="0" applyNumberFormat="1" applyFont="1" applyFill="1" applyBorder="1" applyAlignment="1">
      <alignment vertical="top"/>
    </xf>
    <xf numFmtId="0" fontId="5" fillId="17" borderId="103" xfId="0" applyFont="1" applyFill="1" applyBorder="1" applyAlignment="1">
      <alignment vertical="center"/>
    </xf>
    <xf numFmtId="165" fontId="5" fillId="17" borderId="102" xfId="0" applyNumberFormat="1" applyFont="1" applyFill="1" applyBorder="1" applyAlignment="1">
      <alignment vertical="center"/>
    </xf>
    <xf numFmtId="0" fontId="5" fillId="17" borderId="104" xfId="0" applyFont="1" applyFill="1" applyBorder="1" applyAlignment="1">
      <alignment vertical="center"/>
    </xf>
    <xf numFmtId="0" fontId="5" fillId="17" borderId="102" xfId="0" applyFont="1" applyFill="1" applyBorder="1" applyAlignment="1">
      <alignment vertical="center"/>
    </xf>
    <xf numFmtId="165" fontId="5" fillId="17" borderId="103" xfId="0" applyNumberFormat="1" applyFont="1" applyFill="1" applyBorder="1" applyAlignment="1">
      <alignment vertical="center"/>
    </xf>
    <xf numFmtId="10" fontId="5" fillId="17" borderId="105" xfId="0" applyNumberFormat="1" applyFont="1" applyFill="1" applyBorder="1" applyAlignment="1">
      <alignment vertical="center"/>
    </xf>
    <xf numFmtId="10" fontId="5" fillId="17" borderId="1" xfId="0" applyNumberFormat="1" applyFont="1" applyFill="1" applyBorder="1" applyAlignment="1">
      <alignment vertical="center"/>
    </xf>
    <xf numFmtId="0" fontId="24" fillId="0" borderId="0" xfId="0" applyFont="1" applyAlignment="1">
      <alignment vertical="top"/>
    </xf>
    <xf numFmtId="9" fontId="5" fillId="0" borderId="96" xfId="0" applyNumberFormat="1" applyFont="1" applyBorder="1" applyAlignment="1">
      <alignment vertical="top"/>
    </xf>
    <xf numFmtId="9" fontId="24" fillId="0" borderId="96" xfId="0" applyNumberFormat="1" applyFont="1" applyBorder="1" applyAlignment="1">
      <alignment vertical="center"/>
    </xf>
    <xf numFmtId="165" fontId="24" fillId="0" borderId="7" xfId="0" applyNumberFormat="1" applyFont="1" applyBorder="1" applyAlignment="1">
      <alignment vertical="center"/>
    </xf>
    <xf numFmtId="165" fontId="24" fillId="0" borderId="96" xfId="0" applyNumberFormat="1" applyFont="1" applyBorder="1" applyAlignment="1">
      <alignment vertical="center"/>
    </xf>
    <xf numFmtId="0" fontId="24" fillId="0" borderId="0" xfId="0" applyFont="1" applyAlignment="1">
      <alignment vertical="center"/>
    </xf>
    <xf numFmtId="10" fontId="24" fillId="0" borderId="95" xfId="0" applyNumberFormat="1" applyFont="1" applyBorder="1" applyAlignment="1">
      <alignment vertical="center"/>
    </xf>
    <xf numFmtId="10" fontId="24" fillId="0" borderId="0" xfId="0" applyNumberFormat="1" applyFont="1" applyAlignment="1">
      <alignment vertical="center"/>
    </xf>
    <xf numFmtId="0" fontId="5" fillId="0" borderId="0" xfId="0" applyFont="1" applyAlignment="1">
      <alignment horizontal="left" vertical="top"/>
    </xf>
    <xf numFmtId="9" fontId="5" fillId="0" borderId="96" xfId="0" applyNumberFormat="1" applyFont="1" applyBorder="1" applyAlignment="1">
      <alignment vertical="center"/>
    </xf>
    <xf numFmtId="0" fontId="24" fillId="0" borderId="0" xfId="0" applyFont="1" applyAlignment="1">
      <alignment horizontal="left" vertical="top"/>
    </xf>
    <xf numFmtId="0" fontId="5" fillId="0" borderId="96" xfId="0" applyFont="1" applyBorder="1" applyAlignment="1">
      <alignment vertical="top"/>
    </xf>
    <xf numFmtId="172" fontId="5" fillId="0" borderId="96" xfId="0" applyNumberFormat="1" applyFont="1" applyBorder="1" applyAlignment="1">
      <alignment vertical="top"/>
    </xf>
    <xf numFmtId="165" fontId="74" fillId="0" borderId="96" xfId="0" applyNumberFormat="1" applyFont="1" applyBorder="1" applyAlignment="1">
      <alignment vertical="center"/>
    </xf>
    <xf numFmtId="172" fontId="5" fillId="0" borderId="96" xfId="0" applyNumberFormat="1" applyFont="1" applyBorder="1" applyAlignment="1">
      <alignment vertical="center"/>
    </xf>
    <xf numFmtId="10" fontId="74" fillId="0" borderId="95" xfId="0" applyNumberFormat="1" applyFont="1" applyBorder="1" applyAlignment="1">
      <alignment vertical="center"/>
    </xf>
    <xf numFmtId="10" fontId="74" fillId="0" borderId="0" xfId="0" applyNumberFormat="1" applyFont="1" applyAlignment="1">
      <alignment vertical="center"/>
    </xf>
    <xf numFmtId="0" fontId="5" fillId="18" borderId="1" xfId="0" applyFont="1" applyFill="1" applyBorder="1" applyAlignment="1">
      <alignment vertical="top"/>
    </xf>
    <xf numFmtId="0" fontId="5" fillId="18" borderId="9" xfId="0" applyFont="1" applyFill="1" applyBorder="1" applyAlignment="1">
      <alignment vertical="top"/>
    </xf>
    <xf numFmtId="0" fontId="24" fillId="18" borderId="9" xfId="0" applyFont="1" applyFill="1" applyBorder="1" applyAlignment="1">
      <alignment vertical="center"/>
    </xf>
    <xf numFmtId="165" fontId="24" fillId="18" borderId="16" xfId="0" applyNumberFormat="1" applyFont="1" applyFill="1" applyBorder="1" applyAlignment="1">
      <alignment vertical="center"/>
    </xf>
    <xf numFmtId="0" fontId="24" fillId="18" borderId="85" xfId="0" applyFont="1" applyFill="1" applyBorder="1" applyAlignment="1">
      <alignment vertical="center"/>
    </xf>
    <xf numFmtId="165" fontId="24" fillId="18" borderId="9" xfId="0" applyNumberFormat="1" applyFont="1" applyFill="1" applyBorder="1" applyAlignment="1">
      <alignment vertical="center"/>
    </xf>
    <xf numFmtId="10" fontId="24" fillId="18" borderId="16" xfId="0" applyNumberFormat="1" applyFont="1" applyFill="1" applyBorder="1" applyAlignment="1">
      <alignment vertical="center"/>
    </xf>
    <xf numFmtId="10" fontId="24" fillId="18" borderId="1" xfId="0" applyNumberFormat="1" applyFont="1" applyFill="1" applyBorder="1" applyAlignment="1">
      <alignment vertical="center"/>
    </xf>
    <xf numFmtId="0" fontId="5" fillId="18" borderId="97" xfId="0" applyFont="1" applyFill="1" applyBorder="1" applyAlignment="1">
      <alignment vertical="top"/>
    </xf>
    <xf numFmtId="0" fontId="24" fillId="18" borderId="97" xfId="0" applyFont="1" applyFill="1" applyBorder="1" applyAlignment="1">
      <alignment vertical="center"/>
    </xf>
    <xf numFmtId="165" fontId="24" fillId="18" borderId="100" xfId="0" applyNumberFormat="1" applyFont="1" applyFill="1" applyBorder="1" applyAlignment="1">
      <alignment vertical="center"/>
    </xf>
    <xf numFmtId="0" fontId="24" fillId="18" borderId="1" xfId="0" applyFont="1" applyFill="1" applyBorder="1" applyAlignment="1">
      <alignment vertical="center"/>
    </xf>
    <xf numFmtId="165" fontId="24" fillId="18" borderId="97" xfId="0" applyNumberFormat="1" applyFont="1" applyFill="1" applyBorder="1" applyAlignment="1">
      <alignment vertical="center"/>
    </xf>
    <xf numFmtId="10" fontId="24" fillId="18" borderId="100" xfId="0" applyNumberFormat="1" applyFont="1" applyFill="1" applyBorder="1" applyAlignment="1">
      <alignment vertical="center"/>
    </xf>
    <xf numFmtId="175" fontId="5" fillId="17" borderId="106" xfId="0" applyNumberFormat="1" applyFont="1" applyFill="1" applyBorder="1" applyAlignment="1">
      <alignment vertical="top"/>
    </xf>
    <xf numFmtId="0" fontId="5" fillId="17" borderId="106" xfId="0" applyFont="1" applyFill="1" applyBorder="1" applyAlignment="1">
      <alignment vertical="center"/>
    </xf>
    <xf numFmtId="165" fontId="5" fillId="17" borderId="106" xfId="0" applyNumberFormat="1" applyFont="1" applyFill="1" applyBorder="1" applyAlignment="1">
      <alignment vertical="center"/>
    </xf>
    <xf numFmtId="184" fontId="5" fillId="14" borderId="12" xfId="0" applyNumberFormat="1" applyFont="1" applyFill="1" applyBorder="1"/>
    <xf numFmtId="0" fontId="75" fillId="0" borderId="0" xfId="0" applyFont="1"/>
    <xf numFmtId="0" fontId="5" fillId="13" borderId="1" xfId="0" applyFont="1" applyFill="1" applyBorder="1"/>
    <xf numFmtId="37" fontId="5" fillId="13" borderId="97" xfId="0" applyNumberFormat="1" applyFont="1" applyFill="1" applyBorder="1" applyAlignment="1">
      <alignment vertical="center"/>
    </xf>
    <xf numFmtId="0" fontId="24" fillId="0" borderId="96" xfId="0" applyFont="1" applyBorder="1" applyAlignment="1">
      <alignment vertical="center"/>
    </xf>
    <xf numFmtId="0" fontId="24" fillId="0" borderId="13" xfId="0" applyFont="1" applyBorder="1" applyAlignment="1">
      <alignment horizontal="center"/>
    </xf>
    <xf numFmtId="0" fontId="5" fillId="14" borderId="1" xfId="0" applyFont="1" applyFill="1" applyBorder="1" applyAlignment="1">
      <alignment vertical="top" wrapText="1"/>
    </xf>
    <xf numFmtId="0" fontId="5" fillId="0" borderId="7" xfId="0" applyFont="1" applyBorder="1" applyAlignment="1">
      <alignment vertical="center"/>
    </xf>
    <xf numFmtId="0" fontId="24" fillId="16" borderId="56" xfId="0" applyFont="1" applyFill="1" applyBorder="1" applyAlignment="1">
      <alignment vertical="top" wrapText="1"/>
    </xf>
    <xf numFmtId="0" fontId="5" fillId="0" borderId="0" xfId="0" applyFont="1" applyAlignment="1">
      <alignment vertical="center" wrapText="1"/>
    </xf>
    <xf numFmtId="0" fontId="5" fillId="0" borderId="0" xfId="0" applyFont="1" applyAlignment="1">
      <alignment vertical="top" wrapText="1"/>
    </xf>
    <xf numFmtId="9" fontId="5" fillId="0" borderId="0" xfId="0" applyNumberFormat="1" applyFont="1" applyAlignment="1">
      <alignment vertical="center"/>
    </xf>
    <xf numFmtId="165" fontId="5" fillId="0" borderId="7" xfId="0" applyNumberFormat="1" applyFont="1" applyBorder="1" applyAlignment="1">
      <alignment vertical="center"/>
    </xf>
    <xf numFmtId="0" fontId="24" fillId="0" borderId="0" xfId="0" applyFont="1" applyAlignment="1">
      <alignment horizontal="left" vertical="top" wrapText="1"/>
    </xf>
    <xf numFmtId="165" fontId="74" fillId="0" borderId="7" xfId="0" applyNumberFormat="1" applyFont="1" applyBorder="1" applyAlignment="1">
      <alignment vertical="center"/>
    </xf>
    <xf numFmtId="0" fontId="5" fillId="18" borderId="85" xfId="0" applyFont="1" applyFill="1" applyBorder="1" applyAlignment="1">
      <alignment vertical="center"/>
    </xf>
    <xf numFmtId="165" fontId="24" fillId="18" borderId="107" xfId="0" applyNumberFormat="1" applyFont="1" applyFill="1" applyBorder="1" applyAlignment="1">
      <alignment vertical="center"/>
    </xf>
    <xf numFmtId="0" fontId="5" fillId="18" borderId="1" xfId="0" applyFont="1" applyFill="1" applyBorder="1" applyAlignment="1">
      <alignment vertical="center"/>
    </xf>
    <xf numFmtId="165" fontId="24" fillId="18" borderId="108" xfId="0" applyNumberFormat="1" applyFont="1" applyFill="1" applyBorder="1" applyAlignment="1">
      <alignment vertical="center"/>
    </xf>
    <xf numFmtId="165" fontId="5" fillId="17" borderId="109" xfId="0" applyNumberFormat="1" applyFont="1" applyFill="1" applyBorder="1" applyAlignment="1">
      <alignment vertical="center"/>
    </xf>
    <xf numFmtId="165" fontId="5" fillId="0" borderId="95" xfId="0" applyNumberFormat="1" applyFont="1" applyBorder="1" applyAlignment="1">
      <alignment horizontal="right" vertical="center"/>
    </xf>
    <xf numFmtId="0" fontId="23" fillId="14" borderId="1" xfId="0" applyFont="1" applyFill="1" applyBorder="1" applyAlignment="1">
      <alignment horizontal="center" vertical="center"/>
    </xf>
    <xf numFmtId="0" fontId="24" fillId="16" borderId="12" xfId="0" applyFont="1" applyFill="1" applyBorder="1" applyAlignment="1">
      <alignment vertical="center"/>
    </xf>
    <xf numFmtId="0" fontId="5" fillId="16" borderId="12" xfId="0" applyFont="1" applyFill="1" applyBorder="1" applyAlignment="1">
      <alignment vertical="center"/>
    </xf>
    <xf numFmtId="165" fontId="24" fillId="0" borderId="14" xfId="0" applyNumberFormat="1" applyFont="1" applyBorder="1" applyAlignment="1">
      <alignment vertical="center"/>
    </xf>
    <xf numFmtId="0" fontId="5" fillId="17" borderId="110" xfId="0" applyFont="1" applyFill="1" applyBorder="1"/>
    <xf numFmtId="0" fontId="5" fillId="17" borderId="111" xfId="0" applyFont="1" applyFill="1" applyBorder="1" applyAlignment="1">
      <alignment vertical="top"/>
    </xf>
    <xf numFmtId="0" fontId="23" fillId="14" borderId="1" xfId="0" applyFont="1" applyFill="1" applyBorder="1" applyAlignment="1">
      <alignment vertical="center"/>
    </xf>
    <xf numFmtId="0" fontId="5" fillId="14" borderId="1" xfId="0" applyFont="1" applyFill="1" applyBorder="1"/>
    <xf numFmtId="181" fontId="5" fillId="13" borderId="97" xfId="0" applyNumberFormat="1" applyFont="1" applyFill="1" applyBorder="1" applyAlignment="1">
      <alignment vertical="center"/>
    </xf>
    <xf numFmtId="1" fontId="5" fillId="13" borderId="97" xfId="0" applyNumberFormat="1" applyFont="1" applyFill="1" applyBorder="1" applyAlignment="1">
      <alignment vertical="center"/>
    </xf>
    <xf numFmtId="185" fontId="5" fillId="14" borderId="97" xfId="0" applyNumberFormat="1" applyFont="1" applyFill="1" applyBorder="1" applyAlignment="1">
      <alignment vertical="top"/>
    </xf>
    <xf numFmtId="175" fontId="5" fillId="0" borderId="95" xfId="0" applyNumberFormat="1" applyFont="1" applyBorder="1" applyAlignment="1">
      <alignment vertical="center"/>
    </xf>
    <xf numFmtId="1" fontId="5" fillId="4" borderId="97" xfId="0" applyNumberFormat="1" applyFont="1" applyFill="1" applyBorder="1" applyAlignment="1">
      <alignment vertical="center"/>
    </xf>
    <xf numFmtId="165" fontId="74" fillId="11" borderId="100" xfId="0" applyNumberFormat="1" applyFont="1" applyFill="1" applyBorder="1" applyAlignment="1">
      <alignment vertical="center"/>
    </xf>
    <xf numFmtId="0" fontId="76" fillId="0" borderId="0" xfId="0" applyFont="1"/>
    <xf numFmtId="0" fontId="77" fillId="0" borderId="0" xfId="0" applyFont="1" applyAlignment="1">
      <alignment vertical="top"/>
    </xf>
    <xf numFmtId="0" fontId="76" fillId="0" borderId="0" xfId="0" applyFont="1" applyAlignment="1">
      <alignment vertical="top"/>
    </xf>
    <xf numFmtId="9" fontId="76" fillId="0" borderId="96" xfId="0" applyNumberFormat="1" applyFont="1" applyBorder="1" applyAlignment="1">
      <alignment vertical="top"/>
    </xf>
    <xf numFmtId="9" fontId="76" fillId="0" borderId="0" xfId="0" applyNumberFormat="1" applyFont="1" applyAlignment="1">
      <alignment vertical="center"/>
    </xf>
    <xf numFmtId="165" fontId="77" fillId="0" borderId="7" xfId="0" applyNumberFormat="1" applyFont="1" applyBorder="1" applyAlignment="1">
      <alignment vertical="center"/>
    </xf>
    <xf numFmtId="0" fontId="77" fillId="0" borderId="96" xfId="0" applyFont="1" applyBorder="1" applyAlignment="1">
      <alignment vertical="center"/>
    </xf>
    <xf numFmtId="9" fontId="77" fillId="0" borderId="96" xfId="0" applyNumberFormat="1" applyFont="1" applyBorder="1" applyAlignment="1">
      <alignment vertical="center"/>
    </xf>
    <xf numFmtId="0" fontId="77" fillId="0" borderId="0" xfId="0" applyFont="1" applyAlignment="1">
      <alignment vertical="center"/>
    </xf>
    <xf numFmtId="165" fontId="77" fillId="0" borderId="96" xfId="0" applyNumberFormat="1" applyFont="1" applyBorder="1" applyAlignment="1">
      <alignment vertical="center"/>
    </xf>
    <xf numFmtId="10" fontId="77" fillId="0" borderId="95" xfId="0" applyNumberFormat="1" applyFont="1" applyBorder="1" applyAlignment="1">
      <alignment vertical="center"/>
    </xf>
    <xf numFmtId="10" fontId="77" fillId="0" borderId="0" xfId="0" applyNumberFormat="1" applyFont="1" applyAlignment="1">
      <alignment vertical="center"/>
    </xf>
    <xf numFmtId="0" fontId="76" fillId="0" borderId="0" xfId="0" applyFont="1" applyAlignment="1">
      <alignment horizontal="left" vertical="top"/>
    </xf>
    <xf numFmtId="165" fontId="76" fillId="0" borderId="7" xfId="0" applyNumberFormat="1" applyFont="1" applyBorder="1" applyAlignment="1">
      <alignment vertical="center"/>
    </xf>
    <xf numFmtId="0" fontId="76" fillId="0" borderId="96" xfId="0" applyFont="1" applyBorder="1" applyAlignment="1">
      <alignment vertical="center"/>
    </xf>
    <xf numFmtId="9" fontId="76" fillId="0" borderId="96" xfId="0" applyNumberFormat="1" applyFont="1" applyBorder="1" applyAlignment="1">
      <alignment vertical="center"/>
    </xf>
    <xf numFmtId="165" fontId="76" fillId="0" borderId="95" xfId="0" applyNumberFormat="1" applyFont="1" applyBorder="1" applyAlignment="1">
      <alignment vertical="center"/>
    </xf>
    <xf numFmtId="0" fontId="76" fillId="0" borderId="0" xfId="0" applyFont="1" applyAlignment="1">
      <alignment vertical="center"/>
    </xf>
    <xf numFmtId="165" fontId="76" fillId="0" borderId="96" xfId="0" applyNumberFormat="1" applyFont="1" applyBorder="1" applyAlignment="1">
      <alignment vertical="center"/>
    </xf>
    <xf numFmtId="10" fontId="76" fillId="0" borderId="95" xfId="0" applyNumberFormat="1" applyFont="1" applyBorder="1" applyAlignment="1">
      <alignment vertical="center"/>
    </xf>
    <xf numFmtId="10" fontId="76" fillId="0" borderId="0" xfId="0" applyNumberFormat="1" applyFont="1" applyAlignment="1">
      <alignment vertical="center"/>
    </xf>
    <xf numFmtId="0" fontId="77" fillId="0" borderId="0" xfId="0" applyFont="1" applyAlignment="1">
      <alignment horizontal="left" vertical="top"/>
    </xf>
    <xf numFmtId="0" fontId="76" fillId="0" borderId="96" xfId="0" applyFont="1" applyBorder="1" applyAlignment="1">
      <alignment vertical="top"/>
    </xf>
    <xf numFmtId="165" fontId="79" fillId="0" borderId="7" xfId="0" applyNumberFormat="1" applyFont="1" applyBorder="1" applyAlignment="1">
      <alignment vertical="center"/>
    </xf>
    <xf numFmtId="165" fontId="79" fillId="11" borderId="100" xfId="0" applyNumberFormat="1" applyFont="1" applyFill="1" applyBorder="1" applyAlignment="1">
      <alignment vertical="center"/>
    </xf>
    <xf numFmtId="165" fontId="79" fillId="0" borderId="96" xfId="0" applyNumberFormat="1" applyFont="1" applyBorder="1" applyAlignment="1">
      <alignment vertical="center"/>
    </xf>
    <xf numFmtId="10" fontId="79" fillId="0" borderId="95" xfId="0" applyNumberFormat="1" applyFont="1" applyBorder="1" applyAlignment="1">
      <alignment vertical="center"/>
    </xf>
    <xf numFmtId="10" fontId="79" fillId="0" borderId="0" xfId="0" applyNumberFormat="1" applyFont="1" applyAlignment="1">
      <alignment vertical="center"/>
    </xf>
    <xf numFmtId="0" fontId="76" fillId="18" borderId="1" xfId="0" applyFont="1" applyFill="1" applyBorder="1" applyAlignment="1">
      <alignment vertical="top"/>
    </xf>
    <xf numFmtId="0" fontId="76" fillId="18" borderId="97" xfId="0" applyFont="1" applyFill="1" applyBorder="1" applyAlignment="1">
      <alignment vertical="top"/>
    </xf>
    <xf numFmtId="0" fontId="76" fillId="18" borderId="1" xfId="0" applyFont="1" applyFill="1" applyBorder="1" applyAlignment="1">
      <alignment vertical="center"/>
    </xf>
    <xf numFmtId="165" fontId="77" fillId="18" borderId="108" xfId="0" applyNumberFormat="1" applyFont="1" applyFill="1" applyBorder="1" applyAlignment="1">
      <alignment vertical="center"/>
    </xf>
    <xf numFmtId="0" fontId="77" fillId="18" borderId="97" xfId="0" applyFont="1" applyFill="1" applyBorder="1" applyAlignment="1">
      <alignment vertical="center"/>
    </xf>
    <xf numFmtId="165" fontId="77" fillId="18" borderId="100" xfId="0" applyNumberFormat="1" applyFont="1" applyFill="1" applyBorder="1" applyAlignment="1">
      <alignment vertical="center"/>
    </xf>
    <xf numFmtId="0" fontId="77" fillId="18" borderId="1" xfId="0" applyFont="1" applyFill="1" applyBorder="1" applyAlignment="1">
      <alignment vertical="center"/>
    </xf>
    <xf numFmtId="165" fontId="77" fillId="18" borderId="97" xfId="0" applyNumberFormat="1" applyFont="1" applyFill="1" applyBorder="1" applyAlignment="1">
      <alignment vertical="center"/>
    </xf>
    <xf numFmtId="10" fontId="77" fillId="18" borderId="100" xfId="0" applyNumberFormat="1" applyFont="1" applyFill="1" applyBorder="1" applyAlignment="1">
      <alignment vertical="center"/>
    </xf>
    <xf numFmtId="10" fontId="77" fillId="18" borderId="1" xfId="0" applyNumberFormat="1" applyFont="1" applyFill="1" applyBorder="1" applyAlignment="1">
      <alignment vertical="center"/>
    </xf>
    <xf numFmtId="0" fontId="27" fillId="0" borderId="0" xfId="0" applyFont="1"/>
    <xf numFmtId="0" fontId="80" fillId="0" borderId="0" xfId="0" applyFont="1"/>
    <xf numFmtId="0" fontId="81" fillId="0" borderId="0" xfId="0" applyFont="1"/>
    <xf numFmtId="0" fontId="77" fillId="0" borderId="0" xfId="0" applyFont="1" applyAlignment="1">
      <alignment horizontal="left" vertical="top" wrapText="1"/>
    </xf>
    <xf numFmtId="0" fontId="82" fillId="0" borderId="0" xfId="0" applyFont="1"/>
    <xf numFmtId="0" fontId="83" fillId="0" borderId="0" xfId="0" applyFont="1"/>
    <xf numFmtId="0" fontId="83" fillId="16" borderId="98" xfId="0" applyFont="1" applyFill="1" applyBorder="1" applyAlignment="1">
      <alignment vertical="top"/>
    </xf>
    <xf numFmtId="175" fontId="5" fillId="4" borderId="97" xfId="0" applyNumberFormat="1" applyFont="1" applyFill="1" applyBorder="1" applyAlignment="1">
      <alignment vertical="top"/>
    </xf>
    <xf numFmtId="0" fontId="82" fillId="16" borderId="98" xfId="0" applyFont="1" applyFill="1" applyBorder="1"/>
    <xf numFmtId="0" fontId="82" fillId="16" borderId="98" xfId="0" applyFont="1" applyFill="1" applyBorder="1" applyAlignment="1">
      <alignment vertical="top"/>
    </xf>
    <xf numFmtId="0" fontId="82" fillId="17" borderId="102" xfId="0" applyFont="1" applyFill="1" applyBorder="1" applyAlignment="1">
      <alignment vertical="top"/>
    </xf>
    <xf numFmtId="0" fontId="82" fillId="0" borderId="0" xfId="0" applyFont="1" applyAlignment="1">
      <alignment vertical="top"/>
    </xf>
    <xf numFmtId="0" fontId="84" fillId="0" borderId="0" xfId="0" applyFont="1" applyAlignment="1">
      <alignment vertical="top"/>
    </xf>
    <xf numFmtId="0" fontId="85" fillId="0" borderId="0" xfId="0" applyFont="1"/>
    <xf numFmtId="186" fontId="24" fillId="14" borderId="12" xfId="0" applyNumberFormat="1" applyFont="1" applyFill="1" applyBorder="1"/>
    <xf numFmtId="0" fontId="19" fillId="0" borderId="0" xfId="0" applyFont="1" applyAlignment="1">
      <alignment horizontal="center"/>
    </xf>
    <xf numFmtId="187" fontId="5" fillId="14" borderId="97" xfId="0" applyNumberFormat="1" applyFont="1" applyFill="1" applyBorder="1" applyAlignment="1">
      <alignment vertical="top"/>
    </xf>
    <xf numFmtId="188" fontId="5" fillId="0" borderId="95" xfId="0" applyNumberFormat="1" applyFont="1" applyBorder="1" applyAlignment="1">
      <alignment vertical="center"/>
    </xf>
    <xf numFmtId="182" fontId="5" fillId="14" borderId="97" xfId="0" applyNumberFormat="1" applyFont="1" applyFill="1" applyBorder="1" applyAlignment="1">
      <alignment vertical="top"/>
    </xf>
    <xf numFmtId="0" fontId="3" fillId="0" borderId="0" xfId="0" applyFont="1" applyAlignment="1">
      <alignment horizontal="right" vertical="center" wrapText="1"/>
    </xf>
    <xf numFmtId="0" fontId="65" fillId="0" borderId="0" xfId="0" applyFont="1" applyAlignment="1">
      <alignment vertical="center"/>
    </xf>
    <xf numFmtId="0" fontId="65" fillId="0" borderId="0" xfId="0" applyFont="1"/>
    <xf numFmtId="0" fontId="65" fillId="0" borderId="0" xfId="0" applyFont="1" applyAlignment="1">
      <alignment wrapText="1"/>
    </xf>
    <xf numFmtId="3" fontId="5" fillId="13" borderId="97" xfId="0" applyNumberFormat="1" applyFont="1" applyFill="1" applyBorder="1" applyAlignment="1">
      <alignment vertical="center"/>
    </xf>
    <xf numFmtId="3" fontId="5" fillId="0" borderId="96" xfId="0" applyNumberFormat="1" applyFont="1" applyBorder="1" applyAlignment="1">
      <alignment vertical="center"/>
    </xf>
    <xf numFmtId="0" fontId="3" fillId="19" borderId="112" xfId="0" applyFont="1" applyFill="1" applyBorder="1" applyAlignment="1">
      <alignment horizontal="right" vertical="center" wrapText="1"/>
    </xf>
    <xf numFmtId="0" fontId="57" fillId="0" borderId="0" xfId="0" applyFont="1"/>
    <xf numFmtId="0" fontId="86" fillId="0" borderId="0" xfId="0" applyFont="1"/>
    <xf numFmtId="0" fontId="87" fillId="0" borderId="0" xfId="0" applyFont="1" applyAlignment="1">
      <alignment vertical="top"/>
    </xf>
    <xf numFmtId="0" fontId="86" fillId="16" borderId="98" xfId="0" applyFont="1" applyFill="1" applyBorder="1" applyAlignment="1">
      <alignment vertical="top"/>
    </xf>
    <xf numFmtId="0" fontId="57" fillId="0" borderId="0" xfId="0" applyFont="1" applyAlignment="1">
      <alignment vertical="top"/>
    </xf>
    <xf numFmtId="0" fontId="57" fillId="16" borderId="98" xfId="0" applyFont="1" applyFill="1" applyBorder="1"/>
    <xf numFmtId="0" fontId="57" fillId="16" borderId="98" xfId="0" applyFont="1" applyFill="1" applyBorder="1" applyAlignment="1">
      <alignment vertical="top"/>
    </xf>
    <xf numFmtId="0" fontId="57" fillId="17" borderId="102" xfId="0" applyFont="1" applyFill="1" applyBorder="1" applyAlignment="1">
      <alignment vertical="top"/>
    </xf>
    <xf numFmtId="182" fontId="5" fillId="14" borderId="97" xfId="0" applyNumberFormat="1" applyFont="1" applyFill="1" applyBorder="1" applyAlignment="1">
      <alignment horizontal="right" vertical="top"/>
    </xf>
    <xf numFmtId="0" fontId="7" fillId="3" borderId="3" xfId="0" applyFont="1" applyFill="1" applyBorder="1" applyAlignment="1">
      <alignment horizontal="center" vertical="center" wrapText="1"/>
    </xf>
    <xf numFmtId="0" fontId="8" fillId="0" borderId="4" xfId="0" applyFont="1" applyBorder="1"/>
    <xf numFmtId="0" fontId="8" fillId="0" borderId="5" xfId="0" applyFont="1" applyBorder="1"/>
    <xf numFmtId="0" fontId="2" fillId="3" borderId="6" xfId="0" applyFont="1" applyFill="1" applyBorder="1" applyAlignment="1">
      <alignment horizontal="center" vertical="center" wrapText="1"/>
    </xf>
    <xf numFmtId="0" fontId="8" fillId="0" borderId="8" xfId="0" applyFont="1" applyBorder="1"/>
    <xf numFmtId="0" fontId="13" fillId="0" borderId="10" xfId="0" applyFont="1" applyBorder="1" applyAlignment="1">
      <alignment horizontal="left" vertical="center" wrapText="1"/>
    </xf>
    <xf numFmtId="0" fontId="8" fillId="0" borderId="11" xfId="0" applyFont="1" applyBorder="1"/>
    <xf numFmtId="0" fontId="8" fillId="0" borderId="14" xfId="0" applyFont="1" applyBorder="1"/>
    <xf numFmtId="0" fontId="20" fillId="4" borderId="17" xfId="0" applyFont="1" applyFill="1" applyBorder="1" applyAlignment="1">
      <alignment horizontal="center" vertical="top" wrapText="1"/>
    </xf>
    <xf numFmtId="0" fontId="8" fillId="0" borderId="18" xfId="0" applyFont="1" applyBorder="1"/>
    <xf numFmtId="0" fontId="8" fillId="0" borderId="19" xfId="0" applyFont="1" applyBorder="1"/>
    <xf numFmtId="0" fontId="22" fillId="4" borderId="17" xfId="0" applyFont="1" applyFill="1" applyBorder="1" applyAlignment="1">
      <alignment horizontal="center" vertical="top" wrapText="1"/>
    </xf>
    <xf numFmtId="0" fontId="23" fillId="4" borderId="17" xfId="0" applyFont="1" applyFill="1" applyBorder="1" applyAlignment="1">
      <alignment horizontal="center" vertical="top" wrapText="1"/>
    </xf>
    <xf numFmtId="0" fontId="24" fillId="4" borderId="17" xfId="0" applyFont="1" applyFill="1" applyBorder="1" applyAlignment="1">
      <alignment horizontal="center" vertical="top" wrapText="1"/>
    </xf>
    <xf numFmtId="0" fontId="25" fillId="4" borderId="17" xfId="0" applyFont="1" applyFill="1" applyBorder="1" applyAlignment="1">
      <alignment horizontal="right" vertical="top" wrapText="1"/>
    </xf>
    <xf numFmtId="0" fontId="22" fillId="4" borderId="17" xfId="0" applyFont="1" applyFill="1" applyBorder="1" applyAlignment="1">
      <alignment horizontal="left" vertical="top" wrapText="1"/>
    </xf>
    <xf numFmtId="0" fontId="18" fillId="4" borderId="17" xfId="0" applyFont="1" applyFill="1" applyBorder="1" applyAlignment="1">
      <alignment horizontal="left" vertical="top" wrapText="1"/>
    </xf>
    <xf numFmtId="0" fontId="24" fillId="4" borderId="17" xfId="0" applyFont="1" applyFill="1" applyBorder="1" applyAlignment="1">
      <alignment horizontal="left" vertical="top"/>
    </xf>
    <xf numFmtId="0" fontId="24" fillId="4" borderId="17" xfId="0" applyFont="1" applyFill="1" applyBorder="1" applyAlignment="1">
      <alignment horizontal="left"/>
    </xf>
    <xf numFmtId="0" fontId="10" fillId="4" borderId="21" xfId="0" applyFont="1" applyFill="1" applyBorder="1" applyAlignment="1">
      <alignment horizontal="left" wrapText="1"/>
    </xf>
    <xf numFmtId="0" fontId="8" fillId="0" borderId="22" xfId="0" applyFont="1" applyBorder="1"/>
    <xf numFmtId="0" fontId="27" fillId="4" borderId="17" xfId="0" applyFont="1" applyFill="1" applyBorder="1" applyAlignment="1">
      <alignment horizontal="left" vertical="top" wrapText="1"/>
    </xf>
    <xf numFmtId="0" fontId="10" fillId="4" borderId="21" xfId="0" applyFont="1" applyFill="1" applyBorder="1" applyAlignment="1">
      <alignment horizontal="left" vertical="center" wrapText="1"/>
    </xf>
    <xf numFmtId="0" fontId="10" fillId="4" borderId="17" xfId="0" applyFont="1" applyFill="1" applyBorder="1" applyAlignment="1">
      <alignment horizontal="left" wrapText="1"/>
    </xf>
    <xf numFmtId="0" fontId="18" fillId="4" borderId="26" xfId="0" applyFont="1" applyFill="1" applyBorder="1" applyAlignment="1">
      <alignment horizontal="left" vertical="top" wrapText="1"/>
    </xf>
    <xf numFmtId="0" fontId="10" fillId="4" borderId="26" xfId="0" applyFont="1" applyFill="1" applyBorder="1" applyAlignment="1">
      <alignment horizontal="left" vertical="center" wrapText="1"/>
    </xf>
    <xf numFmtId="0" fontId="8" fillId="0" borderId="27" xfId="0" applyFont="1" applyBorder="1"/>
    <xf numFmtId="0" fontId="18" fillId="4" borderId="21" xfId="0" applyFont="1" applyFill="1" applyBorder="1" applyAlignment="1">
      <alignment horizontal="left" vertical="top" wrapText="1"/>
    </xf>
    <xf numFmtId="0" fontId="8" fillId="0" borderId="28" xfId="0" applyFont="1" applyBorder="1"/>
    <xf numFmtId="15" fontId="19" fillId="4" borderId="17" xfId="0" applyNumberFormat="1" applyFont="1" applyFill="1" applyBorder="1" applyAlignment="1">
      <alignment horizontal="left" vertical="top" wrapText="1"/>
    </xf>
    <xf numFmtId="0" fontId="10" fillId="4" borderId="17" xfId="0" applyFont="1" applyFill="1" applyBorder="1" applyAlignment="1">
      <alignment horizontal="left" vertical="top" wrapText="1"/>
    </xf>
    <xf numFmtId="0" fontId="50" fillId="0" borderId="36" xfId="0" applyFont="1" applyBorder="1" applyAlignment="1">
      <alignment horizontal="center" vertical="center" wrapText="1"/>
    </xf>
    <xf numFmtId="0" fontId="8" fillId="0" borderId="46" xfId="0" applyFont="1" applyBorder="1"/>
    <xf numFmtId="0" fontId="8" fillId="0" borderId="60" xfId="0" applyFont="1" applyBorder="1"/>
    <xf numFmtId="0" fontId="35" fillId="2" borderId="21" xfId="0" applyFont="1" applyFill="1" applyBorder="1" applyAlignment="1">
      <alignment horizontal="center" vertical="center" wrapText="1"/>
    </xf>
    <xf numFmtId="0" fontId="33" fillId="0" borderId="0" xfId="0" applyFont="1" applyAlignment="1">
      <alignment horizontal="center" vertical="center" wrapText="1"/>
    </xf>
    <xf numFmtId="0" fontId="0" fillId="0" borderId="0" xfId="0" applyFont="1" applyAlignment="1"/>
    <xf numFmtId="0" fontId="50" fillId="0" borderId="70" xfId="0" applyFont="1" applyBorder="1" applyAlignment="1">
      <alignment horizontal="center" vertical="center" wrapText="1"/>
    </xf>
    <xf numFmtId="0" fontId="8" fillId="0" borderId="70" xfId="0" applyFont="1" applyBorder="1"/>
    <xf numFmtId="0" fontId="8" fillId="0" borderId="72" xfId="0" applyFont="1" applyBorder="1"/>
    <xf numFmtId="0" fontId="24" fillId="0" borderId="10" xfId="0" applyFont="1" applyBorder="1" applyAlignment="1">
      <alignment horizontal="center"/>
    </xf>
    <xf numFmtId="0" fontId="19" fillId="0" borderId="10" xfId="0" applyFont="1" applyBorder="1" applyAlignment="1">
      <alignment horizontal="center"/>
    </xf>
    <xf numFmtId="0" fontId="24" fillId="0" borderId="96" xfId="0" applyFont="1" applyBorder="1" applyAlignment="1">
      <alignment horizontal="center" wrapText="1"/>
    </xf>
    <xf numFmtId="0" fontId="8" fillId="0" borderId="13" xfId="0" applyFont="1" applyBorder="1"/>
    <xf numFmtId="0" fontId="24" fillId="0" borderId="95" xfId="0" applyFont="1" applyBorder="1" applyAlignment="1">
      <alignment horizontal="center" wrapText="1"/>
    </xf>
    <xf numFmtId="0" fontId="8" fillId="0" borderId="15" xfId="0" applyFont="1" applyBorder="1"/>
    <xf numFmtId="0" fontId="61" fillId="0" borderId="0" xfId="0" applyFont="1" applyAlignment="1">
      <alignment horizontal="left" vertical="top" wrapText="1"/>
    </xf>
    <xf numFmtId="0" fontId="24" fillId="18" borderId="21" xfId="0" applyFont="1" applyFill="1" applyBorder="1" applyAlignment="1">
      <alignment horizontal="left" vertical="top" wrapText="1"/>
    </xf>
    <xf numFmtId="0" fontId="70" fillId="0" borderId="29" xfId="0" applyFont="1" applyBorder="1" applyAlignment="1">
      <alignment horizontal="center"/>
    </xf>
    <xf numFmtId="0" fontId="8" fillId="0" borderId="30" xfId="0" applyFont="1" applyBorder="1"/>
    <xf numFmtId="0" fontId="8" fillId="0" borderId="31" xfId="0" applyFont="1" applyBorder="1"/>
    <xf numFmtId="0" fontId="24" fillId="0" borderId="91" xfId="0" applyFont="1" applyBorder="1" applyAlignment="1">
      <alignment horizontal="center"/>
    </xf>
    <xf numFmtId="0" fontId="8" fillId="0" borderId="92" xfId="0" applyFont="1" applyBorder="1"/>
    <xf numFmtId="0" fontId="8" fillId="0" borderId="93" xfId="0" applyFont="1" applyBorder="1"/>
    <xf numFmtId="0" fontId="24" fillId="0" borderId="0" xfId="0" applyFont="1" applyAlignment="1">
      <alignment horizontal="center" wrapText="1"/>
    </xf>
    <xf numFmtId="0" fontId="24" fillId="0" borderId="29" xfId="0" applyFont="1" applyBorder="1" applyAlignment="1">
      <alignment horizontal="center"/>
    </xf>
    <xf numFmtId="0" fontId="78" fillId="0" borderId="0" xfId="0" applyFont="1" applyAlignment="1">
      <alignment horizontal="left" vertical="top" wrapText="1"/>
    </xf>
    <xf numFmtId="0" fontId="77" fillId="18" borderId="21" xfId="0" applyFont="1" applyFill="1" applyBorder="1" applyAlignment="1">
      <alignment horizontal="left" vertical="top" wrapText="1"/>
    </xf>
    <xf numFmtId="0" fontId="24" fillId="0" borderId="96" xfId="0" applyFont="1" applyBorder="1" applyAlignment="1">
      <alignment horizontal="center"/>
    </xf>
    <xf numFmtId="0" fontId="24" fillId="0" borderId="95" xfId="0" applyFont="1" applyBorder="1" applyAlignment="1">
      <alignment horizontal="center"/>
    </xf>
    <xf numFmtId="0" fontId="61" fillId="0" borderId="0" xfId="0" applyFont="1" applyAlignment="1">
      <alignment horizontal="left" vertical="top"/>
    </xf>
    <xf numFmtId="0" fontId="24" fillId="18" borderId="21" xfId="0" applyFont="1" applyFill="1" applyBorder="1" applyAlignment="1">
      <alignment horizontal="left" vertical="top"/>
    </xf>
    <xf numFmtId="0" fontId="78" fillId="0" borderId="0" xfId="0" applyFont="1" applyAlignment="1">
      <alignment horizontal="left" vertical="top"/>
    </xf>
    <xf numFmtId="0" fontId="77" fillId="18" borderId="21" xfId="0" applyFont="1" applyFill="1" applyBorder="1" applyAlignment="1">
      <alignment horizontal="left" vertical="top"/>
    </xf>
    <xf numFmtId="0" fontId="2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customschemas.google.com/relationships/workbookmetadata" Target="metadata"/><Relationship Id="rId20" Type="http://schemas.openxmlformats.org/officeDocument/2006/relationships/worksheet" Target="worksheets/sheet20.xml"/><Relationship Id="rId41" Type="http://schemas.openxmlformats.org/officeDocument/2006/relationships/worksheet" Target="worksheets/sheet4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elissac/.syncclient/1695214435882/melissaladouceur@hydroottawa.com/1nvtimzx6n9kIZzoiF-o-bxagCY61Ua2j/Attachment%208-5-1(A)%20-%20OEB%20Workform%20-%202025%20Current%20and%202026%20Proposed%20Tariff%20of%20Rates%20and%20Charge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1000"/>
  <sheetViews>
    <sheetView tabSelected="1" workbookViewId="0">
      <pane ySplit="7" topLeftCell="A8" activePane="bottomLeft" state="frozen"/>
      <selection pane="bottomLeft" activeCell="B9" sqref="B9"/>
    </sheetView>
  </sheetViews>
  <sheetFormatPr defaultColWidth="12.5703125" defaultRowHeight="15" customHeight="1"/>
  <cols>
    <col min="1" max="1" width="41" customWidth="1"/>
    <col min="2" max="2" width="12.140625" customWidth="1"/>
    <col min="3" max="3" width="16.42578125" customWidth="1"/>
    <col min="4" max="4" width="12.7109375" customWidth="1"/>
    <col min="5" max="6" width="12.85546875" customWidth="1"/>
    <col min="7" max="7" width="13.42578125" customWidth="1"/>
    <col min="8" max="8" width="6.85546875" customWidth="1"/>
    <col min="9" max="9" width="11.85546875" customWidth="1"/>
    <col min="10" max="10" width="2" customWidth="1"/>
    <col min="11" max="11" width="10.28515625" customWidth="1"/>
    <col min="12" max="12" width="14.42578125" customWidth="1"/>
    <col min="13" max="18" width="12.42578125" customWidth="1"/>
  </cols>
  <sheetData>
    <row r="1" spans="1:23" ht="12" customHeight="1">
      <c r="A1" s="1"/>
      <c r="B1" s="2"/>
      <c r="C1" s="3"/>
      <c r="D1" s="3"/>
      <c r="E1" s="3"/>
      <c r="F1" s="3"/>
      <c r="G1" s="3"/>
      <c r="I1" s="4"/>
      <c r="K1" s="5"/>
      <c r="M1" s="6"/>
    </row>
    <row r="2" spans="1:23" ht="12" customHeight="1">
      <c r="A2" s="7"/>
      <c r="B2" s="580" t="s">
        <v>0</v>
      </c>
      <c r="C2" s="581"/>
      <c r="D2" s="581"/>
      <c r="E2" s="582"/>
      <c r="F2" s="7"/>
      <c r="G2" s="7"/>
      <c r="I2" s="3"/>
      <c r="K2" s="5"/>
      <c r="M2" s="6"/>
    </row>
    <row r="3" spans="1:23" ht="12" customHeight="1">
      <c r="A3" s="3"/>
      <c r="B3" s="3"/>
      <c r="C3" s="3"/>
      <c r="D3" s="3"/>
      <c r="E3" s="3"/>
      <c r="F3" s="3"/>
      <c r="G3" s="3"/>
      <c r="I3" s="3"/>
      <c r="K3" s="5"/>
      <c r="M3" s="6"/>
    </row>
    <row r="4" spans="1:23" ht="12" customHeight="1">
      <c r="A4" s="2"/>
      <c r="B4" s="8" t="str">
        <f t="shared" ref="B4:G4" si="0">B5&amp;"%"</f>
        <v>2025A%</v>
      </c>
      <c r="C4" s="8" t="str">
        <f t="shared" si="0"/>
        <v>2026F%</v>
      </c>
      <c r="D4" s="8" t="str">
        <f t="shared" si="0"/>
        <v>2027F%</v>
      </c>
      <c r="E4" s="8" t="str">
        <f t="shared" si="0"/>
        <v>2028F%</v>
      </c>
      <c r="F4" s="8" t="str">
        <f t="shared" si="0"/>
        <v>2029F%</v>
      </c>
      <c r="G4" s="8" t="str">
        <f t="shared" si="0"/>
        <v>2030F%</v>
      </c>
      <c r="H4" s="9"/>
      <c r="I4" s="8"/>
      <c r="K4" s="5"/>
      <c r="M4" s="6"/>
    </row>
    <row r="5" spans="1:23" ht="12" customHeight="1">
      <c r="A5" s="10"/>
      <c r="B5" s="11" t="s">
        <v>1</v>
      </c>
      <c r="C5" s="11" t="s">
        <v>2</v>
      </c>
      <c r="D5" s="11" t="s">
        <v>3</v>
      </c>
      <c r="E5" s="11" t="s">
        <v>4</v>
      </c>
      <c r="F5" s="11" t="s">
        <v>5</v>
      </c>
      <c r="G5" s="11" t="s">
        <v>6</v>
      </c>
      <c r="H5" s="9"/>
      <c r="I5" s="11"/>
      <c r="J5" s="9"/>
      <c r="K5" s="12"/>
      <c r="L5" s="9"/>
      <c r="M5" s="6"/>
      <c r="N5" s="9"/>
      <c r="O5" s="9"/>
      <c r="P5" s="9"/>
      <c r="Q5" s="9"/>
      <c r="R5" s="9"/>
    </row>
    <row r="6" spans="1:23" ht="12" customHeight="1">
      <c r="A6" s="583"/>
      <c r="B6" s="7" t="s">
        <v>7</v>
      </c>
      <c r="C6" s="7" t="s">
        <v>8</v>
      </c>
      <c r="D6" s="7" t="s">
        <v>8</v>
      </c>
      <c r="E6" s="7" t="s">
        <v>8</v>
      </c>
      <c r="F6" s="7" t="s">
        <v>8</v>
      </c>
      <c r="G6" s="7" t="s">
        <v>8</v>
      </c>
      <c r="H6" s="13"/>
      <c r="I6" s="14"/>
      <c r="K6" s="5"/>
      <c r="M6" s="6"/>
    </row>
    <row r="7" spans="1:23" ht="12" customHeight="1">
      <c r="A7" s="584"/>
      <c r="B7" s="15" t="str">
        <f>'Proposed Rates'!E4</f>
        <v>2025F</v>
      </c>
      <c r="C7" s="15" t="str">
        <f>'Proposed Rates'!F4</f>
        <v>2026F</v>
      </c>
      <c r="D7" s="15" t="str">
        <f>'Proposed Rates'!G4</f>
        <v>2027F</v>
      </c>
      <c r="E7" s="15" t="str">
        <f>'Proposed Rates'!H4</f>
        <v>2028F</v>
      </c>
      <c r="F7" s="15" t="str">
        <f>'Proposed Rates'!I4</f>
        <v>2029F</v>
      </c>
      <c r="G7" s="15" t="str">
        <f>'Proposed Rates'!J4</f>
        <v>2030F</v>
      </c>
      <c r="H7" s="13"/>
      <c r="I7" s="14"/>
      <c r="K7" s="5"/>
      <c r="M7" s="6"/>
    </row>
    <row r="8" spans="1:23" ht="12" customHeight="1">
      <c r="A8" s="16" t="s">
        <v>9</v>
      </c>
      <c r="B8" s="17"/>
      <c r="C8" s="17"/>
      <c r="D8" s="17"/>
      <c r="E8" s="17"/>
      <c r="F8" s="17"/>
      <c r="G8" s="17"/>
      <c r="H8" s="13"/>
      <c r="K8" s="5"/>
      <c r="M8" s="6"/>
    </row>
    <row r="9" spans="1:23" ht="12" customHeight="1">
      <c r="A9" s="18" t="s">
        <v>10</v>
      </c>
      <c r="B9" s="19">
        <f>HLOOKUP(B$5,'Res (750)'!$11:$29,19,FALSE)</f>
        <v>34.51</v>
      </c>
      <c r="C9" s="19">
        <f>HLOOKUP(C$5,'Res (750)'!$11:$29,19,FALSE)</f>
        <v>39.850000000000009</v>
      </c>
      <c r="D9" s="19">
        <f>HLOOKUP(D$5,'Res (750)'!$11:$29,19,FALSE)</f>
        <v>42.940000000000005</v>
      </c>
      <c r="E9" s="19">
        <f>HLOOKUP(E$5,'Res (750)'!$11:$29,19,FALSE)</f>
        <v>43.93</v>
      </c>
      <c r="F9" s="19">
        <f>HLOOKUP(F$5,'Res (750)'!$11:$29,19,FALSE)</f>
        <v>45.42</v>
      </c>
      <c r="G9" s="19">
        <f>HLOOKUP(G$5,'Res (750)'!$11:$29,19,FALSE)</f>
        <v>46.78</v>
      </c>
      <c r="H9" s="13"/>
      <c r="I9" s="20"/>
      <c r="K9" s="21"/>
      <c r="L9" s="22"/>
      <c r="M9" s="23"/>
      <c r="N9" s="22"/>
      <c r="O9" s="22"/>
      <c r="P9" s="22"/>
      <c r="Q9" s="22"/>
      <c r="R9" s="22"/>
      <c r="S9" s="22"/>
      <c r="T9" s="22"/>
      <c r="U9" s="24"/>
      <c r="V9" s="24"/>
      <c r="W9" s="24"/>
    </row>
    <row r="10" spans="1:23" ht="12" customHeight="1">
      <c r="A10" s="18" t="s">
        <v>11</v>
      </c>
      <c r="B10" s="25"/>
      <c r="C10" s="26">
        <f t="shared" ref="C10:G10" si="1">C9-B9</f>
        <v>5.3400000000000105</v>
      </c>
      <c r="D10" s="26">
        <f t="shared" si="1"/>
        <v>3.0899999999999963</v>
      </c>
      <c r="E10" s="26">
        <f t="shared" si="1"/>
        <v>0.98999999999999488</v>
      </c>
      <c r="F10" s="26">
        <f t="shared" si="1"/>
        <v>1.490000000000002</v>
      </c>
      <c r="G10" s="26">
        <f t="shared" si="1"/>
        <v>1.3599999999999994</v>
      </c>
      <c r="H10" s="13"/>
      <c r="I10" s="20"/>
      <c r="K10" s="21"/>
      <c r="L10" s="22"/>
      <c r="M10" s="23"/>
      <c r="N10" s="22"/>
      <c r="O10" s="22"/>
      <c r="P10" s="22"/>
      <c r="Q10" s="22"/>
      <c r="R10" s="22"/>
      <c r="S10" s="22"/>
      <c r="T10" s="22"/>
      <c r="U10" s="24"/>
      <c r="V10" s="24"/>
      <c r="W10" s="24"/>
    </row>
    <row r="11" spans="1:23" ht="12" customHeight="1">
      <c r="A11" s="27" t="s">
        <v>12</v>
      </c>
      <c r="B11" s="28"/>
      <c r="C11" s="29">
        <f t="shared" ref="C11:G11" si="2">C10/B9</f>
        <v>0.15473775717183458</v>
      </c>
      <c r="D11" s="29">
        <f t="shared" si="2"/>
        <v>7.7540777917189357E-2</v>
      </c>
      <c r="E11" s="29">
        <f t="shared" si="2"/>
        <v>2.3055426176059497E-2</v>
      </c>
      <c r="F11" s="29">
        <f t="shared" si="2"/>
        <v>3.3917596175734165E-2</v>
      </c>
      <c r="G11" s="29">
        <f t="shared" si="2"/>
        <v>2.9942756494936138E-2</v>
      </c>
      <c r="H11" s="13"/>
      <c r="I11" s="30"/>
      <c r="K11" s="31"/>
      <c r="L11" s="32"/>
      <c r="M11" s="33"/>
      <c r="N11" s="32"/>
      <c r="O11" s="32"/>
      <c r="P11" s="22"/>
      <c r="Q11" s="22"/>
      <c r="R11" s="22"/>
      <c r="S11" s="22"/>
      <c r="T11" s="22"/>
      <c r="U11" s="24"/>
      <c r="V11" s="24"/>
      <c r="W11" s="24"/>
    </row>
    <row r="12" spans="1:23" ht="12" customHeight="1">
      <c r="A12" s="18" t="s">
        <v>13</v>
      </c>
      <c r="B12" s="28"/>
      <c r="C12" s="26">
        <f>'Res (750)'!N50</f>
        <v>5.9138714999999706</v>
      </c>
      <c r="D12" s="26">
        <f>'Res (750)'!U50</f>
        <v>3.3149999999999977</v>
      </c>
      <c r="E12" s="26">
        <f>'Res (750)'!AB50</f>
        <v>1.0077489999999898</v>
      </c>
      <c r="F12" s="26">
        <f>'Res (750)'!AI50</f>
        <v>1.5</v>
      </c>
      <c r="G12" s="26">
        <f>'Res (750)'!AP50</f>
        <v>1.3700000000000045</v>
      </c>
      <c r="H12" s="13"/>
      <c r="I12" s="34"/>
      <c r="K12" s="31"/>
      <c r="L12" s="32"/>
      <c r="M12" s="32"/>
      <c r="N12" s="32"/>
      <c r="O12" s="32"/>
      <c r="P12" s="32"/>
      <c r="Q12" s="32"/>
      <c r="R12" s="32"/>
      <c r="S12" s="32"/>
      <c r="T12" s="32"/>
      <c r="U12" s="24"/>
      <c r="V12" s="24"/>
      <c r="W12" s="24"/>
    </row>
    <row r="13" spans="1:23" ht="12" customHeight="1">
      <c r="A13" s="18" t="s">
        <v>14</v>
      </c>
      <c r="B13" s="28"/>
      <c r="C13" s="35">
        <f>HLOOKUP(C$4,'Res (750)'!$A$11:$AR$60,40,FALSE)</f>
        <v>3.8377981223641479E-2</v>
      </c>
      <c r="D13" s="35">
        <f>HLOOKUP(D$4,'Res (750)'!$A$11:$AR$60,40,FALSE)</f>
        <v>2.0717545663173655E-2</v>
      </c>
      <c r="E13" s="35">
        <f>HLOOKUP(E$4,'Res (750)'!$A$11:$AR$60,40,FALSE)</f>
        <v>6.1702330506223308E-3</v>
      </c>
      <c r="F13" s="35">
        <f>HLOOKUP(F$4,'Res (750)'!$A$11:$AR$60,40,FALSE)</f>
        <v>9.1278603291323895E-3</v>
      </c>
      <c r="G13" s="35">
        <f>HLOOKUP(G$4,'Res (750)'!$A$11:$AR$60,40,FALSE)</f>
        <v>8.2613704648769933E-3</v>
      </c>
      <c r="H13" s="13"/>
      <c r="I13" s="34"/>
      <c r="K13" s="5"/>
      <c r="L13" s="32"/>
      <c r="M13" s="33"/>
      <c r="N13" s="32"/>
      <c r="O13" s="32"/>
      <c r="P13" s="32"/>
      <c r="Q13" s="32"/>
      <c r="R13" s="32"/>
      <c r="S13" s="32"/>
      <c r="T13" s="32"/>
      <c r="U13" s="24"/>
      <c r="V13" s="24"/>
      <c r="W13" s="24"/>
    </row>
    <row r="14" spans="1:23" ht="12" customHeight="1">
      <c r="A14" s="36" t="s">
        <v>15</v>
      </c>
      <c r="B14" s="37"/>
      <c r="C14" s="37"/>
      <c r="D14" s="37"/>
      <c r="E14" s="37"/>
      <c r="F14" s="37"/>
      <c r="G14" s="37"/>
      <c r="H14" s="13"/>
      <c r="U14" s="24"/>
      <c r="V14" s="24"/>
      <c r="W14" s="24"/>
    </row>
    <row r="15" spans="1:23" ht="12" customHeight="1">
      <c r="A15" s="18" t="s">
        <v>10</v>
      </c>
      <c r="B15" s="19">
        <f>HLOOKUP(B$5,'SC (2000)'!11:29,19,FALSE)</f>
        <v>85.93</v>
      </c>
      <c r="C15" s="19">
        <f>HLOOKUP(C$5,'SC (2000)'!11:29,19,FALSE)</f>
        <v>96.15</v>
      </c>
      <c r="D15" s="19">
        <f>HLOOKUP(D$5,'SC (2000)'!11:29,19,FALSE)</f>
        <v>102.21000000000001</v>
      </c>
      <c r="E15" s="19">
        <f>HLOOKUP(E$5,'SC (2000)'!11:29,19,FALSE)</f>
        <v>105.10000000000001</v>
      </c>
      <c r="F15" s="19">
        <f>HLOOKUP(F$5,'SC (2000)'!11:29,19,FALSE)</f>
        <v>106.77</v>
      </c>
      <c r="G15" s="19">
        <f>HLOOKUP(G$5,'SC (2000)'!11:29,19,FALSE)</f>
        <v>108.41</v>
      </c>
      <c r="H15" s="13"/>
      <c r="I15" s="20"/>
      <c r="K15" s="21"/>
      <c r="L15" s="22"/>
      <c r="M15" s="22"/>
      <c r="N15" s="22"/>
      <c r="O15" s="22"/>
      <c r="P15" s="22"/>
      <c r="Q15" s="22"/>
      <c r="R15" s="22"/>
      <c r="S15" s="22"/>
      <c r="T15" s="22"/>
      <c r="U15" s="24"/>
      <c r="V15" s="24"/>
      <c r="W15" s="24"/>
    </row>
    <row r="16" spans="1:23" ht="12" customHeight="1">
      <c r="A16" s="18" t="s">
        <v>11</v>
      </c>
      <c r="B16" s="38"/>
      <c r="C16" s="26">
        <f t="shared" ref="C16:G16" si="3">C15-B15</f>
        <v>10.219999999999999</v>
      </c>
      <c r="D16" s="26">
        <f t="shared" si="3"/>
        <v>6.0600000000000023</v>
      </c>
      <c r="E16" s="26">
        <f t="shared" si="3"/>
        <v>2.8900000000000006</v>
      </c>
      <c r="F16" s="26">
        <f t="shared" si="3"/>
        <v>1.6699999999999875</v>
      </c>
      <c r="G16" s="26">
        <f t="shared" si="3"/>
        <v>1.6400000000000006</v>
      </c>
      <c r="H16" s="13"/>
      <c r="I16" s="20"/>
      <c r="K16" s="21"/>
      <c r="L16" s="22"/>
      <c r="M16" s="23"/>
      <c r="N16" s="22"/>
      <c r="O16" s="22"/>
      <c r="P16" s="22"/>
      <c r="Q16" s="22"/>
      <c r="R16" s="22"/>
      <c r="S16" s="22"/>
      <c r="T16" s="22"/>
      <c r="U16" s="24"/>
      <c r="V16" s="24"/>
      <c r="W16" s="24"/>
    </row>
    <row r="17" spans="1:23" ht="12" customHeight="1">
      <c r="A17" s="27" t="s">
        <v>12</v>
      </c>
      <c r="B17" s="39"/>
      <c r="C17" s="29">
        <f t="shared" ref="C17:G17" si="4">C16/B15</f>
        <v>0.11893401605958336</v>
      </c>
      <c r="D17" s="29">
        <f t="shared" si="4"/>
        <v>6.3026521060842458E-2</v>
      </c>
      <c r="E17" s="29">
        <f t="shared" si="4"/>
        <v>2.827511985128657E-2</v>
      </c>
      <c r="F17" s="29">
        <f t="shared" si="4"/>
        <v>1.5889628924833372E-2</v>
      </c>
      <c r="G17" s="29">
        <f t="shared" si="4"/>
        <v>1.5360119883862515E-2</v>
      </c>
      <c r="H17" s="13"/>
      <c r="I17" s="30"/>
      <c r="K17" s="31"/>
      <c r="L17" s="32"/>
      <c r="M17" s="33"/>
      <c r="N17" s="32"/>
      <c r="O17" s="32"/>
      <c r="P17" s="22"/>
      <c r="Q17" s="22"/>
      <c r="R17" s="22"/>
      <c r="S17" s="22"/>
      <c r="T17" s="22"/>
      <c r="U17" s="24"/>
      <c r="V17" s="24"/>
      <c r="W17" s="24"/>
    </row>
    <row r="18" spans="1:23" ht="12" customHeight="1">
      <c r="A18" s="18" t="s">
        <v>13</v>
      </c>
      <c r="B18" s="39"/>
      <c r="C18" s="26">
        <f>'SC (2000)'!N50</f>
        <v>3.8785399999999299</v>
      </c>
      <c r="D18" s="26">
        <f>'SC (2000)'!U50</f>
        <v>6.2599999999999909</v>
      </c>
      <c r="E18" s="26">
        <f>'SC (2000)'!AB50</f>
        <v>2.9000000000000341</v>
      </c>
      <c r="F18" s="26">
        <f>'SC (2000)'!AI50</f>
        <v>1.6800000000000068</v>
      </c>
      <c r="G18" s="26">
        <f>'SC (2000)'!AP50</f>
        <v>1.6499999999999773</v>
      </c>
      <c r="H18" s="13"/>
      <c r="I18" s="34"/>
      <c r="K18" s="31"/>
      <c r="L18" s="32"/>
      <c r="M18" s="33"/>
      <c r="N18" s="32"/>
      <c r="O18" s="32"/>
      <c r="P18" s="32"/>
      <c r="Q18" s="32"/>
      <c r="R18" s="32"/>
      <c r="S18" s="32"/>
      <c r="T18" s="32"/>
      <c r="U18" s="24"/>
      <c r="V18" s="24"/>
      <c r="W18" s="24"/>
    </row>
    <row r="19" spans="1:23" ht="12" customHeight="1">
      <c r="A19" s="18" t="s">
        <v>14</v>
      </c>
      <c r="B19" s="39"/>
      <c r="C19" s="35">
        <f>HLOOKUP(C$4,'SC (2000)'!$A$11:$AR$60,40,FALSE)</f>
        <v>9.6471444503166519E-3</v>
      </c>
      <c r="D19" s="35">
        <f>HLOOKUP(D$4,'SC (2000)'!$A$11:$AR$60,40,FALSE)</f>
        <v>1.5421805396169507E-2</v>
      </c>
      <c r="E19" s="35">
        <f>HLOOKUP(E$4,'SC (2000)'!$A$11:$AR$60,40,FALSE)</f>
        <v>7.0357823782241802E-3</v>
      </c>
      <c r="F19" s="35">
        <f>HLOOKUP(F$4,'SC (2000)'!$A$11:$AR$60,40,FALSE)</f>
        <v>4.0474247161656858E-3</v>
      </c>
      <c r="G19" s="35">
        <f>HLOOKUP(G$4,'SC (2000)'!$A$11:$AR$60,40,FALSE)</f>
        <v>3.9591250143679703E-3</v>
      </c>
      <c r="H19" s="13"/>
      <c r="I19" s="34"/>
      <c r="K19" s="5"/>
      <c r="U19" s="24"/>
      <c r="V19" s="24"/>
      <c r="W19" s="24"/>
    </row>
    <row r="20" spans="1:23" ht="12" customHeight="1">
      <c r="A20" s="36" t="s">
        <v>16</v>
      </c>
      <c r="B20" s="37"/>
      <c r="C20" s="37"/>
      <c r="D20" s="37"/>
      <c r="E20" s="37"/>
      <c r="F20" s="37"/>
      <c r="G20" s="37"/>
      <c r="H20" s="13"/>
      <c r="U20" s="24"/>
      <c r="V20" s="24"/>
      <c r="W20" s="24"/>
    </row>
    <row r="21" spans="1:23" ht="12" customHeight="1">
      <c r="A21" s="18" t="s">
        <v>10</v>
      </c>
      <c r="B21" s="19">
        <f>HLOOKUP(B$5,'&gt;50 (185)'!$11:$30,19,FALSE)</f>
        <v>1366.9059999999999</v>
      </c>
      <c r="C21" s="19">
        <f>HLOOKUP(C$5,'&gt;50 (185)'!$11:$30,19,FALSE)</f>
        <v>1650.4459999999999</v>
      </c>
      <c r="D21" s="19">
        <f>HLOOKUP(D$5,'&gt;50 (185)'!$11:$30,19,FALSE)</f>
        <v>1783.0725</v>
      </c>
      <c r="E21" s="19">
        <f>HLOOKUP(E$5,'&gt;50 (185)'!$11:$30,19,FALSE)</f>
        <v>1810.8505</v>
      </c>
      <c r="F21" s="19">
        <f>HLOOKUP(F$5,'&gt;50 (185)'!$11:$30,19,FALSE)</f>
        <v>1872.1410000000001</v>
      </c>
      <c r="G21" s="19">
        <f>HLOOKUP(G$5,'&gt;50 (185)'!$11:$30,19,FALSE)</f>
        <v>1928.1959999999999</v>
      </c>
      <c r="H21" s="13"/>
      <c r="I21" s="20"/>
      <c r="K21" s="21"/>
      <c r="L21" s="22"/>
      <c r="M21" s="23"/>
      <c r="N21" s="22"/>
      <c r="O21" s="22"/>
      <c r="P21" s="22"/>
      <c r="Q21" s="22"/>
      <c r="R21" s="22"/>
      <c r="S21" s="22"/>
      <c r="T21" s="22"/>
      <c r="U21" s="24"/>
      <c r="V21" s="24"/>
      <c r="W21" s="24"/>
    </row>
    <row r="22" spans="1:23" ht="12" customHeight="1">
      <c r="A22" s="18" t="s">
        <v>11</v>
      </c>
      <c r="B22" s="38"/>
      <c r="C22" s="26">
        <f t="shared" ref="C22:G22" si="5">C21-B21</f>
        <v>283.53999999999996</v>
      </c>
      <c r="D22" s="26">
        <f t="shared" si="5"/>
        <v>132.62650000000008</v>
      </c>
      <c r="E22" s="26">
        <f t="shared" si="5"/>
        <v>27.77800000000002</v>
      </c>
      <c r="F22" s="26">
        <f t="shared" si="5"/>
        <v>61.290500000000065</v>
      </c>
      <c r="G22" s="26">
        <f t="shared" si="5"/>
        <v>56.054999999999836</v>
      </c>
      <c r="H22" s="13"/>
      <c r="I22" s="20"/>
      <c r="K22" s="21"/>
      <c r="L22" s="22"/>
      <c r="M22" s="22"/>
      <c r="N22" s="22"/>
      <c r="O22" s="22"/>
      <c r="P22" s="22"/>
      <c r="Q22" s="22"/>
      <c r="R22" s="22"/>
      <c r="S22" s="22"/>
      <c r="T22" s="22"/>
      <c r="U22" s="24"/>
      <c r="V22" s="24"/>
      <c r="W22" s="24"/>
    </row>
    <row r="23" spans="1:23" ht="12" customHeight="1">
      <c r="A23" s="27" t="s">
        <v>12</v>
      </c>
      <c r="B23" s="39"/>
      <c r="C23" s="29">
        <f t="shared" ref="C23:G23" si="6">C22/B21</f>
        <v>0.20743196679215686</v>
      </c>
      <c r="D23" s="29">
        <f t="shared" si="6"/>
        <v>8.0357975965284587E-2</v>
      </c>
      <c r="E23" s="29">
        <f t="shared" si="6"/>
        <v>1.557872716897379E-2</v>
      </c>
      <c r="F23" s="29">
        <f t="shared" si="6"/>
        <v>3.3846250698221669E-2</v>
      </c>
      <c r="G23" s="29">
        <f t="shared" si="6"/>
        <v>2.9941655035598192E-2</v>
      </c>
      <c r="H23" s="13"/>
      <c r="I23" s="30"/>
      <c r="K23" s="31"/>
      <c r="L23" s="32"/>
      <c r="M23" s="33"/>
      <c r="N23" s="32"/>
      <c r="O23" s="32"/>
      <c r="P23" s="22"/>
      <c r="Q23" s="22"/>
      <c r="R23" s="22"/>
      <c r="S23" s="22"/>
      <c r="T23" s="22"/>
      <c r="U23" s="24"/>
      <c r="V23" s="24"/>
      <c r="W23" s="24"/>
    </row>
    <row r="24" spans="1:23" ht="12" customHeight="1">
      <c r="A24" s="18" t="s">
        <v>13</v>
      </c>
      <c r="B24" s="39"/>
      <c r="C24" s="26">
        <f>'&gt;50 (185)'!N52</f>
        <v>139.98525416000302</v>
      </c>
      <c r="D24" s="26">
        <f>'&gt;50 (185)'!U52</f>
        <v>146.3010000000013</v>
      </c>
      <c r="E24" s="26">
        <f>'&gt;50 (185)'!AB52</f>
        <v>-316.32834999999977</v>
      </c>
      <c r="F24" s="26">
        <f>'&gt;50 (185)'!AI52</f>
        <v>61.362649999999121</v>
      </c>
      <c r="G24" s="26">
        <f>'&gt;50 (185)'!AP52</f>
        <v>56.136399999999412</v>
      </c>
      <c r="H24" s="13"/>
      <c r="I24" s="34"/>
      <c r="K24" s="31"/>
      <c r="L24" s="32"/>
      <c r="M24" s="33"/>
      <c r="N24" s="32"/>
      <c r="O24" s="32"/>
      <c r="P24" s="32"/>
      <c r="Q24" s="32"/>
      <c r="R24" s="32"/>
      <c r="S24" s="32"/>
      <c r="T24" s="32"/>
      <c r="U24" s="24"/>
      <c r="V24" s="24"/>
      <c r="W24" s="24"/>
    </row>
    <row r="25" spans="1:23" ht="12" customHeight="1">
      <c r="A25" s="18" t="s">
        <v>14</v>
      </c>
      <c r="B25" s="39"/>
      <c r="C25" s="35">
        <f>HLOOKUP(C$4,'&gt;50 (185)'!$11:$56,42,FALSE)</f>
        <v>1.1812268624944916E-2</v>
      </c>
      <c r="D25" s="35">
        <f>HLOOKUP(D$4,'&gt;50 (185)'!$11:$56,42,FALSE)</f>
        <v>1.2201082906346958E-2</v>
      </c>
      <c r="E25" s="35">
        <f>HLOOKUP(E$4,'&gt;50 (185)'!$11:$56,42,FALSE)</f>
        <v>-2.6062879851333379E-2</v>
      </c>
      <c r="F25" s="35">
        <f>HLOOKUP(F$4,'&gt;50 (185)'!$11:$56,42,FALSE)</f>
        <v>5.1910770376566214E-3</v>
      </c>
      <c r="G25" s="35">
        <f>HLOOKUP(G$4,'&gt;50 (185)'!$11:$56,42,FALSE)</f>
        <v>4.7244287166916168E-3</v>
      </c>
      <c r="H25" s="13"/>
      <c r="I25" s="34"/>
      <c r="K25" s="5"/>
      <c r="L25" s="32"/>
      <c r="M25" s="33"/>
      <c r="N25" s="32"/>
      <c r="O25" s="32"/>
      <c r="P25" s="32"/>
      <c r="Q25" s="32"/>
      <c r="R25" s="32"/>
      <c r="S25" s="32"/>
      <c r="T25" s="32"/>
      <c r="U25" s="24"/>
      <c r="V25" s="24"/>
      <c r="W25" s="24"/>
    </row>
    <row r="26" spans="1:23" ht="12" customHeight="1">
      <c r="A26" s="40" t="s">
        <v>17</v>
      </c>
      <c r="B26" s="41"/>
      <c r="C26" s="41"/>
      <c r="D26" s="41"/>
      <c r="E26" s="41"/>
      <c r="F26" s="41"/>
      <c r="G26" s="41"/>
      <c r="H26" s="13"/>
      <c r="U26" s="24"/>
      <c r="V26" s="24"/>
      <c r="W26" s="24"/>
    </row>
    <row r="27" spans="1:23" ht="12" customHeight="1">
      <c r="A27" s="18" t="s">
        <v>10</v>
      </c>
      <c r="B27" s="19">
        <f>HLOOKUP(B$5,'&gt;1500(1925)'!11:29,19,FALSE)</f>
        <v>16219.022499999999</v>
      </c>
      <c r="C27" s="19">
        <f>HLOOKUP(C$5,'&gt;1500(1925)'!11:29,19,FALSE)</f>
        <v>17316.014999999999</v>
      </c>
      <c r="D27" s="19">
        <f>HLOOKUP(D$5,'&gt;1500(1925)'!11:29,19,FALSE)</f>
        <v>19983.872500000001</v>
      </c>
      <c r="E27" s="19">
        <f>HLOOKUP(E$5,'&gt;1500(1925)'!11:29,19,FALSE)</f>
        <v>20408.977500000001</v>
      </c>
      <c r="F27" s="19">
        <f>HLOOKUP(F$5,'&gt;1500(1925)'!11:29,19,FALSE)</f>
        <v>21117.954999999998</v>
      </c>
      <c r="G27" s="19">
        <f>HLOOKUP(G$5,'&gt;1500(1925)'!11:29,19,FALSE)</f>
        <v>21766.487500000003</v>
      </c>
      <c r="H27" s="13"/>
      <c r="I27" s="20"/>
      <c r="K27" s="21"/>
      <c r="L27" s="22"/>
      <c r="M27" s="22"/>
      <c r="N27" s="22"/>
      <c r="O27" s="22"/>
      <c r="P27" s="22"/>
      <c r="Q27" s="22"/>
      <c r="R27" s="22"/>
      <c r="S27" s="22"/>
      <c r="T27" s="22"/>
      <c r="U27" s="24"/>
      <c r="V27" s="24"/>
      <c r="W27" s="24"/>
    </row>
    <row r="28" spans="1:23" ht="12" customHeight="1">
      <c r="A28" s="18" t="s">
        <v>11</v>
      </c>
      <c r="B28" s="38"/>
      <c r="C28" s="26">
        <f t="shared" ref="C28:G28" si="7">C27-B27</f>
        <v>1096.9925000000003</v>
      </c>
      <c r="D28" s="26">
        <f t="shared" si="7"/>
        <v>2667.8575000000019</v>
      </c>
      <c r="E28" s="26">
        <f t="shared" si="7"/>
        <v>425.10499999999956</v>
      </c>
      <c r="F28" s="26">
        <f t="shared" si="7"/>
        <v>708.97749999999724</v>
      </c>
      <c r="G28" s="26">
        <f t="shared" si="7"/>
        <v>648.5325000000048</v>
      </c>
      <c r="H28" s="13"/>
      <c r="I28" s="20"/>
      <c r="K28" s="21"/>
      <c r="L28" s="22"/>
      <c r="M28" s="23"/>
      <c r="N28" s="22"/>
      <c r="O28" s="22"/>
      <c r="P28" s="22"/>
      <c r="Q28" s="22"/>
      <c r="R28" s="22"/>
      <c r="S28" s="22"/>
      <c r="T28" s="22"/>
      <c r="U28" s="24"/>
      <c r="V28" s="24"/>
      <c r="W28" s="24"/>
    </row>
    <row r="29" spans="1:23" ht="12" customHeight="1">
      <c r="A29" s="27" t="s">
        <v>12</v>
      </c>
      <c r="B29" s="39"/>
      <c r="C29" s="29">
        <f t="shared" ref="C29:G29" si="8">C28/B27</f>
        <v>6.7636166112970145E-2</v>
      </c>
      <c r="D29" s="29">
        <f t="shared" si="8"/>
        <v>0.15406879123170095</v>
      </c>
      <c r="E29" s="29">
        <f t="shared" si="8"/>
        <v>2.127240353440003E-2</v>
      </c>
      <c r="F29" s="29">
        <f t="shared" si="8"/>
        <v>3.4738511520236486E-2</v>
      </c>
      <c r="G29" s="29">
        <f t="shared" si="8"/>
        <v>3.0710004827645711E-2</v>
      </c>
      <c r="H29" s="13"/>
      <c r="I29" s="30"/>
      <c r="K29" s="31"/>
      <c r="L29" s="32"/>
      <c r="M29" s="32"/>
      <c r="N29" s="32"/>
      <c r="O29" s="32"/>
      <c r="P29" s="22"/>
      <c r="Q29" s="22"/>
      <c r="R29" s="22"/>
      <c r="S29" s="22"/>
      <c r="T29" s="22"/>
      <c r="U29" s="24"/>
      <c r="V29" s="24"/>
      <c r="W29" s="24"/>
    </row>
    <row r="30" spans="1:23" ht="12" customHeight="1">
      <c r="A30" s="18" t="s">
        <v>13</v>
      </c>
      <c r="B30" s="39"/>
      <c r="C30" s="26">
        <f>'&gt;1500(1925)'!N52</f>
        <v>-1240.8337512000289</v>
      </c>
      <c r="D30" s="26">
        <f>'&gt;1500(1925)'!U52</f>
        <v>2763.0574999999953</v>
      </c>
      <c r="E30" s="26">
        <f>'&gt;1500(1925)'!AB52</f>
        <v>-3585.636749999976</v>
      </c>
      <c r="F30" s="26">
        <f>'&gt;1500(1925)'!AI52</f>
        <v>709.72824999998556</v>
      </c>
      <c r="G30" s="26">
        <f>'&gt;1500(1925)'!AP52</f>
        <v>649.3602499999979</v>
      </c>
      <c r="H30" s="13"/>
      <c r="I30" s="34"/>
      <c r="K30" s="31"/>
      <c r="L30" s="32"/>
      <c r="M30" s="33"/>
      <c r="N30" s="32"/>
      <c r="O30" s="32"/>
      <c r="P30" s="32"/>
      <c r="Q30" s="32"/>
      <c r="R30" s="32"/>
      <c r="S30" s="32"/>
      <c r="T30" s="32"/>
      <c r="U30" s="24"/>
      <c r="V30" s="24"/>
      <c r="W30" s="24"/>
    </row>
    <row r="31" spans="1:23" ht="12" customHeight="1">
      <c r="A31" s="18" t="s">
        <v>14</v>
      </c>
      <c r="B31" s="39"/>
      <c r="C31" s="35">
        <f>HLOOKUP(C$4,'&gt;1500(1925)'!$11:$56,42,FALSE)</f>
        <v>-9.0330891703060689E-3</v>
      </c>
      <c r="D31" s="35">
        <f>HLOOKUP(D$4,'&gt;1500(1925)'!$11:$56,42,FALSE)</f>
        <v>2.029801031873724E-2</v>
      </c>
      <c r="E31" s="35">
        <f>HLOOKUP(E$4,'&gt;1500(1925)'!$11:$56,42,FALSE)</f>
        <v>-2.5816822974045937E-2</v>
      </c>
      <c r="F31" s="35">
        <f>HLOOKUP(F$4,'&gt;1500(1925)'!$11:$56,42,FALSE)</f>
        <v>5.2455130651254513E-3</v>
      </c>
      <c r="G31" s="35">
        <f>HLOOKUP(G$4,'&gt;1500(1925)'!$11:$56,42,FALSE)</f>
        <v>4.774297061237923E-3</v>
      </c>
      <c r="H31" s="13"/>
      <c r="I31" s="34"/>
      <c r="K31" s="5"/>
      <c r="L31" s="22"/>
      <c r="M31" s="23"/>
      <c r="N31" s="22"/>
      <c r="O31" s="22"/>
      <c r="P31" s="22"/>
      <c r="Q31" s="22"/>
      <c r="R31" s="22"/>
      <c r="S31" s="22"/>
      <c r="T31" s="22"/>
      <c r="U31" s="24"/>
      <c r="V31" s="24"/>
      <c r="W31" s="24"/>
    </row>
    <row r="32" spans="1:23" ht="12" customHeight="1">
      <c r="A32" s="36" t="s">
        <v>18</v>
      </c>
      <c r="B32" s="37"/>
      <c r="C32" s="37"/>
      <c r="D32" s="37"/>
      <c r="E32" s="37"/>
      <c r="F32" s="37"/>
      <c r="G32" s="37"/>
      <c r="H32" s="13"/>
      <c r="U32" s="24"/>
      <c r="V32" s="24"/>
      <c r="W32" s="24"/>
    </row>
    <row r="33" spans="1:23" ht="12" customHeight="1">
      <c r="A33" s="18" t="s">
        <v>10</v>
      </c>
      <c r="B33" s="19">
        <f>HLOOKUP(B$5,'LU(7500)'!$11:$56,19,FALSE)</f>
        <v>61692.18</v>
      </c>
      <c r="C33" s="19">
        <f>HLOOKUP(C$5,'LU(7500)'!$11:$56,19,FALSE)</f>
        <v>71044.86</v>
      </c>
      <c r="D33" s="19">
        <f>HLOOKUP(D$5,'LU(7500)'!$11:$56,19,FALSE)</f>
        <v>83836.859999999986</v>
      </c>
      <c r="E33" s="19">
        <f>HLOOKUP(E$5,'LU(7500)'!$11:$56,19,FALSE)</f>
        <v>83735.429999999993</v>
      </c>
      <c r="F33" s="19">
        <f>HLOOKUP(F$5,'LU(7500)'!$11:$56,19,FALSE)</f>
        <v>90589.68</v>
      </c>
      <c r="G33" s="19">
        <f>HLOOKUP(G$5,'LU(7500)'!$11:$56,19,FALSE)</f>
        <v>96446.43</v>
      </c>
      <c r="H33" s="13"/>
      <c r="I33" s="20"/>
      <c r="K33" s="21"/>
      <c r="L33" s="22"/>
      <c r="M33" s="23"/>
      <c r="N33" s="22"/>
      <c r="O33" s="22"/>
      <c r="P33" s="22"/>
      <c r="Q33" s="22"/>
      <c r="R33" s="22"/>
      <c r="S33" s="22"/>
      <c r="T33" s="22"/>
      <c r="U33" s="24"/>
      <c r="V33" s="24"/>
      <c r="W33" s="24"/>
    </row>
    <row r="34" spans="1:23" ht="12" customHeight="1">
      <c r="A34" s="18" t="s">
        <v>11</v>
      </c>
      <c r="B34" s="38"/>
      <c r="C34" s="26">
        <f t="shared" ref="C34:G34" si="9">C33-B33</f>
        <v>9352.68</v>
      </c>
      <c r="D34" s="26">
        <f t="shared" si="9"/>
        <v>12791.999999999985</v>
      </c>
      <c r="E34" s="26">
        <f t="shared" si="9"/>
        <v>-101.42999999999302</v>
      </c>
      <c r="F34" s="26">
        <f t="shared" si="9"/>
        <v>6854.25</v>
      </c>
      <c r="G34" s="26">
        <f t="shared" si="9"/>
        <v>5856.75</v>
      </c>
      <c r="H34" s="13"/>
      <c r="I34" s="20"/>
      <c r="K34" s="21"/>
      <c r="L34" s="22"/>
      <c r="M34" s="22"/>
      <c r="N34" s="22"/>
      <c r="O34" s="22"/>
      <c r="P34" s="22"/>
      <c r="Q34" s="22"/>
      <c r="R34" s="22"/>
      <c r="S34" s="22"/>
      <c r="T34" s="22"/>
      <c r="U34" s="24"/>
      <c r="V34" s="24"/>
      <c r="W34" s="24"/>
    </row>
    <row r="35" spans="1:23" ht="12" customHeight="1">
      <c r="A35" s="27" t="s">
        <v>12</v>
      </c>
      <c r="B35" s="39"/>
      <c r="C35" s="29">
        <f t="shared" ref="C35:G35" si="10">C34/B33</f>
        <v>0.15160235867819877</v>
      </c>
      <c r="D35" s="29">
        <f t="shared" si="10"/>
        <v>0.18005524959863367</v>
      </c>
      <c r="E35" s="29">
        <f t="shared" si="10"/>
        <v>-1.2098497009548428E-3</v>
      </c>
      <c r="F35" s="29">
        <f t="shared" si="10"/>
        <v>8.1856031550802344E-2</v>
      </c>
      <c r="G35" s="29">
        <f t="shared" si="10"/>
        <v>6.4651404000985555E-2</v>
      </c>
      <c r="H35" s="13"/>
      <c r="I35" s="30"/>
      <c r="K35" s="31"/>
      <c r="L35" s="32"/>
      <c r="M35" s="33"/>
      <c r="N35" s="32"/>
      <c r="O35" s="32"/>
      <c r="P35" s="22"/>
      <c r="Q35" s="22"/>
      <c r="R35" s="22"/>
      <c r="S35" s="22"/>
      <c r="T35" s="22"/>
      <c r="U35" s="24"/>
      <c r="V35" s="24"/>
      <c r="W35" s="24"/>
    </row>
    <row r="36" spans="1:23" ht="12" customHeight="1">
      <c r="A36" s="18" t="s">
        <v>13</v>
      </c>
      <c r="B36" s="38"/>
      <c r="C36" s="26">
        <f>'LU(7500)'!N52</f>
        <v>2124.153999999864</v>
      </c>
      <c r="D36" s="26">
        <f>'LU(7500)'!U52</f>
        <v>12777.074999999953</v>
      </c>
      <c r="E36" s="26">
        <f>'LU(7500)'!AB52</f>
        <v>-17298.880000000005</v>
      </c>
      <c r="F36" s="26">
        <f>'LU(7500)'!AI52</f>
        <v>6857.625</v>
      </c>
      <c r="G36" s="26">
        <f>'LU(7500)'!AP52</f>
        <v>5860.5750000000698</v>
      </c>
      <c r="H36" s="13"/>
      <c r="I36" s="34"/>
      <c r="K36" s="31"/>
      <c r="L36" s="32"/>
      <c r="M36" s="32"/>
      <c r="N36" s="32"/>
      <c r="O36" s="32"/>
      <c r="P36" s="32"/>
      <c r="Q36" s="32"/>
      <c r="R36" s="32"/>
      <c r="S36" s="32"/>
      <c r="T36" s="32"/>
      <c r="U36" s="24"/>
      <c r="V36" s="24"/>
      <c r="W36" s="24"/>
    </row>
    <row r="37" spans="1:23" ht="12" customHeight="1">
      <c r="A37" s="18" t="s">
        <v>14</v>
      </c>
      <c r="B37" s="39"/>
      <c r="C37" s="35">
        <f>HLOOKUP(C$4,'LU(7500)'!$11:$56,42,FALSE)</f>
        <v>3.5976792735201513E-3</v>
      </c>
      <c r="D37" s="35">
        <f>HLOOKUP(D$4,'LU(7500)'!$11:$56,42,FALSE)</f>
        <v>2.1562953194645337E-2</v>
      </c>
      <c r="E37" s="35">
        <f>HLOOKUP(E$4,'LU(7500)'!$11:$56,42,FALSE)</f>
        <v>-2.8577856244178787E-2</v>
      </c>
      <c r="F37" s="35">
        <f>HLOOKUP(F$4,'LU(7500)'!$11:$56,42,FALSE)</f>
        <v>1.1662117016064439E-2</v>
      </c>
      <c r="G37" s="35">
        <f>HLOOKUP(G$4,'LU(7500)'!$11:$56,42,FALSE)</f>
        <v>9.8516370350151469E-3</v>
      </c>
      <c r="H37" s="13"/>
      <c r="I37" s="34"/>
      <c r="K37" s="5"/>
      <c r="L37" s="22"/>
      <c r="M37" s="23"/>
      <c r="N37" s="22"/>
      <c r="O37" s="22"/>
      <c r="P37" s="22"/>
      <c r="Q37" s="22"/>
      <c r="R37" s="22"/>
      <c r="S37" s="22"/>
      <c r="T37" s="22"/>
      <c r="U37" s="24"/>
      <c r="V37" s="24"/>
      <c r="W37" s="24"/>
    </row>
    <row r="38" spans="1:23" ht="12" customHeight="1">
      <c r="A38" s="40" t="s">
        <v>19</v>
      </c>
      <c r="B38" s="41"/>
      <c r="C38" s="41"/>
      <c r="D38" s="41"/>
      <c r="E38" s="41"/>
      <c r="F38" s="41"/>
      <c r="G38" s="41"/>
      <c r="H38" s="13"/>
      <c r="U38" s="24"/>
      <c r="V38" s="24"/>
      <c r="W38" s="24"/>
    </row>
    <row r="39" spans="1:23" ht="12" customHeight="1">
      <c r="A39" s="18" t="s">
        <v>10</v>
      </c>
      <c r="B39" s="19">
        <f>HLOOKUP(B$5,'SN (.4)'!$11:$56,19,FALSE)</f>
        <v>20.191879999999998</v>
      </c>
      <c r="C39" s="19">
        <f>HLOOKUP(C$5,'SN (.4)'!$11:$56,19,FALSE)</f>
        <v>23.253719999999998</v>
      </c>
      <c r="D39" s="19">
        <f>HLOOKUP(D$5,'SN (.4)'!$11:$56,19,FALSE)</f>
        <v>25.27684</v>
      </c>
      <c r="E39" s="19">
        <f>HLOOKUP(E$5,'SN (.4)'!$11:$56,19,FALSE)</f>
        <v>25.843640000000001</v>
      </c>
      <c r="F39" s="19">
        <f>HLOOKUP(F$5,'SN (.4)'!$11:$56,19,FALSE)</f>
        <v>26.725079999999998</v>
      </c>
      <c r="G39" s="19">
        <f>HLOOKUP(G$5,'SN (.4)'!$11:$56,19,FALSE)</f>
        <v>27.527400000000004</v>
      </c>
      <c r="H39" s="13"/>
      <c r="I39" s="20"/>
      <c r="K39" s="21"/>
      <c r="L39" s="22"/>
      <c r="M39" s="23"/>
      <c r="N39" s="22"/>
      <c r="O39" s="22"/>
      <c r="P39" s="22"/>
      <c r="Q39" s="22"/>
      <c r="R39" s="22"/>
      <c r="S39" s="22"/>
      <c r="T39" s="22"/>
      <c r="U39" s="24"/>
      <c r="V39" s="24"/>
      <c r="W39" s="24"/>
    </row>
    <row r="40" spans="1:23" ht="12" customHeight="1">
      <c r="A40" s="18" t="s">
        <v>11</v>
      </c>
      <c r="B40" s="38"/>
      <c r="C40" s="26">
        <f t="shared" ref="C40:G40" si="11">C39-B39</f>
        <v>3.0618400000000001</v>
      </c>
      <c r="D40" s="26">
        <f t="shared" si="11"/>
        <v>2.0231200000000022</v>
      </c>
      <c r="E40" s="26">
        <f t="shared" si="11"/>
        <v>0.56680000000000064</v>
      </c>
      <c r="F40" s="26">
        <f t="shared" si="11"/>
        <v>0.88143999999999778</v>
      </c>
      <c r="G40" s="26">
        <f t="shared" si="11"/>
        <v>0.80232000000000525</v>
      </c>
      <c r="H40" s="13"/>
      <c r="I40" s="20"/>
      <c r="K40" s="21"/>
      <c r="L40" s="22"/>
      <c r="M40" s="23"/>
      <c r="N40" s="22"/>
      <c r="O40" s="22"/>
      <c r="P40" s="22"/>
      <c r="Q40" s="22"/>
      <c r="R40" s="22"/>
      <c r="S40" s="22"/>
      <c r="T40" s="22"/>
      <c r="U40" s="24"/>
      <c r="V40" s="24"/>
      <c r="W40" s="24"/>
    </row>
    <row r="41" spans="1:23" ht="12" customHeight="1">
      <c r="A41" s="27" t="s">
        <v>12</v>
      </c>
      <c r="B41" s="39"/>
      <c r="C41" s="29">
        <f t="shared" ref="C41:G41" si="12">C40/B39</f>
        <v>0.15163719277254029</v>
      </c>
      <c r="D41" s="29">
        <f t="shared" si="12"/>
        <v>8.7001993659509211E-2</v>
      </c>
      <c r="E41" s="29">
        <f t="shared" si="12"/>
        <v>2.2423689037079027E-2</v>
      </c>
      <c r="F41" s="29">
        <f t="shared" si="12"/>
        <v>3.4106650611136734E-2</v>
      </c>
      <c r="G41" s="29">
        <f t="shared" si="12"/>
        <v>3.0021238477116075E-2</v>
      </c>
      <c r="H41" s="13"/>
      <c r="I41" s="30"/>
      <c r="K41" s="31"/>
      <c r="L41" s="32"/>
      <c r="M41" s="32"/>
      <c r="N41" s="32"/>
      <c r="O41" s="32"/>
      <c r="P41" s="22"/>
      <c r="Q41" s="22"/>
      <c r="R41" s="22"/>
      <c r="S41" s="22"/>
      <c r="T41" s="22"/>
      <c r="U41" s="24"/>
      <c r="V41" s="24"/>
      <c r="W41" s="24"/>
    </row>
    <row r="42" spans="1:23" ht="12" customHeight="1">
      <c r="A42" s="18" t="s">
        <v>13</v>
      </c>
      <c r="B42" s="38"/>
      <c r="C42" s="26">
        <f>'SN (.4)'!N52</f>
        <v>1.181416911999996</v>
      </c>
      <c r="D42" s="26">
        <f>'SN (.4)'!U52</f>
        <v>2.0544039999999981</v>
      </c>
      <c r="E42" s="26">
        <f>'SN (.4)'!AB52</f>
        <v>0.56682400000000399</v>
      </c>
      <c r="F42" s="26">
        <f>'SN (.4)'!AI52</f>
        <v>0.88146799999999814</v>
      </c>
      <c r="G42" s="26">
        <f>'SN (.4)'!AP52</f>
        <v>0.80235200000000617</v>
      </c>
      <c r="H42" s="13"/>
      <c r="I42" s="34"/>
      <c r="K42" s="31"/>
      <c r="L42" s="32"/>
      <c r="M42" s="33"/>
      <c r="N42" s="32"/>
      <c r="O42" s="32"/>
      <c r="P42" s="32"/>
      <c r="Q42" s="32"/>
      <c r="R42" s="32"/>
      <c r="S42" s="32"/>
      <c r="T42" s="32"/>
      <c r="U42" s="24"/>
      <c r="V42" s="24"/>
      <c r="W42" s="24"/>
    </row>
    <row r="43" spans="1:23" ht="12" customHeight="1">
      <c r="A43" s="18" t="s">
        <v>14</v>
      </c>
      <c r="B43" s="39"/>
      <c r="C43" s="35">
        <f>HLOOKUP(C$4,'SN (.4)'!$11:$56,42,FALSE)</f>
        <v>3.30672833296934E-2</v>
      </c>
      <c r="D43" s="35">
        <f>HLOOKUP(D$4,'SN (.4)'!$11:$56,42,FALSE)</f>
        <v>5.5661201548276029E-2</v>
      </c>
      <c r="E43" s="35">
        <f>HLOOKUP(E$4,'SN (.4)'!$11:$56,42,FALSE)</f>
        <v>1.4547567980997992E-2</v>
      </c>
      <c r="F43" s="35">
        <f>HLOOKUP(F$4,'SN (.4)'!$11:$56,42,FALSE)</f>
        <v>2.2298533474063149E-2</v>
      </c>
      <c r="G43" s="35">
        <f>HLOOKUP(G$4,'SN (.4)'!$11:$56,42,FALSE)</f>
        <v>1.985440846643019E-2</v>
      </c>
      <c r="H43" s="13"/>
      <c r="I43" s="34"/>
      <c r="K43" s="5"/>
      <c r="U43" s="24"/>
      <c r="V43" s="24"/>
      <c r="W43" s="24"/>
    </row>
    <row r="44" spans="1:23" ht="12" customHeight="1">
      <c r="A44" s="40" t="s">
        <v>20</v>
      </c>
      <c r="B44" s="41"/>
      <c r="C44" s="41"/>
      <c r="D44" s="41"/>
      <c r="E44" s="41"/>
      <c r="F44" s="41"/>
      <c r="G44" s="41"/>
      <c r="H44" s="13"/>
      <c r="U44" s="24"/>
      <c r="V44" s="24"/>
      <c r="W44" s="24"/>
    </row>
    <row r="45" spans="1:23" ht="12" customHeight="1">
      <c r="A45" s="18" t="s">
        <v>10</v>
      </c>
      <c r="B45" s="19">
        <f>HLOOKUP(B$5,'StLght(50)'!$11:$56,19,FALSE)</f>
        <v>928.88499999999999</v>
      </c>
      <c r="C45" s="19">
        <f>HLOOKUP(C$5,'StLght(50)'!$11:$56,19,FALSE)</f>
        <v>901.59999999999991</v>
      </c>
      <c r="D45" s="19">
        <f>HLOOKUP(D$5,'StLght(50)'!$11:$56,19,FALSE)</f>
        <v>722.52499999999998</v>
      </c>
      <c r="E45" s="19">
        <f>HLOOKUP(E$5,'StLght(50)'!$11:$56,19,FALSE)</f>
        <v>738.875</v>
      </c>
      <c r="F45" s="19">
        <f>HLOOKUP(F$5,'StLght(50)'!$11:$56,19,FALSE)</f>
        <v>730.34499999999991</v>
      </c>
      <c r="G45" s="19">
        <f>HLOOKUP(G$5,'StLght(50)'!$11:$56,19,FALSE)</f>
        <v>737.755</v>
      </c>
      <c r="H45" s="13"/>
      <c r="I45" s="20"/>
      <c r="K45" s="21"/>
      <c r="L45" s="22"/>
      <c r="M45" s="23"/>
      <c r="N45" s="22"/>
      <c r="O45" s="22"/>
      <c r="P45" s="22"/>
      <c r="Q45" s="22"/>
      <c r="R45" s="22"/>
      <c r="S45" s="22"/>
      <c r="T45" s="22"/>
      <c r="U45" s="24"/>
      <c r="V45" s="24"/>
      <c r="W45" s="24"/>
    </row>
    <row r="46" spans="1:23" ht="12" customHeight="1">
      <c r="A46" s="18" t="s">
        <v>11</v>
      </c>
      <c r="B46" s="38"/>
      <c r="C46" s="26">
        <f t="shared" ref="C46:G46" si="13">C45-B45</f>
        <v>-27.285000000000082</v>
      </c>
      <c r="D46" s="26">
        <f t="shared" si="13"/>
        <v>-179.07499999999993</v>
      </c>
      <c r="E46" s="26">
        <f t="shared" si="13"/>
        <v>16.350000000000023</v>
      </c>
      <c r="F46" s="26">
        <f t="shared" si="13"/>
        <v>-8.5300000000000864</v>
      </c>
      <c r="G46" s="26">
        <f t="shared" si="13"/>
        <v>7.4100000000000819</v>
      </c>
      <c r="H46" s="13"/>
      <c r="I46" s="20"/>
      <c r="K46" s="21"/>
      <c r="L46" s="22"/>
      <c r="M46" s="23"/>
      <c r="N46" s="22"/>
      <c r="O46" s="22"/>
      <c r="P46" s="22"/>
      <c r="Q46" s="22"/>
      <c r="R46" s="22"/>
      <c r="S46" s="22"/>
      <c r="T46" s="22"/>
      <c r="U46" s="24"/>
      <c r="V46" s="24"/>
      <c r="W46" s="24"/>
    </row>
    <row r="47" spans="1:23" ht="12" customHeight="1">
      <c r="A47" s="27" t="s">
        <v>12</v>
      </c>
      <c r="B47" s="39"/>
      <c r="C47" s="29">
        <f t="shared" ref="C47:G47" si="14">C46/B45</f>
        <v>-2.9373926804717572E-2</v>
      </c>
      <c r="D47" s="29">
        <f t="shared" si="14"/>
        <v>-0.19861912156166808</v>
      </c>
      <c r="E47" s="29">
        <f t="shared" si="14"/>
        <v>2.2628974775959342E-2</v>
      </c>
      <c r="F47" s="29">
        <f t="shared" si="14"/>
        <v>-1.1544577905599845E-2</v>
      </c>
      <c r="G47" s="29">
        <f t="shared" si="14"/>
        <v>1.0145889956116743E-2</v>
      </c>
      <c r="H47" s="13"/>
      <c r="I47" s="30"/>
      <c r="K47" s="31"/>
      <c r="L47" s="32"/>
      <c r="M47" s="33"/>
      <c r="N47" s="32"/>
      <c r="O47" s="32"/>
      <c r="P47" s="22"/>
      <c r="Q47" s="22"/>
      <c r="R47" s="22"/>
      <c r="S47" s="22"/>
      <c r="T47" s="22"/>
      <c r="U47" s="24"/>
      <c r="V47" s="24"/>
      <c r="W47" s="24"/>
    </row>
    <row r="48" spans="1:23" ht="12" customHeight="1">
      <c r="A48" s="18" t="s">
        <v>13</v>
      </c>
      <c r="B48" s="38"/>
      <c r="C48" s="26">
        <f>'StLght(50)'!N52</f>
        <v>-159.05200588000071</v>
      </c>
      <c r="D48" s="26">
        <f>'StLght(50)'!U52</f>
        <v>-174.32399999999961</v>
      </c>
      <c r="E48" s="26">
        <f>'StLght(50)'!AB52</f>
        <v>-64.01299999999992</v>
      </c>
      <c r="F48" s="26">
        <f>'StLght(50)'!AI52</f>
        <v>-8.5210000000001855</v>
      </c>
      <c r="G48" s="26">
        <f>'StLght(50)'!AP52</f>
        <v>7.4205000000001746</v>
      </c>
      <c r="H48" s="13"/>
      <c r="I48" s="34"/>
      <c r="K48" s="31"/>
      <c r="L48" s="32"/>
      <c r="M48" s="32"/>
      <c r="N48" s="32"/>
      <c r="O48" s="32"/>
      <c r="P48" s="32"/>
      <c r="Q48" s="32"/>
      <c r="R48" s="32"/>
      <c r="S48" s="32"/>
      <c r="T48" s="32"/>
      <c r="U48" s="24"/>
      <c r="V48" s="24"/>
      <c r="W48" s="24"/>
    </row>
    <row r="49" spans="1:23" ht="12" customHeight="1">
      <c r="A49" s="18" t="s">
        <v>14</v>
      </c>
      <c r="B49" s="39"/>
      <c r="C49" s="35">
        <f>HLOOKUP(C$4,'StLght(50)'!$11:$56,42,FALSE)</f>
        <v>-4.772442280212242E-2</v>
      </c>
      <c r="D49" s="35">
        <f>HLOOKUP(D$4,'StLght(50)'!$11:$56,42,FALSE)</f>
        <v>-5.4928288907885411E-2</v>
      </c>
      <c r="E49" s="35">
        <f>HLOOKUP(E$4,'StLght(50)'!$11:$56,42,FALSE)</f>
        <v>-2.1342353318262956E-2</v>
      </c>
      <c r="F49" s="35">
        <f>HLOOKUP(F$4,'StLght(50)'!$11:$56,42,FALSE)</f>
        <v>-2.9029121674650558E-3</v>
      </c>
      <c r="G49" s="35">
        <f>HLOOKUP(G$4,'StLght(50)'!$11:$56,42,FALSE)</f>
        <v>2.5353566008577879E-3</v>
      </c>
      <c r="H49" s="13"/>
      <c r="I49" s="34"/>
      <c r="K49" s="5"/>
      <c r="L49" s="32"/>
      <c r="M49" s="33"/>
      <c r="N49" s="32"/>
      <c r="O49" s="32"/>
      <c r="P49" s="32"/>
      <c r="Q49" s="32"/>
      <c r="R49" s="32"/>
      <c r="S49" s="32"/>
      <c r="T49" s="32"/>
      <c r="U49" s="24"/>
      <c r="V49" s="24"/>
      <c r="W49" s="24"/>
    </row>
    <row r="50" spans="1:23" ht="12" customHeight="1">
      <c r="A50" s="40" t="s">
        <v>21</v>
      </c>
      <c r="B50" s="41"/>
      <c r="C50" s="41"/>
      <c r="D50" s="41"/>
      <c r="E50" s="41"/>
      <c r="F50" s="41"/>
      <c r="G50" s="41"/>
      <c r="H50" s="13"/>
      <c r="U50" s="24"/>
      <c r="V50" s="24"/>
      <c r="W50" s="24"/>
    </row>
    <row r="51" spans="1:23" ht="12" customHeight="1">
      <c r="A51" s="18" t="s">
        <v>10</v>
      </c>
      <c r="B51" s="19">
        <f>HLOOKUP(B$5,'USL (470)'!$11:$56,19,FALSE)</f>
        <v>22.975999999999999</v>
      </c>
      <c r="C51" s="19">
        <f>HLOOKUP(C$5,'USL (470)'!$11:$56,19,FALSE)</f>
        <v>25.941000000000003</v>
      </c>
      <c r="D51" s="19">
        <f>HLOOKUP(D$5,'USL (470)'!$11:$56,19,FALSE)</f>
        <v>28.453000000000003</v>
      </c>
      <c r="E51" s="19">
        <f>HLOOKUP(E$5,'USL (470)'!$11:$56,19,FALSE)</f>
        <v>29.039000000000001</v>
      </c>
      <c r="F51" s="19">
        <f>HLOOKUP(F$5,'USL (470)'!$11:$56,19,FALSE)</f>
        <v>29.92</v>
      </c>
      <c r="G51" s="19">
        <f>HLOOKUP(G$5,'USL (470)'!$11:$56,19,FALSE)</f>
        <v>30.378999999999998</v>
      </c>
      <c r="H51" s="13"/>
      <c r="I51" s="20"/>
      <c r="K51" s="21"/>
      <c r="L51" s="22"/>
      <c r="M51" s="22"/>
      <c r="N51" s="22"/>
      <c r="O51" s="22"/>
      <c r="P51" s="22"/>
      <c r="Q51" s="22"/>
      <c r="R51" s="22"/>
      <c r="S51" s="22"/>
      <c r="T51" s="22"/>
      <c r="U51" s="24"/>
      <c r="V51" s="24"/>
      <c r="W51" s="24"/>
    </row>
    <row r="52" spans="1:23" ht="12" customHeight="1">
      <c r="A52" s="18" t="s">
        <v>11</v>
      </c>
      <c r="B52" s="38"/>
      <c r="C52" s="26">
        <f t="shared" ref="C52:G52" si="15">C51-B51</f>
        <v>2.9650000000000034</v>
      </c>
      <c r="D52" s="26">
        <f t="shared" si="15"/>
        <v>2.5120000000000005</v>
      </c>
      <c r="E52" s="26">
        <f t="shared" si="15"/>
        <v>0.58599999999999852</v>
      </c>
      <c r="F52" s="26">
        <f t="shared" si="15"/>
        <v>0.88100000000000023</v>
      </c>
      <c r="G52" s="26">
        <f t="shared" si="15"/>
        <v>0.45899999999999608</v>
      </c>
      <c r="H52" s="13"/>
      <c r="I52" s="20"/>
      <c r="K52" s="21"/>
      <c r="L52" s="22"/>
      <c r="M52" s="23"/>
      <c r="N52" s="22"/>
      <c r="O52" s="22"/>
      <c r="P52" s="22"/>
      <c r="Q52" s="22"/>
      <c r="R52" s="22"/>
      <c r="S52" s="22"/>
      <c r="T52" s="22"/>
      <c r="U52" s="24"/>
      <c r="V52" s="24"/>
      <c r="W52" s="24"/>
    </row>
    <row r="53" spans="1:23" ht="12" customHeight="1">
      <c r="A53" s="27" t="s">
        <v>12</v>
      </c>
      <c r="B53" s="39"/>
      <c r="C53" s="29">
        <f t="shared" ref="C53:G53" si="16">C52/B51</f>
        <v>0.12904770194986087</v>
      </c>
      <c r="D53" s="29">
        <f t="shared" si="16"/>
        <v>9.6835125862534219E-2</v>
      </c>
      <c r="E53" s="29">
        <f t="shared" si="16"/>
        <v>2.0595367799528995E-2</v>
      </c>
      <c r="F53" s="29">
        <f t="shared" si="16"/>
        <v>3.0338510279279595E-2</v>
      </c>
      <c r="G53" s="29">
        <f t="shared" si="16"/>
        <v>1.5340909090908959E-2</v>
      </c>
      <c r="H53" s="13"/>
      <c r="I53" s="30"/>
      <c r="K53" s="31"/>
      <c r="L53" s="32"/>
      <c r="M53" s="33"/>
      <c r="N53" s="32"/>
      <c r="O53" s="32"/>
      <c r="P53" s="22"/>
      <c r="Q53" s="22"/>
      <c r="R53" s="22"/>
      <c r="S53" s="22"/>
      <c r="T53" s="22"/>
      <c r="U53" s="24"/>
      <c r="V53" s="24"/>
      <c r="W53" s="24"/>
    </row>
    <row r="54" spans="1:23" ht="12" customHeight="1">
      <c r="A54" s="18" t="s">
        <v>13</v>
      </c>
      <c r="B54" s="38"/>
      <c r="C54" s="26">
        <f>'USL (470)'!N52</f>
        <v>-1.0099751800000263</v>
      </c>
      <c r="D54" s="26">
        <f>'USL (470)'!U52</f>
        <v>2.5590000000000117</v>
      </c>
      <c r="E54" s="26">
        <f>'USL (470)'!AB52</f>
        <v>0.58599999999999852</v>
      </c>
      <c r="F54" s="26">
        <f>'USL (470)'!AI52</f>
        <v>0.88100000000000023</v>
      </c>
      <c r="G54" s="26">
        <f>'USL (470)'!AP52</f>
        <v>0.45899999999998897</v>
      </c>
      <c r="H54" s="13"/>
      <c r="I54" s="34"/>
      <c r="K54" s="31"/>
      <c r="L54" s="32"/>
      <c r="M54" s="33"/>
      <c r="N54" s="32"/>
      <c r="O54" s="32"/>
      <c r="P54" s="32"/>
      <c r="Q54" s="32"/>
      <c r="R54" s="32"/>
      <c r="S54" s="32"/>
      <c r="T54" s="32"/>
      <c r="U54" s="24"/>
      <c r="V54" s="24"/>
      <c r="W54" s="24"/>
    </row>
    <row r="55" spans="1:23" ht="12" customHeight="1">
      <c r="A55" s="18" t="s">
        <v>14</v>
      </c>
      <c r="B55" s="39"/>
      <c r="C55" s="35">
        <f>HLOOKUP(C$4,'USL (470)'!$11:$56,42,FALSE)</f>
        <v>-1.0369200683013264E-2</v>
      </c>
      <c r="D55" s="35">
        <f>HLOOKUP(D$4,'USL (470)'!$11:$56,42,FALSE)</f>
        <v>2.654799098734913E-2</v>
      </c>
      <c r="E55" s="35">
        <f>HLOOKUP(E$4,'USL (470)'!$11:$56,42,FALSE)</f>
        <v>5.9221545134773143E-3</v>
      </c>
      <c r="F55" s="35">
        <f>HLOOKUP(F$4,'USL (470)'!$11:$56,42,FALSE)</f>
        <v>8.8510267536234324E-3</v>
      </c>
      <c r="G55" s="35">
        <f>HLOOKUP(G$4,'USL (470)'!$11:$56,42,FALSE)</f>
        <v>4.570917578295205E-3</v>
      </c>
      <c r="H55" s="13"/>
      <c r="I55" s="34"/>
      <c r="K55" s="5"/>
      <c r="L55" s="32"/>
      <c r="M55" s="33"/>
      <c r="N55" s="32"/>
      <c r="O55" s="32"/>
      <c r="P55" s="32"/>
      <c r="R55" s="24"/>
      <c r="S55" s="24"/>
      <c r="T55" s="24"/>
      <c r="U55" s="24"/>
      <c r="V55" s="24"/>
      <c r="W55" s="24"/>
    </row>
    <row r="56" spans="1:23" ht="12" customHeight="1">
      <c r="A56" s="3"/>
      <c r="B56" s="3"/>
      <c r="C56" s="3"/>
      <c r="D56" s="3"/>
      <c r="E56" s="3"/>
      <c r="F56" s="3"/>
      <c r="G56" s="3"/>
      <c r="K56" s="5"/>
      <c r="M56" s="6"/>
    </row>
    <row r="57" spans="1:23" ht="12" customHeight="1">
      <c r="A57" s="3"/>
      <c r="B57" s="3"/>
      <c r="C57" s="3"/>
      <c r="D57" s="3"/>
      <c r="E57" s="3"/>
      <c r="F57" s="3"/>
      <c r="G57" s="3"/>
      <c r="K57" s="5"/>
      <c r="M57" s="6"/>
    </row>
    <row r="58" spans="1:23" ht="12" customHeight="1">
      <c r="A58" s="3"/>
      <c r="B58" s="3"/>
      <c r="C58" s="3"/>
      <c r="D58" s="3"/>
      <c r="E58" s="3"/>
      <c r="F58" s="3"/>
      <c r="G58" s="3"/>
      <c r="K58" s="5"/>
      <c r="M58" s="6"/>
    </row>
    <row r="59" spans="1:23" ht="12" customHeight="1">
      <c r="A59" s="3"/>
      <c r="B59" s="3"/>
      <c r="C59" s="3"/>
      <c r="D59" s="3"/>
      <c r="E59" s="3"/>
      <c r="F59" s="3"/>
      <c r="G59" s="3"/>
      <c r="K59" s="5"/>
      <c r="M59" s="6"/>
    </row>
    <row r="60" spans="1:23" ht="12" customHeight="1">
      <c r="A60" s="3"/>
      <c r="B60" s="3"/>
      <c r="C60" s="3"/>
      <c r="D60" s="3"/>
      <c r="E60" s="3"/>
      <c r="F60" s="3"/>
      <c r="G60" s="3"/>
      <c r="K60" s="5"/>
      <c r="M60" s="6"/>
    </row>
    <row r="61" spans="1:23" ht="12" customHeight="1">
      <c r="A61" s="3"/>
      <c r="B61" s="3"/>
      <c r="C61" s="3"/>
      <c r="D61" s="3"/>
      <c r="E61" s="3"/>
      <c r="F61" s="3"/>
      <c r="G61" s="3"/>
      <c r="K61" s="5"/>
      <c r="M61" s="6"/>
    </row>
    <row r="62" spans="1:23" ht="12" customHeight="1">
      <c r="A62" s="3"/>
      <c r="B62" s="3"/>
      <c r="C62" s="3"/>
      <c r="D62" s="3"/>
      <c r="E62" s="3"/>
      <c r="F62" s="3"/>
      <c r="G62" s="3"/>
      <c r="K62" s="5"/>
      <c r="M62" s="6"/>
    </row>
    <row r="63" spans="1:23" ht="12" customHeight="1">
      <c r="A63" s="583"/>
      <c r="B63" s="7" t="s">
        <v>7</v>
      </c>
      <c r="C63" s="7" t="s">
        <v>8</v>
      </c>
      <c r="D63" s="7" t="s">
        <v>8</v>
      </c>
      <c r="E63" s="7" t="s">
        <v>8</v>
      </c>
      <c r="F63" s="7" t="s">
        <v>8</v>
      </c>
      <c r="G63" s="7" t="s">
        <v>8</v>
      </c>
      <c r="H63" s="13"/>
      <c r="K63" s="5"/>
      <c r="M63" s="6"/>
    </row>
    <row r="64" spans="1:23" ht="12" customHeight="1">
      <c r="A64" s="584"/>
      <c r="B64" s="15">
        <v>2025</v>
      </c>
      <c r="C64" s="15" t="str">
        <f t="shared" ref="C64:G64" si="17">C7</f>
        <v>2026F</v>
      </c>
      <c r="D64" s="15" t="str">
        <f t="shared" si="17"/>
        <v>2027F</v>
      </c>
      <c r="E64" s="15" t="str">
        <f t="shared" si="17"/>
        <v>2028F</v>
      </c>
      <c r="F64" s="15" t="str">
        <f t="shared" si="17"/>
        <v>2029F</v>
      </c>
      <c r="G64" s="15" t="str">
        <f t="shared" si="17"/>
        <v>2030F</v>
      </c>
      <c r="H64" s="13"/>
      <c r="K64" s="5"/>
      <c r="M64" s="6"/>
    </row>
    <row r="65" spans="1:13" ht="12" customHeight="1">
      <c r="A65" s="585" t="s">
        <v>9</v>
      </c>
      <c r="B65" s="586"/>
      <c r="C65" s="586"/>
      <c r="D65" s="586"/>
      <c r="E65" s="586"/>
      <c r="F65" s="586"/>
      <c r="G65" s="587"/>
      <c r="H65" s="13"/>
      <c r="K65" s="5"/>
      <c r="M65" s="6"/>
    </row>
    <row r="66" spans="1:13" ht="12" customHeight="1">
      <c r="A66" s="18" t="s">
        <v>10</v>
      </c>
      <c r="B66" s="42">
        <f t="shared" ref="B66:G66" si="18">B9</f>
        <v>34.51</v>
      </c>
      <c r="C66" s="42">
        <f t="shared" si="18"/>
        <v>39.850000000000009</v>
      </c>
      <c r="D66" s="42">
        <f t="shared" si="18"/>
        <v>42.940000000000005</v>
      </c>
      <c r="E66" s="42">
        <f t="shared" si="18"/>
        <v>43.93</v>
      </c>
      <c r="F66" s="42">
        <f t="shared" si="18"/>
        <v>45.42</v>
      </c>
      <c r="G66" s="42">
        <f t="shared" si="18"/>
        <v>46.78</v>
      </c>
      <c r="H66" s="13"/>
      <c r="K66" s="5"/>
      <c r="M66" s="6"/>
    </row>
    <row r="67" spans="1:13" ht="12" customHeight="1">
      <c r="A67" s="18" t="s">
        <v>11</v>
      </c>
      <c r="B67" s="43">
        <f t="shared" ref="B67:B68" si="19">B10</f>
        <v>0</v>
      </c>
      <c r="C67" s="26">
        <f t="shared" ref="C67:G67" si="20">C66-B66</f>
        <v>5.3400000000000105</v>
      </c>
      <c r="D67" s="26">
        <f t="shared" si="20"/>
        <v>3.0899999999999963</v>
      </c>
      <c r="E67" s="26">
        <f t="shared" si="20"/>
        <v>0.98999999999999488</v>
      </c>
      <c r="F67" s="26">
        <f t="shared" si="20"/>
        <v>1.490000000000002</v>
      </c>
      <c r="G67" s="26">
        <f t="shared" si="20"/>
        <v>1.3599999999999994</v>
      </c>
      <c r="H67" s="13"/>
      <c r="K67" s="5"/>
      <c r="M67" s="6"/>
    </row>
    <row r="68" spans="1:13" ht="12" customHeight="1">
      <c r="A68" s="27" t="s">
        <v>12</v>
      </c>
      <c r="B68" s="44">
        <f t="shared" si="19"/>
        <v>0</v>
      </c>
      <c r="C68" s="29">
        <f t="shared" ref="C68:G68" si="21">C67/B66</f>
        <v>0.15473775717183458</v>
      </c>
      <c r="D68" s="29">
        <f t="shared" si="21"/>
        <v>7.7540777917189357E-2</v>
      </c>
      <c r="E68" s="29">
        <f t="shared" si="21"/>
        <v>2.3055426176059497E-2</v>
      </c>
      <c r="F68" s="29">
        <f t="shared" si="21"/>
        <v>3.3917596175734165E-2</v>
      </c>
      <c r="G68" s="29">
        <f t="shared" si="21"/>
        <v>2.9942756494936138E-2</v>
      </c>
      <c r="H68" s="13"/>
      <c r="K68" s="5"/>
      <c r="M68" s="6"/>
    </row>
    <row r="69" spans="1:13" ht="12" customHeight="1">
      <c r="A69" s="18" t="s">
        <v>14</v>
      </c>
      <c r="B69" s="44">
        <f t="shared" ref="B69:G69" si="22">B13</f>
        <v>0</v>
      </c>
      <c r="C69" s="45">
        <f t="shared" si="22"/>
        <v>3.8377981223641479E-2</v>
      </c>
      <c r="D69" s="45">
        <f t="shared" si="22"/>
        <v>2.0717545663173655E-2</v>
      </c>
      <c r="E69" s="45">
        <f t="shared" si="22"/>
        <v>6.1702330506223308E-3</v>
      </c>
      <c r="F69" s="45">
        <f t="shared" si="22"/>
        <v>9.1278603291323895E-3</v>
      </c>
      <c r="G69" s="45">
        <f t="shared" si="22"/>
        <v>8.2613704648769933E-3</v>
      </c>
      <c r="H69" s="13"/>
      <c r="K69" s="5"/>
      <c r="M69" s="6"/>
    </row>
    <row r="70" spans="1:13" ht="12" customHeight="1">
      <c r="A70" s="585" t="str">
        <f>A14</f>
        <v>General Service &lt;50 kW (2000 kWh)</v>
      </c>
      <c r="B70" s="586"/>
      <c r="C70" s="586"/>
      <c r="D70" s="586"/>
      <c r="E70" s="586"/>
      <c r="F70" s="586"/>
      <c r="G70" s="587"/>
      <c r="H70" s="13"/>
      <c r="K70" s="5"/>
      <c r="M70" s="6"/>
    </row>
    <row r="71" spans="1:13" ht="12" customHeight="1">
      <c r="A71" s="18" t="s">
        <v>10</v>
      </c>
      <c r="B71" s="42">
        <f t="shared" ref="B71:G71" si="23">B15</f>
        <v>85.93</v>
      </c>
      <c r="C71" s="42">
        <f t="shared" si="23"/>
        <v>96.15</v>
      </c>
      <c r="D71" s="42">
        <f t="shared" si="23"/>
        <v>102.21000000000001</v>
      </c>
      <c r="E71" s="42">
        <f t="shared" si="23"/>
        <v>105.10000000000001</v>
      </c>
      <c r="F71" s="42">
        <f t="shared" si="23"/>
        <v>106.77</v>
      </c>
      <c r="G71" s="42">
        <f t="shared" si="23"/>
        <v>108.41</v>
      </c>
      <c r="H71" s="13"/>
      <c r="K71" s="5"/>
      <c r="M71" s="6"/>
    </row>
    <row r="72" spans="1:13" ht="12" customHeight="1">
      <c r="A72" s="18" t="s">
        <v>11</v>
      </c>
      <c r="B72" s="43">
        <f t="shared" ref="B72:G72" si="24">B16</f>
        <v>0</v>
      </c>
      <c r="C72" s="42">
        <f t="shared" si="24"/>
        <v>10.219999999999999</v>
      </c>
      <c r="D72" s="42">
        <f t="shared" si="24"/>
        <v>6.0600000000000023</v>
      </c>
      <c r="E72" s="42">
        <f t="shared" si="24"/>
        <v>2.8900000000000006</v>
      </c>
      <c r="F72" s="42">
        <f t="shared" si="24"/>
        <v>1.6699999999999875</v>
      </c>
      <c r="G72" s="42">
        <f t="shared" si="24"/>
        <v>1.6400000000000006</v>
      </c>
      <c r="H72" s="13"/>
      <c r="K72" s="5"/>
      <c r="M72" s="6"/>
    </row>
    <row r="73" spans="1:13" ht="12" customHeight="1">
      <c r="A73" s="27" t="s">
        <v>12</v>
      </c>
      <c r="B73" s="44">
        <f t="shared" ref="B73:G73" si="25">B17</f>
        <v>0</v>
      </c>
      <c r="C73" s="46">
        <f t="shared" si="25"/>
        <v>0.11893401605958336</v>
      </c>
      <c r="D73" s="46">
        <f t="shared" si="25"/>
        <v>6.3026521060842458E-2</v>
      </c>
      <c r="E73" s="46">
        <f t="shared" si="25"/>
        <v>2.827511985128657E-2</v>
      </c>
      <c r="F73" s="46">
        <f t="shared" si="25"/>
        <v>1.5889628924833372E-2</v>
      </c>
      <c r="G73" s="46">
        <f t="shared" si="25"/>
        <v>1.5360119883862515E-2</v>
      </c>
      <c r="H73" s="13"/>
      <c r="K73" s="5"/>
      <c r="M73" s="6"/>
    </row>
    <row r="74" spans="1:13" ht="12" customHeight="1">
      <c r="A74" s="18" t="s">
        <v>14</v>
      </c>
      <c r="B74" s="44">
        <f t="shared" ref="B74:G74" si="26">B19</f>
        <v>0</v>
      </c>
      <c r="C74" s="45">
        <f t="shared" si="26"/>
        <v>9.6471444503166519E-3</v>
      </c>
      <c r="D74" s="45">
        <f t="shared" si="26"/>
        <v>1.5421805396169507E-2</v>
      </c>
      <c r="E74" s="45">
        <f t="shared" si="26"/>
        <v>7.0357823782241802E-3</v>
      </c>
      <c r="F74" s="45">
        <f t="shared" si="26"/>
        <v>4.0474247161656858E-3</v>
      </c>
      <c r="G74" s="45">
        <f t="shared" si="26"/>
        <v>3.9591250143679703E-3</v>
      </c>
      <c r="H74" s="13"/>
      <c r="K74" s="5"/>
      <c r="M74" s="6"/>
    </row>
    <row r="75" spans="1:13" ht="12" customHeight="1">
      <c r="A75" s="3"/>
      <c r="B75" s="3"/>
      <c r="C75" s="3"/>
      <c r="D75" s="3"/>
      <c r="E75" s="3"/>
      <c r="F75" s="3"/>
      <c r="G75" s="3"/>
      <c r="K75" s="5"/>
      <c r="M75" s="6"/>
    </row>
    <row r="76" spans="1:13" ht="12" customHeight="1">
      <c r="A76" s="3"/>
      <c r="B76" s="3"/>
      <c r="C76" s="3"/>
      <c r="D76" s="3"/>
      <c r="E76" s="3"/>
      <c r="F76" s="3"/>
      <c r="G76" s="3"/>
      <c r="K76" s="5"/>
      <c r="M76" s="6"/>
    </row>
    <row r="77" spans="1:13" ht="12" customHeight="1">
      <c r="A77" s="3"/>
      <c r="B77" s="3"/>
      <c r="C77" s="3"/>
      <c r="D77" s="3"/>
      <c r="E77" s="3"/>
      <c r="F77" s="3"/>
      <c r="G77" s="3"/>
      <c r="K77" s="5"/>
      <c r="M77" s="6"/>
    </row>
    <row r="78" spans="1:13" ht="12" customHeight="1">
      <c r="A78" s="583"/>
      <c r="B78" s="7" t="s">
        <v>7</v>
      </c>
      <c r="C78" s="7" t="s">
        <v>8</v>
      </c>
      <c r="D78" s="7" t="s">
        <v>8</v>
      </c>
      <c r="E78" s="7" t="s">
        <v>8</v>
      </c>
      <c r="F78" s="7" t="s">
        <v>8</v>
      </c>
      <c r="G78" s="7" t="s">
        <v>8</v>
      </c>
      <c r="H78" s="13"/>
      <c r="K78" s="5"/>
      <c r="M78" s="6"/>
    </row>
    <row r="79" spans="1:13" ht="12" customHeight="1">
      <c r="A79" s="584"/>
      <c r="B79" s="15">
        <f t="shared" ref="B79:G79" si="27">B64</f>
        <v>2025</v>
      </c>
      <c r="C79" s="15" t="str">
        <f t="shared" si="27"/>
        <v>2026F</v>
      </c>
      <c r="D79" s="15" t="str">
        <f t="shared" si="27"/>
        <v>2027F</v>
      </c>
      <c r="E79" s="15" t="str">
        <f t="shared" si="27"/>
        <v>2028F</v>
      </c>
      <c r="F79" s="15" t="str">
        <f t="shared" si="27"/>
        <v>2029F</v>
      </c>
      <c r="G79" s="15" t="str">
        <f t="shared" si="27"/>
        <v>2030F</v>
      </c>
      <c r="H79" s="13"/>
      <c r="K79" s="5"/>
      <c r="M79" s="6"/>
    </row>
    <row r="80" spans="1:13" ht="12" customHeight="1">
      <c r="A80" s="585" t="s">
        <v>9</v>
      </c>
      <c r="B80" s="586"/>
      <c r="C80" s="586"/>
      <c r="D80" s="586"/>
      <c r="E80" s="586"/>
      <c r="F80" s="586"/>
      <c r="G80" s="587"/>
      <c r="H80" s="13"/>
      <c r="K80" s="5"/>
      <c r="M80" s="6"/>
    </row>
    <row r="81" spans="1:13" ht="12" customHeight="1">
      <c r="A81" s="18" t="s">
        <v>10</v>
      </c>
      <c r="B81" s="47">
        <f>'Res (750)'!H15</f>
        <v>34.26</v>
      </c>
      <c r="C81" s="42">
        <f>'Res (750)'!L15</f>
        <v>39.200000000000003</v>
      </c>
      <c r="D81" s="42">
        <f>'Res (750)'!S15</f>
        <v>41.1</v>
      </c>
      <c r="E81" s="42">
        <f>'Res (750)'!Z15</f>
        <v>43.93</v>
      </c>
      <c r="F81" s="42">
        <f>'Res (750)'!AG15</f>
        <v>45.42</v>
      </c>
      <c r="G81" s="42">
        <f>'Res (750)'!AN15</f>
        <v>46.78</v>
      </c>
      <c r="H81" s="13"/>
      <c r="K81" s="5"/>
      <c r="M81" s="6"/>
    </row>
    <row r="82" spans="1:13" ht="12" customHeight="1">
      <c r="A82" s="48" t="s">
        <v>11</v>
      </c>
      <c r="B82" s="49">
        <f t="shared" ref="B82:B83" si="28">B28</f>
        <v>0</v>
      </c>
      <c r="C82" s="26">
        <f t="shared" ref="C82:G82" si="29">C81-B81</f>
        <v>4.9400000000000048</v>
      </c>
      <c r="D82" s="26">
        <f t="shared" si="29"/>
        <v>1.8999999999999986</v>
      </c>
      <c r="E82" s="26">
        <f t="shared" si="29"/>
        <v>2.8299999999999983</v>
      </c>
      <c r="F82" s="26">
        <f t="shared" si="29"/>
        <v>1.490000000000002</v>
      </c>
      <c r="G82" s="50">
        <f t="shared" si="29"/>
        <v>1.3599999999999994</v>
      </c>
      <c r="H82" s="51"/>
      <c r="K82" s="5"/>
      <c r="M82" s="6"/>
    </row>
    <row r="83" spans="1:13" ht="12" customHeight="1">
      <c r="A83" s="27" t="s">
        <v>12</v>
      </c>
      <c r="B83" s="44">
        <f t="shared" si="28"/>
        <v>0</v>
      </c>
      <c r="C83" s="29">
        <f t="shared" ref="C83:G83" si="30">C82/B81</f>
        <v>0.14419147694103926</v>
      </c>
      <c r="D83" s="29">
        <f t="shared" si="30"/>
        <v>4.8469387755102004E-2</v>
      </c>
      <c r="E83" s="29">
        <f t="shared" si="30"/>
        <v>6.8856447688564429E-2</v>
      </c>
      <c r="F83" s="29">
        <f t="shared" si="30"/>
        <v>3.3917596175734165E-2</v>
      </c>
      <c r="G83" s="29">
        <f t="shared" si="30"/>
        <v>2.9942756494936138E-2</v>
      </c>
      <c r="H83" s="13"/>
      <c r="K83" s="5"/>
      <c r="M83" s="6"/>
    </row>
    <row r="84" spans="1:13" ht="12" customHeight="1">
      <c r="A84" s="18"/>
      <c r="B84" s="44"/>
      <c r="C84" s="45"/>
      <c r="D84" s="45"/>
      <c r="E84" s="45"/>
      <c r="F84" s="45"/>
      <c r="G84" s="45"/>
      <c r="H84" s="13"/>
      <c r="K84" s="5"/>
      <c r="M84" s="6"/>
    </row>
    <row r="85" spans="1:13" ht="12" customHeight="1">
      <c r="A85" s="18" t="s">
        <v>22</v>
      </c>
      <c r="B85" s="42">
        <f t="shared" ref="B85:G85" si="31">B86-B81</f>
        <v>0.25</v>
      </c>
      <c r="C85" s="42">
        <f t="shared" si="31"/>
        <v>0.65000000000000568</v>
      </c>
      <c r="D85" s="42">
        <f t="shared" si="31"/>
        <v>1.8400000000000034</v>
      </c>
      <c r="E85" s="42">
        <f t="shared" si="31"/>
        <v>0</v>
      </c>
      <c r="F85" s="42">
        <f t="shared" si="31"/>
        <v>0</v>
      </c>
      <c r="G85" s="42">
        <f t="shared" si="31"/>
        <v>0</v>
      </c>
      <c r="H85" s="13"/>
      <c r="K85" s="5"/>
      <c r="M85" s="6"/>
    </row>
    <row r="86" spans="1:13" ht="12" customHeight="1">
      <c r="A86" s="18" t="s">
        <v>23</v>
      </c>
      <c r="B86" s="42">
        <f t="shared" ref="B86:G86" si="32">B66</f>
        <v>34.51</v>
      </c>
      <c r="C86" s="42">
        <f t="shared" si="32"/>
        <v>39.850000000000009</v>
      </c>
      <c r="D86" s="42">
        <f t="shared" si="32"/>
        <v>42.940000000000005</v>
      </c>
      <c r="E86" s="42">
        <f t="shared" si="32"/>
        <v>43.93</v>
      </c>
      <c r="F86" s="42">
        <f t="shared" si="32"/>
        <v>45.42</v>
      </c>
      <c r="G86" s="42">
        <f t="shared" si="32"/>
        <v>46.78</v>
      </c>
      <c r="H86" s="13"/>
      <c r="K86" s="5"/>
      <c r="M86" s="6"/>
    </row>
    <row r="87" spans="1:13" ht="12" customHeight="1">
      <c r="A87" s="18" t="s">
        <v>11</v>
      </c>
      <c r="B87" s="44"/>
      <c r="C87" s="42">
        <f t="shared" ref="C87:G87" si="33">C67</f>
        <v>5.3400000000000105</v>
      </c>
      <c r="D87" s="42">
        <f t="shared" si="33"/>
        <v>3.0899999999999963</v>
      </c>
      <c r="E87" s="42">
        <f t="shared" si="33"/>
        <v>0.98999999999999488</v>
      </c>
      <c r="F87" s="42">
        <f t="shared" si="33"/>
        <v>1.490000000000002</v>
      </c>
      <c r="G87" s="42">
        <f t="shared" si="33"/>
        <v>1.3599999999999994</v>
      </c>
      <c r="H87" s="13"/>
      <c r="K87" s="5"/>
      <c r="M87" s="6"/>
    </row>
    <row r="88" spans="1:13" ht="12" customHeight="1">
      <c r="A88" s="27" t="s">
        <v>12</v>
      </c>
      <c r="B88" s="44"/>
      <c r="C88" s="46">
        <f t="shared" ref="C88:G88" si="34">C68</f>
        <v>0.15473775717183458</v>
      </c>
      <c r="D88" s="46">
        <f t="shared" si="34"/>
        <v>7.7540777917189357E-2</v>
      </c>
      <c r="E88" s="46">
        <f t="shared" si="34"/>
        <v>2.3055426176059497E-2</v>
      </c>
      <c r="F88" s="46">
        <f t="shared" si="34"/>
        <v>3.3917596175734165E-2</v>
      </c>
      <c r="G88" s="46">
        <f t="shared" si="34"/>
        <v>2.9942756494936138E-2</v>
      </c>
      <c r="H88" s="13"/>
      <c r="K88" s="5"/>
      <c r="M88" s="6"/>
    </row>
    <row r="89" spans="1:13" ht="12" customHeight="1">
      <c r="A89" s="18"/>
      <c r="B89" s="44"/>
      <c r="C89" s="45"/>
      <c r="D89" s="45"/>
      <c r="E89" s="45"/>
      <c r="F89" s="45"/>
      <c r="G89" s="45"/>
      <c r="H89" s="13"/>
      <c r="K89" s="5"/>
      <c r="M89" s="6"/>
    </row>
    <row r="90" spans="1:13" ht="12" customHeight="1">
      <c r="A90" s="52" t="s">
        <v>24</v>
      </c>
      <c r="B90" s="42">
        <f>'Res (750)'!H54</f>
        <v>137.91540940250002</v>
      </c>
      <c r="C90" s="42">
        <f>'Res (750)'!L54</f>
        <v>143.20832439499998</v>
      </c>
      <c r="D90" s="42">
        <f>'Res (750)'!S54</f>
        <v>146.17524939500001</v>
      </c>
      <c r="E90" s="42">
        <f>'Res (750)'!Z54</f>
        <v>147.07718474999999</v>
      </c>
      <c r="F90" s="42">
        <f>'Res (750)'!AG54</f>
        <v>148.41968474999999</v>
      </c>
      <c r="G90" s="42">
        <f>'Res (750)'!AN54</f>
        <v>149.64583475000001</v>
      </c>
      <c r="H90" s="13"/>
      <c r="K90" s="5"/>
      <c r="M90" s="6"/>
    </row>
    <row r="91" spans="1:13" ht="12" customHeight="1">
      <c r="A91" s="52"/>
      <c r="B91" s="44"/>
      <c r="C91" s="42">
        <f t="shared" ref="C91:G91" si="35">C90-B90</f>
        <v>5.2929149924999592</v>
      </c>
      <c r="D91" s="42">
        <f t="shared" si="35"/>
        <v>2.9669250000000318</v>
      </c>
      <c r="E91" s="42">
        <f t="shared" si="35"/>
        <v>0.90193535499997779</v>
      </c>
      <c r="F91" s="42">
        <f t="shared" si="35"/>
        <v>1.3425000000000011</v>
      </c>
      <c r="G91" s="42">
        <f t="shared" si="35"/>
        <v>1.2261500000000183</v>
      </c>
      <c r="H91" s="13"/>
      <c r="K91" s="5"/>
      <c r="M91" s="6"/>
    </row>
    <row r="92" spans="1:13" ht="12" customHeight="1">
      <c r="A92" s="18" t="s">
        <v>14</v>
      </c>
      <c r="B92" s="44">
        <f t="shared" ref="B92:B93" si="36">B31</f>
        <v>0</v>
      </c>
      <c r="C92" s="45">
        <f t="shared" ref="C92:G92" si="37">C91/B90</f>
        <v>3.8377981223641375E-2</v>
      </c>
      <c r="D92" s="45">
        <f t="shared" si="37"/>
        <v>2.0717545663173891E-2</v>
      </c>
      <c r="E92" s="45">
        <f t="shared" si="37"/>
        <v>6.1702330506222406E-3</v>
      </c>
      <c r="F92" s="45">
        <f t="shared" si="37"/>
        <v>9.1278603291323965E-3</v>
      </c>
      <c r="G92" s="45">
        <f t="shared" si="37"/>
        <v>8.2613704648770887E-3</v>
      </c>
      <c r="H92" s="13"/>
      <c r="K92" s="5"/>
      <c r="M92" s="6"/>
    </row>
    <row r="93" spans="1:13" ht="12" customHeight="1">
      <c r="A93" s="18" t="s">
        <v>25</v>
      </c>
      <c r="B93" s="44">
        <f t="shared" si="36"/>
        <v>0</v>
      </c>
      <c r="C93" s="45">
        <f t="shared" ref="C93:G93" si="38">C13</f>
        <v>3.8377981223641479E-2</v>
      </c>
      <c r="D93" s="45">
        <f t="shared" si="38"/>
        <v>2.0717545663173655E-2</v>
      </c>
      <c r="E93" s="45">
        <f t="shared" si="38"/>
        <v>6.1702330506223308E-3</v>
      </c>
      <c r="F93" s="45">
        <f t="shared" si="38"/>
        <v>9.1278603291323895E-3</v>
      </c>
      <c r="G93" s="45">
        <f t="shared" si="38"/>
        <v>8.2613704648769933E-3</v>
      </c>
      <c r="H93" s="13"/>
      <c r="K93" s="5"/>
      <c r="M93" s="6"/>
    </row>
    <row r="94" spans="1:13" ht="12" customHeight="1">
      <c r="A94" s="3"/>
      <c r="B94" s="3"/>
      <c r="C94" s="3"/>
      <c r="D94" s="3"/>
      <c r="E94" s="3"/>
      <c r="F94" s="3"/>
      <c r="G94" s="3"/>
      <c r="K94" s="5"/>
      <c r="M94" s="6"/>
    </row>
    <row r="95" spans="1:13" ht="12" customHeight="1">
      <c r="A95" s="3"/>
      <c r="B95" s="3"/>
      <c r="C95" s="3"/>
      <c r="D95" s="3"/>
      <c r="E95" s="3"/>
      <c r="F95" s="3"/>
      <c r="G95" s="3"/>
      <c r="K95" s="5"/>
      <c r="M95" s="6"/>
    </row>
    <row r="96" spans="1:13" ht="12" customHeight="1">
      <c r="A96" s="3"/>
      <c r="B96" s="3"/>
      <c r="C96" s="3"/>
      <c r="D96" s="3"/>
      <c r="E96" s="3"/>
      <c r="F96" s="3"/>
      <c r="G96" s="3"/>
      <c r="K96" s="5"/>
      <c r="M96" s="6"/>
    </row>
    <row r="97" spans="1:13" ht="12" customHeight="1">
      <c r="A97" s="3"/>
      <c r="B97" s="3"/>
      <c r="C97" s="3"/>
      <c r="D97" s="3"/>
      <c r="E97" s="3"/>
      <c r="F97" s="3"/>
      <c r="G97" s="3"/>
      <c r="K97" s="5"/>
      <c r="M97" s="6"/>
    </row>
    <row r="98" spans="1:13" ht="12" customHeight="1">
      <c r="A98" s="3"/>
      <c r="B98" s="3"/>
      <c r="C98" s="3"/>
      <c r="D98" s="3"/>
      <c r="E98" s="3"/>
      <c r="F98" s="3"/>
      <c r="G98" s="3"/>
      <c r="K98" s="5"/>
      <c r="M98" s="6"/>
    </row>
    <row r="99" spans="1:13" ht="12" customHeight="1">
      <c r="A99" s="3"/>
      <c r="B99" s="3"/>
      <c r="C99" s="3"/>
      <c r="D99" s="3"/>
      <c r="E99" s="3"/>
      <c r="F99" s="3"/>
      <c r="G99" s="3"/>
      <c r="K99" s="5"/>
      <c r="M99" s="6"/>
    </row>
    <row r="100" spans="1:13" ht="12" customHeight="1">
      <c r="A100" s="3"/>
      <c r="B100" s="3"/>
      <c r="C100" s="3"/>
      <c r="D100" s="3"/>
      <c r="E100" s="3"/>
      <c r="F100" s="3"/>
      <c r="G100" s="3"/>
      <c r="K100" s="5"/>
      <c r="M100" s="6"/>
    </row>
    <row r="101" spans="1:13" ht="12" customHeight="1">
      <c r="A101" s="3"/>
      <c r="B101" s="3"/>
      <c r="C101" s="3"/>
      <c r="D101" s="3"/>
      <c r="E101" s="3"/>
      <c r="F101" s="3"/>
      <c r="G101" s="3"/>
      <c r="K101" s="5"/>
      <c r="M101" s="6"/>
    </row>
    <row r="102" spans="1:13" ht="12" customHeight="1">
      <c r="A102" s="3"/>
      <c r="B102" s="3"/>
      <c r="C102" s="3"/>
      <c r="D102" s="3"/>
      <c r="E102" s="3"/>
      <c r="F102" s="3"/>
      <c r="G102" s="3"/>
      <c r="K102" s="5"/>
      <c r="M102" s="6"/>
    </row>
    <row r="103" spans="1:13" ht="12" customHeight="1">
      <c r="A103" s="3"/>
      <c r="B103" s="3"/>
      <c r="C103" s="3"/>
      <c r="D103" s="3"/>
      <c r="E103" s="3"/>
      <c r="F103" s="3"/>
      <c r="G103" s="3"/>
      <c r="K103" s="5"/>
      <c r="M103" s="6"/>
    </row>
    <row r="104" spans="1:13" ht="12" customHeight="1">
      <c r="A104" s="3"/>
      <c r="B104" s="3"/>
      <c r="C104" s="3"/>
      <c r="D104" s="3"/>
      <c r="E104" s="3"/>
      <c r="F104" s="3"/>
      <c r="G104" s="3"/>
      <c r="K104" s="5"/>
      <c r="M104" s="6"/>
    </row>
    <row r="105" spans="1:13" ht="12" customHeight="1">
      <c r="A105" s="3"/>
      <c r="B105" s="3"/>
      <c r="C105" s="3"/>
      <c r="D105" s="3"/>
      <c r="E105" s="3"/>
      <c r="F105" s="3"/>
      <c r="G105" s="3"/>
      <c r="K105" s="5"/>
      <c r="M105" s="6"/>
    </row>
    <row r="106" spans="1:13" ht="12" customHeight="1">
      <c r="A106" s="3"/>
      <c r="B106" s="3"/>
      <c r="C106" s="3"/>
      <c r="D106" s="3"/>
      <c r="E106" s="3"/>
      <c r="F106" s="3"/>
      <c r="G106" s="3"/>
      <c r="K106" s="5"/>
      <c r="M106" s="6"/>
    </row>
    <row r="107" spans="1:13" ht="12" customHeight="1">
      <c r="A107" s="3"/>
      <c r="B107" s="3"/>
      <c r="C107" s="3"/>
      <c r="D107" s="3"/>
      <c r="E107" s="3"/>
      <c r="F107" s="3"/>
      <c r="G107" s="3"/>
      <c r="K107" s="5"/>
      <c r="M107" s="6"/>
    </row>
    <row r="108" spans="1:13" ht="12" customHeight="1">
      <c r="A108" s="3"/>
      <c r="B108" s="3"/>
      <c r="C108" s="3"/>
      <c r="D108" s="3"/>
      <c r="E108" s="3"/>
      <c r="F108" s="3"/>
      <c r="G108" s="3"/>
      <c r="K108" s="5"/>
      <c r="M108" s="6"/>
    </row>
    <row r="109" spans="1:13" ht="12" customHeight="1">
      <c r="A109" s="3"/>
      <c r="B109" s="3"/>
      <c r="C109" s="3"/>
      <c r="D109" s="3"/>
      <c r="E109" s="3"/>
      <c r="F109" s="3"/>
      <c r="G109" s="3"/>
      <c r="K109" s="5"/>
      <c r="M109" s="6"/>
    </row>
    <row r="110" spans="1:13" ht="12" customHeight="1">
      <c r="A110" s="3"/>
      <c r="B110" s="3"/>
      <c r="C110" s="3"/>
      <c r="D110" s="3"/>
      <c r="E110" s="3"/>
      <c r="F110" s="3"/>
      <c r="G110" s="3"/>
      <c r="K110" s="5"/>
      <c r="M110" s="6"/>
    </row>
    <row r="111" spans="1:13" ht="12" customHeight="1">
      <c r="A111" s="3"/>
      <c r="B111" s="3"/>
      <c r="C111" s="3"/>
      <c r="D111" s="3"/>
      <c r="E111" s="3"/>
      <c r="F111" s="3"/>
      <c r="G111" s="3"/>
      <c r="K111" s="5"/>
      <c r="M111" s="6"/>
    </row>
    <row r="112" spans="1:13" ht="12" customHeight="1">
      <c r="A112" s="3"/>
      <c r="B112" s="3"/>
      <c r="C112" s="3"/>
      <c r="D112" s="3"/>
      <c r="E112" s="3"/>
      <c r="F112" s="3"/>
      <c r="G112" s="3"/>
      <c r="K112" s="5"/>
      <c r="M112" s="6"/>
    </row>
    <row r="113" spans="1:18" ht="12" customHeight="1">
      <c r="A113" s="3"/>
      <c r="B113" s="3"/>
      <c r="C113" s="3"/>
      <c r="D113" s="3"/>
      <c r="E113" s="3"/>
      <c r="F113" s="3"/>
      <c r="G113" s="3"/>
      <c r="K113" s="5"/>
      <c r="M113" s="6"/>
    </row>
    <row r="114" spans="1:18" ht="12" customHeight="1">
      <c r="A114" s="3"/>
      <c r="B114" s="3"/>
      <c r="C114" s="3"/>
      <c r="D114" s="3"/>
      <c r="E114" s="3"/>
      <c r="F114" s="3"/>
      <c r="G114" s="3"/>
      <c r="K114" s="5"/>
      <c r="M114" s="6"/>
    </row>
    <row r="115" spans="1:18" ht="12" customHeight="1">
      <c r="A115" s="3"/>
      <c r="B115" s="3"/>
      <c r="C115" s="3"/>
      <c r="D115" s="3"/>
      <c r="E115" s="3"/>
      <c r="F115" s="3"/>
      <c r="G115" s="3"/>
      <c r="K115" s="5"/>
      <c r="M115" s="6"/>
    </row>
    <row r="116" spans="1:18" ht="12" customHeight="1">
      <c r="A116" s="3"/>
      <c r="B116" s="3"/>
      <c r="C116" s="3"/>
      <c r="D116" s="3"/>
      <c r="E116" s="3"/>
      <c r="F116" s="3"/>
      <c r="G116" s="3"/>
      <c r="K116" s="5"/>
      <c r="M116" s="6"/>
    </row>
    <row r="117" spans="1:18" ht="12" customHeight="1">
      <c r="A117" s="3"/>
      <c r="B117" s="3"/>
      <c r="C117" s="3"/>
      <c r="D117" s="3"/>
      <c r="E117" s="3"/>
      <c r="F117" s="3"/>
      <c r="G117" s="3"/>
      <c r="K117" s="5"/>
      <c r="M117" s="6"/>
    </row>
    <row r="118" spans="1:18" ht="12" customHeight="1">
      <c r="A118" s="3"/>
      <c r="B118" s="3"/>
      <c r="C118" s="3"/>
      <c r="D118" s="3"/>
      <c r="E118" s="3"/>
      <c r="F118" s="3"/>
      <c r="G118" s="3"/>
      <c r="K118" s="5"/>
      <c r="M118" s="6"/>
    </row>
    <row r="119" spans="1:18" ht="12" customHeight="1">
      <c r="A119" s="3"/>
      <c r="B119" s="3"/>
      <c r="C119" s="3"/>
      <c r="D119" s="3"/>
      <c r="E119" s="3"/>
      <c r="F119" s="3"/>
      <c r="G119" s="3"/>
      <c r="K119" s="5"/>
      <c r="M119" s="6"/>
    </row>
    <row r="120" spans="1:18" ht="12" customHeight="1">
      <c r="A120" s="3"/>
      <c r="B120" s="3"/>
      <c r="C120" s="3"/>
      <c r="D120" s="3"/>
      <c r="E120" s="3"/>
      <c r="F120" s="3"/>
      <c r="G120" s="3"/>
      <c r="K120" s="5"/>
      <c r="M120" s="6"/>
    </row>
    <row r="121" spans="1:18" ht="12" customHeight="1">
      <c r="A121" s="3"/>
      <c r="B121" s="3"/>
      <c r="C121" s="3"/>
      <c r="D121" s="3"/>
      <c r="E121" s="3"/>
      <c r="F121" s="3"/>
      <c r="G121" s="3"/>
      <c r="K121" s="5"/>
      <c r="M121" s="6"/>
    </row>
    <row r="122" spans="1:18" ht="12" customHeight="1">
      <c r="A122" s="3"/>
      <c r="B122" s="3"/>
      <c r="C122" s="3"/>
      <c r="D122" s="3"/>
      <c r="E122" s="3"/>
      <c r="F122" s="3"/>
      <c r="G122" s="3"/>
      <c r="K122" s="5"/>
      <c r="M122" s="6"/>
    </row>
    <row r="123" spans="1:18" ht="12" customHeight="1">
      <c r="A123" s="53"/>
      <c r="B123" s="53"/>
      <c r="C123" s="53"/>
      <c r="D123" s="53"/>
      <c r="E123" s="53"/>
      <c r="F123" s="53"/>
      <c r="G123" s="53"/>
      <c r="H123" s="53"/>
      <c r="J123" s="53"/>
      <c r="K123" s="5"/>
      <c r="L123" s="53"/>
      <c r="M123" s="6"/>
      <c r="N123" s="53"/>
      <c r="O123" s="53"/>
      <c r="P123" s="53"/>
      <c r="Q123" s="53"/>
      <c r="R123" s="53"/>
    </row>
    <row r="124" spans="1:18" ht="12" customHeight="1">
      <c r="A124" s="3"/>
      <c r="B124" s="3"/>
      <c r="C124" s="3"/>
      <c r="D124" s="3"/>
      <c r="E124" s="3"/>
      <c r="F124" s="3"/>
      <c r="G124" s="3"/>
      <c r="K124" s="5"/>
      <c r="M124" s="6"/>
    </row>
    <row r="125" spans="1:18" ht="12" customHeight="1">
      <c r="A125" s="3"/>
      <c r="B125" s="3"/>
      <c r="C125" s="3"/>
      <c r="D125" s="3"/>
      <c r="E125" s="3"/>
      <c r="F125" s="3"/>
      <c r="G125" s="3"/>
      <c r="K125" s="5"/>
      <c r="M125" s="6"/>
    </row>
    <row r="126" spans="1:18" ht="12" customHeight="1">
      <c r="A126" s="3"/>
      <c r="B126" s="3"/>
      <c r="C126" s="3"/>
      <c r="D126" s="3"/>
      <c r="E126" s="3"/>
      <c r="F126" s="3"/>
      <c r="G126" s="3"/>
      <c r="K126" s="5"/>
      <c r="M126" s="6"/>
    </row>
    <row r="127" spans="1:18" ht="12" customHeight="1">
      <c r="A127" s="3"/>
      <c r="B127" s="3"/>
      <c r="C127" s="3"/>
      <c r="D127" s="3"/>
      <c r="E127" s="3"/>
      <c r="F127" s="3"/>
      <c r="G127" s="3"/>
      <c r="K127" s="5"/>
      <c r="M127" s="6"/>
    </row>
    <row r="128" spans="1:18" ht="12" customHeight="1">
      <c r="A128" s="3"/>
      <c r="B128" s="3"/>
      <c r="C128" s="3"/>
      <c r="D128" s="3"/>
      <c r="E128" s="3"/>
      <c r="F128" s="3"/>
      <c r="G128" s="3"/>
      <c r="K128" s="5"/>
      <c r="M128" s="6"/>
    </row>
    <row r="129" spans="1:13" ht="12" customHeight="1">
      <c r="A129" s="3"/>
      <c r="B129" s="3"/>
      <c r="C129" s="3"/>
      <c r="D129" s="3"/>
      <c r="E129" s="3"/>
      <c r="F129" s="3"/>
      <c r="G129" s="3"/>
      <c r="K129" s="5"/>
      <c r="M129" s="6"/>
    </row>
    <row r="130" spans="1:13" ht="12" customHeight="1">
      <c r="A130" s="3"/>
      <c r="B130" s="3"/>
      <c r="C130" s="3"/>
      <c r="D130" s="3"/>
      <c r="E130" s="3"/>
      <c r="F130" s="3"/>
      <c r="G130" s="3"/>
      <c r="K130" s="5"/>
      <c r="M130" s="6"/>
    </row>
    <row r="131" spans="1:13" ht="12" customHeight="1">
      <c r="A131" s="3"/>
      <c r="B131" s="3"/>
      <c r="C131" s="3"/>
      <c r="D131" s="3"/>
      <c r="E131" s="3"/>
      <c r="F131" s="3"/>
      <c r="G131" s="3"/>
      <c r="K131" s="5"/>
      <c r="M131" s="6"/>
    </row>
    <row r="132" spans="1:13" ht="12" customHeight="1">
      <c r="A132" s="3"/>
      <c r="B132" s="3"/>
      <c r="C132" s="3"/>
      <c r="D132" s="3"/>
      <c r="E132" s="3"/>
      <c r="F132" s="3"/>
      <c r="G132" s="3"/>
      <c r="K132" s="5"/>
      <c r="M132" s="6"/>
    </row>
    <row r="133" spans="1:13" ht="12" customHeight="1">
      <c r="A133" s="3"/>
      <c r="B133" s="3"/>
      <c r="C133" s="3"/>
      <c r="D133" s="3"/>
      <c r="E133" s="3"/>
      <c r="F133" s="3"/>
      <c r="G133" s="3"/>
      <c r="K133" s="5"/>
      <c r="M133" s="6"/>
    </row>
    <row r="134" spans="1:13" ht="12" customHeight="1">
      <c r="A134" s="3"/>
      <c r="B134" s="3"/>
      <c r="C134" s="3"/>
      <c r="D134" s="3"/>
      <c r="E134" s="3"/>
      <c r="F134" s="3"/>
      <c r="G134" s="3"/>
      <c r="K134" s="5"/>
      <c r="M134" s="6"/>
    </row>
    <row r="135" spans="1:13" ht="12" customHeight="1">
      <c r="A135" s="3"/>
      <c r="B135" s="3"/>
      <c r="C135" s="3"/>
      <c r="D135" s="3"/>
      <c r="E135" s="3"/>
      <c r="F135" s="3"/>
      <c r="G135" s="3"/>
      <c r="K135" s="5"/>
      <c r="M135" s="6"/>
    </row>
    <row r="136" spans="1:13" ht="12" customHeight="1">
      <c r="A136" s="3"/>
      <c r="B136" s="3"/>
      <c r="C136" s="3"/>
      <c r="D136" s="3"/>
      <c r="E136" s="3"/>
      <c r="F136" s="3"/>
      <c r="G136" s="3"/>
      <c r="K136" s="5"/>
      <c r="M136" s="6"/>
    </row>
    <row r="137" spans="1:13" ht="12" customHeight="1">
      <c r="A137" s="3"/>
      <c r="B137" s="3"/>
      <c r="C137" s="3"/>
      <c r="D137" s="3"/>
      <c r="E137" s="3"/>
      <c r="F137" s="3"/>
      <c r="G137" s="3"/>
      <c r="K137" s="5"/>
      <c r="M137" s="6"/>
    </row>
    <row r="138" spans="1:13" ht="12" customHeight="1">
      <c r="A138" s="3"/>
      <c r="B138" s="3"/>
      <c r="C138" s="3"/>
      <c r="D138" s="3"/>
      <c r="E138" s="3"/>
      <c r="F138" s="3"/>
      <c r="G138" s="3"/>
      <c r="K138" s="5"/>
      <c r="M138" s="6"/>
    </row>
    <row r="139" spans="1:13" ht="12" customHeight="1">
      <c r="A139" s="3"/>
      <c r="B139" s="3"/>
      <c r="C139" s="3"/>
      <c r="D139" s="3"/>
      <c r="E139" s="3"/>
      <c r="F139" s="3"/>
      <c r="G139" s="3"/>
      <c r="K139" s="5"/>
      <c r="M139" s="6"/>
    </row>
    <row r="140" spans="1:13" ht="12" customHeight="1">
      <c r="A140" s="3"/>
      <c r="B140" s="3"/>
      <c r="C140" s="3"/>
      <c r="D140" s="3"/>
      <c r="E140" s="3"/>
      <c r="F140" s="3"/>
      <c r="G140" s="3"/>
      <c r="K140" s="5"/>
      <c r="M140" s="6"/>
    </row>
    <row r="141" spans="1:13" ht="12" customHeight="1">
      <c r="A141" s="3"/>
      <c r="B141" s="3"/>
      <c r="C141" s="3"/>
      <c r="D141" s="3"/>
      <c r="E141" s="3"/>
      <c r="F141" s="3"/>
      <c r="G141" s="3"/>
      <c r="K141" s="5"/>
      <c r="M141" s="6"/>
    </row>
    <row r="142" spans="1:13" ht="12" customHeight="1">
      <c r="A142" s="3"/>
      <c r="B142" s="3"/>
      <c r="C142" s="3"/>
      <c r="D142" s="3"/>
      <c r="E142" s="3"/>
      <c r="F142" s="3"/>
      <c r="G142" s="3"/>
      <c r="K142" s="5"/>
      <c r="M142" s="6"/>
    </row>
    <row r="143" spans="1:13" ht="12" customHeight="1">
      <c r="A143" s="3"/>
      <c r="B143" s="3"/>
      <c r="C143" s="3"/>
      <c r="D143" s="3"/>
      <c r="E143" s="3"/>
      <c r="F143" s="3"/>
      <c r="G143" s="3"/>
      <c r="K143" s="5"/>
      <c r="M143" s="6"/>
    </row>
    <row r="144" spans="1:13" ht="12" customHeight="1">
      <c r="A144" s="3"/>
      <c r="B144" s="3"/>
      <c r="C144" s="3"/>
      <c r="D144" s="3"/>
      <c r="E144" s="3"/>
      <c r="F144" s="3"/>
      <c r="G144" s="3"/>
      <c r="K144" s="5"/>
      <c r="M144" s="6"/>
    </row>
    <row r="145" spans="1:13" ht="12" customHeight="1">
      <c r="A145" s="3"/>
      <c r="B145" s="3"/>
      <c r="C145" s="3"/>
      <c r="D145" s="3"/>
      <c r="E145" s="3"/>
      <c r="F145" s="3"/>
      <c r="G145" s="3"/>
      <c r="K145" s="5"/>
      <c r="M145" s="6"/>
    </row>
    <row r="146" spans="1:13" ht="12" customHeight="1">
      <c r="A146" s="3"/>
      <c r="B146" s="3"/>
      <c r="C146" s="3"/>
      <c r="D146" s="3"/>
      <c r="E146" s="3"/>
      <c r="F146" s="3"/>
      <c r="G146" s="3"/>
      <c r="K146" s="5"/>
      <c r="M146" s="6"/>
    </row>
    <row r="147" spans="1:13" ht="12" customHeight="1">
      <c r="A147" s="3"/>
      <c r="B147" s="3"/>
      <c r="C147" s="3"/>
      <c r="D147" s="3"/>
      <c r="E147" s="3"/>
      <c r="F147" s="3"/>
      <c r="G147" s="3"/>
      <c r="K147" s="5"/>
      <c r="M147" s="6"/>
    </row>
    <row r="148" spans="1:13" ht="12" customHeight="1">
      <c r="A148" s="3"/>
      <c r="B148" s="3"/>
      <c r="C148" s="3"/>
      <c r="D148" s="3"/>
      <c r="E148" s="3"/>
      <c r="F148" s="3"/>
      <c r="G148" s="3"/>
      <c r="K148" s="5"/>
      <c r="M148" s="6"/>
    </row>
    <row r="149" spans="1:13" ht="12" customHeight="1">
      <c r="A149" s="3"/>
      <c r="B149" s="3"/>
      <c r="C149" s="3"/>
      <c r="D149" s="3"/>
      <c r="E149" s="3"/>
      <c r="F149" s="3"/>
      <c r="G149" s="3"/>
      <c r="K149" s="5"/>
      <c r="M149" s="6"/>
    </row>
    <row r="150" spans="1:13" ht="12" customHeight="1">
      <c r="A150" s="3"/>
      <c r="B150" s="3"/>
      <c r="C150" s="3"/>
      <c r="D150" s="3"/>
      <c r="E150" s="3"/>
      <c r="F150" s="3"/>
      <c r="G150" s="3"/>
      <c r="K150" s="5"/>
      <c r="M150" s="6"/>
    </row>
    <row r="151" spans="1:13" ht="12" customHeight="1">
      <c r="A151" s="3"/>
      <c r="B151" s="3"/>
      <c r="C151" s="3"/>
      <c r="D151" s="3"/>
      <c r="E151" s="3"/>
      <c r="F151" s="3"/>
      <c r="G151" s="3"/>
      <c r="K151" s="5"/>
      <c r="M151" s="6"/>
    </row>
    <row r="152" spans="1:13" ht="12" customHeight="1">
      <c r="A152" s="3"/>
      <c r="B152" s="3"/>
      <c r="C152" s="3"/>
      <c r="D152" s="3"/>
      <c r="E152" s="3"/>
      <c r="F152" s="3"/>
      <c r="G152" s="3"/>
      <c r="K152" s="5"/>
      <c r="M152" s="6"/>
    </row>
    <row r="153" spans="1:13" ht="12" customHeight="1">
      <c r="A153" s="3"/>
      <c r="B153" s="3"/>
      <c r="C153" s="3"/>
      <c r="D153" s="3"/>
      <c r="E153" s="3"/>
      <c r="F153" s="3"/>
      <c r="G153" s="3"/>
      <c r="K153" s="5"/>
      <c r="M153" s="6"/>
    </row>
    <row r="154" spans="1:13" ht="12" customHeight="1">
      <c r="A154" s="3"/>
      <c r="B154" s="3"/>
      <c r="C154" s="3"/>
      <c r="D154" s="3"/>
      <c r="E154" s="3"/>
      <c r="F154" s="3"/>
      <c r="G154" s="3"/>
      <c r="K154" s="5"/>
      <c r="M154" s="6"/>
    </row>
    <row r="155" spans="1:13" ht="12" customHeight="1">
      <c r="A155" s="3"/>
      <c r="B155" s="3"/>
      <c r="C155" s="3"/>
      <c r="D155" s="3"/>
      <c r="E155" s="3"/>
      <c r="F155" s="3"/>
      <c r="G155" s="3"/>
      <c r="K155" s="5"/>
      <c r="M155" s="6"/>
    </row>
    <row r="156" spans="1:13" ht="12" customHeight="1">
      <c r="A156" s="3"/>
      <c r="B156" s="3"/>
      <c r="C156" s="3"/>
      <c r="D156" s="3"/>
      <c r="E156" s="3"/>
      <c r="F156" s="3"/>
      <c r="G156" s="3"/>
      <c r="K156" s="5"/>
      <c r="M156" s="6"/>
    </row>
    <row r="157" spans="1:13" ht="12" customHeight="1">
      <c r="A157" s="3"/>
      <c r="B157" s="3"/>
      <c r="C157" s="3"/>
      <c r="D157" s="3"/>
      <c r="E157" s="3"/>
      <c r="F157" s="3"/>
      <c r="G157" s="3"/>
      <c r="K157" s="5"/>
      <c r="M157" s="6"/>
    </row>
    <row r="158" spans="1:13" ht="12" customHeight="1">
      <c r="A158" s="3"/>
      <c r="B158" s="3"/>
      <c r="C158" s="3"/>
      <c r="D158" s="3"/>
      <c r="E158" s="3"/>
      <c r="F158" s="3"/>
      <c r="G158" s="3"/>
      <c r="K158" s="5"/>
      <c r="M158" s="6"/>
    </row>
    <row r="159" spans="1:13" ht="12" customHeight="1">
      <c r="A159" s="3"/>
      <c r="B159" s="3"/>
      <c r="C159" s="3"/>
      <c r="D159" s="3"/>
      <c r="E159" s="3"/>
      <c r="F159" s="3"/>
      <c r="G159" s="3"/>
      <c r="K159" s="5"/>
      <c r="M159" s="6"/>
    </row>
    <row r="160" spans="1:13" ht="12" customHeight="1">
      <c r="A160" s="3"/>
      <c r="B160" s="3"/>
      <c r="C160" s="3"/>
      <c r="D160" s="3"/>
      <c r="E160" s="3"/>
      <c r="F160" s="3"/>
      <c r="G160" s="3"/>
      <c r="K160" s="5"/>
      <c r="M160" s="6"/>
    </row>
    <row r="161" spans="1:13" ht="12" customHeight="1">
      <c r="A161" s="3"/>
      <c r="B161" s="3"/>
      <c r="C161" s="3"/>
      <c r="D161" s="3"/>
      <c r="E161" s="3"/>
      <c r="F161" s="3"/>
      <c r="G161" s="3"/>
      <c r="K161" s="5"/>
      <c r="M161" s="6"/>
    </row>
    <row r="162" spans="1:13" ht="12" customHeight="1">
      <c r="A162" s="3"/>
      <c r="B162" s="3"/>
      <c r="C162" s="3"/>
      <c r="D162" s="3"/>
      <c r="E162" s="3"/>
      <c r="F162" s="3"/>
      <c r="G162" s="3"/>
      <c r="K162" s="5"/>
      <c r="M162" s="6"/>
    </row>
    <row r="163" spans="1:13" ht="12" customHeight="1">
      <c r="A163" s="3"/>
      <c r="B163" s="3"/>
      <c r="C163" s="3"/>
      <c r="D163" s="3"/>
      <c r="E163" s="3"/>
      <c r="F163" s="3"/>
      <c r="G163" s="3"/>
      <c r="K163" s="5"/>
      <c r="M163" s="6"/>
    </row>
    <row r="164" spans="1:13" ht="12" customHeight="1">
      <c r="A164" s="3"/>
      <c r="B164" s="3"/>
      <c r="C164" s="3"/>
      <c r="D164" s="3"/>
      <c r="E164" s="3"/>
      <c r="F164" s="3"/>
      <c r="G164" s="3"/>
      <c r="K164" s="5"/>
      <c r="M164" s="6"/>
    </row>
    <row r="165" spans="1:13" ht="12" customHeight="1">
      <c r="A165" s="3"/>
      <c r="B165" s="3"/>
      <c r="C165" s="3"/>
      <c r="D165" s="3"/>
      <c r="E165" s="3"/>
      <c r="F165" s="3"/>
      <c r="G165" s="3"/>
      <c r="K165" s="5"/>
      <c r="M165" s="6"/>
    </row>
    <row r="166" spans="1:13" ht="12" customHeight="1">
      <c r="A166" s="3"/>
      <c r="B166" s="3"/>
      <c r="C166" s="3"/>
      <c r="D166" s="3"/>
      <c r="E166" s="3"/>
      <c r="F166" s="3"/>
      <c r="G166" s="3"/>
      <c r="K166" s="5"/>
      <c r="M166" s="6"/>
    </row>
    <row r="167" spans="1:13" ht="12" customHeight="1">
      <c r="A167" s="3"/>
      <c r="B167" s="3"/>
      <c r="C167" s="3"/>
      <c r="D167" s="3"/>
      <c r="E167" s="3"/>
      <c r="F167" s="3"/>
      <c r="G167" s="3"/>
      <c r="K167" s="5"/>
      <c r="M167" s="6"/>
    </row>
    <row r="168" spans="1:13" ht="12" customHeight="1">
      <c r="A168" s="3"/>
      <c r="B168" s="3"/>
      <c r="C168" s="3"/>
      <c r="D168" s="3"/>
      <c r="E168" s="3"/>
      <c r="F168" s="3"/>
      <c r="G168" s="3"/>
      <c r="K168" s="5"/>
      <c r="M168" s="6"/>
    </row>
    <row r="169" spans="1:13" ht="12" customHeight="1">
      <c r="A169" s="3"/>
      <c r="B169" s="3"/>
      <c r="C169" s="3"/>
      <c r="D169" s="3"/>
      <c r="E169" s="3"/>
      <c r="F169" s="3"/>
      <c r="G169" s="3"/>
      <c r="K169" s="5"/>
      <c r="M169" s="6"/>
    </row>
    <row r="170" spans="1:13" ht="12" customHeight="1">
      <c r="A170" s="3"/>
      <c r="B170" s="3"/>
      <c r="C170" s="3"/>
      <c r="D170" s="3"/>
      <c r="E170" s="3"/>
      <c r="F170" s="3"/>
      <c r="G170" s="3"/>
      <c r="K170" s="5"/>
      <c r="M170" s="6"/>
    </row>
    <row r="171" spans="1:13" ht="12" customHeight="1">
      <c r="A171" s="3"/>
      <c r="B171" s="3"/>
      <c r="C171" s="3"/>
      <c r="D171" s="3"/>
      <c r="E171" s="3"/>
      <c r="F171" s="3"/>
      <c r="G171" s="3"/>
      <c r="K171" s="5"/>
      <c r="M171" s="6"/>
    </row>
    <row r="172" spans="1:13" ht="12" customHeight="1">
      <c r="A172" s="3"/>
      <c r="B172" s="3"/>
      <c r="C172" s="3"/>
      <c r="D172" s="3"/>
      <c r="E172" s="3"/>
      <c r="F172" s="3"/>
      <c r="G172" s="3"/>
      <c r="K172" s="5"/>
      <c r="M172" s="6"/>
    </row>
    <row r="173" spans="1:13" ht="12" customHeight="1">
      <c r="A173" s="3"/>
      <c r="B173" s="3"/>
      <c r="C173" s="3"/>
      <c r="D173" s="3"/>
      <c r="E173" s="3"/>
      <c r="F173" s="3"/>
      <c r="G173" s="3"/>
      <c r="K173" s="5"/>
      <c r="M173" s="6"/>
    </row>
    <row r="174" spans="1:13" ht="12" customHeight="1">
      <c r="A174" s="3"/>
      <c r="B174" s="3"/>
      <c r="C174" s="3"/>
      <c r="D174" s="3"/>
      <c r="E174" s="3"/>
      <c r="F174" s="3"/>
      <c r="G174" s="3"/>
      <c r="K174" s="5"/>
      <c r="M174" s="6"/>
    </row>
    <row r="175" spans="1:13" ht="12" customHeight="1">
      <c r="A175" s="3"/>
      <c r="B175" s="3"/>
      <c r="C175" s="3"/>
      <c r="D175" s="3"/>
      <c r="E175" s="3"/>
      <c r="F175" s="3"/>
      <c r="G175" s="3"/>
      <c r="K175" s="5"/>
      <c r="M175" s="6"/>
    </row>
    <row r="176" spans="1:13" ht="12" customHeight="1">
      <c r="A176" s="3"/>
      <c r="B176" s="3"/>
      <c r="C176" s="3"/>
      <c r="D176" s="3"/>
      <c r="E176" s="3"/>
      <c r="F176" s="3"/>
      <c r="G176" s="3"/>
      <c r="K176" s="5"/>
      <c r="M176" s="6"/>
    </row>
    <row r="177" spans="1:13" ht="12" customHeight="1">
      <c r="A177" s="3"/>
      <c r="B177" s="3"/>
      <c r="C177" s="3"/>
      <c r="D177" s="3"/>
      <c r="E177" s="3"/>
      <c r="F177" s="3"/>
      <c r="G177" s="3"/>
      <c r="K177" s="5"/>
      <c r="M177" s="6"/>
    </row>
    <row r="178" spans="1:13" ht="12" customHeight="1">
      <c r="A178" s="3"/>
      <c r="B178" s="3"/>
      <c r="C178" s="3"/>
      <c r="D178" s="3"/>
      <c r="E178" s="3"/>
      <c r="F178" s="3"/>
      <c r="G178" s="3"/>
      <c r="K178" s="5"/>
      <c r="M178" s="6"/>
    </row>
    <row r="179" spans="1:13" ht="12" customHeight="1">
      <c r="A179" s="3"/>
      <c r="B179" s="3"/>
      <c r="C179" s="3"/>
      <c r="D179" s="3"/>
      <c r="E179" s="3"/>
      <c r="F179" s="3"/>
      <c r="G179" s="3"/>
      <c r="K179" s="5"/>
      <c r="M179" s="6"/>
    </row>
    <row r="180" spans="1:13" ht="12" customHeight="1">
      <c r="A180" s="3"/>
      <c r="B180" s="3"/>
      <c r="C180" s="3"/>
      <c r="D180" s="3"/>
      <c r="E180" s="3"/>
      <c r="F180" s="3"/>
      <c r="G180" s="3"/>
      <c r="K180" s="5"/>
      <c r="M180" s="6"/>
    </row>
    <row r="181" spans="1:13" ht="12" customHeight="1">
      <c r="A181" s="3"/>
      <c r="B181" s="3"/>
      <c r="C181" s="3"/>
      <c r="D181" s="3"/>
      <c r="E181" s="3"/>
      <c r="F181" s="3"/>
      <c r="G181" s="3"/>
      <c r="K181" s="5"/>
      <c r="M181" s="6"/>
    </row>
    <row r="182" spans="1:13" ht="12" customHeight="1">
      <c r="A182" s="3"/>
      <c r="B182" s="3"/>
      <c r="C182" s="3"/>
      <c r="D182" s="3"/>
      <c r="E182" s="3"/>
      <c r="F182" s="3"/>
      <c r="G182" s="3"/>
      <c r="K182" s="5"/>
      <c r="M182" s="6"/>
    </row>
    <row r="183" spans="1:13" ht="12" customHeight="1">
      <c r="A183" s="3"/>
      <c r="B183" s="3"/>
      <c r="C183" s="3"/>
      <c r="D183" s="3"/>
      <c r="E183" s="3"/>
      <c r="F183" s="3"/>
      <c r="G183" s="3"/>
      <c r="K183" s="5"/>
      <c r="M183" s="6"/>
    </row>
    <row r="184" spans="1:13" ht="12" customHeight="1">
      <c r="A184" s="3"/>
      <c r="B184" s="3"/>
      <c r="C184" s="3"/>
      <c r="D184" s="3"/>
      <c r="E184" s="3"/>
      <c r="F184" s="3"/>
      <c r="G184" s="3"/>
      <c r="K184" s="5"/>
      <c r="M184" s="6"/>
    </row>
    <row r="185" spans="1:13" ht="12" customHeight="1">
      <c r="A185" s="3"/>
      <c r="B185" s="3"/>
      <c r="C185" s="3"/>
      <c r="D185" s="3"/>
      <c r="E185" s="3"/>
      <c r="F185" s="3"/>
      <c r="G185" s="3"/>
      <c r="K185" s="5"/>
      <c r="M185" s="6"/>
    </row>
    <row r="186" spans="1:13" ht="12" customHeight="1">
      <c r="A186" s="3"/>
      <c r="B186" s="3"/>
      <c r="C186" s="3"/>
      <c r="D186" s="3"/>
      <c r="E186" s="3"/>
      <c r="F186" s="3"/>
      <c r="G186" s="3"/>
      <c r="K186" s="5"/>
      <c r="M186" s="6"/>
    </row>
    <row r="187" spans="1:13" ht="12" customHeight="1">
      <c r="A187" s="3"/>
      <c r="B187" s="3"/>
      <c r="C187" s="3"/>
      <c r="D187" s="3"/>
      <c r="E187" s="3"/>
      <c r="F187" s="3"/>
      <c r="G187" s="3"/>
      <c r="K187" s="5"/>
      <c r="M187" s="6"/>
    </row>
    <row r="188" spans="1:13" ht="12" customHeight="1">
      <c r="A188" s="3"/>
      <c r="B188" s="3"/>
      <c r="C188" s="3"/>
      <c r="D188" s="3"/>
      <c r="E188" s="3"/>
      <c r="F188" s="3"/>
      <c r="G188" s="3"/>
      <c r="K188" s="5"/>
      <c r="M188" s="6"/>
    </row>
    <row r="189" spans="1:13" ht="12" customHeight="1">
      <c r="A189" s="3"/>
      <c r="B189" s="3"/>
      <c r="C189" s="3"/>
      <c r="D189" s="3"/>
      <c r="E189" s="3"/>
      <c r="F189" s="3"/>
      <c r="G189" s="3"/>
      <c r="K189" s="5"/>
      <c r="M189" s="6"/>
    </row>
    <row r="190" spans="1:13" ht="12" customHeight="1">
      <c r="A190" s="3"/>
      <c r="B190" s="3"/>
      <c r="C190" s="3"/>
      <c r="D190" s="3"/>
      <c r="E190" s="3"/>
      <c r="F190" s="3"/>
      <c r="G190" s="3"/>
      <c r="K190" s="5"/>
      <c r="M190" s="6"/>
    </row>
    <row r="191" spans="1:13" ht="12" customHeight="1">
      <c r="A191" s="3"/>
      <c r="B191" s="3"/>
      <c r="C191" s="3"/>
      <c r="D191" s="3"/>
      <c r="E191" s="3"/>
      <c r="F191" s="3"/>
      <c r="G191" s="3"/>
      <c r="K191" s="5"/>
      <c r="M191" s="6"/>
    </row>
    <row r="192" spans="1:13" ht="12" customHeight="1">
      <c r="A192" s="3"/>
      <c r="B192" s="3"/>
      <c r="C192" s="3"/>
      <c r="D192" s="3"/>
      <c r="E192" s="3"/>
      <c r="F192" s="3"/>
      <c r="G192" s="3"/>
      <c r="K192" s="5"/>
      <c r="M192" s="6"/>
    </row>
    <row r="193" spans="1:13" ht="12" customHeight="1">
      <c r="A193" s="3"/>
      <c r="B193" s="3"/>
      <c r="C193" s="3"/>
      <c r="D193" s="3"/>
      <c r="E193" s="3"/>
      <c r="F193" s="3"/>
      <c r="G193" s="3"/>
      <c r="K193" s="5"/>
      <c r="M193" s="6"/>
    </row>
    <row r="194" spans="1:13" ht="12" customHeight="1">
      <c r="A194" s="3"/>
      <c r="B194" s="3"/>
      <c r="C194" s="3"/>
      <c r="D194" s="3"/>
      <c r="E194" s="3"/>
      <c r="F194" s="3"/>
      <c r="G194" s="3"/>
      <c r="K194" s="5"/>
      <c r="M194" s="6"/>
    </row>
    <row r="195" spans="1:13" ht="12" customHeight="1">
      <c r="A195" s="3"/>
      <c r="B195" s="3"/>
      <c r="C195" s="3"/>
      <c r="D195" s="3"/>
      <c r="E195" s="3"/>
      <c r="F195" s="3"/>
      <c r="G195" s="3"/>
      <c r="K195" s="5"/>
      <c r="M195" s="6"/>
    </row>
    <row r="196" spans="1:13" ht="12" customHeight="1">
      <c r="A196" s="3"/>
      <c r="B196" s="3"/>
      <c r="C196" s="3"/>
      <c r="D196" s="3"/>
      <c r="E196" s="3"/>
      <c r="F196" s="3"/>
      <c r="G196" s="3"/>
      <c r="K196" s="5"/>
      <c r="M196" s="6"/>
    </row>
    <row r="197" spans="1:13" ht="12" customHeight="1">
      <c r="A197" s="3"/>
      <c r="B197" s="3"/>
      <c r="C197" s="3"/>
      <c r="D197" s="3"/>
      <c r="E197" s="3"/>
      <c r="F197" s="3"/>
      <c r="G197" s="3"/>
      <c r="K197" s="5"/>
      <c r="M197" s="6"/>
    </row>
    <row r="198" spans="1:13" ht="12" customHeight="1">
      <c r="A198" s="3"/>
      <c r="B198" s="3"/>
      <c r="C198" s="3"/>
      <c r="D198" s="3"/>
      <c r="E198" s="3"/>
      <c r="F198" s="3"/>
      <c r="G198" s="3"/>
      <c r="K198" s="5"/>
      <c r="M198" s="6"/>
    </row>
    <row r="199" spans="1:13" ht="12" customHeight="1">
      <c r="A199" s="3"/>
      <c r="B199" s="3"/>
      <c r="C199" s="3"/>
      <c r="D199" s="3"/>
      <c r="E199" s="3"/>
      <c r="F199" s="3"/>
      <c r="G199" s="3"/>
      <c r="K199" s="5"/>
      <c r="M199" s="6"/>
    </row>
    <row r="200" spans="1:13" ht="12" customHeight="1">
      <c r="A200" s="3"/>
      <c r="B200" s="3"/>
      <c r="C200" s="3"/>
      <c r="D200" s="3"/>
      <c r="E200" s="3"/>
      <c r="F200" s="3"/>
      <c r="G200" s="3"/>
      <c r="K200" s="5"/>
      <c r="M200" s="6"/>
    </row>
    <row r="201" spans="1:13" ht="12" customHeight="1">
      <c r="A201" s="3"/>
      <c r="B201" s="3"/>
      <c r="C201" s="3"/>
      <c r="D201" s="3"/>
      <c r="E201" s="3"/>
      <c r="F201" s="3"/>
      <c r="G201" s="3"/>
      <c r="K201" s="5"/>
      <c r="M201" s="6"/>
    </row>
    <row r="202" spans="1:13" ht="12" customHeight="1">
      <c r="A202" s="3"/>
      <c r="B202" s="3"/>
      <c r="C202" s="3"/>
      <c r="D202" s="3"/>
      <c r="E202" s="3"/>
      <c r="F202" s="3"/>
      <c r="G202" s="3"/>
      <c r="K202" s="5"/>
      <c r="M202" s="6"/>
    </row>
    <row r="203" spans="1:13" ht="12" customHeight="1">
      <c r="A203" s="3"/>
      <c r="B203" s="3"/>
      <c r="C203" s="3"/>
      <c r="D203" s="3"/>
      <c r="E203" s="3"/>
      <c r="F203" s="3"/>
      <c r="G203" s="3"/>
      <c r="K203" s="5"/>
      <c r="M203" s="6"/>
    </row>
    <row r="204" spans="1:13" ht="12" customHeight="1">
      <c r="A204" s="3"/>
      <c r="B204" s="3"/>
      <c r="C204" s="3"/>
      <c r="D204" s="3"/>
      <c r="E204" s="3"/>
      <c r="F204" s="3"/>
      <c r="G204" s="3"/>
      <c r="K204" s="5"/>
      <c r="M204" s="6"/>
    </row>
    <row r="205" spans="1:13" ht="12" customHeight="1">
      <c r="A205" s="3"/>
      <c r="B205" s="3"/>
      <c r="C205" s="3"/>
      <c r="D205" s="3"/>
      <c r="E205" s="3"/>
      <c r="F205" s="3"/>
      <c r="G205" s="3"/>
      <c r="K205" s="5"/>
      <c r="M205" s="6"/>
    </row>
    <row r="206" spans="1:13" ht="12" customHeight="1">
      <c r="A206" s="3"/>
      <c r="B206" s="3"/>
      <c r="C206" s="3"/>
      <c r="D206" s="3"/>
      <c r="E206" s="3"/>
      <c r="F206" s="3"/>
      <c r="G206" s="3"/>
      <c r="K206" s="5"/>
      <c r="M206" s="6"/>
    </row>
    <row r="207" spans="1:13" ht="12" customHeight="1">
      <c r="A207" s="3"/>
      <c r="B207" s="3"/>
      <c r="C207" s="3"/>
      <c r="D207" s="3"/>
      <c r="E207" s="3"/>
      <c r="F207" s="3"/>
      <c r="G207" s="3"/>
      <c r="K207" s="5"/>
      <c r="M207" s="6"/>
    </row>
    <row r="208" spans="1:13" ht="12" customHeight="1">
      <c r="A208" s="3"/>
      <c r="B208" s="3"/>
      <c r="C208" s="3"/>
      <c r="D208" s="3"/>
      <c r="E208" s="3"/>
      <c r="F208" s="3"/>
      <c r="G208" s="3"/>
      <c r="K208" s="5"/>
      <c r="M208" s="6"/>
    </row>
    <row r="209" spans="1:13" ht="12" customHeight="1">
      <c r="A209" s="3"/>
      <c r="B209" s="3"/>
      <c r="C209" s="3"/>
      <c r="D209" s="3"/>
      <c r="E209" s="3"/>
      <c r="F209" s="3"/>
      <c r="G209" s="3"/>
      <c r="K209" s="5"/>
      <c r="M209" s="6"/>
    </row>
    <row r="210" spans="1:13" ht="12" customHeight="1">
      <c r="A210" s="3"/>
      <c r="B210" s="3"/>
      <c r="C210" s="3"/>
      <c r="D210" s="3"/>
      <c r="E210" s="3"/>
      <c r="F210" s="3"/>
      <c r="G210" s="3"/>
      <c r="K210" s="5"/>
      <c r="M210" s="6"/>
    </row>
    <row r="211" spans="1:13" ht="12" customHeight="1">
      <c r="A211" s="3"/>
      <c r="B211" s="3"/>
      <c r="C211" s="3"/>
      <c r="D211" s="3"/>
      <c r="E211" s="3"/>
      <c r="F211" s="3"/>
      <c r="G211" s="3"/>
      <c r="K211" s="5"/>
      <c r="M211" s="6"/>
    </row>
    <row r="212" spans="1:13" ht="12" customHeight="1">
      <c r="A212" s="3"/>
      <c r="B212" s="3"/>
      <c r="C212" s="3"/>
      <c r="D212" s="3"/>
      <c r="E212" s="3"/>
      <c r="F212" s="3"/>
      <c r="G212" s="3"/>
      <c r="K212" s="5"/>
      <c r="M212" s="6"/>
    </row>
    <row r="213" spans="1:13" ht="12" customHeight="1">
      <c r="A213" s="3"/>
      <c r="B213" s="3"/>
      <c r="C213" s="3"/>
      <c r="D213" s="3"/>
      <c r="E213" s="3"/>
      <c r="F213" s="3"/>
      <c r="G213" s="3"/>
      <c r="K213" s="5"/>
      <c r="M213" s="6"/>
    </row>
    <row r="214" spans="1:13" ht="12" customHeight="1">
      <c r="A214" s="3"/>
      <c r="B214" s="3"/>
      <c r="C214" s="3"/>
      <c r="D214" s="3"/>
      <c r="E214" s="3"/>
      <c r="F214" s="3"/>
      <c r="G214" s="3"/>
      <c r="K214" s="5"/>
      <c r="M214" s="6"/>
    </row>
    <row r="215" spans="1:13" ht="12" customHeight="1">
      <c r="A215" s="3"/>
      <c r="B215" s="3"/>
      <c r="C215" s="3"/>
      <c r="D215" s="3"/>
      <c r="E215" s="3"/>
      <c r="F215" s="3"/>
      <c r="G215" s="3"/>
      <c r="K215" s="5"/>
      <c r="M215" s="6"/>
    </row>
    <row r="216" spans="1:13" ht="12" customHeight="1">
      <c r="A216" s="3"/>
      <c r="B216" s="3"/>
      <c r="C216" s="3"/>
      <c r="D216" s="3"/>
      <c r="E216" s="3"/>
      <c r="F216" s="3"/>
      <c r="G216" s="3"/>
      <c r="K216" s="5"/>
      <c r="M216" s="6"/>
    </row>
    <row r="217" spans="1:13" ht="12" customHeight="1">
      <c r="A217" s="3"/>
      <c r="B217" s="3"/>
      <c r="C217" s="3"/>
      <c r="D217" s="3"/>
      <c r="E217" s="3"/>
      <c r="F217" s="3"/>
      <c r="G217" s="3"/>
      <c r="K217" s="5"/>
      <c r="M217" s="6"/>
    </row>
    <row r="218" spans="1:13" ht="12" customHeight="1">
      <c r="A218" s="3"/>
      <c r="B218" s="3"/>
      <c r="C218" s="3"/>
      <c r="D218" s="3"/>
      <c r="E218" s="3"/>
      <c r="F218" s="3"/>
      <c r="G218" s="3"/>
      <c r="K218" s="5"/>
      <c r="M218" s="6"/>
    </row>
    <row r="219" spans="1:13" ht="12" customHeight="1">
      <c r="A219" s="3"/>
      <c r="B219" s="3"/>
      <c r="C219" s="3"/>
      <c r="D219" s="3"/>
      <c r="E219" s="3"/>
      <c r="F219" s="3"/>
      <c r="G219" s="3"/>
      <c r="K219" s="5"/>
      <c r="M219" s="6"/>
    </row>
    <row r="220" spans="1:13" ht="12" customHeight="1">
      <c r="A220" s="3"/>
      <c r="B220" s="3"/>
      <c r="C220" s="3"/>
      <c r="D220" s="3"/>
      <c r="E220" s="3"/>
      <c r="F220" s="3"/>
      <c r="G220" s="3"/>
      <c r="K220" s="5"/>
      <c r="M220" s="6"/>
    </row>
    <row r="221" spans="1:13" ht="12" customHeight="1">
      <c r="A221" s="3"/>
      <c r="B221" s="3"/>
      <c r="C221" s="3"/>
      <c r="D221" s="3"/>
      <c r="E221" s="3"/>
      <c r="F221" s="3"/>
      <c r="G221" s="3"/>
      <c r="K221" s="5"/>
      <c r="M221" s="6"/>
    </row>
    <row r="222" spans="1:13" ht="12" customHeight="1">
      <c r="A222" s="3"/>
      <c r="B222" s="3"/>
      <c r="C222" s="3"/>
      <c r="D222" s="3"/>
      <c r="E222" s="3"/>
      <c r="F222" s="3"/>
      <c r="G222" s="3"/>
      <c r="K222" s="5"/>
      <c r="M222" s="6"/>
    </row>
    <row r="223" spans="1:13" ht="12" customHeight="1">
      <c r="A223" s="3"/>
      <c r="B223" s="3"/>
      <c r="C223" s="3"/>
      <c r="D223" s="3"/>
      <c r="E223" s="3"/>
      <c r="F223" s="3"/>
      <c r="G223" s="3"/>
      <c r="K223" s="5"/>
      <c r="M223" s="6"/>
    </row>
    <row r="224" spans="1:13" ht="12" customHeight="1">
      <c r="A224" s="3"/>
      <c r="B224" s="3"/>
      <c r="C224" s="3"/>
      <c r="D224" s="3"/>
      <c r="E224" s="3"/>
      <c r="F224" s="3"/>
      <c r="G224" s="3"/>
      <c r="K224" s="5"/>
      <c r="M224" s="6"/>
    </row>
    <row r="225" spans="1:13" ht="12" customHeight="1">
      <c r="A225" s="3"/>
      <c r="B225" s="3"/>
      <c r="C225" s="3"/>
      <c r="D225" s="3"/>
      <c r="E225" s="3"/>
      <c r="F225" s="3"/>
      <c r="G225" s="3"/>
      <c r="K225" s="5"/>
      <c r="M225" s="6"/>
    </row>
    <row r="226" spans="1:13" ht="12" customHeight="1">
      <c r="A226" s="3"/>
      <c r="B226" s="3"/>
      <c r="C226" s="3"/>
      <c r="D226" s="3"/>
      <c r="E226" s="3"/>
      <c r="F226" s="3"/>
      <c r="G226" s="3"/>
      <c r="K226" s="5"/>
      <c r="M226" s="6"/>
    </row>
    <row r="227" spans="1:13" ht="12" customHeight="1">
      <c r="A227" s="3"/>
      <c r="B227" s="3"/>
      <c r="C227" s="3"/>
      <c r="D227" s="3"/>
      <c r="E227" s="3"/>
      <c r="F227" s="3"/>
      <c r="G227" s="3"/>
      <c r="K227" s="5"/>
      <c r="M227" s="6"/>
    </row>
    <row r="228" spans="1:13" ht="12" customHeight="1">
      <c r="A228" s="3"/>
      <c r="B228" s="3"/>
      <c r="C228" s="3"/>
      <c r="D228" s="3"/>
      <c r="E228" s="3"/>
      <c r="F228" s="3"/>
      <c r="G228" s="3"/>
      <c r="K228" s="5"/>
      <c r="M228" s="6"/>
    </row>
    <row r="229" spans="1:13" ht="12" customHeight="1">
      <c r="A229" s="3"/>
      <c r="B229" s="3"/>
      <c r="C229" s="3"/>
      <c r="D229" s="3"/>
      <c r="E229" s="3"/>
      <c r="F229" s="3"/>
      <c r="G229" s="3"/>
      <c r="K229" s="5"/>
      <c r="M229" s="6"/>
    </row>
    <row r="230" spans="1:13" ht="12" customHeight="1">
      <c r="A230" s="3"/>
      <c r="B230" s="3"/>
      <c r="C230" s="3"/>
      <c r="D230" s="3"/>
      <c r="E230" s="3"/>
      <c r="F230" s="3"/>
      <c r="G230" s="3"/>
      <c r="K230" s="5"/>
      <c r="M230" s="6"/>
    </row>
    <row r="231" spans="1:13" ht="12" customHeight="1">
      <c r="A231" s="3"/>
      <c r="B231" s="3"/>
      <c r="C231" s="3"/>
      <c r="D231" s="3"/>
      <c r="E231" s="3"/>
      <c r="F231" s="3"/>
      <c r="G231" s="3"/>
      <c r="K231" s="5"/>
      <c r="M231" s="6"/>
    </row>
    <row r="232" spans="1:13" ht="12" customHeight="1">
      <c r="A232" s="3"/>
      <c r="B232" s="3"/>
      <c r="C232" s="3"/>
      <c r="D232" s="3"/>
      <c r="E232" s="3"/>
      <c r="F232" s="3"/>
      <c r="G232" s="3"/>
      <c r="K232" s="5"/>
      <c r="M232" s="6"/>
    </row>
    <row r="233" spans="1:13" ht="12" customHeight="1">
      <c r="A233" s="3"/>
      <c r="B233" s="3"/>
      <c r="C233" s="3"/>
      <c r="D233" s="3"/>
      <c r="E233" s="3"/>
      <c r="F233" s="3"/>
      <c r="G233" s="3"/>
      <c r="K233" s="5"/>
      <c r="M233" s="6"/>
    </row>
    <row r="234" spans="1:13" ht="12" customHeight="1">
      <c r="A234" s="3"/>
      <c r="B234" s="3"/>
      <c r="C234" s="3"/>
      <c r="D234" s="3"/>
      <c r="E234" s="3"/>
      <c r="F234" s="3"/>
      <c r="G234" s="3"/>
      <c r="K234" s="5"/>
      <c r="M234" s="6"/>
    </row>
    <row r="235" spans="1:13" ht="12" customHeight="1">
      <c r="A235" s="3"/>
      <c r="B235" s="3"/>
      <c r="C235" s="3"/>
      <c r="D235" s="3"/>
      <c r="E235" s="3"/>
      <c r="F235" s="3"/>
      <c r="G235" s="3"/>
      <c r="K235" s="5"/>
      <c r="M235" s="6"/>
    </row>
    <row r="236" spans="1:13" ht="12" customHeight="1">
      <c r="A236" s="3"/>
      <c r="B236" s="3"/>
      <c r="C236" s="3"/>
      <c r="D236" s="3"/>
      <c r="E236" s="3"/>
      <c r="F236" s="3"/>
      <c r="G236" s="3"/>
      <c r="K236" s="5"/>
      <c r="M236" s="6"/>
    </row>
    <row r="237" spans="1:13" ht="12" customHeight="1">
      <c r="A237" s="3"/>
      <c r="B237" s="3"/>
      <c r="C237" s="3"/>
      <c r="D237" s="3"/>
      <c r="E237" s="3"/>
      <c r="F237" s="3"/>
      <c r="G237" s="3"/>
      <c r="K237" s="5"/>
      <c r="M237" s="6"/>
    </row>
    <row r="238" spans="1:13" ht="12" customHeight="1">
      <c r="A238" s="3"/>
      <c r="B238" s="3"/>
      <c r="C238" s="3"/>
      <c r="D238" s="3"/>
      <c r="E238" s="3"/>
      <c r="F238" s="3"/>
      <c r="G238" s="3"/>
      <c r="K238" s="5"/>
      <c r="M238" s="6"/>
    </row>
    <row r="239" spans="1:13" ht="12" customHeight="1">
      <c r="A239" s="3"/>
      <c r="B239" s="3"/>
      <c r="C239" s="3"/>
      <c r="D239" s="3"/>
      <c r="E239" s="3"/>
      <c r="F239" s="3"/>
      <c r="G239" s="3"/>
      <c r="K239" s="5"/>
      <c r="M239" s="6"/>
    </row>
    <row r="240" spans="1:13" ht="12" customHeight="1">
      <c r="A240" s="3"/>
      <c r="B240" s="3"/>
      <c r="C240" s="3"/>
      <c r="D240" s="3"/>
      <c r="E240" s="3"/>
      <c r="F240" s="3"/>
      <c r="G240" s="3"/>
      <c r="K240" s="5"/>
      <c r="M240" s="6"/>
    </row>
    <row r="241" spans="1:13" ht="12" customHeight="1">
      <c r="A241" s="3"/>
      <c r="B241" s="3"/>
      <c r="C241" s="3"/>
      <c r="D241" s="3"/>
      <c r="E241" s="3"/>
      <c r="F241" s="3"/>
      <c r="G241" s="3"/>
      <c r="K241" s="5"/>
      <c r="M241" s="6"/>
    </row>
    <row r="242" spans="1:13" ht="12" customHeight="1">
      <c r="A242" s="3"/>
      <c r="B242" s="3"/>
      <c r="C242" s="3"/>
      <c r="D242" s="3"/>
      <c r="E242" s="3"/>
      <c r="F242" s="3"/>
      <c r="G242" s="3"/>
      <c r="K242" s="5"/>
      <c r="M242" s="6"/>
    </row>
    <row r="243" spans="1:13" ht="12" customHeight="1">
      <c r="A243" s="3"/>
      <c r="B243" s="3"/>
      <c r="C243" s="3"/>
      <c r="D243" s="3"/>
      <c r="E243" s="3"/>
      <c r="F243" s="3"/>
      <c r="G243" s="3"/>
      <c r="K243" s="5"/>
      <c r="M243" s="6"/>
    </row>
    <row r="244" spans="1:13" ht="12" customHeight="1">
      <c r="A244" s="3"/>
      <c r="B244" s="3"/>
      <c r="C244" s="3"/>
      <c r="D244" s="3"/>
      <c r="E244" s="3"/>
      <c r="F244" s="3"/>
      <c r="G244" s="3"/>
      <c r="K244" s="5"/>
      <c r="M244" s="6"/>
    </row>
    <row r="245" spans="1:13" ht="12" customHeight="1">
      <c r="A245" s="3"/>
      <c r="B245" s="3"/>
      <c r="C245" s="3"/>
      <c r="D245" s="3"/>
      <c r="E245" s="3"/>
      <c r="F245" s="3"/>
      <c r="G245" s="3"/>
      <c r="K245" s="5"/>
      <c r="M245" s="6"/>
    </row>
    <row r="246" spans="1:13" ht="12" customHeight="1">
      <c r="A246" s="3"/>
      <c r="B246" s="3"/>
      <c r="C246" s="3"/>
      <c r="D246" s="3"/>
      <c r="E246" s="3"/>
      <c r="F246" s="3"/>
      <c r="G246" s="3"/>
      <c r="K246" s="5"/>
      <c r="M246" s="6"/>
    </row>
    <row r="247" spans="1:13" ht="12" customHeight="1">
      <c r="A247" s="3"/>
      <c r="B247" s="3"/>
      <c r="C247" s="3"/>
      <c r="D247" s="3"/>
      <c r="E247" s="3"/>
      <c r="F247" s="3"/>
      <c r="G247" s="3"/>
      <c r="K247" s="5"/>
      <c r="M247" s="6"/>
    </row>
    <row r="248" spans="1:13" ht="12" customHeight="1">
      <c r="A248" s="3"/>
      <c r="B248" s="3"/>
      <c r="C248" s="3"/>
      <c r="D248" s="3"/>
      <c r="E248" s="3"/>
      <c r="F248" s="3"/>
      <c r="G248" s="3"/>
      <c r="K248" s="5"/>
      <c r="M248" s="6"/>
    </row>
    <row r="249" spans="1:13" ht="12" customHeight="1">
      <c r="A249" s="3"/>
      <c r="B249" s="3"/>
      <c r="C249" s="3"/>
      <c r="D249" s="3"/>
      <c r="E249" s="3"/>
      <c r="F249" s="3"/>
      <c r="G249" s="3"/>
      <c r="K249" s="5"/>
      <c r="M249" s="6"/>
    </row>
    <row r="250" spans="1:13" ht="12" customHeight="1">
      <c r="A250" s="3"/>
      <c r="B250" s="3"/>
      <c r="C250" s="3"/>
      <c r="D250" s="3"/>
      <c r="E250" s="3"/>
      <c r="F250" s="3"/>
      <c r="G250" s="3"/>
      <c r="K250" s="5"/>
      <c r="M250" s="6"/>
    </row>
    <row r="251" spans="1:13" ht="12" customHeight="1">
      <c r="A251" s="3"/>
      <c r="B251" s="3"/>
      <c r="C251" s="3"/>
      <c r="D251" s="3"/>
      <c r="E251" s="3"/>
      <c r="F251" s="3"/>
      <c r="G251" s="3"/>
      <c r="K251" s="5"/>
      <c r="M251" s="6"/>
    </row>
    <row r="252" spans="1:13" ht="12" customHeight="1">
      <c r="A252" s="3"/>
      <c r="B252" s="3"/>
      <c r="C252" s="3"/>
      <c r="D252" s="3"/>
      <c r="E252" s="3"/>
      <c r="F252" s="3"/>
      <c r="G252" s="3"/>
      <c r="K252" s="5"/>
      <c r="M252" s="6"/>
    </row>
    <row r="253" spans="1:13" ht="12" customHeight="1">
      <c r="A253" s="3"/>
      <c r="B253" s="3"/>
      <c r="C253" s="3"/>
      <c r="D253" s="3"/>
      <c r="E253" s="3"/>
      <c r="F253" s="3"/>
      <c r="G253" s="3"/>
      <c r="K253" s="5"/>
      <c r="M253" s="6"/>
    </row>
    <row r="254" spans="1:13" ht="12" customHeight="1">
      <c r="A254" s="3"/>
      <c r="B254" s="3"/>
      <c r="C254" s="3"/>
      <c r="D254" s="3"/>
      <c r="E254" s="3"/>
      <c r="F254" s="3"/>
      <c r="G254" s="3"/>
      <c r="K254" s="5"/>
      <c r="M254" s="6"/>
    </row>
    <row r="255" spans="1:13" ht="12" customHeight="1">
      <c r="A255" s="3"/>
      <c r="B255" s="3"/>
      <c r="C255" s="3"/>
      <c r="D255" s="3"/>
      <c r="E255" s="3"/>
      <c r="F255" s="3"/>
      <c r="G255" s="3"/>
      <c r="K255" s="5"/>
      <c r="M255" s="6"/>
    </row>
    <row r="256" spans="1:13" ht="12" customHeight="1">
      <c r="A256" s="3"/>
      <c r="B256" s="3"/>
      <c r="C256" s="3"/>
      <c r="D256" s="3"/>
      <c r="E256" s="3"/>
      <c r="F256" s="3"/>
      <c r="G256" s="3"/>
      <c r="K256" s="5"/>
      <c r="M256" s="6"/>
    </row>
    <row r="257" spans="1:13" ht="12" customHeight="1">
      <c r="A257" s="3"/>
      <c r="B257" s="3"/>
      <c r="C257" s="3"/>
      <c r="D257" s="3"/>
      <c r="E257" s="3"/>
      <c r="F257" s="3"/>
      <c r="G257" s="3"/>
      <c r="K257" s="5"/>
      <c r="M257" s="6"/>
    </row>
    <row r="258" spans="1:13" ht="12" customHeight="1">
      <c r="A258" s="3"/>
      <c r="B258" s="3"/>
      <c r="C258" s="3"/>
      <c r="D258" s="3"/>
      <c r="E258" s="3"/>
      <c r="F258" s="3"/>
      <c r="G258" s="3"/>
      <c r="K258" s="5"/>
      <c r="M258" s="6"/>
    </row>
    <row r="259" spans="1:13" ht="12" customHeight="1">
      <c r="A259" s="3"/>
      <c r="B259" s="3"/>
      <c r="C259" s="3"/>
      <c r="D259" s="3"/>
      <c r="E259" s="3"/>
      <c r="F259" s="3"/>
      <c r="G259" s="3"/>
      <c r="K259" s="5"/>
      <c r="M259" s="6"/>
    </row>
    <row r="260" spans="1:13" ht="12" customHeight="1">
      <c r="A260" s="3"/>
      <c r="B260" s="3"/>
      <c r="C260" s="3"/>
      <c r="D260" s="3"/>
      <c r="E260" s="3"/>
      <c r="F260" s="3"/>
      <c r="G260" s="3"/>
      <c r="K260" s="5"/>
      <c r="M260" s="6"/>
    </row>
    <row r="261" spans="1:13" ht="12" customHeight="1">
      <c r="A261" s="3"/>
      <c r="B261" s="3"/>
      <c r="C261" s="3"/>
      <c r="D261" s="3"/>
      <c r="E261" s="3"/>
      <c r="F261" s="3"/>
      <c r="G261" s="3"/>
      <c r="K261" s="5"/>
      <c r="M261" s="6"/>
    </row>
    <row r="262" spans="1:13" ht="12" customHeight="1">
      <c r="A262" s="3"/>
      <c r="B262" s="3"/>
      <c r="C262" s="3"/>
      <c r="D262" s="3"/>
      <c r="E262" s="3"/>
      <c r="F262" s="3"/>
      <c r="G262" s="3"/>
      <c r="K262" s="5"/>
      <c r="M262" s="6"/>
    </row>
    <row r="263" spans="1:13" ht="12" customHeight="1">
      <c r="A263" s="3"/>
      <c r="B263" s="3"/>
      <c r="C263" s="3"/>
      <c r="D263" s="3"/>
      <c r="E263" s="3"/>
      <c r="F263" s="3"/>
      <c r="G263" s="3"/>
      <c r="K263" s="5"/>
      <c r="M263" s="6"/>
    </row>
    <row r="264" spans="1:13" ht="12" customHeight="1">
      <c r="A264" s="3"/>
      <c r="B264" s="3"/>
      <c r="C264" s="3"/>
      <c r="D264" s="3"/>
      <c r="E264" s="3"/>
      <c r="F264" s="3"/>
      <c r="G264" s="3"/>
      <c r="K264" s="5"/>
      <c r="M264" s="6"/>
    </row>
    <row r="265" spans="1:13" ht="12" customHeight="1">
      <c r="A265" s="3"/>
      <c r="B265" s="3"/>
      <c r="C265" s="3"/>
      <c r="D265" s="3"/>
      <c r="E265" s="3"/>
      <c r="F265" s="3"/>
      <c r="G265" s="3"/>
      <c r="K265" s="5"/>
      <c r="M265" s="6"/>
    </row>
    <row r="266" spans="1:13" ht="12" customHeight="1">
      <c r="A266" s="3"/>
      <c r="B266" s="3"/>
      <c r="C266" s="3"/>
      <c r="D266" s="3"/>
      <c r="E266" s="3"/>
      <c r="F266" s="3"/>
      <c r="G266" s="3"/>
      <c r="K266" s="5"/>
      <c r="M266" s="6"/>
    </row>
    <row r="267" spans="1:13" ht="12" customHeight="1">
      <c r="A267" s="3"/>
      <c r="B267" s="3"/>
      <c r="C267" s="3"/>
      <c r="D267" s="3"/>
      <c r="E267" s="3"/>
      <c r="F267" s="3"/>
      <c r="G267" s="3"/>
      <c r="K267" s="5"/>
      <c r="M267" s="6"/>
    </row>
    <row r="268" spans="1:13" ht="12" customHeight="1">
      <c r="A268" s="3"/>
      <c r="B268" s="3"/>
      <c r="C268" s="3"/>
      <c r="D268" s="3"/>
      <c r="E268" s="3"/>
      <c r="F268" s="3"/>
      <c r="G268" s="3"/>
      <c r="K268" s="5"/>
      <c r="M268" s="6"/>
    </row>
    <row r="269" spans="1:13" ht="12" customHeight="1">
      <c r="A269" s="3"/>
      <c r="B269" s="3"/>
      <c r="C269" s="3"/>
      <c r="D269" s="3"/>
      <c r="E269" s="3"/>
      <c r="F269" s="3"/>
      <c r="G269" s="3"/>
      <c r="K269" s="5"/>
      <c r="M269" s="6"/>
    </row>
    <row r="270" spans="1:13" ht="12" customHeight="1">
      <c r="A270" s="3"/>
      <c r="B270" s="3"/>
      <c r="C270" s="3"/>
      <c r="D270" s="3"/>
      <c r="E270" s="3"/>
      <c r="F270" s="3"/>
      <c r="G270" s="3"/>
      <c r="K270" s="5"/>
      <c r="M270" s="6"/>
    </row>
    <row r="271" spans="1:13" ht="12" customHeight="1">
      <c r="A271" s="3"/>
      <c r="B271" s="3"/>
      <c r="C271" s="3"/>
      <c r="D271" s="3"/>
      <c r="E271" s="3"/>
      <c r="F271" s="3"/>
      <c r="G271" s="3"/>
      <c r="K271" s="5"/>
      <c r="M271" s="6"/>
    </row>
    <row r="272" spans="1:13" ht="12" customHeight="1">
      <c r="A272" s="3"/>
      <c r="B272" s="3"/>
      <c r="C272" s="3"/>
      <c r="D272" s="3"/>
      <c r="E272" s="3"/>
      <c r="F272" s="3"/>
      <c r="G272" s="3"/>
      <c r="K272" s="5"/>
      <c r="M272" s="6"/>
    </row>
    <row r="273" spans="1:13" ht="12" customHeight="1">
      <c r="A273" s="3"/>
      <c r="B273" s="3"/>
      <c r="C273" s="3"/>
      <c r="D273" s="3"/>
      <c r="E273" s="3"/>
      <c r="F273" s="3"/>
      <c r="G273" s="3"/>
      <c r="K273" s="5"/>
      <c r="M273" s="6"/>
    </row>
    <row r="274" spans="1:13" ht="12" customHeight="1">
      <c r="A274" s="3"/>
      <c r="B274" s="3"/>
      <c r="C274" s="3"/>
      <c r="D274" s="3"/>
      <c r="E274" s="3"/>
      <c r="F274" s="3"/>
      <c r="G274" s="3"/>
      <c r="K274" s="5"/>
      <c r="M274" s="6"/>
    </row>
    <row r="275" spans="1:13" ht="12" customHeight="1">
      <c r="A275" s="3"/>
      <c r="B275" s="3"/>
      <c r="C275" s="3"/>
      <c r="D275" s="3"/>
      <c r="E275" s="3"/>
      <c r="F275" s="3"/>
      <c r="G275" s="3"/>
      <c r="K275" s="5"/>
      <c r="M275" s="6"/>
    </row>
    <row r="276" spans="1:13" ht="12" customHeight="1">
      <c r="A276" s="3"/>
      <c r="B276" s="3"/>
      <c r="C276" s="3"/>
      <c r="D276" s="3"/>
      <c r="E276" s="3"/>
      <c r="F276" s="3"/>
      <c r="G276" s="3"/>
      <c r="K276" s="5"/>
      <c r="M276" s="6"/>
    </row>
    <row r="277" spans="1:13" ht="12" customHeight="1">
      <c r="A277" s="3"/>
      <c r="B277" s="3"/>
      <c r="C277" s="3"/>
      <c r="D277" s="3"/>
      <c r="E277" s="3"/>
      <c r="F277" s="3"/>
      <c r="G277" s="3"/>
      <c r="K277" s="5"/>
      <c r="M277" s="6"/>
    </row>
    <row r="278" spans="1:13" ht="12" customHeight="1">
      <c r="A278" s="3"/>
      <c r="B278" s="3"/>
      <c r="C278" s="3"/>
      <c r="D278" s="3"/>
      <c r="E278" s="3"/>
      <c r="F278" s="3"/>
      <c r="G278" s="3"/>
      <c r="K278" s="5"/>
      <c r="M278" s="6"/>
    </row>
    <row r="279" spans="1:13" ht="12" customHeight="1">
      <c r="A279" s="3"/>
      <c r="B279" s="3"/>
      <c r="C279" s="3"/>
      <c r="D279" s="3"/>
      <c r="E279" s="3"/>
      <c r="F279" s="3"/>
      <c r="G279" s="3"/>
      <c r="K279" s="5"/>
      <c r="M279" s="6"/>
    </row>
    <row r="280" spans="1:13" ht="12" customHeight="1">
      <c r="A280" s="3"/>
      <c r="B280" s="3"/>
      <c r="C280" s="3"/>
      <c r="D280" s="3"/>
      <c r="E280" s="3"/>
      <c r="F280" s="3"/>
      <c r="G280" s="3"/>
      <c r="K280" s="5"/>
      <c r="M280" s="6"/>
    </row>
    <row r="281" spans="1:13" ht="12" customHeight="1">
      <c r="A281" s="3"/>
      <c r="B281" s="3"/>
      <c r="C281" s="3"/>
      <c r="D281" s="3"/>
      <c r="E281" s="3"/>
      <c r="F281" s="3"/>
      <c r="G281" s="3"/>
      <c r="K281" s="5"/>
      <c r="M281" s="6"/>
    </row>
    <row r="282" spans="1:13" ht="12" customHeight="1">
      <c r="A282" s="3"/>
      <c r="B282" s="3"/>
      <c r="C282" s="3"/>
      <c r="D282" s="3"/>
      <c r="E282" s="3"/>
      <c r="F282" s="3"/>
      <c r="G282" s="3"/>
      <c r="K282" s="5"/>
      <c r="M282" s="6"/>
    </row>
    <row r="283" spans="1:13" ht="12" customHeight="1">
      <c r="A283" s="3"/>
      <c r="B283" s="3"/>
      <c r="C283" s="3"/>
      <c r="D283" s="3"/>
      <c r="E283" s="3"/>
      <c r="F283" s="3"/>
      <c r="G283" s="3"/>
      <c r="K283" s="5"/>
      <c r="M283" s="6"/>
    </row>
    <row r="284" spans="1:13" ht="12" customHeight="1">
      <c r="A284" s="3"/>
      <c r="B284" s="3"/>
      <c r="C284" s="3"/>
      <c r="D284" s="3"/>
      <c r="E284" s="3"/>
      <c r="F284" s="3"/>
      <c r="G284" s="3"/>
      <c r="K284" s="5"/>
      <c r="M284" s="6"/>
    </row>
    <row r="285" spans="1:13" ht="12" customHeight="1">
      <c r="A285" s="3"/>
      <c r="B285" s="3"/>
      <c r="C285" s="3"/>
      <c r="D285" s="3"/>
      <c r="E285" s="3"/>
      <c r="F285" s="3"/>
      <c r="G285" s="3"/>
      <c r="K285" s="5"/>
      <c r="M285" s="6"/>
    </row>
    <row r="286" spans="1:13" ht="12" customHeight="1">
      <c r="A286" s="3"/>
      <c r="B286" s="3"/>
      <c r="C286" s="3"/>
      <c r="D286" s="3"/>
      <c r="E286" s="3"/>
      <c r="F286" s="3"/>
      <c r="G286" s="3"/>
      <c r="K286" s="5"/>
      <c r="M286" s="6"/>
    </row>
    <row r="287" spans="1:13" ht="12" customHeight="1">
      <c r="A287" s="3"/>
      <c r="B287" s="3"/>
      <c r="C287" s="3"/>
      <c r="D287" s="3"/>
      <c r="E287" s="3"/>
      <c r="F287" s="3"/>
      <c r="G287" s="3"/>
      <c r="K287" s="5"/>
      <c r="M287" s="6"/>
    </row>
    <row r="288" spans="1:13" ht="12" customHeight="1">
      <c r="A288" s="3"/>
      <c r="B288" s="3"/>
      <c r="C288" s="3"/>
      <c r="D288" s="3"/>
      <c r="E288" s="3"/>
      <c r="F288" s="3"/>
      <c r="G288" s="3"/>
      <c r="K288" s="5"/>
      <c r="M288" s="6"/>
    </row>
    <row r="289" spans="1:13" ht="12" customHeight="1">
      <c r="A289" s="3"/>
      <c r="B289" s="3"/>
      <c r="C289" s="3"/>
      <c r="D289" s="3"/>
      <c r="E289" s="3"/>
      <c r="F289" s="3"/>
      <c r="G289" s="3"/>
      <c r="K289" s="5"/>
      <c r="M289" s="6"/>
    </row>
    <row r="290" spans="1:13" ht="12" customHeight="1">
      <c r="A290" s="3"/>
      <c r="B290" s="3"/>
      <c r="C290" s="3"/>
      <c r="D290" s="3"/>
      <c r="E290" s="3"/>
      <c r="F290" s="3"/>
      <c r="G290" s="3"/>
      <c r="K290" s="5"/>
      <c r="M290" s="6"/>
    </row>
    <row r="291" spans="1:13" ht="12" customHeight="1">
      <c r="A291" s="3"/>
      <c r="B291" s="3"/>
      <c r="C291" s="3"/>
      <c r="D291" s="3"/>
      <c r="E291" s="3"/>
      <c r="F291" s="3"/>
      <c r="G291" s="3"/>
      <c r="K291" s="5"/>
      <c r="M291" s="6"/>
    </row>
    <row r="292" spans="1:13" ht="12" customHeight="1">
      <c r="A292" s="3"/>
      <c r="B292" s="3"/>
      <c r="C292" s="3"/>
      <c r="D292" s="3"/>
      <c r="E292" s="3"/>
      <c r="F292" s="3"/>
      <c r="G292" s="3"/>
      <c r="K292" s="5"/>
      <c r="M292" s="6"/>
    </row>
    <row r="293" spans="1:13" ht="12" customHeight="1">
      <c r="A293" s="3"/>
      <c r="B293" s="3"/>
      <c r="C293" s="3"/>
      <c r="D293" s="3"/>
      <c r="E293" s="3"/>
      <c r="F293" s="3"/>
      <c r="G293" s="3"/>
      <c r="K293" s="5"/>
      <c r="M293" s="6"/>
    </row>
    <row r="294" spans="1:13" ht="15.75" customHeight="1">
      <c r="A294" s="3"/>
      <c r="B294" s="3"/>
      <c r="C294" s="3"/>
      <c r="D294" s="3"/>
      <c r="E294" s="3"/>
      <c r="F294" s="3"/>
      <c r="G294" s="3"/>
    </row>
    <row r="295" spans="1:13" ht="15.75" customHeight="1">
      <c r="A295" s="3"/>
      <c r="B295" s="3"/>
      <c r="C295" s="3"/>
      <c r="D295" s="3"/>
      <c r="E295" s="3"/>
      <c r="F295" s="3"/>
      <c r="G295" s="3"/>
    </row>
    <row r="296" spans="1:13" ht="15.75" customHeight="1">
      <c r="A296" s="3"/>
      <c r="B296" s="3"/>
      <c r="C296" s="3"/>
      <c r="D296" s="3"/>
      <c r="E296" s="3"/>
      <c r="F296" s="3"/>
      <c r="G296" s="3"/>
    </row>
    <row r="297" spans="1:13" ht="15.75" customHeight="1">
      <c r="A297" s="3"/>
      <c r="B297" s="3"/>
      <c r="C297" s="3"/>
      <c r="D297" s="3"/>
      <c r="E297" s="3"/>
      <c r="F297" s="3"/>
      <c r="G297" s="3"/>
    </row>
    <row r="298" spans="1:13" ht="15.75" customHeight="1">
      <c r="A298" s="3"/>
      <c r="B298" s="3"/>
      <c r="C298" s="3"/>
      <c r="D298" s="3"/>
      <c r="E298" s="3"/>
      <c r="F298" s="3"/>
      <c r="G298" s="3"/>
    </row>
    <row r="299" spans="1:13" ht="15.75" customHeight="1">
      <c r="A299" s="3"/>
      <c r="B299" s="3"/>
      <c r="C299" s="3"/>
      <c r="D299" s="3"/>
      <c r="E299" s="3"/>
      <c r="F299" s="3"/>
      <c r="G299" s="3"/>
    </row>
    <row r="300" spans="1:13" ht="15.75" customHeight="1">
      <c r="A300" s="3"/>
      <c r="B300" s="3"/>
      <c r="C300" s="3"/>
      <c r="D300" s="3"/>
      <c r="E300" s="3"/>
      <c r="F300" s="3"/>
      <c r="G300" s="3"/>
    </row>
    <row r="301" spans="1:13" ht="15.75" customHeight="1">
      <c r="A301" s="3"/>
      <c r="B301" s="3"/>
      <c r="C301" s="3"/>
      <c r="D301" s="3"/>
      <c r="E301" s="3"/>
      <c r="F301" s="3"/>
      <c r="G301" s="3"/>
    </row>
    <row r="302" spans="1:13" ht="15.75" customHeight="1">
      <c r="A302" s="3"/>
      <c r="B302" s="3"/>
      <c r="C302" s="3"/>
      <c r="D302" s="3"/>
      <c r="E302" s="3"/>
      <c r="F302" s="3"/>
      <c r="G302" s="3"/>
    </row>
    <row r="303" spans="1:13" ht="15.75" customHeight="1">
      <c r="A303" s="3"/>
      <c r="B303" s="3"/>
      <c r="C303" s="3"/>
      <c r="D303" s="3"/>
      <c r="E303" s="3"/>
      <c r="F303" s="3"/>
      <c r="G303" s="3"/>
    </row>
    <row r="304" spans="1:13" ht="15.75" customHeight="1">
      <c r="A304" s="3"/>
      <c r="B304" s="3"/>
      <c r="C304" s="3"/>
      <c r="D304" s="3"/>
      <c r="E304" s="3"/>
      <c r="F304" s="3"/>
      <c r="G304" s="3"/>
    </row>
    <row r="305" spans="1:7" ht="15.75" customHeight="1">
      <c r="A305" s="3"/>
      <c r="B305" s="3"/>
      <c r="C305" s="3"/>
      <c r="D305" s="3"/>
      <c r="E305" s="3"/>
      <c r="F305" s="3"/>
      <c r="G305" s="3"/>
    </row>
    <row r="306" spans="1:7" ht="15.75" customHeight="1">
      <c r="A306" s="3"/>
      <c r="B306" s="3"/>
      <c r="C306" s="3"/>
      <c r="D306" s="3"/>
      <c r="E306" s="3"/>
      <c r="F306" s="3"/>
      <c r="G306" s="3"/>
    </row>
    <row r="307" spans="1:7" ht="15.75" customHeight="1">
      <c r="A307" s="3"/>
      <c r="B307" s="3"/>
      <c r="C307" s="3"/>
      <c r="D307" s="3"/>
      <c r="E307" s="3"/>
      <c r="F307" s="3"/>
      <c r="G307" s="3"/>
    </row>
    <row r="308" spans="1:7" ht="15.75" customHeight="1">
      <c r="A308" s="3"/>
      <c r="B308" s="3"/>
      <c r="C308" s="3"/>
      <c r="D308" s="3"/>
      <c r="E308" s="3"/>
      <c r="F308" s="3"/>
      <c r="G308" s="3"/>
    </row>
    <row r="309" spans="1:7" ht="15.75" customHeight="1">
      <c r="A309" s="3"/>
      <c r="B309" s="3"/>
      <c r="C309" s="3"/>
      <c r="D309" s="3"/>
      <c r="E309" s="3"/>
      <c r="F309" s="3"/>
      <c r="G309" s="3"/>
    </row>
    <row r="310" spans="1:7" ht="15.75" customHeight="1">
      <c r="A310" s="3"/>
      <c r="B310" s="3"/>
      <c r="C310" s="3"/>
      <c r="D310" s="3"/>
      <c r="E310" s="3"/>
      <c r="F310" s="3"/>
      <c r="G310" s="3"/>
    </row>
    <row r="311" spans="1:7" ht="15.75" customHeight="1">
      <c r="A311" s="3"/>
      <c r="B311" s="3"/>
      <c r="C311" s="3"/>
      <c r="D311" s="3"/>
      <c r="E311" s="3"/>
      <c r="F311" s="3"/>
      <c r="G311" s="3"/>
    </row>
    <row r="312" spans="1:7" ht="15.75" customHeight="1">
      <c r="A312" s="3"/>
      <c r="B312" s="3"/>
      <c r="C312" s="3"/>
      <c r="D312" s="3"/>
      <c r="E312" s="3"/>
      <c r="F312" s="3"/>
      <c r="G312" s="3"/>
    </row>
    <row r="313" spans="1:7" ht="15.75" customHeight="1">
      <c r="A313" s="3"/>
      <c r="B313" s="3"/>
      <c r="C313" s="3"/>
      <c r="D313" s="3"/>
      <c r="E313" s="3"/>
      <c r="F313" s="3"/>
      <c r="G313" s="3"/>
    </row>
    <row r="314" spans="1:7" ht="15.75" customHeight="1">
      <c r="A314" s="3"/>
      <c r="B314" s="3"/>
      <c r="C314" s="3"/>
      <c r="D314" s="3"/>
      <c r="E314" s="3"/>
      <c r="F314" s="3"/>
      <c r="G314" s="3"/>
    </row>
    <row r="315" spans="1:7" ht="15.75" customHeight="1">
      <c r="A315" s="3"/>
      <c r="B315" s="3"/>
      <c r="C315" s="3"/>
      <c r="D315" s="3"/>
      <c r="E315" s="3"/>
      <c r="F315" s="3"/>
      <c r="G315" s="3"/>
    </row>
    <row r="316" spans="1:7" ht="15.75" customHeight="1">
      <c r="A316" s="3"/>
      <c r="B316" s="3"/>
      <c r="C316" s="3"/>
      <c r="D316" s="3"/>
      <c r="E316" s="3"/>
      <c r="F316" s="3"/>
      <c r="G316" s="3"/>
    </row>
    <row r="317" spans="1:7" ht="15.75" customHeight="1">
      <c r="A317" s="3"/>
      <c r="B317" s="3"/>
      <c r="C317" s="3"/>
      <c r="D317" s="3"/>
      <c r="E317" s="3"/>
      <c r="F317" s="3"/>
      <c r="G317" s="3"/>
    </row>
    <row r="318" spans="1:7" ht="15.75" customHeight="1">
      <c r="A318" s="3"/>
      <c r="B318" s="3"/>
      <c r="C318" s="3"/>
      <c r="D318" s="3"/>
      <c r="E318" s="3"/>
      <c r="F318" s="3"/>
      <c r="G318" s="3"/>
    </row>
    <row r="319" spans="1:7" ht="15.75" customHeight="1">
      <c r="A319" s="3"/>
      <c r="B319" s="3"/>
      <c r="C319" s="3"/>
      <c r="D319" s="3"/>
      <c r="E319" s="3"/>
      <c r="F319" s="3"/>
      <c r="G319" s="3"/>
    </row>
    <row r="320" spans="1:7" ht="15.75" customHeight="1">
      <c r="A320" s="3"/>
      <c r="B320" s="3"/>
      <c r="C320" s="3"/>
      <c r="D320" s="3"/>
      <c r="E320" s="3"/>
      <c r="F320" s="3"/>
      <c r="G320" s="3"/>
    </row>
    <row r="321" spans="1:7" ht="15.75" customHeight="1">
      <c r="A321" s="3"/>
      <c r="B321" s="3"/>
      <c r="C321" s="3"/>
      <c r="D321" s="3"/>
      <c r="E321" s="3"/>
      <c r="F321" s="3"/>
      <c r="G321" s="3"/>
    </row>
    <row r="322" spans="1:7" ht="15.75" customHeight="1">
      <c r="A322" s="3"/>
      <c r="B322" s="3"/>
      <c r="C322" s="3"/>
      <c r="D322" s="3"/>
      <c r="E322" s="3"/>
      <c r="F322" s="3"/>
      <c r="G322" s="3"/>
    </row>
    <row r="323" spans="1:7" ht="15.75" customHeight="1">
      <c r="A323" s="3"/>
      <c r="B323" s="3"/>
      <c r="C323" s="3"/>
      <c r="D323" s="3"/>
      <c r="E323" s="3"/>
      <c r="F323" s="3"/>
      <c r="G323" s="3"/>
    </row>
    <row r="324" spans="1:7" ht="15.75" customHeight="1">
      <c r="A324" s="3"/>
      <c r="B324" s="3"/>
      <c r="C324" s="3"/>
      <c r="D324" s="3"/>
      <c r="E324" s="3"/>
      <c r="F324" s="3"/>
      <c r="G324" s="3"/>
    </row>
    <row r="325" spans="1:7" ht="15.75" customHeight="1">
      <c r="A325" s="3"/>
      <c r="B325" s="3"/>
      <c r="C325" s="3"/>
      <c r="D325" s="3"/>
      <c r="E325" s="3"/>
      <c r="F325" s="3"/>
      <c r="G325" s="3"/>
    </row>
    <row r="326" spans="1:7" ht="15.75" customHeight="1">
      <c r="A326" s="3"/>
      <c r="B326" s="3"/>
      <c r="C326" s="3"/>
      <c r="D326" s="3"/>
      <c r="E326" s="3"/>
      <c r="F326" s="3"/>
      <c r="G326" s="3"/>
    </row>
    <row r="327" spans="1:7" ht="15.75" customHeight="1">
      <c r="A327" s="3"/>
      <c r="B327" s="3"/>
      <c r="C327" s="3"/>
      <c r="D327" s="3"/>
      <c r="E327" s="3"/>
      <c r="F327" s="3"/>
      <c r="G327" s="3"/>
    </row>
    <row r="328" spans="1:7" ht="15.75" customHeight="1">
      <c r="A328" s="3"/>
      <c r="B328" s="3"/>
      <c r="C328" s="3"/>
      <c r="D328" s="3"/>
      <c r="E328" s="3"/>
      <c r="F328" s="3"/>
      <c r="G328" s="3"/>
    </row>
    <row r="329" spans="1:7" ht="15.75" customHeight="1">
      <c r="A329" s="3"/>
      <c r="B329" s="3"/>
      <c r="C329" s="3"/>
      <c r="D329" s="3"/>
      <c r="E329" s="3"/>
      <c r="F329" s="3"/>
      <c r="G329" s="3"/>
    </row>
    <row r="330" spans="1:7" ht="15.75" customHeight="1">
      <c r="A330" s="3"/>
      <c r="B330" s="3"/>
      <c r="C330" s="3"/>
      <c r="D330" s="3"/>
      <c r="E330" s="3"/>
      <c r="F330" s="3"/>
      <c r="G330" s="3"/>
    </row>
    <row r="331" spans="1:7" ht="15.75" customHeight="1">
      <c r="A331" s="3"/>
      <c r="B331" s="3"/>
      <c r="C331" s="3"/>
      <c r="D331" s="3"/>
      <c r="E331" s="3"/>
      <c r="F331" s="3"/>
      <c r="G331" s="3"/>
    </row>
    <row r="332" spans="1:7" ht="15.75" customHeight="1">
      <c r="A332" s="3"/>
      <c r="B332" s="3"/>
      <c r="C332" s="3"/>
      <c r="D332" s="3"/>
      <c r="E332" s="3"/>
      <c r="F332" s="3"/>
      <c r="G332" s="3"/>
    </row>
    <row r="333" spans="1:7" ht="15.75" customHeight="1">
      <c r="A333" s="3"/>
      <c r="B333" s="3"/>
      <c r="C333" s="3"/>
      <c r="D333" s="3"/>
      <c r="E333" s="3"/>
      <c r="F333" s="3"/>
      <c r="G333" s="3"/>
    </row>
    <row r="334" spans="1:7" ht="15.75" customHeight="1">
      <c r="A334" s="3"/>
      <c r="B334" s="3"/>
      <c r="C334" s="3"/>
      <c r="D334" s="3"/>
      <c r="E334" s="3"/>
      <c r="F334" s="3"/>
      <c r="G334" s="3"/>
    </row>
    <row r="335" spans="1:7" ht="15.75" customHeight="1">
      <c r="A335" s="3"/>
      <c r="B335" s="3"/>
      <c r="C335" s="3"/>
      <c r="D335" s="3"/>
      <c r="E335" s="3"/>
      <c r="F335" s="3"/>
      <c r="G335" s="3"/>
    </row>
    <row r="336" spans="1:7" ht="15.75" customHeight="1">
      <c r="A336" s="3"/>
      <c r="B336" s="3"/>
      <c r="C336" s="3"/>
      <c r="D336" s="3"/>
      <c r="E336" s="3"/>
      <c r="F336" s="3"/>
      <c r="G336" s="3"/>
    </row>
    <row r="337" spans="1:7" ht="15.75" customHeight="1">
      <c r="A337" s="3"/>
      <c r="B337" s="3"/>
      <c r="C337" s="3"/>
      <c r="D337" s="3"/>
      <c r="E337" s="3"/>
      <c r="F337" s="3"/>
      <c r="G337" s="3"/>
    </row>
    <row r="338" spans="1:7" ht="15.75" customHeight="1">
      <c r="A338" s="3"/>
      <c r="B338" s="3"/>
      <c r="C338" s="3"/>
      <c r="D338" s="3"/>
      <c r="E338" s="3"/>
      <c r="F338" s="3"/>
      <c r="G338" s="3"/>
    </row>
    <row r="339" spans="1:7" ht="15.75" customHeight="1">
      <c r="A339" s="3"/>
      <c r="B339" s="3"/>
      <c r="C339" s="3"/>
      <c r="D339" s="3"/>
      <c r="E339" s="3"/>
      <c r="F339" s="3"/>
      <c r="G339" s="3"/>
    </row>
    <row r="340" spans="1:7" ht="15.75" customHeight="1">
      <c r="A340" s="3"/>
      <c r="B340" s="3"/>
      <c r="C340" s="3"/>
      <c r="D340" s="3"/>
      <c r="E340" s="3"/>
      <c r="F340" s="3"/>
      <c r="G340" s="3"/>
    </row>
    <row r="341" spans="1:7" ht="15.75" customHeight="1">
      <c r="A341" s="3"/>
      <c r="B341" s="3"/>
      <c r="C341" s="3"/>
      <c r="D341" s="3"/>
      <c r="E341" s="3"/>
      <c r="F341" s="3"/>
      <c r="G341" s="3"/>
    </row>
    <row r="342" spans="1:7" ht="15.75" customHeight="1">
      <c r="A342" s="3"/>
      <c r="B342" s="3"/>
      <c r="C342" s="3"/>
      <c r="D342" s="3"/>
      <c r="E342" s="3"/>
      <c r="F342" s="3"/>
      <c r="G342" s="3"/>
    </row>
    <row r="343" spans="1:7" ht="15.75" customHeight="1">
      <c r="A343" s="3"/>
      <c r="B343" s="3"/>
      <c r="C343" s="3"/>
      <c r="D343" s="3"/>
      <c r="E343" s="3"/>
      <c r="F343" s="3"/>
      <c r="G343" s="3"/>
    </row>
    <row r="344" spans="1:7" ht="15.75" customHeight="1">
      <c r="A344" s="3"/>
      <c r="B344" s="3"/>
      <c r="C344" s="3"/>
      <c r="D344" s="3"/>
      <c r="E344" s="3"/>
      <c r="F344" s="3"/>
      <c r="G344" s="3"/>
    </row>
    <row r="345" spans="1:7" ht="15.75" customHeight="1">
      <c r="A345" s="3"/>
      <c r="B345" s="3"/>
      <c r="C345" s="3"/>
      <c r="D345" s="3"/>
      <c r="E345" s="3"/>
      <c r="F345" s="3"/>
      <c r="G345" s="3"/>
    </row>
    <row r="346" spans="1:7" ht="15.75" customHeight="1">
      <c r="A346" s="3"/>
      <c r="B346" s="3"/>
      <c r="C346" s="3"/>
      <c r="D346" s="3"/>
      <c r="E346" s="3"/>
      <c r="F346" s="3"/>
      <c r="G346" s="3"/>
    </row>
    <row r="347" spans="1:7" ht="15.75" customHeight="1">
      <c r="A347" s="3"/>
      <c r="B347" s="3"/>
      <c r="C347" s="3"/>
      <c r="D347" s="3"/>
      <c r="E347" s="3"/>
      <c r="F347" s="3"/>
      <c r="G347" s="3"/>
    </row>
    <row r="348" spans="1:7" ht="15.75" customHeight="1">
      <c r="A348" s="3"/>
      <c r="B348" s="3"/>
      <c r="C348" s="3"/>
      <c r="D348" s="3"/>
      <c r="E348" s="3"/>
      <c r="F348" s="3"/>
      <c r="G348" s="3"/>
    </row>
    <row r="349" spans="1:7" ht="15.75" customHeight="1">
      <c r="A349" s="3"/>
      <c r="B349" s="3"/>
      <c r="C349" s="3"/>
      <c r="D349" s="3"/>
      <c r="E349" s="3"/>
      <c r="F349" s="3"/>
      <c r="G349" s="3"/>
    </row>
    <row r="350" spans="1:7" ht="15.75" customHeight="1">
      <c r="A350" s="3"/>
      <c r="B350" s="3"/>
      <c r="C350" s="3"/>
      <c r="D350" s="3"/>
      <c r="E350" s="3"/>
      <c r="F350" s="3"/>
      <c r="G350" s="3"/>
    </row>
    <row r="351" spans="1:7" ht="15.75" customHeight="1">
      <c r="A351" s="3"/>
      <c r="B351" s="3"/>
      <c r="C351" s="3"/>
      <c r="D351" s="3"/>
      <c r="E351" s="3"/>
      <c r="F351" s="3"/>
      <c r="G351" s="3"/>
    </row>
    <row r="352" spans="1:7" ht="15.75" customHeight="1">
      <c r="A352" s="3"/>
      <c r="B352" s="3"/>
      <c r="C352" s="3"/>
      <c r="D352" s="3"/>
      <c r="E352" s="3"/>
      <c r="F352" s="3"/>
      <c r="G352" s="3"/>
    </row>
    <row r="353" spans="1:7" ht="15.75" customHeight="1">
      <c r="A353" s="3"/>
      <c r="B353" s="3"/>
      <c r="C353" s="3"/>
      <c r="D353" s="3"/>
      <c r="E353" s="3"/>
      <c r="F353" s="3"/>
      <c r="G353" s="3"/>
    </row>
    <row r="354" spans="1:7" ht="15.75" customHeight="1">
      <c r="A354" s="3"/>
      <c r="B354" s="3"/>
      <c r="C354" s="3"/>
      <c r="D354" s="3"/>
      <c r="E354" s="3"/>
      <c r="F354" s="3"/>
      <c r="G354" s="3"/>
    </row>
    <row r="355" spans="1:7" ht="15.75" customHeight="1">
      <c r="A355" s="3"/>
      <c r="B355" s="3"/>
      <c r="C355" s="3"/>
      <c r="D355" s="3"/>
      <c r="E355" s="3"/>
      <c r="F355" s="3"/>
      <c r="G355" s="3"/>
    </row>
    <row r="356" spans="1:7" ht="15.75" customHeight="1">
      <c r="A356" s="3"/>
      <c r="B356" s="3"/>
      <c r="C356" s="3"/>
      <c r="D356" s="3"/>
      <c r="E356" s="3"/>
      <c r="F356" s="3"/>
      <c r="G356" s="3"/>
    </row>
    <row r="357" spans="1:7" ht="15.75" customHeight="1">
      <c r="A357" s="3"/>
      <c r="B357" s="3"/>
      <c r="C357" s="3"/>
      <c r="D357" s="3"/>
      <c r="E357" s="3"/>
      <c r="F357" s="3"/>
      <c r="G357" s="3"/>
    </row>
    <row r="358" spans="1:7" ht="15.75" customHeight="1">
      <c r="A358" s="3"/>
      <c r="B358" s="3"/>
      <c r="C358" s="3"/>
      <c r="D358" s="3"/>
      <c r="E358" s="3"/>
      <c r="F358" s="3"/>
      <c r="G358" s="3"/>
    </row>
    <row r="359" spans="1:7" ht="15.75" customHeight="1">
      <c r="A359" s="3"/>
      <c r="B359" s="3"/>
      <c r="C359" s="3"/>
      <c r="D359" s="3"/>
      <c r="E359" s="3"/>
      <c r="F359" s="3"/>
      <c r="G359" s="3"/>
    </row>
    <row r="360" spans="1:7" ht="15.75" customHeight="1">
      <c r="A360" s="3"/>
      <c r="B360" s="3"/>
      <c r="C360" s="3"/>
      <c r="D360" s="3"/>
      <c r="E360" s="3"/>
      <c r="F360" s="3"/>
      <c r="G360" s="3"/>
    </row>
    <row r="361" spans="1:7" ht="15.75" customHeight="1">
      <c r="A361" s="3"/>
      <c r="B361" s="3"/>
      <c r="C361" s="3"/>
      <c r="D361" s="3"/>
      <c r="E361" s="3"/>
      <c r="F361" s="3"/>
      <c r="G361" s="3"/>
    </row>
    <row r="362" spans="1:7" ht="15.75" customHeight="1">
      <c r="A362" s="3"/>
      <c r="B362" s="3"/>
      <c r="C362" s="3"/>
      <c r="D362" s="3"/>
      <c r="E362" s="3"/>
      <c r="F362" s="3"/>
      <c r="G362" s="3"/>
    </row>
    <row r="363" spans="1:7" ht="15.75" customHeight="1">
      <c r="A363" s="3"/>
      <c r="B363" s="3"/>
      <c r="C363" s="3"/>
      <c r="D363" s="3"/>
      <c r="E363" s="3"/>
      <c r="F363" s="3"/>
      <c r="G363" s="3"/>
    </row>
    <row r="364" spans="1:7" ht="15.75" customHeight="1">
      <c r="A364" s="3"/>
      <c r="B364" s="3"/>
      <c r="C364" s="3"/>
      <c r="D364" s="3"/>
      <c r="E364" s="3"/>
      <c r="F364" s="3"/>
      <c r="G364" s="3"/>
    </row>
    <row r="365" spans="1:7" ht="15.75" customHeight="1">
      <c r="A365" s="3"/>
      <c r="B365" s="3"/>
      <c r="C365" s="3"/>
      <c r="D365" s="3"/>
      <c r="E365" s="3"/>
      <c r="F365" s="3"/>
      <c r="G365" s="3"/>
    </row>
    <row r="366" spans="1:7" ht="15.75" customHeight="1">
      <c r="A366" s="3"/>
      <c r="B366" s="3"/>
      <c r="C366" s="3"/>
      <c r="D366" s="3"/>
      <c r="E366" s="3"/>
      <c r="F366" s="3"/>
      <c r="G366" s="3"/>
    </row>
    <row r="367" spans="1:7" ht="15.75" customHeight="1">
      <c r="A367" s="3"/>
      <c r="B367" s="3"/>
      <c r="C367" s="3"/>
      <c r="D367" s="3"/>
      <c r="E367" s="3"/>
      <c r="F367" s="3"/>
      <c r="G367" s="3"/>
    </row>
    <row r="368" spans="1:7" ht="15.75" customHeight="1">
      <c r="A368" s="3"/>
      <c r="B368" s="3"/>
      <c r="C368" s="3"/>
      <c r="D368" s="3"/>
      <c r="E368" s="3"/>
      <c r="F368" s="3"/>
      <c r="G368" s="3"/>
    </row>
    <row r="369" spans="1:7" ht="15.75" customHeight="1">
      <c r="A369" s="3"/>
      <c r="B369" s="3"/>
      <c r="C369" s="3"/>
      <c r="D369" s="3"/>
      <c r="E369" s="3"/>
      <c r="F369" s="3"/>
      <c r="G369" s="3"/>
    </row>
    <row r="370" spans="1:7" ht="15.75" customHeight="1">
      <c r="A370" s="3"/>
      <c r="B370" s="3"/>
      <c r="C370" s="3"/>
      <c r="D370" s="3"/>
      <c r="E370" s="3"/>
      <c r="F370" s="3"/>
      <c r="G370" s="3"/>
    </row>
    <row r="371" spans="1:7" ht="15.75" customHeight="1">
      <c r="A371" s="3"/>
      <c r="B371" s="3"/>
      <c r="C371" s="3"/>
      <c r="D371" s="3"/>
      <c r="E371" s="3"/>
      <c r="F371" s="3"/>
      <c r="G371" s="3"/>
    </row>
    <row r="372" spans="1:7" ht="15.75" customHeight="1">
      <c r="A372" s="3"/>
      <c r="B372" s="3"/>
      <c r="C372" s="3"/>
      <c r="D372" s="3"/>
      <c r="E372" s="3"/>
      <c r="F372" s="3"/>
      <c r="G372" s="3"/>
    </row>
    <row r="373" spans="1:7" ht="15.75" customHeight="1">
      <c r="A373" s="3"/>
      <c r="B373" s="3"/>
      <c r="C373" s="3"/>
      <c r="D373" s="3"/>
      <c r="E373" s="3"/>
      <c r="F373" s="3"/>
      <c r="G373" s="3"/>
    </row>
    <row r="374" spans="1:7" ht="15.75" customHeight="1">
      <c r="A374" s="3"/>
      <c r="B374" s="3"/>
      <c r="C374" s="3"/>
      <c r="D374" s="3"/>
      <c r="E374" s="3"/>
      <c r="F374" s="3"/>
      <c r="G374" s="3"/>
    </row>
    <row r="375" spans="1:7" ht="15.75" customHeight="1">
      <c r="A375" s="3"/>
      <c r="B375" s="3"/>
      <c r="C375" s="3"/>
      <c r="D375" s="3"/>
      <c r="E375" s="3"/>
      <c r="F375" s="3"/>
      <c r="G375" s="3"/>
    </row>
    <row r="376" spans="1:7" ht="15.75" customHeight="1">
      <c r="A376" s="3"/>
      <c r="B376" s="3"/>
      <c r="C376" s="3"/>
      <c r="D376" s="3"/>
      <c r="E376" s="3"/>
      <c r="F376" s="3"/>
      <c r="G376" s="3"/>
    </row>
    <row r="377" spans="1:7" ht="15.75" customHeight="1">
      <c r="A377" s="3"/>
      <c r="B377" s="3"/>
      <c r="C377" s="3"/>
      <c r="D377" s="3"/>
      <c r="E377" s="3"/>
      <c r="F377" s="3"/>
      <c r="G377" s="3"/>
    </row>
    <row r="378" spans="1:7" ht="15.75" customHeight="1">
      <c r="A378" s="3"/>
      <c r="B378" s="3"/>
      <c r="C378" s="3"/>
      <c r="D378" s="3"/>
      <c r="E378" s="3"/>
      <c r="F378" s="3"/>
      <c r="G378" s="3"/>
    </row>
    <row r="379" spans="1:7" ht="15.75" customHeight="1">
      <c r="A379" s="3"/>
      <c r="B379" s="3"/>
      <c r="C379" s="3"/>
      <c r="D379" s="3"/>
      <c r="E379" s="3"/>
      <c r="F379" s="3"/>
      <c r="G379" s="3"/>
    </row>
    <row r="380" spans="1:7" ht="15.75" customHeight="1">
      <c r="A380" s="3"/>
      <c r="B380" s="3"/>
      <c r="C380" s="3"/>
      <c r="D380" s="3"/>
      <c r="E380" s="3"/>
      <c r="F380" s="3"/>
      <c r="G380" s="3"/>
    </row>
    <row r="381" spans="1:7" ht="15.75" customHeight="1">
      <c r="A381" s="3"/>
      <c r="B381" s="3"/>
      <c r="C381" s="3"/>
      <c r="D381" s="3"/>
      <c r="E381" s="3"/>
      <c r="F381" s="3"/>
      <c r="G381" s="3"/>
    </row>
    <row r="382" spans="1:7" ht="15.75" customHeight="1">
      <c r="A382" s="3"/>
      <c r="B382" s="3"/>
      <c r="C382" s="3"/>
      <c r="D382" s="3"/>
      <c r="E382" s="3"/>
      <c r="F382" s="3"/>
      <c r="G382" s="3"/>
    </row>
    <row r="383" spans="1:7" ht="15.75" customHeight="1">
      <c r="A383" s="3"/>
      <c r="B383" s="3"/>
      <c r="C383" s="3"/>
      <c r="D383" s="3"/>
      <c r="E383" s="3"/>
      <c r="F383" s="3"/>
      <c r="G383" s="3"/>
    </row>
    <row r="384" spans="1:7" ht="15.75" customHeight="1">
      <c r="A384" s="3"/>
      <c r="B384" s="3"/>
      <c r="C384" s="3"/>
      <c r="D384" s="3"/>
      <c r="E384" s="3"/>
      <c r="F384" s="3"/>
      <c r="G384" s="3"/>
    </row>
    <row r="385" spans="1:7" ht="15.75" customHeight="1">
      <c r="A385" s="3"/>
      <c r="B385" s="3"/>
      <c r="C385" s="3"/>
      <c r="D385" s="3"/>
      <c r="E385" s="3"/>
      <c r="F385" s="3"/>
      <c r="G385" s="3"/>
    </row>
    <row r="386" spans="1:7" ht="15.75" customHeight="1">
      <c r="A386" s="3"/>
      <c r="B386" s="3"/>
      <c r="C386" s="3"/>
      <c r="D386" s="3"/>
      <c r="E386" s="3"/>
      <c r="F386" s="3"/>
      <c r="G386" s="3"/>
    </row>
    <row r="387" spans="1:7" ht="15.75" customHeight="1">
      <c r="A387" s="3"/>
      <c r="B387" s="3"/>
      <c r="C387" s="3"/>
      <c r="D387" s="3"/>
      <c r="E387" s="3"/>
      <c r="F387" s="3"/>
      <c r="G387" s="3"/>
    </row>
    <row r="388" spans="1:7" ht="15.75" customHeight="1">
      <c r="A388" s="3"/>
      <c r="B388" s="3"/>
      <c r="C388" s="3"/>
      <c r="D388" s="3"/>
      <c r="E388" s="3"/>
      <c r="F388" s="3"/>
      <c r="G388" s="3"/>
    </row>
    <row r="389" spans="1:7" ht="15.75" customHeight="1">
      <c r="A389" s="3"/>
      <c r="B389" s="3"/>
      <c r="C389" s="3"/>
      <c r="D389" s="3"/>
      <c r="E389" s="3"/>
      <c r="F389" s="3"/>
      <c r="G389" s="3"/>
    </row>
    <row r="390" spans="1:7" ht="15.75" customHeight="1">
      <c r="A390" s="3"/>
      <c r="B390" s="3"/>
      <c r="C390" s="3"/>
      <c r="D390" s="3"/>
      <c r="E390" s="3"/>
      <c r="F390" s="3"/>
      <c r="G390" s="3"/>
    </row>
    <row r="391" spans="1:7" ht="15.75" customHeight="1">
      <c r="A391" s="3"/>
      <c r="B391" s="3"/>
      <c r="C391" s="3"/>
      <c r="D391" s="3"/>
      <c r="E391" s="3"/>
      <c r="F391" s="3"/>
      <c r="G391" s="3"/>
    </row>
    <row r="392" spans="1:7" ht="15.75" customHeight="1">
      <c r="A392" s="3"/>
      <c r="B392" s="3"/>
      <c r="C392" s="3"/>
      <c r="D392" s="3"/>
      <c r="E392" s="3"/>
      <c r="F392" s="3"/>
      <c r="G392" s="3"/>
    </row>
    <row r="393" spans="1:7" ht="15.75" customHeight="1">
      <c r="A393" s="3"/>
      <c r="B393" s="3"/>
      <c r="C393" s="3"/>
      <c r="D393" s="3"/>
      <c r="E393" s="3"/>
      <c r="F393" s="3"/>
      <c r="G393" s="3"/>
    </row>
    <row r="394" spans="1:7" ht="15.75" customHeight="1">
      <c r="A394" s="3"/>
      <c r="B394" s="3"/>
      <c r="C394" s="3"/>
      <c r="D394" s="3"/>
      <c r="E394" s="3"/>
      <c r="F394" s="3"/>
      <c r="G394" s="3"/>
    </row>
    <row r="395" spans="1:7" ht="15.75" customHeight="1">
      <c r="A395" s="3"/>
      <c r="B395" s="3"/>
      <c r="C395" s="3"/>
      <c r="D395" s="3"/>
      <c r="E395" s="3"/>
      <c r="F395" s="3"/>
      <c r="G395" s="3"/>
    </row>
    <row r="396" spans="1:7" ht="15.75" customHeight="1">
      <c r="A396" s="3"/>
      <c r="B396" s="3"/>
      <c r="C396" s="3"/>
      <c r="D396" s="3"/>
      <c r="E396" s="3"/>
      <c r="F396" s="3"/>
      <c r="G396" s="3"/>
    </row>
    <row r="397" spans="1:7" ht="15.75" customHeight="1">
      <c r="A397" s="3"/>
      <c r="B397" s="3"/>
      <c r="C397" s="3"/>
      <c r="D397" s="3"/>
      <c r="E397" s="3"/>
      <c r="F397" s="3"/>
      <c r="G397" s="3"/>
    </row>
    <row r="398" spans="1:7" ht="15.75" customHeight="1">
      <c r="A398" s="3"/>
      <c r="B398" s="3"/>
      <c r="C398" s="3"/>
      <c r="D398" s="3"/>
      <c r="E398" s="3"/>
      <c r="F398" s="3"/>
      <c r="G398" s="3"/>
    </row>
    <row r="399" spans="1:7" ht="15.75" customHeight="1">
      <c r="A399" s="3"/>
      <c r="B399" s="3"/>
      <c r="C399" s="3"/>
      <c r="D399" s="3"/>
      <c r="E399" s="3"/>
      <c r="F399" s="3"/>
      <c r="G399" s="3"/>
    </row>
    <row r="400" spans="1:7" ht="15.75" customHeight="1">
      <c r="A400" s="3"/>
      <c r="B400" s="3"/>
      <c r="C400" s="3"/>
      <c r="D400" s="3"/>
      <c r="E400" s="3"/>
      <c r="F400" s="3"/>
      <c r="G400" s="3"/>
    </row>
    <row r="401" spans="1:7" ht="15.75" customHeight="1">
      <c r="A401" s="3"/>
      <c r="B401" s="3"/>
      <c r="C401" s="3"/>
      <c r="D401" s="3"/>
      <c r="E401" s="3"/>
      <c r="F401" s="3"/>
      <c r="G401" s="3"/>
    </row>
    <row r="402" spans="1:7" ht="15.75" customHeight="1">
      <c r="A402" s="3"/>
      <c r="B402" s="3"/>
      <c r="C402" s="3"/>
      <c r="D402" s="3"/>
      <c r="E402" s="3"/>
      <c r="F402" s="3"/>
      <c r="G402" s="3"/>
    </row>
    <row r="403" spans="1:7" ht="15.75" customHeight="1">
      <c r="A403" s="3"/>
      <c r="B403" s="3"/>
      <c r="C403" s="3"/>
      <c r="D403" s="3"/>
      <c r="E403" s="3"/>
      <c r="F403" s="3"/>
      <c r="G403" s="3"/>
    </row>
    <row r="404" spans="1:7" ht="15.75" customHeight="1">
      <c r="A404" s="3"/>
      <c r="B404" s="3"/>
      <c r="C404" s="3"/>
      <c r="D404" s="3"/>
      <c r="E404" s="3"/>
      <c r="F404" s="3"/>
      <c r="G404" s="3"/>
    </row>
    <row r="405" spans="1:7" ht="15.75" customHeight="1">
      <c r="A405" s="3"/>
      <c r="B405" s="3"/>
      <c r="C405" s="3"/>
      <c r="D405" s="3"/>
      <c r="E405" s="3"/>
      <c r="F405" s="3"/>
      <c r="G405" s="3"/>
    </row>
    <row r="406" spans="1:7" ht="15.75" customHeight="1">
      <c r="A406" s="3"/>
      <c r="B406" s="3"/>
      <c r="C406" s="3"/>
      <c r="D406" s="3"/>
      <c r="E406" s="3"/>
      <c r="F406" s="3"/>
      <c r="G406" s="3"/>
    </row>
    <row r="407" spans="1:7" ht="15.75" customHeight="1">
      <c r="A407" s="3"/>
      <c r="B407" s="3"/>
      <c r="C407" s="3"/>
      <c r="D407" s="3"/>
      <c r="E407" s="3"/>
      <c r="F407" s="3"/>
      <c r="G407" s="3"/>
    </row>
    <row r="408" spans="1:7" ht="15.75" customHeight="1">
      <c r="A408" s="3"/>
      <c r="B408" s="3"/>
      <c r="C408" s="3"/>
      <c r="D408" s="3"/>
      <c r="E408" s="3"/>
      <c r="F408" s="3"/>
      <c r="G408" s="3"/>
    </row>
    <row r="409" spans="1:7" ht="15.75" customHeight="1">
      <c r="A409" s="3"/>
      <c r="B409" s="3"/>
      <c r="C409" s="3"/>
      <c r="D409" s="3"/>
      <c r="E409" s="3"/>
      <c r="F409" s="3"/>
      <c r="G409" s="3"/>
    </row>
    <row r="410" spans="1:7" ht="15.75" customHeight="1">
      <c r="A410" s="3"/>
      <c r="B410" s="3"/>
      <c r="C410" s="3"/>
      <c r="D410" s="3"/>
      <c r="E410" s="3"/>
      <c r="F410" s="3"/>
      <c r="G410" s="3"/>
    </row>
    <row r="411" spans="1:7" ht="15.75" customHeight="1">
      <c r="A411" s="3"/>
      <c r="B411" s="3"/>
      <c r="C411" s="3"/>
      <c r="D411" s="3"/>
      <c r="E411" s="3"/>
      <c r="F411" s="3"/>
      <c r="G411" s="3"/>
    </row>
    <row r="412" spans="1:7" ht="15.75" customHeight="1">
      <c r="A412" s="3"/>
      <c r="B412" s="3"/>
      <c r="C412" s="3"/>
      <c r="D412" s="3"/>
      <c r="E412" s="3"/>
      <c r="F412" s="3"/>
      <c r="G412" s="3"/>
    </row>
    <row r="413" spans="1:7" ht="15.75" customHeight="1">
      <c r="A413" s="3"/>
      <c r="B413" s="3"/>
      <c r="C413" s="3"/>
      <c r="D413" s="3"/>
      <c r="E413" s="3"/>
      <c r="F413" s="3"/>
      <c r="G413" s="3"/>
    </row>
    <row r="414" spans="1:7" ht="15.75" customHeight="1">
      <c r="A414" s="3"/>
      <c r="B414" s="3"/>
      <c r="C414" s="3"/>
      <c r="D414" s="3"/>
      <c r="E414" s="3"/>
      <c r="F414" s="3"/>
      <c r="G414" s="3"/>
    </row>
    <row r="415" spans="1:7" ht="15.75" customHeight="1">
      <c r="A415" s="3"/>
      <c r="B415" s="3"/>
      <c r="C415" s="3"/>
      <c r="D415" s="3"/>
      <c r="E415" s="3"/>
      <c r="F415" s="3"/>
      <c r="G415" s="3"/>
    </row>
    <row r="416" spans="1:7" ht="15.75" customHeight="1">
      <c r="A416" s="3"/>
      <c r="B416" s="3"/>
      <c r="C416" s="3"/>
      <c r="D416" s="3"/>
      <c r="E416" s="3"/>
      <c r="F416" s="3"/>
      <c r="G416" s="3"/>
    </row>
    <row r="417" spans="1:7" ht="15.75" customHeight="1">
      <c r="A417" s="3"/>
      <c r="B417" s="3"/>
      <c r="C417" s="3"/>
      <c r="D417" s="3"/>
      <c r="E417" s="3"/>
      <c r="F417" s="3"/>
      <c r="G417" s="3"/>
    </row>
    <row r="418" spans="1:7" ht="15.75" customHeight="1">
      <c r="A418" s="3"/>
      <c r="B418" s="3"/>
      <c r="C418" s="3"/>
      <c r="D418" s="3"/>
      <c r="E418" s="3"/>
      <c r="F418" s="3"/>
      <c r="G418" s="3"/>
    </row>
    <row r="419" spans="1:7" ht="15.75" customHeight="1">
      <c r="A419" s="3"/>
      <c r="B419" s="3"/>
      <c r="C419" s="3"/>
      <c r="D419" s="3"/>
      <c r="E419" s="3"/>
      <c r="F419" s="3"/>
      <c r="G419" s="3"/>
    </row>
    <row r="420" spans="1:7" ht="15.75" customHeight="1">
      <c r="A420" s="3"/>
      <c r="B420" s="3"/>
      <c r="C420" s="3"/>
      <c r="D420" s="3"/>
      <c r="E420" s="3"/>
      <c r="F420" s="3"/>
      <c r="G420" s="3"/>
    </row>
    <row r="421" spans="1:7" ht="15.75" customHeight="1">
      <c r="A421" s="3"/>
      <c r="B421" s="3"/>
      <c r="C421" s="3"/>
      <c r="D421" s="3"/>
      <c r="E421" s="3"/>
      <c r="F421" s="3"/>
      <c r="G421" s="3"/>
    </row>
    <row r="422" spans="1:7" ht="15.75" customHeight="1">
      <c r="A422" s="3"/>
      <c r="B422" s="3"/>
      <c r="C422" s="3"/>
      <c r="D422" s="3"/>
      <c r="E422" s="3"/>
      <c r="F422" s="3"/>
      <c r="G422" s="3"/>
    </row>
    <row r="423" spans="1:7" ht="15.75" customHeight="1">
      <c r="A423" s="3"/>
      <c r="B423" s="3"/>
      <c r="C423" s="3"/>
      <c r="D423" s="3"/>
      <c r="E423" s="3"/>
      <c r="F423" s="3"/>
      <c r="G423" s="3"/>
    </row>
    <row r="424" spans="1:7" ht="15.75" customHeight="1">
      <c r="A424" s="3"/>
      <c r="B424" s="3"/>
      <c r="C424" s="3"/>
      <c r="D424" s="3"/>
      <c r="E424" s="3"/>
      <c r="F424" s="3"/>
      <c r="G424" s="3"/>
    </row>
    <row r="425" spans="1:7" ht="15.75" customHeight="1">
      <c r="A425" s="3"/>
      <c r="B425" s="3"/>
      <c r="C425" s="3"/>
      <c r="D425" s="3"/>
      <c r="E425" s="3"/>
      <c r="F425" s="3"/>
      <c r="G425" s="3"/>
    </row>
    <row r="426" spans="1:7" ht="15.75" customHeight="1">
      <c r="A426" s="3"/>
      <c r="B426" s="3"/>
      <c r="C426" s="3"/>
      <c r="D426" s="3"/>
      <c r="E426" s="3"/>
      <c r="F426" s="3"/>
      <c r="G426" s="3"/>
    </row>
    <row r="427" spans="1:7" ht="15.75" customHeight="1">
      <c r="A427" s="3"/>
      <c r="B427" s="3"/>
      <c r="C427" s="3"/>
      <c r="D427" s="3"/>
      <c r="E427" s="3"/>
      <c r="F427" s="3"/>
      <c r="G427" s="3"/>
    </row>
    <row r="428" spans="1:7" ht="15.75" customHeight="1">
      <c r="A428" s="3"/>
      <c r="B428" s="3"/>
      <c r="C428" s="3"/>
      <c r="D428" s="3"/>
      <c r="E428" s="3"/>
      <c r="F428" s="3"/>
      <c r="G428" s="3"/>
    </row>
    <row r="429" spans="1:7" ht="15.75" customHeight="1">
      <c r="A429" s="3"/>
      <c r="B429" s="3"/>
      <c r="C429" s="3"/>
      <c r="D429" s="3"/>
      <c r="E429" s="3"/>
      <c r="F429" s="3"/>
      <c r="G429" s="3"/>
    </row>
    <row r="430" spans="1:7" ht="15.75" customHeight="1">
      <c r="A430" s="3"/>
      <c r="B430" s="3"/>
      <c r="C430" s="3"/>
      <c r="D430" s="3"/>
      <c r="E430" s="3"/>
      <c r="F430" s="3"/>
      <c r="G430" s="3"/>
    </row>
    <row r="431" spans="1:7" ht="15.75" customHeight="1">
      <c r="A431" s="3"/>
      <c r="B431" s="3"/>
      <c r="C431" s="3"/>
      <c r="D431" s="3"/>
      <c r="E431" s="3"/>
      <c r="F431" s="3"/>
      <c r="G431" s="3"/>
    </row>
    <row r="432" spans="1:7" ht="15.75" customHeight="1">
      <c r="A432" s="3"/>
      <c r="B432" s="3"/>
      <c r="C432" s="3"/>
      <c r="D432" s="3"/>
      <c r="E432" s="3"/>
      <c r="F432" s="3"/>
      <c r="G432" s="3"/>
    </row>
    <row r="433" spans="1:7" ht="15.75" customHeight="1">
      <c r="A433" s="3"/>
      <c r="B433" s="3"/>
      <c r="C433" s="3"/>
      <c r="D433" s="3"/>
      <c r="E433" s="3"/>
      <c r="F433" s="3"/>
      <c r="G433" s="3"/>
    </row>
    <row r="434" spans="1:7" ht="15.75" customHeight="1">
      <c r="A434" s="3"/>
      <c r="B434" s="3"/>
      <c r="C434" s="3"/>
      <c r="D434" s="3"/>
      <c r="E434" s="3"/>
      <c r="F434" s="3"/>
      <c r="G434" s="3"/>
    </row>
    <row r="435" spans="1:7" ht="15.75" customHeight="1">
      <c r="A435" s="3"/>
      <c r="B435" s="3"/>
      <c r="C435" s="3"/>
      <c r="D435" s="3"/>
      <c r="E435" s="3"/>
      <c r="F435" s="3"/>
      <c r="G435" s="3"/>
    </row>
    <row r="436" spans="1:7" ht="15.75" customHeight="1">
      <c r="A436" s="3"/>
      <c r="B436" s="3"/>
      <c r="C436" s="3"/>
      <c r="D436" s="3"/>
      <c r="E436" s="3"/>
      <c r="F436" s="3"/>
      <c r="G436" s="3"/>
    </row>
    <row r="437" spans="1:7" ht="15.75" customHeight="1">
      <c r="A437" s="3"/>
      <c r="B437" s="3"/>
      <c r="C437" s="3"/>
      <c r="D437" s="3"/>
      <c r="E437" s="3"/>
      <c r="F437" s="3"/>
      <c r="G437" s="3"/>
    </row>
    <row r="438" spans="1:7" ht="15.75" customHeight="1">
      <c r="A438" s="3"/>
      <c r="B438" s="3"/>
      <c r="C438" s="3"/>
      <c r="D438" s="3"/>
      <c r="E438" s="3"/>
      <c r="F438" s="3"/>
      <c r="G438" s="3"/>
    </row>
    <row r="439" spans="1:7" ht="15.75" customHeight="1">
      <c r="A439" s="3"/>
      <c r="B439" s="3"/>
      <c r="C439" s="3"/>
      <c r="D439" s="3"/>
      <c r="E439" s="3"/>
      <c r="F439" s="3"/>
      <c r="G439" s="3"/>
    </row>
    <row r="440" spans="1:7" ht="15.75" customHeight="1">
      <c r="A440" s="3"/>
      <c r="B440" s="3"/>
      <c r="C440" s="3"/>
      <c r="D440" s="3"/>
      <c r="E440" s="3"/>
      <c r="F440" s="3"/>
      <c r="G440" s="3"/>
    </row>
    <row r="441" spans="1:7" ht="15.75" customHeight="1">
      <c r="A441" s="3"/>
      <c r="B441" s="3"/>
      <c r="C441" s="3"/>
      <c r="D441" s="3"/>
      <c r="E441" s="3"/>
      <c r="F441" s="3"/>
      <c r="G441" s="3"/>
    </row>
    <row r="442" spans="1:7" ht="15.75" customHeight="1">
      <c r="A442" s="3"/>
      <c r="B442" s="3"/>
      <c r="C442" s="3"/>
      <c r="D442" s="3"/>
      <c r="E442" s="3"/>
      <c r="F442" s="3"/>
      <c r="G442" s="3"/>
    </row>
    <row r="443" spans="1:7" ht="15.75" customHeight="1">
      <c r="A443" s="3"/>
      <c r="B443" s="3"/>
      <c r="C443" s="3"/>
      <c r="D443" s="3"/>
      <c r="E443" s="3"/>
      <c r="F443" s="3"/>
      <c r="G443" s="3"/>
    </row>
    <row r="444" spans="1:7" ht="15.75" customHeight="1">
      <c r="A444" s="3"/>
      <c r="B444" s="3"/>
      <c r="C444" s="3"/>
      <c r="D444" s="3"/>
      <c r="E444" s="3"/>
      <c r="F444" s="3"/>
      <c r="G444" s="3"/>
    </row>
    <row r="445" spans="1:7" ht="15.75" customHeight="1">
      <c r="A445" s="3"/>
      <c r="B445" s="3"/>
      <c r="C445" s="3"/>
      <c r="D445" s="3"/>
      <c r="E445" s="3"/>
      <c r="F445" s="3"/>
      <c r="G445" s="3"/>
    </row>
    <row r="446" spans="1:7" ht="15.75" customHeight="1">
      <c r="A446" s="3"/>
      <c r="B446" s="3"/>
      <c r="C446" s="3"/>
      <c r="D446" s="3"/>
      <c r="E446" s="3"/>
      <c r="F446" s="3"/>
      <c r="G446" s="3"/>
    </row>
    <row r="447" spans="1:7" ht="15.75" customHeight="1">
      <c r="A447" s="3"/>
      <c r="B447" s="3"/>
      <c r="C447" s="3"/>
      <c r="D447" s="3"/>
      <c r="E447" s="3"/>
      <c r="F447" s="3"/>
      <c r="G447" s="3"/>
    </row>
    <row r="448" spans="1:7" ht="15.75" customHeight="1">
      <c r="A448" s="3"/>
      <c r="B448" s="3"/>
      <c r="C448" s="3"/>
      <c r="D448" s="3"/>
      <c r="E448" s="3"/>
      <c r="F448" s="3"/>
      <c r="G448" s="3"/>
    </row>
    <row r="449" spans="1:7" ht="15.75" customHeight="1">
      <c r="A449" s="3"/>
      <c r="B449" s="3"/>
      <c r="C449" s="3"/>
      <c r="D449" s="3"/>
      <c r="E449" s="3"/>
      <c r="F449" s="3"/>
      <c r="G449" s="3"/>
    </row>
    <row r="450" spans="1:7" ht="15.75" customHeight="1">
      <c r="A450" s="3"/>
      <c r="B450" s="3"/>
      <c r="C450" s="3"/>
      <c r="D450" s="3"/>
      <c r="E450" s="3"/>
      <c r="F450" s="3"/>
      <c r="G450" s="3"/>
    </row>
    <row r="451" spans="1:7" ht="15.75" customHeight="1">
      <c r="A451" s="3"/>
      <c r="B451" s="3"/>
      <c r="C451" s="3"/>
      <c r="D451" s="3"/>
      <c r="E451" s="3"/>
      <c r="F451" s="3"/>
      <c r="G451" s="3"/>
    </row>
    <row r="452" spans="1:7" ht="15.75" customHeight="1">
      <c r="A452" s="3"/>
      <c r="B452" s="3"/>
      <c r="C452" s="3"/>
      <c r="D452" s="3"/>
      <c r="E452" s="3"/>
      <c r="F452" s="3"/>
      <c r="G452" s="3"/>
    </row>
    <row r="453" spans="1:7" ht="15.75" customHeight="1">
      <c r="A453" s="3"/>
      <c r="B453" s="3"/>
      <c r="C453" s="3"/>
      <c r="D453" s="3"/>
      <c r="E453" s="3"/>
      <c r="F453" s="3"/>
      <c r="G453" s="3"/>
    </row>
    <row r="454" spans="1:7" ht="15.75" customHeight="1">
      <c r="A454" s="3"/>
      <c r="B454" s="3"/>
      <c r="C454" s="3"/>
      <c r="D454" s="3"/>
      <c r="E454" s="3"/>
      <c r="F454" s="3"/>
      <c r="G454" s="3"/>
    </row>
    <row r="455" spans="1:7" ht="15.75" customHeight="1">
      <c r="A455" s="3"/>
      <c r="B455" s="3"/>
      <c r="C455" s="3"/>
      <c r="D455" s="3"/>
      <c r="E455" s="3"/>
      <c r="F455" s="3"/>
      <c r="G455" s="3"/>
    </row>
    <row r="456" spans="1:7" ht="15.75" customHeight="1">
      <c r="A456" s="3"/>
      <c r="B456" s="3"/>
      <c r="C456" s="3"/>
      <c r="D456" s="3"/>
      <c r="E456" s="3"/>
      <c r="F456" s="3"/>
      <c r="G456" s="3"/>
    </row>
    <row r="457" spans="1:7" ht="15.75" customHeight="1">
      <c r="A457" s="3"/>
      <c r="B457" s="3"/>
      <c r="C457" s="3"/>
      <c r="D457" s="3"/>
      <c r="E457" s="3"/>
      <c r="F457" s="3"/>
      <c r="G457" s="3"/>
    </row>
    <row r="458" spans="1:7" ht="15.75" customHeight="1">
      <c r="A458" s="3"/>
      <c r="B458" s="3"/>
      <c r="C458" s="3"/>
      <c r="D458" s="3"/>
      <c r="E458" s="3"/>
      <c r="F458" s="3"/>
      <c r="G458" s="3"/>
    </row>
    <row r="459" spans="1:7" ht="15.75" customHeight="1">
      <c r="A459" s="3"/>
      <c r="B459" s="3"/>
      <c r="C459" s="3"/>
      <c r="D459" s="3"/>
      <c r="E459" s="3"/>
      <c r="F459" s="3"/>
      <c r="G459" s="3"/>
    </row>
    <row r="460" spans="1:7" ht="15.75" customHeight="1">
      <c r="A460" s="3"/>
      <c r="B460" s="3"/>
      <c r="C460" s="3"/>
      <c r="D460" s="3"/>
      <c r="E460" s="3"/>
      <c r="F460" s="3"/>
      <c r="G460" s="3"/>
    </row>
    <row r="461" spans="1:7" ht="15.75" customHeight="1">
      <c r="A461" s="3"/>
      <c r="B461" s="3"/>
      <c r="C461" s="3"/>
      <c r="D461" s="3"/>
      <c r="E461" s="3"/>
      <c r="F461" s="3"/>
      <c r="G461" s="3"/>
    </row>
    <row r="462" spans="1:7" ht="15.75" customHeight="1">
      <c r="A462" s="3"/>
      <c r="B462" s="3"/>
      <c r="C462" s="3"/>
      <c r="D462" s="3"/>
      <c r="E462" s="3"/>
      <c r="F462" s="3"/>
      <c r="G462" s="3"/>
    </row>
    <row r="463" spans="1:7" ht="15.75" customHeight="1">
      <c r="A463" s="3"/>
      <c r="B463" s="3"/>
      <c r="C463" s="3"/>
      <c r="D463" s="3"/>
      <c r="E463" s="3"/>
      <c r="F463" s="3"/>
      <c r="G463" s="3"/>
    </row>
    <row r="464" spans="1:7" ht="15.75" customHeight="1">
      <c r="A464" s="3"/>
      <c r="B464" s="3"/>
      <c r="C464" s="3"/>
      <c r="D464" s="3"/>
      <c r="E464" s="3"/>
      <c r="F464" s="3"/>
      <c r="G464" s="3"/>
    </row>
    <row r="465" spans="1:7" ht="15.75" customHeight="1">
      <c r="A465" s="3"/>
      <c r="B465" s="3"/>
      <c r="C465" s="3"/>
      <c r="D465" s="3"/>
      <c r="E465" s="3"/>
      <c r="F465" s="3"/>
      <c r="G465" s="3"/>
    </row>
    <row r="466" spans="1:7" ht="15.75" customHeight="1">
      <c r="A466" s="3"/>
      <c r="B466" s="3"/>
      <c r="C466" s="3"/>
      <c r="D466" s="3"/>
      <c r="E466" s="3"/>
      <c r="F466" s="3"/>
      <c r="G466" s="3"/>
    </row>
    <row r="467" spans="1:7" ht="15.75" customHeight="1">
      <c r="A467" s="3"/>
      <c r="B467" s="3"/>
      <c r="C467" s="3"/>
      <c r="D467" s="3"/>
      <c r="E467" s="3"/>
      <c r="F467" s="3"/>
      <c r="G467" s="3"/>
    </row>
    <row r="468" spans="1:7" ht="15.75" customHeight="1">
      <c r="A468" s="3"/>
      <c r="B468" s="3"/>
      <c r="C468" s="3"/>
      <c r="D468" s="3"/>
      <c r="E468" s="3"/>
      <c r="F468" s="3"/>
      <c r="G468" s="3"/>
    </row>
    <row r="469" spans="1:7" ht="15.75" customHeight="1">
      <c r="A469" s="3"/>
      <c r="B469" s="3"/>
      <c r="C469" s="3"/>
      <c r="D469" s="3"/>
      <c r="E469" s="3"/>
      <c r="F469" s="3"/>
      <c r="G469" s="3"/>
    </row>
    <row r="470" spans="1:7" ht="15.75" customHeight="1">
      <c r="A470" s="3"/>
      <c r="B470" s="3"/>
      <c r="C470" s="3"/>
      <c r="D470" s="3"/>
      <c r="E470" s="3"/>
      <c r="F470" s="3"/>
      <c r="G470" s="3"/>
    </row>
    <row r="471" spans="1:7" ht="15.75" customHeight="1">
      <c r="A471" s="3"/>
      <c r="B471" s="3"/>
      <c r="C471" s="3"/>
      <c r="D471" s="3"/>
      <c r="E471" s="3"/>
      <c r="F471" s="3"/>
      <c r="G471" s="3"/>
    </row>
    <row r="472" spans="1:7" ht="15.75" customHeight="1">
      <c r="A472" s="3"/>
      <c r="B472" s="3"/>
      <c r="C472" s="3"/>
      <c r="D472" s="3"/>
      <c r="E472" s="3"/>
      <c r="F472" s="3"/>
      <c r="G472" s="3"/>
    </row>
    <row r="473" spans="1:7" ht="15.75" customHeight="1">
      <c r="A473" s="3"/>
      <c r="B473" s="3"/>
      <c r="C473" s="3"/>
      <c r="D473" s="3"/>
      <c r="E473" s="3"/>
      <c r="F473" s="3"/>
      <c r="G473" s="3"/>
    </row>
    <row r="474" spans="1:7" ht="15.75" customHeight="1">
      <c r="A474" s="3"/>
      <c r="B474" s="3"/>
      <c r="C474" s="3"/>
      <c r="D474" s="3"/>
      <c r="E474" s="3"/>
      <c r="F474" s="3"/>
      <c r="G474" s="3"/>
    </row>
    <row r="475" spans="1:7" ht="15.75" customHeight="1">
      <c r="A475" s="3"/>
      <c r="B475" s="3"/>
      <c r="C475" s="3"/>
      <c r="D475" s="3"/>
      <c r="E475" s="3"/>
      <c r="F475" s="3"/>
      <c r="G475" s="3"/>
    </row>
    <row r="476" spans="1:7" ht="15.75" customHeight="1">
      <c r="A476" s="3"/>
      <c r="B476" s="3"/>
      <c r="C476" s="3"/>
      <c r="D476" s="3"/>
      <c r="E476" s="3"/>
      <c r="F476" s="3"/>
      <c r="G476" s="3"/>
    </row>
    <row r="477" spans="1:7" ht="15.75" customHeight="1">
      <c r="A477" s="3"/>
      <c r="B477" s="3"/>
      <c r="C477" s="3"/>
      <c r="D477" s="3"/>
      <c r="E477" s="3"/>
      <c r="F477" s="3"/>
      <c r="G477" s="3"/>
    </row>
    <row r="478" spans="1:7" ht="15.75" customHeight="1">
      <c r="A478" s="3"/>
      <c r="B478" s="3"/>
      <c r="C478" s="3"/>
      <c r="D478" s="3"/>
      <c r="E478" s="3"/>
      <c r="F478" s="3"/>
      <c r="G478" s="3"/>
    </row>
    <row r="479" spans="1:7" ht="15.75" customHeight="1">
      <c r="A479" s="3"/>
      <c r="B479" s="3"/>
      <c r="C479" s="3"/>
      <c r="D479" s="3"/>
      <c r="E479" s="3"/>
      <c r="F479" s="3"/>
      <c r="G479" s="3"/>
    </row>
    <row r="480" spans="1:7" ht="15.75" customHeight="1">
      <c r="A480" s="3"/>
      <c r="B480" s="3"/>
      <c r="C480" s="3"/>
      <c r="D480" s="3"/>
      <c r="E480" s="3"/>
      <c r="F480" s="3"/>
      <c r="G480" s="3"/>
    </row>
    <row r="481" spans="1:7" ht="15.75" customHeight="1">
      <c r="A481" s="3"/>
      <c r="B481" s="3"/>
      <c r="C481" s="3"/>
      <c r="D481" s="3"/>
      <c r="E481" s="3"/>
      <c r="F481" s="3"/>
      <c r="G481" s="3"/>
    </row>
    <row r="482" spans="1:7" ht="15.75" customHeight="1">
      <c r="A482" s="3"/>
      <c r="B482" s="3"/>
      <c r="C482" s="3"/>
      <c r="D482" s="3"/>
      <c r="E482" s="3"/>
      <c r="F482" s="3"/>
      <c r="G482" s="3"/>
    </row>
    <row r="483" spans="1:7" ht="15.75" customHeight="1">
      <c r="A483" s="3"/>
      <c r="B483" s="3"/>
      <c r="C483" s="3"/>
      <c r="D483" s="3"/>
      <c r="E483" s="3"/>
      <c r="F483" s="3"/>
      <c r="G483" s="3"/>
    </row>
    <row r="484" spans="1:7" ht="15.75" customHeight="1">
      <c r="A484" s="3"/>
      <c r="B484" s="3"/>
      <c r="C484" s="3"/>
      <c r="D484" s="3"/>
      <c r="E484" s="3"/>
      <c r="F484" s="3"/>
      <c r="G484" s="3"/>
    </row>
    <row r="485" spans="1:7" ht="15.75" customHeight="1">
      <c r="A485" s="3"/>
      <c r="B485" s="3"/>
      <c r="C485" s="3"/>
      <c r="D485" s="3"/>
      <c r="E485" s="3"/>
      <c r="F485" s="3"/>
      <c r="G485" s="3"/>
    </row>
    <row r="486" spans="1:7" ht="15.75" customHeight="1">
      <c r="A486" s="3"/>
      <c r="B486" s="3"/>
      <c r="C486" s="3"/>
      <c r="D486" s="3"/>
      <c r="E486" s="3"/>
      <c r="F486" s="3"/>
      <c r="G486" s="3"/>
    </row>
    <row r="487" spans="1:7" ht="15.75" customHeight="1">
      <c r="A487" s="3"/>
      <c r="B487" s="3"/>
      <c r="C487" s="3"/>
      <c r="D487" s="3"/>
      <c r="E487" s="3"/>
      <c r="F487" s="3"/>
      <c r="G487" s="3"/>
    </row>
    <row r="488" spans="1:7" ht="15.75" customHeight="1">
      <c r="A488" s="3"/>
      <c r="B488" s="3"/>
      <c r="C488" s="3"/>
      <c r="D488" s="3"/>
      <c r="E488" s="3"/>
      <c r="F488" s="3"/>
      <c r="G488" s="3"/>
    </row>
    <row r="489" spans="1:7" ht="15.75" customHeight="1">
      <c r="A489" s="3"/>
      <c r="B489" s="3"/>
      <c r="C489" s="3"/>
      <c r="D489" s="3"/>
      <c r="E489" s="3"/>
      <c r="F489" s="3"/>
      <c r="G489" s="3"/>
    </row>
    <row r="490" spans="1:7" ht="15.75" customHeight="1">
      <c r="A490" s="3"/>
      <c r="B490" s="3"/>
      <c r="C490" s="3"/>
      <c r="D490" s="3"/>
      <c r="E490" s="3"/>
      <c r="F490" s="3"/>
      <c r="G490" s="3"/>
    </row>
    <row r="491" spans="1:7" ht="15.75" customHeight="1">
      <c r="A491" s="3"/>
      <c r="B491" s="3"/>
      <c r="C491" s="3"/>
      <c r="D491" s="3"/>
      <c r="E491" s="3"/>
      <c r="F491" s="3"/>
      <c r="G491" s="3"/>
    </row>
    <row r="492" spans="1:7" ht="15.75" customHeight="1">
      <c r="A492" s="3"/>
      <c r="B492" s="3"/>
      <c r="C492" s="3"/>
      <c r="D492" s="3"/>
      <c r="E492" s="3"/>
      <c r="F492" s="3"/>
      <c r="G492" s="3"/>
    </row>
    <row r="493" spans="1:7" ht="15.75" customHeight="1">
      <c r="A493" s="3"/>
      <c r="B493" s="3"/>
      <c r="C493" s="3"/>
      <c r="D493" s="3"/>
      <c r="E493" s="3"/>
      <c r="F493" s="3"/>
      <c r="G493" s="3"/>
    </row>
    <row r="494" spans="1:7" ht="15.75" customHeight="1">
      <c r="A494" s="3"/>
      <c r="B494" s="3"/>
      <c r="C494" s="3"/>
      <c r="D494" s="3"/>
      <c r="E494" s="3"/>
      <c r="F494" s="3"/>
      <c r="G494" s="3"/>
    </row>
    <row r="495" spans="1:7" ht="15.75" customHeight="1">
      <c r="A495" s="3"/>
      <c r="B495" s="3"/>
      <c r="C495" s="3"/>
      <c r="D495" s="3"/>
      <c r="E495" s="3"/>
      <c r="F495" s="3"/>
      <c r="G495" s="3"/>
    </row>
    <row r="496" spans="1:7" ht="15.75" customHeight="1">
      <c r="A496" s="3"/>
      <c r="B496" s="3"/>
      <c r="C496" s="3"/>
      <c r="D496" s="3"/>
      <c r="E496" s="3"/>
      <c r="F496" s="3"/>
      <c r="G496" s="3"/>
    </row>
    <row r="497" spans="1:7" ht="15.75" customHeight="1">
      <c r="A497" s="3"/>
      <c r="B497" s="3"/>
      <c r="C497" s="3"/>
      <c r="D497" s="3"/>
      <c r="E497" s="3"/>
      <c r="F497" s="3"/>
      <c r="G497" s="3"/>
    </row>
    <row r="498" spans="1:7" ht="15.75" customHeight="1">
      <c r="A498" s="3"/>
      <c r="B498" s="3"/>
      <c r="C498" s="3"/>
      <c r="D498" s="3"/>
      <c r="E498" s="3"/>
      <c r="F498" s="3"/>
      <c r="G498" s="3"/>
    </row>
    <row r="499" spans="1:7" ht="15.75" customHeight="1">
      <c r="A499" s="3"/>
      <c r="B499" s="3"/>
      <c r="C499" s="3"/>
      <c r="D499" s="3"/>
      <c r="E499" s="3"/>
      <c r="F499" s="3"/>
      <c r="G499" s="3"/>
    </row>
    <row r="500" spans="1:7" ht="15.75" customHeight="1">
      <c r="A500" s="3"/>
      <c r="B500" s="3"/>
      <c r="C500" s="3"/>
      <c r="D500" s="3"/>
      <c r="E500" s="3"/>
      <c r="F500" s="3"/>
      <c r="G500" s="3"/>
    </row>
    <row r="501" spans="1:7" ht="15.75" customHeight="1">
      <c r="A501" s="3"/>
      <c r="B501" s="3"/>
      <c r="C501" s="3"/>
      <c r="D501" s="3"/>
      <c r="E501" s="3"/>
      <c r="F501" s="3"/>
      <c r="G501" s="3"/>
    </row>
    <row r="502" spans="1:7" ht="15.75" customHeight="1">
      <c r="A502" s="3"/>
      <c r="B502" s="3"/>
      <c r="C502" s="3"/>
      <c r="D502" s="3"/>
      <c r="E502" s="3"/>
      <c r="F502" s="3"/>
      <c r="G502" s="3"/>
    </row>
    <row r="503" spans="1:7" ht="15.75" customHeight="1">
      <c r="A503" s="3"/>
      <c r="B503" s="3"/>
      <c r="C503" s="3"/>
      <c r="D503" s="3"/>
      <c r="E503" s="3"/>
      <c r="F503" s="3"/>
      <c r="G503" s="3"/>
    </row>
    <row r="504" spans="1:7" ht="15.75" customHeight="1">
      <c r="A504" s="3"/>
      <c r="B504" s="3"/>
      <c r="C504" s="3"/>
      <c r="D504" s="3"/>
      <c r="E504" s="3"/>
      <c r="F504" s="3"/>
      <c r="G504" s="3"/>
    </row>
    <row r="505" spans="1:7" ht="15.75" customHeight="1">
      <c r="A505" s="3"/>
      <c r="B505" s="3"/>
      <c r="C505" s="3"/>
      <c r="D505" s="3"/>
      <c r="E505" s="3"/>
      <c r="F505" s="3"/>
      <c r="G505" s="3"/>
    </row>
    <row r="506" spans="1:7" ht="15.75" customHeight="1">
      <c r="A506" s="3"/>
      <c r="B506" s="3"/>
      <c r="C506" s="3"/>
      <c r="D506" s="3"/>
      <c r="E506" s="3"/>
      <c r="F506" s="3"/>
      <c r="G506" s="3"/>
    </row>
    <row r="507" spans="1:7" ht="15.75" customHeight="1">
      <c r="A507" s="3"/>
      <c r="B507" s="3"/>
      <c r="C507" s="3"/>
      <c r="D507" s="3"/>
      <c r="E507" s="3"/>
      <c r="F507" s="3"/>
      <c r="G507" s="3"/>
    </row>
    <row r="508" spans="1:7" ht="15.75" customHeight="1">
      <c r="A508" s="3"/>
      <c r="B508" s="3"/>
      <c r="C508" s="3"/>
      <c r="D508" s="3"/>
      <c r="E508" s="3"/>
      <c r="F508" s="3"/>
      <c r="G508" s="3"/>
    </row>
    <row r="509" spans="1:7" ht="15.75" customHeight="1">
      <c r="A509" s="3"/>
      <c r="B509" s="3"/>
      <c r="C509" s="3"/>
      <c r="D509" s="3"/>
      <c r="E509" s="3"/>
      <c r="F509" s="3"/>
      <c r="G509" s="3"/>
    </row>
    <row r="510" spans="1:7" ht="15.75" customHeight="1">
      <c r="A510" s="3"/>
      <c r="B510" s="3"/>
      <c r="C510" s="3"/>
      <c r="D510" s="3"/>
      <c r="E510" s="3"/>
      <c r="F510" s="3"/>
      <c r="G510" s="3"/>
    </row>
    <row r="511" spans="1:7" ht="15.75" customHeight="1">
      <c r="A511" s="3"/>
      <c r="B511" s="3"/>
      <c r="C511" s="3"/>
      <c r="D511" s="3"/>
      <c r="E511" s="3"/>
      <c r="F511" s="3"/>
      <c r="G511" s="3"/>
    </row>
    <row r="512" spans="1:7" ht="15.75" customHeight="1">
      <c r="A512" s="3"/>
      <c r="B512" s="3"/>
      <c r="C512" s="3"/>
      <c r="D512" s="3"/>
      <c r="E512" s="3"/>
      <c r="F512" s="3"/>
      <c r="G512" s="3"/>
    </row>
    <row r="513" spans="1:7" ht="15.75" customHeight="1">
      <c r="A513" s="3"/>
      <c r="B513" s="3"/>
      <c r="C513" s="3"/>
      <c r="D513" s="3"/>
      <c r="E513" s="3"/>
      <c r="F513" s="3"/>
      <c r="G513" s="3"/>
    </row>
    <row r="514" spans="1:7" ht="15.75" customHeight="1">
      <c r="A514" s="3"/>
      <c r="B514" s="3"/>
      <c r="C514" s="3"/>
      <c r="D514" s="3"/>
      <c r="E514" s="3"/>
      <c r="F514" s="3"/>
      <c r="G514" s="3"/>
    </row>
    <row r="515" spans="1:7" ht="15.75" customHeight="1">
      <c r="A515" s="3"/>
      <c r="B515" s="3"/>
      <c r="C515" s="3"/>
      <c r="D515" s="3"/>
      <c r="E515" s="3"/>
      <c r="F515" s="3"/>
      <c r="G515" s="3"/>
    </row>
    <row r="516" spans="1:7" ht="15.75" customHeight="1">
      <c r="A516" s="3"/>
      <c r="B516" s="3"/>
      <c r="C516" s="3"/>
      <c r="D516" s="3"/>
      <c r="E516" s="3"/>
      <c r="F516" s="3"/>
      <c r="G516" s="3"/>
    </row>
    <row r="517" spans="1:7" ht="15.75" customHeight="1">
      <c r="A517" s="3"/>
      <c r="B517" s="3"/>
      <c r="C517" s="3"/>
      <c r="D517" s="3"/>
      <c r="E517" s="3"/>
      <c r="F517" s="3"/>
      <c r="G517" s="3"/>
    </row>
    <row r="518" spans="1:7" ht="15.75" customHeight="1">
      <c r="A518" s="3"/>
      <c r="B518" s="3"/>
      <c r="C518" s="3"/>
      <c r="D518" s="3"/>
      <c r="E518" s="3"/>
      <c r="F518" s="3"/>
      <c r="G518" s="3"/>
    </row>
    <row r="519" spans="1:7" ht="15.75" customHeight="1">
      <c r="A519" s="3"/>
      <c r="B519" s="3"/>
      <c r="C519" s="3"/>
      <c r="D519" s="3"/>
      <c r="E519" s="3"/>
      <c r="F519" s="3"/>
      <c r="G519" s="3"/>
    </row>
    <row r="520" spans="1:7" ht="15.75" customHeight="1">
      <c r="A520" s="3"/>
      <c r="B520" s="3"/>
      <c r="C520" s="3"/>
      <c r="D520" s="3"/>
      <c r="E520" s="3"/>
      <c r="F520" s="3"/>
      <c r="G520" s="3"/>
    </row>
    <row r="521" spans="1:7" ht="15.75" customHeight="1">
      <c r="A521" s="3"/>
      <c r="B521" s="3"/>
      <c r="C521" s="3"/>
      <c r="D521" s="3"/>
      <c r="E521" s="3"/>
      <c r="F521" s="3"/>
      <c r="G521" s="3"/>
    </row>
    <row r="522" spans="1:7" ht="15.75" customHeight="1">
      <c r="A522" s="3"/>
      <c r="B522" s="3"/>
      <c r="C522" s="3"/>
      <c r="D522" s="3"/>
      <c r="E522" s="3"/>
      <c r="F522" s="3"/>
      <c r="G522" s="3"/>
    </row>
    <row r="523" spans="1:7" ht="15.75" customHeight="1">
      <c r="A523" s="3"/>
      <c r="B523" s="3"/>
      <c r="C523" s="3"/>
      <c r="D523" s="3"/>
      <c r="E523" s="3"/>
      <c r="F523" s="3"/>
      <c r="G523" s="3"/>
    </row>
    <row r="524" spans="1:7" ht="15.75" customHeight="1">
      <c r="A524" s="3"/>
      <c r="B524" s="3"/>
      <c r="C524" s="3"/>
      <c r="D524" s="3"/>
      <c r="E524" s="3"/>
      <c r="F524" s="3"/>
      <c r="G524" s="3"/>
    </row>
    <row r="525" spans="1:7" ht="15.75" customHeight="1">
      <c r="A525" s="3"/>
      <c r="B525" s="3"/>
      <c r="C525" s="3"/>
      <c r="D525" s="3"/>
      <c r="E525" s="3"/>
      <c r="F525" s="3"/>
      <c r="G525" s="3"/>
    </row>
    <row r="526" spans="1:7" ht="15.75" customHeight="1">
      <c r="A526" s="3"/>
      <c r="B526" s="3"/>
      <c r="C526" s="3"/>
      <c r="D526" s="3"/>
      <c r="E526" s="3"/>
      <c r="F526" s="3"/>
      <c r="G526" s="3"/>
    </row>
    <row r="527" spans="1:7" ht="15.75" customHeight="1">
      <c r="A527" s="3"/>
      <c r="B527" s="3"/>
      <c r="C527" s="3"/>
      <c r="D527" s="3"/>
      <c r="E527" s="3"/>
      <c r="F527" s="3"/>
      <c r="G527" s="3"/>
    </row>
    <row r="528" spans="1:7" ht="15.75" customHeight="1">
      <c r="A528" s="3"/>
      <c r="B528" s="3"/>
      <c r="C528" s="3"/>
      <c r="D528" s="3"/>
      <c r="E528" s="3"/>
      <c r="F528" s="3"/>
      <c r="G528" s="3"/>
    </row>
    <row r="529" spans="1:7" ht="15.75" customHeight="1">
      <c r="A529" s="3"/>
      <c r="B529" s="3"/>
      <c r="C529" s="3"/>
      <c r="D529" s="3"/>
      <c r="E529" s="3"/>
      <c r="F529" s="3"/>
      <c r="G529" s="3"/>
    </row>
    <row r="530" spans="1:7" ht="15.75" customHeight="1">
      <c r="A530" s="3"/>
      <c r="B530" s="3"/>
      <c r="C530" s="3"/>
      <c r="D530" s="3"/>
      <c r="E530" s="3"/>
      <c r="F530" s="3"/>
      <c r="G530" s="3"/>
    </row>
    <row r="531" spans="1:7" ht="15.75" customHeight="1">
      <c r="A531" s="3"/>
      <c r="B531" s="3"/>
      <c r="C531" s="3"/>
      <c r="D531" s="3"/>
      <c r="E531" s="3"/>
      <c r="F531" s="3"/>
      <c r="G531" s="3"/>
    </row>
    <row r="532" spans="1:7" ht="15.75" customHeight="1">
      <c r="A532" s="3"/>
      <c r="B532" s="3"/>
      <c r="C532" s="3"/>
      <c r="D532" s="3"/>
      <c r="E532" s="3"/>
      <c r="F532" s="3"/>
      <c r="G532" s="3"/>
    </row>
    <row r="533" spans="1:7" ht="15.75" customHeight="1">
      <c r="A533" s="3"/>
      <c r="B533" s="3"/>
      <c r="C533" s="3"/>
      <c r="D533" s="3"/>
      <c r="E533" s="3"/>
      <c r="F533" s="3"/>
      <c r="G533" s="3"/>
    </row>
    <row r="534" spans="1:7" ht="15.75" customHeight="1">
      <c r="A534" s="3"/>
      <c r="B534" s="3"/>
      <c r="C534" s="3"/>
      <c r="D534" s="3"/>
      <c r="E534" s="3"/>
      <c r="F534" s="3"/>
      <c r="G534" s="3"/>
    </row>
    <row r="535" spans="1:7" ht="15.75" customHeight="1">
      <c r="A535" s="3"/>
      <c r="B535" s="3"/>
      <c r="C535" s="3"/>
      <c r="D535" s="3"/>
      <c r="E535" s="3"/>
      <c r="F535" s="3"/>
      <c r="G535" s="3"/>
    </row>
    <row r="536" spans="1:7" ht="15.75" customHeight="1">
      <c r="A536" s="3"/>
      <c r="B536" s="3"/>
      <c r="C536" s="3"/>
      <c r="D536" s="3"/>
      <c r="E536" s="3"/>
      <c r="F536" s="3"/>
      <c r="G536" s="3"/>
    </row>
    <row r="537" spans="1:7" ht="15.75" customHeight="1">
      <c r="A537" s="3"/>
      <c r="B537" s="3"/>
      <c r="C537" s="3"/>
      <c r="D537" s="3"/>
      <c r="E537" s="3"/>
      <c r="F537" s="3"/>
      <c r="G537" s="3"/>
    </row>
    <row r="538" spans="1:7" ht="15.75" customHeight="1">
      <c r="A538" s="3"/>
      <c r="B538" s="3"/>
      <c r="C538" s="3"/>
      <c r="D538" s="3"/>
      <c r="E538" s="3"/>
      <c r="F538" s="3"/>
      <c r="G538" s="3"/>
    </row>
    <row r="539" spans="1:7" ht="15.75" customHeight="1">
      <c r="A539" s="3"/>
      <c r="B539" s="3"/>
      <c r="C539" s="3"/>
      <c r="D539" s="3"/>
      <c r="E539" s="3"/>
      <c r="F539" s="3"/>
      <c r="G539" s="3"/>
    </row>
    <row r="540" spans="1:7" ht="15.75" customHeight="1">
      <c r="A540" s="3"/>
      <c r="B540" s="3"/>
      <c r="C540" s="3"/>
      <c r="D540" s="3"/>
      <c r="E540" s="3"/>
      <c r="F540" s="3"/>
      <c r="G540" s="3"/>
    </row>
    <row r="541" spans="1:7" ht="15.75" customHeight="1">
      <c r="A541" s="3"/>
      <c r="B541" s="3"/>
      <c r="C541" s="3"/>
      <c r="D541" s="3"/>
      <c r="E541" s="3"/>
      <c r="F541" s="3"/>
      <c r="G541" s="3"/>
    </row>
    <row r="542" spans="1:7" ht="15.75" customHeight="1">
      <c r="A542" s="3"/>
      <c r="B542" s="3"/>
      <c r="C542" s="3"/>
      <c r="D542" s="3"/>
      <c r="E542" s="3"/>
      <c r="F542" s="3"/>
      <c r="G542" s="3"/>
    </row>
    <row r="543" spans="1:7" ht="15.75" customHeight="1">
      <c r="A543" s="3"/>
      <c r="B543" s="3"/>
      <c r="C543" s="3"/>
      <c r="D543" s="3"/>
      <c r="E543" s="3"/>
      <c r="F543" s="3"/>
      <c r="G543" s="3"/>
    </row>
    <row r="544" spans="1:7" ht="15.75" customHeight="1">
      <c r="A544" s="3"/>
      <c r="B544" s="3"/>
      <c r="C544" s="3"/>
      <c r="D544" s="3"/>
      <c r="E544" s="3"/>
      <c r="F544" s="3"/>
      <c r="G544" s="3"/>
    </row>
    <row r="545" spans="1:7" ht="15.75" customHeight="1">
      <c r="A545" s="3"/>
      <c r="B545" s="3"/>
      <c r="C545" s="3"/>
      <c r="D545" s="3"/>
      <c r="E545" s="3"/>
      <c r="F545" s="3"/>
      <c r="G545" s="3"/>
    </row>
    <row r="546" spans="1:7" ht="15.75" customHeight="1">
      <c r="A546" s="3"/>
      <c r="B546" s="3"/>
      <c r="C546" s="3"/>
      <c r="D546" s="3"/>
      <c r="E546" s="3"/>
      <c r="F546" s="3"/>
      <c r="G546" s="3"/>
    </row>
    <row r="547" spans="1:7" ht="15.75" customHeight="1">
      <c r="A547" s="3"/>
      <c r="B547" s="3"/>
      <c r="C547" s="3"/>
      <c r="D547" s="3"/>
      <c r="E547" s="3"/>
      <c r="F547" s="3"/>
      <c r="G547" s="3"/>
    </row>
    <row r="548" spans="1:7" ht="15.75" customHeight="1">
      <c r="A548" s="3"/>
      <c r="B548" s="3"/>
      <c r="C548" s="3"/>
      <c r="D548" s="3"/>
      <c r="E548" s="3"/>
      <c r="F548" s="3"/>
      <c r="G548" s="3"/>
    </row>
    <row r="549" spans="1:7" ht="15.75" customHeight="1">
      <c r="A549" s="3"/>
      <c r="B549" s="3"/>
      <c r="C549" s="3"/>
      <c r="D549" s="3"/>
      <c r="E549" s="3"/>
      <c r="F549" s="3"/>
      <c r="G549" s="3"/>
    </row>
    <row r="550" spans="1:7" ht="15.75" customHeight="1">
      <c r="A550" s="3"/>
      <c r="B550" s="3"/>
      <c r="C550" s="3"/>
      <c r="D550" s="3"/>
      <c r="E550" s="3"/>
      <c r="F550" s="3"/>
      <c r="G550" s="3"/>
    </row>
    <row r="551" spans="1:7" ht="15.75" customHeight="1">
      <c r="A551" s="3"/>
      <c r="B551" s="3"/>
      <c r="C551" s="3"/>
      <c r="D551" s="3"/>
      <c r="E551" s="3"/>
      <c r="F551" s="3"/>
      <c r="G551" s="3"/>
    </row>
    <row r="552" spans="1:7" ht="15.75" customHeight="1">
      <c r="A552" s="3"/>
      <c r="B552" s="3"/>
      <c r="C552" s="3"/>
      <c r="D552" s="3"/>
      <c r="E552" s="3"/>
      <c r="F552" s="3"/>
      <c r="G552" s="3"/>
    </row>
    <row r="553" spans="1:7" ht="15.75" customHeight="1">
      <c r="A553" s="3"/>
      <c r="B553" s="3"/>
      <c r="C553" s="3"/>
      <c r="D553" s="3"/>
      <c r="E553" s="3"/>
      <c r="F553" s="3"/>
      <c r="G553" s="3"/>
    </row>
    <row r="554" spans="1:7" ht="15.75" customHeight="1">
      <c r="A554" s="3"/>
      <c r="B554" s="3"/>
      <c r="C554" s="3"/>
      <c r="D554" s="3"/>
      <c r="E554" s="3"/>
      <c r="F554" s="3"/>
      <c r="G554" s="3"/>
    </row>
    <row r="555" spans="1:7" ht="15.75" customHeight="1">
      <c r="A555" s="3"/>
      <c r="B555" s="3"/>
      <c r="C555" s="3"/>
      <c r="D555" s="3"/>
      <c r="E555" s="3"/>
      <c r="F555" s="3"/>
      <c r="G555" s="3"/>
    </row>
    <row r="556" spans="1:7" ht="15.75" customHeight="1">
      <c r="A556" s="3"/>
      <c r="B556" s="3"/>
      <c r="C556" s="3"/>
      <c r="D556" s="3"/>
      <c r="E556" s="3"/>
      <c r="F556" s="3"/>
      <c r="G556" s="3"/>
    </row>
    <row r="557" spans="1:7" ht="15.75" customHeight="1">
      <c r="A557" s="3"/>
      <c r="B557" s="3"/>
      <c r="C557" s="3"/>
      <c r="D557" s="3"/>
      <c r="E557" s="3"/>
      <c r="F557" s="3"/>
      <c r="G557" s="3"/>
    </row>
    <row r="558" spans="1:7" ht="15.75" customHeight="1">
      <c r="A558" s="3"/>
      <c r="B558" s="3"/>
      <c r="C558" s="3"/>
      <c r="D558" s="3"/>
      <c r="E558" s="3"/>
      <c r="F558" s="3"/>
      <c r="G558" s="3"/>
    </row>
    <row r="559" spans="1:7" ht="15.75" customHeight="1">
      <c r="A559" s="3"/>
      <c r="B559" s="3"/>
      <c r="C559" s="3"/>
      <c r="D559" s="3"/>
      <c r="E559" s="3"/>
      <c r="F559" s="3"/>
      <c r="G559" s="3"/>
    </row>
    <row r="560" spans="1:7" ht="15.75" customHeight="1">
      <c r="A560" s="3"/>
      <c r="B560" s="3"/>
      <c r="C560" s="3"/>
      <c r="D560" s="3"/>
      <c r="E560" s="3"/>
      <c r="F560" s="3"/>
      <c r="G560" s="3"/>
    </row>
    <row r="561" spans="1:7" ht="15.75" customHeight="1">
      <c r="A561" s="3"/>
      <c r="B561" s="3"/>
      <c r="C561" s="3"/>
      <c r="D561" s="3"/>
      <c r="E561" s="3"/>
      <c r="F561" s="3"/>
      <c r="G561" s="3"/>
    </row>
    <row r="562" spans="1:7" ht="15.75" customHeight="1">
      <c r="A562" s="3"/>
      <c r="B562" s="3"/>
      <c r="C562" s="3"/>
      <c r="D562" s="3"/>
      <c r="E562" s="3"/>
      <c r="F562" s="3"/>
      <c r="G562" s="3"/>
    </row>
    <row r="563" spans="1:7" ht="15.75" customHeight="1">
      <c r="A563" s="3"/>
      <c r="B563" s="3"/>
      <c r="C563" s="3"/>
      <c r="D563" s="3"/>
      <c r="E563" s="3"/>
      <c r="F563" s="3"/>
      <c r="G563" s="3"/>
    </row>
    <row r="564" spans="1:7" ht="15.75" customHeight="1">
      <c r="A564" s="3"/>
      <c r="B564" s="3"/>
      <c r="C564" s="3"/>
      <c r="D564" s="3"/>
      <c r="E564" s="3"/>
      <c r="F564" s="3"/>
      <c r="G564" s="3"/>
    </row>
    <row r="565" spans="1:7" ht="15.75" customHeight="1">
      <c r="A565" s="3"/>
      <c r="B565" s="3"/>
      <c r="C565" s="3"/>
      <c r="D565" s="3"/>
      <c r="E565" s="3"/>
      <c r="F565" s="3"/>
      <c r="G565" s="3"/>
    </row>
    <row r="566" spans="1:7" ht="15.75" customHeight="1">
      <c r="A566" s="3"/>
      <c r="B566" s="3"/>
      <c r="C566" s="3"/>
      <c r="D566" s="3"/>
      <c r="E566" s="3"/>
      <c r="F566" s="3"/>
      <c r="G566" s="3"/>
    </row>
    <row r="567" spans="1:7" ht="15.75" customHeight="1">
      <c r="A567" s="3"/>
      <c r="B567" s="3"/>
      <c r="C567" s="3"/>
      <c r="D567" s="3"/>
      <c r="E567" s="3"/>
      <c r="F567" s="3"/>
      <c r="G567" s="3"/>
    </row>
    <row r="568" spans="1:7" ht="15.75" customHeight="1">
      <c r="A568" s="3"/>
      <c r="B568" s="3"/>
      <c r="C568" s="3"/>
      <c r="D568" s="3"/>
      <c r="E568" s="3"/>
      <c r="F568" s="3"/>
      <c r="G568" s="3"/>
    </row>
    <row r="569" spans="1:7" ht="15.75" customHeight="1">
      <c r="A569" s="3"/>
      <c r="B569" s="3"/>
      <c r="C569" s="3"/>
      <c r="D569" s="3"/>
      <c r="E569" s="3"/>
      <c r="F569" s="3"/>
      <c r="G569" s="3"/>
    </row>
    <row r="570" spans="1:7" ht="15.75" customHeight="1">
      <c r="A570" s="3"/>
      <c r="B570" s="3"/>
      <c r="C570" s="3"/>
      <c r="D570" s="3"/>
      <c r="E570" s="3"/>
      <c r="F570" s="3"/>
      <c r="G570" s="3"/>
    </row>
    <row r="571" spans="1:7" ht="15.75" customHeight="1">
      <c r="A571" s="3"/>
      <c r="B571" s="3"/>
      <c r="C571" s="3"/>
      <c r="D571" s="3"/>
      <c r="E571" s="3"/>
      <c r="F571" s="3"/>
      <c r="G571" s="3"/>
    </row>
    <row r="572" spans="1:7" ht="15.75" customHeight="1">
      <c r="A572" s="3"/>
      <c r="B572" s="3"/>
      <c r="C572" s="3"/>
      <c r="D572" s="3"/>
      <c r="E572" s="3"/>
      <c r="F572" s="3"/>
      <c r="G572" s="3"/>
    </row>
    <row r="573" spans="1:7" ht="15.75" customHeight="1">
      <c r="A573" s="3"/>
      <c r="B573" s="3"/>
      <c r="C573" s="3"/>
      <c r="D573" s="3"/>
      <c r="E573" s="3"/>
      <c r="F573" s="3"/>
      <c r="G573" s="3"/>
    </row>
    <row r="574" spans="1:7" ht="15.75" customHeight="1">
      <c r="A574" s="3"/>
      <c r="B574" s="3"/>
      <c r="C574" s="3"/>
      <c r="D574" s="3"/>
      <c r="E574" s="3"/>
      <c r="F574" s="3"/>
      <c r="G574" s="3"/>
    </row>
    <row r="575" spans="1:7" ht="15.75" customHeight="1">
      <c r="A575" s="3"/>
      <c r="B575" s="3"/>
      <c r="C575" s="3"/>
      <c r="D575" s="3"/>
      <c r="E575" s="3"/>
      <c r="F575" s="3"/>
      <c r="G575" s="3"/>
    </row>
    <row r="576" spans="1:7" ht="15.75" customHeight="1">
      <c r="A576" s="3"/>
      <c r="B576" s="3"/>
      <c r="C576" s="3"/>
      <c r="D576" s="3"/>
      <c r="E576" s="3"/>
      <c r="F576" s="3"/>
      <c r="G576" s="3"/>
    </row>
    <row r="577" spans="1:7" ht="15.75" customHeight="1">
      <c r="A577" s="3"/>
      <c r="B577" s="3"/>
      <c r="C577" s="3"/>
      <c r="D577" s="3"/>
      <c r="E577" s="3"/>
      <c r="F577" s="3"/>
      <c r="G577" s="3"/>
    </row>
    <row r="578" spans="1:7" ht="15.75" customHeight="1">
      <c r="A578" s="3"/>
      <c r="B578" s="3"/>
      <c r="C578" s="3"/>
      <c r="D578" s="3"/>
      <c r="E578" s="3"/>
      <c r="F578" s="3"/>
      <c r="G578" s="3"/>
    </row>
    <row r="579" spans="1:7" ht="15.75" customHeight="1">
      <c r="A579" s="3"/>
      <c r="B579" s="3"/>
      <c r="C579" s="3"/>
      <c r="D579" s="3"/>
      <c r="E579" s="3"/>
      <c r="F579" s="3"/>
      <c r="G579" s="3"/>
    </row>
    <row r="580" spans="1:7" ht="15.75" customHeight="1">
      <c r="A580" s="3"/>
      <c r="B580" s="3"/>
      <c r="C580" s="3"/>
      <c r="D580" s="3"/>
      <c r="E580" s="3"/>
      <c r="F580" s="3"/>
      <c r="G580" s="3"/>
    </row>
    <row r="581" spans="1:7" ht="15.75" customHeight="1">
      <c r="A581" s="3"/>
      <c r="B581" s="3"/>
      <c r="C581" s="3"/>
      <c r="D581" s="3"/>
      <c r="E581" s="3"/>
      <c r="F581" s="3"/>
      <c r="G581" s="3"/>
    </row>
    <row r="582" spans="1:7" ht="15.75" customHeight="1">
      <c r="A582" s="3"/>
      <c r="B582" s="3"/>
      <c r="C582" s="3"/>
      <c r="D582" s="3"/>
      <c r="E582" s="3"/>
      <c r="F582" s="3"/>
      <c r="G582" s="3"/>
    </row>
    <row r="583" spans="1:7" ht="15.75" customHeight="1">
      <c r="A583" s="3"/>
      <c r="B583" s="3"/>
      <c r="C583" s="3"/>
      <c r="D583" s="3"/>
      <c r="E583" s="3"/>
      <c r="F583" s="3"/>
      <c r="G583" s="3"/>
    </row>
    <row r="584" spans="1:7" ht="15.75" customHeight="1">
      <c r="A584" s="3"/>
      <c r="B584" s="3"/>
      <c r="C584" s="3"/>
      <c r="D584" s="3"/>
      <c r="E584" s="3"/>
      <c r="F584" s="3"/>
      <c r="G584" s="3"/>
    </row>
    <row r="585" spans="1:7" ht="15.75" customHeight="1">
      <c r="A585" s="3"/>
      <c r="B585" s="3"/>
      <c r="C585" s="3"/>
      <c r="D585" s="3"/>
      <c r="E585" s="3"/>
      <c r="F585" s="3"/>
      <c r="G585" s="3"/>
    </row>
    <row r="586" spans="1:7" ht="15.75" customHeight="1">
      <c r="A586" s="3"/>
      <c r="B586" s="3"/>
      <c r="C586" s="3"/>
      <c r="D586" s="3"/>
      <c r="E586" s="3"/>
      <c r="F586" s="3"/>
      <c r="G586" s="3"/>
    </row>
    <row r="587" spans="1:7" ht="15.75" customHeight="1">
      <c r="A587" s="3"/>
      <c r="B587" s="3"/>
      <c r="C587" s="3"/>
      <c r="D587" s="3"/>
      <c r="E587" s="3"/>
      <c r="F587" s="3"/>
      <c r="G587" s="3"/>
    </row>
    <row r="588" spans="1:7" ht="15.75" customHeight="1">
      <c r="A588" s="3"/>
      <c r="B588" s="3"/>
      <c r="C588" s="3"/>
      <c r="D588" s="3"/>
      <c r="E588" s="3"/>
      <c r="F588" s="3"/>
      <c r="G588" s="3"/>
    </row>
    <row r="589" spans="1:7" ht="15.75" customHeight="1">
      <c r="A589" s="3"/>
      <c r="B589" s="3"/>
      <c r="C589" s="3"/>
      <c r="D589" s="3"/>
      <c r="E589" s="3"/>
      <c r="F589" s="3"/>
      <c r="G589" s="3"/>
    </row>
    <row r="590" spans="1:7" ht="15.75" customHeight="1">
      <c r="A590" s="3"/>
      <c r="B590" s="3"/>
      <c r="C590" s="3"/>
      <c r="D590" s="3"/>
      <c r="E590" s="3"/>
      <c r="F590" s="3"/>
      <c r="G590" s="3"/>
    </row>
    <row r="591" spans="1:7" ht="15.75" customHeight="1">
      <c r="A591" s="3"/>
      <c r="B591" s="3"/>
      <c r="C591" s="3"/>
      <c r="D591" s="3"/>
      <c r="E591" s="3"/>
      <c r="F591" s="3"/>
      <c r="G591" s="3"/>
    </row>
    <row r="592" spans="1:7" ht="15.75" customHeight="1">
      <c r="A592" s="3"/>
      <c r="B592" s="3"/>
      <c r="C592" s="3"/>
      <c r="D592" s="3"/>
      <c r="E592" s="3"/>
      <c r="F592" s="3"/>
      <c r="G592" s="3"/>
    </row>
    <row r="593" spans="1:7" ht="15.75" customHeight="1">
      <c r="A593" s="3"/>
      <c r="B593" s="3"/>
      <c r="C593" s="3"/>
      <c r="D593" s="3"/>
      <c r="E593" s="3"/>
      <c r="F593" s="3"/>
      <c r="G593" s="3"/>
    </row>
    <row r="594" spans="1:7" ht="15.75" customHeight="1">
      <c r="A594" s="3"/>
      <c r="B594" s="3"/>
      <c r="C594" s="3"/>
      <c r="D594" s="3"/>
      <c r="E594" s="3"/>
      <c r="F594" s="3"/>
      <c r="G594" s="3"/>
    </row>
    <row r="595" spans="1:7" ht="15.75" customHeight="1">
      <c r="A595" s="3"/>
      <c r="B595" s="3"/>
      <c r="C595" s="3"/>
      <c r="D595" s="3"/>
      <c r="E595" s="3"/>
      <c r="F595" s="3"/>
      <c r="G595" s="3"/>
    </row>
    <row r="596" spans="1:7" ht="15.75" customHeight="1">
      <c r="A596" s="3"/>
      <c r="B596" s="3"/>
      <c r="C596" s="3"/>
      <c r="D596" s="3"/>
      <c r="E596" s="3"/>
      <c r="F596" s="3"/>
      <c r="G596" s="3"/>
    </row>
    <row r="597" spans="1:7" ht="15.75" customHeight="1">
      <c r="A597" s="3"/>
      <c r="B597" s="3"/>
      <c r="C597" s="3"/>
      <c r="D597" s="3"/>
      <c r="E597" s="3"/>
      <c r="F597" s="3"/>
      <c r="G597" s="3"/>
    </row>
    <row r="598" spans="1:7" ht="15.75" customHeight="1">
      <c r="A598" s="3"/>
      <c r="B598" s="3"/>
      <c r="C598" s="3"/>
      <c r="D598" s="3"/>
      <c r="E598" s="3"/>
      <c r="F598" s="3"/>
      <c r="G598" s="3"/>
    </row>
    <row r="599" spans="1:7" ht="15.75" customHeight="1">
      <c r="A599" s="3"/>
      <c r="B599" s="3"/>
      <c r="C599" s="3"/>
      <c r="D599" s="3"/>
      <c r="E599" s="3"/>
      <c r="F599" s="3"/>
      <c r="G599" s="3"/>
    </row>
    <row r="600" spans="1:7" ht="15.75" customHeight="1">
      <c r="A600" s="3"/>
      <c r="B600" s="3"/>
      <c r="C600" s="3"/>
      <c r="D600" s="3"/>
      <c r="E600" s="3"/>
      <c r="F600" s="3"/>
      <c r="G600" s="3"/>
    </row>
    <row r="601" spans="1:7" ht="15.75" customHeight="1">
      <c r="A601" s="3"/>
      <c r="B601" s="3"/>
      <c r="C601" s="3"/>
      <c r="D601" s="3"/>
      <c r="E601" s="3"/>
      <c r="F601" s="3"/>
      <c r="G601" s="3"/>
    </row>
    <row r="602" spans="1:7" ht="15.75" customHeight="1">
      <c r="A602" s="3"/>
      <c r="B602" s="3"/>
      <c r="C602" s="3"/>
      <c r="D602" s="3"/>
      <c r="E602" s="3"/>
      <c r="F602" s="3"/>
      <c r="G602" s="3"/>
    </row>
    <row r="603" spans="1:7" ht="15.75" customHeight="1">
      <c r="A603" s="3"/>
      <c r="B603" s="3"/>
      <c r="C603" s="3"/>
      <c r="D603" s="3"/>
      <c r="E603" s="3"/>
      <c r="F603" s="3"/>
      <c r="G603" s="3"/>
    </row>
    <row r="604" spans="1:7" ht="15.75" customHeight="1">
      <c r="A604" s="3"/>
      <c r="B604" s="3"/>
      <c r="C604" s="3"/>
      <c r="D604" s="3"/>
      <c r="E604" s="3"/>
      <c r="F604" s="3"/>
      <c r="G604" s="3"/>
    </row>
    <row r="605" spans="1:7" ht="15.75" customHeight="1">
      <c r="A605" s="3"/>
      <c r="B605" s="3"/>
      <c r="C605" s="3"/>
      <c r="D605" s="3"/>
      <c r="E605" s="3"/>
      <c r="F605" s="3"/>
      <c r="G605" s="3"/>
    </row>
    <row r="606" spans="1:7" ht="15.75" customHeight="1">
      <c r="A606" s="3"/>
      <c r="B606" s="3"/>
      <c r="C606" s="3"/>
      <c r="D606" s="3"/>
      <c r="E606" s="3"/>
      <c r="F606" s="3"/>
      <c r="G606" s="3"/>
    </row>
    <row r="607" spans="1:7" ht="15.75" customHeight="1">
      <c r="A607" s="3"/>
      <c r="B607" s="3"/>
      <c r="C607" s="3"/>
      <c r="D607" s="3"/>
      <c r="E607" s="3"/>
      <c r="F607" s="3"/>
      <c r="G607" s="3"/>
    </row>
    <row r="608" spans="1:7" ht="15.75" customHeight="1">
      <c r="A608" s="3"/>
      <c r="B608" s="3"/>
      <c r="C608" s="3"/>
      <c r="D608" s="3"/>
      <c r="E608" s="3"/>
      <c r="F608" s="3"/>
      <c r="G608" s="3"/>
    </row>
    <row r="609" spans="1:7" ht="15.75" customHeight="1">
      <c r="A609" s="3"/>
      <c r="B609" s="3"/>
      <c r="C609" s="3"/>
      <c r="D609" s="3"/>
      <c r="E609" s="3"/>
      <c r="F609" s="3"/>
      <c r="G609" s="3"/>
    </row>
    <row r="610" spans="1:7" ht="15.75" customHeight="1">
      <c r="A610" s="3"/>
      <c r="B610" s="3"/>
      <c r="C610" s="3"/>
      <c r="D610" s="3"/>
      <c r="E610" s="3"/>
      <c r="F610" s="3"/>
      <c r="G610" s="3"/>
    </row>
    <row r="611" spans="1:7" ht="15.75" customHeight="1">
      <c r="A611" s="3"/>
      <c r="B611" s="3"/>
      <c r="C611" s="3"/>
      <c r="D611" s="3"/>
      <c r="E611" s="3"/>
      <c r="F611" s="3"/>
      <c r="G611" s="3"/>
    </row>
    <row r="612" spans="1:7" ht="15.75" customHeight="1">
      <c r="A612" s="3"/>
      <c r="B612" s="3"/>
      <c r="C612" s="3"/>
      <c r="D612" s="3"/>
      <c r="E612" s="3"/>
      <c r="F612" s="3"/>
      <c r="G612" s="3"/>
    </row>
    <row r="613" spans="1:7" ht="15.75" customHeight="1">
      <c r="A613" s="3"/>
      <c r="B613" s="3"/>
      <c r="C613" s="3"/>
      <c r="D613" s="3"/>
      <c r="E613" s="3"/>
      <c r="F613" s="3"/>
      <c r="G613" s="3"/>
    </row>
    <row r="614" spans="1:7" ht="15.75" customHeight="1">
      <c r="A614" s="3"/>
      <c r="B614" s="3"/>
      <c r="C614" s="3"/>
      <c r="D614" s="3"/>
      <c r="E614" s="3"/>
      <c r="F614" s="3"/>
      <c r="G614" s="3"/>
    </row>
    <row r="615" spans="1:7" ht="15.75" customHeight="1">
      <c r="A615" s="3"/>
      <c r="B615" s="3"/>
      <c r="C615" s="3"/>
      <c r="D615" s="3"/>
      <c r="E615" s="3"/>
      <c r="F615" s="3"/>
      <c r="G615" s="3"/>
    </row>
    <row r="616" spans="1:7" ht="15.75" customHeight="1">
      <c r="A616" s="3"/>
      <c r="B616" s="3"/>
      <c r="C616" s="3"/>
      <c r="D616" s="3"/>
      <c r="E616" s="3"/>
      <c r="F616" s="3"/>
      <c r="G616" s="3"/>
    </row>
    <row r="617" spans="1:7" ht="15.75" customHeight="1">
      <c r="A617" s="3"/>
      <c r="B617" s="3"/>
      <c r="C617" s="3"/>
      <c r="D617" s="3"/>
      <c r="E617" s="3"/>
      <c r="F617" s="3"/>
      <c r="G617" s="3"/>
    </row>
    <row r="618" spans="1:7" ht="15.75" customHeight="1">
      <c r="A618" s="3"/>
      <c r="B618" s="3"/>
      <c r="C618" s="3"/>
      <c r="D618" s="3"/>
      <c r="E618" s="3"/>
      <c r="F618" s="3"/>
      <c r="G618" s="3"/>
    </row>
    <row r="619" spans="1:7" ht="15.75" customHeight="1">
      <c r="A619" s="3"/>
      <c r="B619" s="3"/>
      <c r="C619" s="3"/>
      <c r="D619" s="3"/>
      <c r="E619" s="3"/>
      <c r="F619" s="3"/>
      <c r="G619" s="3"/>
    </row>
    <row r="620" spans="1:7" ht="15.75" customHeight="1">
      <c r="A620" s="3"/>
      <c r="B620" s="3"/>
      <c r="C620" s="3"/>
      <c r="D620" s="3"/>
      <c r="E620" s="3"/>
      <c r="F620" s="3"/>
      <c r="G620" s="3"/>
    </row>
    <row r="621" spans="1:7" ht="15.75" customHeight="1">
      <c r="A621" s="3"/>
      <c r="B621" s="3"/>
      <c r="C621" s="3"/>
      <c r="D621" s="3"/>
      <c r="E621" s="3"/>
      <c r="F621" s="3"/>
      <c r="G621" s="3"/>
    </row>
    <row r="622" spans="1:7" ht="15.75" customHeight="1">
      <c r="A622" s="3"/>
      <c r="B622" s="3"/>
      <c r="C622" s="3"/>
      <c r="D622" s="3"/>
      <c r="E622" s="3"/>
      <c r="F622" s="3"/>
      <c r="G622" s="3"/>
    </row>
    <row r="623" spans="1:7" ht="15.75" customHeight="1">
      <c r="A623" s="3"/>
      <c r="B623" s="3"/>
      <c r="C623" s="3"/>
      <c r="D623" s="3"/>
      <c r="E623" s="3"/>
      <c r="F623" s="3"/>
      <c r="G623" s="3"/>
    </row>
    <row r="624" spans="1:7" ht="15.75" customHeight="1">
      <c r="A624" s="3"/>
      <c r="B624" s="3"/>
      <c r="C624" s="3"/>
      <c r="D624" s="3"/>
      <c r="E624" s="3"/>
      <c r="F624" s="3"/>
      <c r="G624" s="3"/>
    </row>
    <row r="625" spans="1:7" ht="15.75" customHeight="1">
      <c r="A625" s="3"/>
      <c r="B625" s="3"/>
      <c r="C625" s="3"/>
      <c r="D625" s="3"/>
      <c r="E625" s="3"/>
      <c r="F625" s="3"/>
      <c r="G625" s="3"/>
    </row>
    <row r="626" spans="1:7" ht="15.75" customHeight="1">
      <c r="A626" s="3"/>
      <c r="B626" s="3"/>
      <c r="C626" s="3"/>
      <c r="D626" s="3"/>
      <c r="E626" s="3"/>
      <c r="F626" s="3"/>
      <c r="G626" s="3"/>
    </row>
    <row r="627" spans="1:7" ht="15.75" customHeight="1">
      <c r="A627" s="3"/>
      <c r="B627" s="3"/>
      <c r="C627" s="3"/>
      <c r="D627" s="3"/>
      <c r="E627" s="3"/>
      <c r="F627" s="3"/>
      <c r="G627" s="3"/>
    </row>
    <row r="628" spans="1:7" ht="15.75" customHeight="1">
      <c r="A628" s="3"/>
      <c r="B628" s="3"/>
      <c r="C628" s="3"/>
      <c r="D628" s="3"/>
      <c r="E628" s="3"/>
      <c r="F628" s="3"/>
      <c r="G628" s="3"/>
    </row>
    <row r="629" spans="1:7" ht="15.75" customHeight="1">
      <c r="A629" s="3"/>
      <c r="B629" s="3"/>
      <c r="C629" s="3"/>
      <c r="D629" s="3"/>
      <c r="E629" s="3"/>
      <c r="F629" s="3"/>
      <c r="G629" s="3"/>
    </row>
    <row r="630" spans="1:7" ht="15.75" customHeight="1">
      <c r="A630" s="3"/>
      <c r="B630" s="3"/>
      <c r="C630" s="3"/>
      <c r="D630" s="3"/>
      <c r="E630" s="3"/>
      <c r="F630" s="3"/>
      <c r="G630" s="3"/>
    </row>
    <row r="631" spans="1:7" ht="15.75" customHeight="1">
      <c r="A631" s="3"/>
      <c r="B631" s="3"/>
      <c r="C631" s="3"/>
      <c r="D631" s="3"/>
      <c r="E631" s="3"/>
      <c r="F631" s="3"/>
      <c r="G631" s="3"/>
    </row>
    <row r="632" spans="1:7" ht="15.75" customHeight="1">
      <c r="A632" s="3"/>
      <c r="B632" s="3"/>
      <c r="C632" s="3"/>
      <c r="D632" s="3"/>
      <c r="E632" s="3"/>
      <c r="F632" s="3"/>
      <c r="G632" s="3"/>
    </row>
    <row r="633" spans="1:7" ht="15.75" customHeight="1">
      <c r="A633" s="3"/>
      <c r="B633" s="3"/>
      <c r="C633" s="3"/>
      <c r="D633" s="3"/>
      <c r="E633" s="3"/>
      <c r="F633" s="3"/>
      <c r="G633" s="3"/>
    </row>
    <row r="634" spans="1:7" ht="15.75" customHeight="1">
      <c r="A634" s="3"/>
      <c r="B634" s="3"/>
      <c r="C634" s="3"/>
      <c r="D634" s="3"/>
      <c r="E634" s="3"/>
      <c r="F634" s="3"/>
      <c r="G634" s="3"/>
    </row>
    <row r="635" spans="1:7" ht="15.75" customHeight="1">
      <c r="A635" s="3"/>
      <c r="B635" s="3"/>
      <c r="C635" s="3"/>
      <c r="D635" s="3"/>
      <c r="E635" s="3"/>
      <c r="F635" s="3"/>
      <c r="G635" s="3"/>
    </row>
    <row r="636" spans="1:7" ht="15.75" customHeight="1">
      <c r="A636" s="3"/>
      <c r="B636" s="3"/>
      <c r="C636" s="3"/>
      <c r="D636" s="3"/>
      <c r="E636" s="3"/>
      <c r="F636" s="3"/>
      <c r="G636" s="3"/>
    </row>
    <row r="637" spans="1:7" ht="15.75" customHeight="1">
      <c r="A637" s="3"/>
      <c r="B637" s="3"/>
      <c r="C637" s="3"/>
      <c r="D637" s="3"/>
      <c r="E637" s="3"/>
      <c r="F637" s="3"/>
      <c r="G637" s="3"/>
    </row>
    <row r="638" spans="1:7" ht="15.75" customHeight="1">
      <c r="A638" s="3"/>
      <c r="B638" s="3"/>
      <c r="C638" s="3"/>
      <c r="D638" s="3"/>
      <c r="E638" s="3"/>
      <c r="F638" s="3"/>
      <c r="G638" s="3"/>
    </row>
    <row r="639" spans="1:7" ht="15.75" customHeight="1">
      <c r="A639" s="3"/>
      <c r="B639" s="3"/>
      <c r="C639" s="3"/>
      <c r="D639" s="3"/>
      <c r="E639" s="3"/>
      <c r="F639" s="3"/>
      <c r="G639" s="3"/>
    </row>
    <row r="640" spans="1:7" ht="15.75" customHeight="1">
      <c r="A640" s="3"/>
      <c r="B640" s="3"/>
      <c r="C640" s="3"/>
      <c r="D640" s="3"/>
      <c r="E640" s="3"/>
      <c r="F640" s="3"/>
      <c r="G640" s="3"/>
    </row>
    <row r="641" spans="1:7" ht="15.75" customHeight="1">
      <c r="A641" s="3"/>
      <c r="B641" s="3"/>
      <c r="C641" s="3"/>
      <c r="D641" s="3"/>
      <c r="E641" s="3"/>
      <c r="F641" s="3"/>
      <c r="G641" s="3"/>
    </row>
    <row r="642" spans="1:7" ht="15.75" customHeight="1">
      <c r="A642" s="3"/>
      <c r="B642" s="3"/>
      <c r="C642" s="3"/>
      <c r="D642" s="3"/>
      <c r="E642" s="3"/>
      <c r="F642" s="3"/>
      <c r="G642" s="3"/>
    </row>
    <row r="643" spans="1:7" ht="15.75" customHeight="1">
      <c r="A643" s="3"/>
      <c r="B643" s="3"/>
      <c r="C643" s="3"/>
      <c r="D643" s="3"/>
      <c r="E643" s="3"/>
      <c r="F643" s="3"/>
      <c r="G643" s="3"/>
    </row>
    <row r="644" spans="1:7" ht="15.75" customHeight="1">
      <c r="A644" s="3"/>
      <c r="B644" s="3"/>
      <c r="C644" s="3"/>
      <c r="D644" s="3"/>
      <c r="E644" s="3"/>
      <c r="F644" s="3"/>
      <c r="G644" s="3"/>
    </row>
    <row r="645" spans="1:7" ht="15.75" customHeight="1">
      <c r="A645" s="3"/>
      <c r="B645" s="3"/>
      <c r="C645" s="3"/>
      <c r="D645" s="3"/>
      <c r="E645" s="3"/>
      <c r="F645" s="3"/>
      <c r="G645" s="3"/>
    </row>
    <row r="646" spans="1:7" ht="15.75" customHeight="1">
      <c r="A646" s="3"/>
      <c r="B646" s="3"/>
      <c r="C646" s="3"/>
      <c r="D646" s="3"/>
      <c r="E646" s="3"/>
      <c r="F646" s="3"/>
      <c r="G646" s="3"/>
    </row>
    <row r="647" spans="1:7" ht="15.75" customHeight="1">
      <c r="A647" s="3"/>
      <c r="B647" s="3"/>
      <c r="C647" s="3"/>
      <c r="D647" s="3"/>
      <c r="E647" s="3"/>
      <c r="F647" s="3"/>
      <c r="G647" s="3"/>
    </row>
    <row r="648" spans="1:7" ht="15.75" customHeight="1">
      <c r="A648" s="3"/>
      <c r="B648" s="3"/>
      <c r="C648" s="3"/>
      <c r="D648" s="3"/>
      <c r="E648" s="3"/>
      <c r="F648" s="3"/>
      <c r="G648" s="3"/>
    </row>
    <row r="649" spans="1:7" ht="15.75" customHeight="1">
      <c r="A649" s="3"/>
      <c r="B649" s="3"/>
      <c r="C649" s="3"/>
      <c r="D649" s="3"/>
      <c r="E649" s="3"/>
      <c r="F649" s="3"/>
      <c r="G649" s="3"/>
    </row>
    <row r="650" spans="1:7" ht="15.75" customHeight="1">
      <c r="A650" s="3"/>
      <c r="B650" s="3"/>
      <c r="C650" s="3"/>
      <c r="D650" s="3"/>
      <c r="E650" s="3"/>
      <c r="F650" s="3"/>
      <c r="G650" s="3"/>
    </row>
    <row r="651" spans="1:7" ht="15.75" customHeight="1">
      <c r="A651" s="3"/>
      <c r="B651" s="3"/>
      <c r="C651" s="3"/>
      <c r="D651" s="3"/>
      <c r="E651" s="3"/>
      <c r="F651" s="3"/>
      <c r="G651" s="3"/>
    </row>
    <row r="652" spans="1:7" ht="15.75" customHeight="1">
      <c r="A652" s="3"/>
      <c r="B652" s="3"/>
      <c r="C652" s="3"/>
      <c r="D652" s="3"/>
      <c r="E652" s="3"/>
      <c r="F652" s="3"/>
      <c r="G652" s="3"/>
    </row>
    <row r="653" spans="1:7" ht="15.75" customHeight="1">
      <c r="A653" s="3"/>
      <c r="B653" s="3"/>
      <c r="C653" s="3"/>
      <c r="D653" s="3"/>
      <c r="E653" s="3"/>
      <c r="F653" s="3"/>
      <c r="G653" s="3"/>
    </row>
    <row r="654" spans="1:7" ht="15.75" customHeight="1">
      <c r="A654" s="3"/>
      <c r="B654" s="3"/>
      <c r="C654" s="3"/>
      <c r="D654" s="3"/>
      <c r="E654" s="3"/>
      <c r="F654" s="3"/>
      <c r="G654" s="3"/>
    </row>
    <row r="655" spans="1:7" ht="15.75" customHeight="1">
      <c r="A655" s="3"/>
      <c r="B655" s="3"/>
      <c r="C655" s="3"/>
      <c r="D655" s="3"/>
      <c r="E655" s="3"/>
      <c r="F655" s="3"/>
      <c r="G655" s="3"/>
    </row>
    <row r="656" spans="1:7" ht="15.75" customHeight="1">
      <c r="A656" s="3"/>
      <c r="B656" s="3"/>
      <c r="C656" s="3"/>
      <c r="D656" s="3"/>
      <c r="E656" s="3"/>
      <c r="F656" s="3"/>
      <c r="G656" s="3"/>
    </row>
    <row r="657" spans="1:7" ht="15.75" customHeight="1">
      <c r="A657" s="3"/>
      <c r="B657" s="3"/>
      <c r="C657" s="3"/>
      <c r="D657" s="3"/>
      <c r="E657" s="3"/>
      <c r="F657" s="3"/>
      <c r="G657" s="3"/>
    </row>
    <row r="658" spans="1:7" ht="15.75" customHeight="1">
      <c r="A658" s="3"/>
      <c r="B658" s="3"/>
      <c r="C658" s="3"/>
      <c r="D658" s="3"/>
      <c r="E658" s="3"/>
      <c r="F658" s="3"/>
      <c r="G658" s="3"/>
    </row>
    <row r="659" spans="1:7" ht="15.75" customHeight="1">
      <c r="A659" s="3"/>
      <c r="B659" s="3"/>
      <c r="C659" s="3"/>
      <c r="D659" s="3"/>
      <c r="E659" s="3"/>
      <c r="F659" s="3"/>
      <c r="G659" s="3"/>
    </row>
    <row r="660" spans="1:7" ht="15.75" customHeight="1">
      <c r="A660" s="3"/>
      <c r="B660" s="3"/>
      <c r="C660" s="3"/>
      <c r="D660" s="3"/>
      <c r="E660" s="3"/>
      <c r="F660" s="3"/>
      <c r="G660" s="3"/>
    </row>
    <row r="661" spans="1:7" ht="15.75" customHeight="1">
      <c r="A661" s="3"/>
      <c r="B661" s="3"/>
      <c r="C661" s="3"/>
      <c r="D661" s="3"/>
      <c r="E661" s="3"/>
      <c r="F661" s="3"/>
      <c r="G661" s="3"/>
    </row>
    <row r="662" spans="1:7" ht="15.75" customHeight="1">
      <c r="A662" s="3"/>
      <c r="B662" s="3"/>
      <c r="C662" s="3"/>
      <c r="D662" s="3"/>
      <c r="E662" s="3"/>
      <c r="F662" s="3"/>
      <c r="G662" s="3"/>
    </row>
    <row r="663" spans="1:7" ht="15.75" customHeight="1">
      <c r="A663" s="3"/>
      <c r="B663" s="3"/>
      <c r="C663" s="3"/>
      <c r="D663" s="3"/>
      <c r="E663" s="3"/>
      <c r="F663" s="3"/>
      <c r="G663" s="3"/>
    </row>
    <row r="664" spans="1:7" ht="15.75" customHeight="1">
      <c r="A664" s="3"/>
      <c r="B664" s="3"/>
      <c r="C664" s="3"/>
      <c r="D664" s="3"/>
      <c r="E664" s="3"/>
      <c r="F664" s="3"/>
      <c r="G664" s="3"/>
    </row>
    <row r="665" spans="1:7" ht="15.75" customHeight="1">
      <c r="A665" s="3"/>
      <c r="B665" s="3"/>
      <c r="C665" s="3"/>
      <c r="D665" s="3"/>
      <c r="E665" s="3"/>
      <c r="F665" s="3"/>
      <c r="G665" s="3"/>
    </row>
    <row r="666" spans="1:7" ht="15.75" customHeight="1">
      <c r="A666" s="3"/>
      <c r="B666" s="3"/>
      <c r="C666" s="3"/>
      <c r="D666" s="3"/>
      <c r="E666" s="3"/>
      <c r="F666" s="3"/>
      <c r="G666" s="3"/>
    </row>
    <row r="667" spans="1:7" ht="15.75" customHeight="1">
      <c r="A667" s="3"/>
      <c r="B667" s="3"/>
      <c r="C667" s="3"/>
      <c r="D667" s="3"/>
      <c r="E667" s="3"/>
      <c r="F667" s="3"/>
      <c r="G667" s="3"/>
    </row>
    <row r="668" spans="1:7" ht="15.75" customHeight="1">
      <c r="A668" s="3"/>
      <c r="B668" s="3"/>
      <c r="C668" s="3"/>
      <c r="D668" s="3"/>
      <c r="E668" s="3"/>
      <c r="F668" s="3"/>
      <c r="G668" s="3"/>
    </row>
    <row r="669" spans="1:7" ht="15.75" customHeight="1">
      <c r="A669" s="3"/>
      <c r="B669" s="3"/>
      <c r="C669" s="3"/>
      <c r="D669" s="3"/>
      <c r="E669" s="3"/>
      <c r="F669" s="3"/>
      <c r="G669" s="3"/>
    </row>
    <row r="670" spans="1:7" ht="15.75" customHeight="1">
      <c r="A670" s="3"/>
      <c r="B670" s="3"/>
      <c r="C670" s="3"/>
      <c r="D670" s="3"/>
      <c r="E670" s="3"/>
      <c r="F670" s="3"/>
      <c r="G670" s="3"/>
    </row>
    <row r="671" spans="1:7" ht="15.75" customHeight="1">
      <c r="A671" s="3"/>
      <c r="B671" s="3"/>
      <c r="C671" s="3"/>
      <c r="D671" s="3"/>
      <c r="E671" s="3"/>
      <c r="F671" s="3"/>
      <c r="G671" s="3"/>
    </row>
    <row r="672" spans="1:7" ht="15.75" customHeight="1">
      <c r="A672" s="3"/>
      <c r="B672" s="3"/>
      <c r="C672" s="3"/>
      <c r="D672" s="3"/>
      <c r="E672" s="3"/>
      <c r="F672" s="3"/>
      <c r="G672" s="3"/>
    </row>
    <row r="673" spans="1:7" ht="15.75" customHeight="1">
      <c r="A673" s="3"/>
      <c r="B673" s="3"/>
      <c r="C673" s="3"/>
      <c r="D673" s="3"/>
      <c r="E673" s="3"/>
      <c r="F673" s="3"/>
      <c r="G673" s="3"/>
    </row>
    <row r="674" spans="1:7" ht="15.75" customHeight="1">
      <c r="A674" s="3"/>
      <c r="B674" s="3"/>
      <c r="C674" s="3"/>
      <c r="D674" s="3"/>
      <c r="E674" s="3"/>
      <c r="F674" s="3"/>
      <c r="G674" s="3"/>
    </row>
    <row r="675" spans="1:7" ht="15.75" customHeight="1">
      <c r="A675" s="3"/>
      <c r="B675" s="3"/>
      <c r="C675" s="3"/>
      <c r="D675" s="3"/>
      <c r="E675" s="3"/>
      <c r="F675" s="3"/>
      <c r="G675" s="3"/>
    </row>
    <row r="676" spans="1:7" ht="15.75" customHeight="1">
      <c r="A676" s="3"/>
      <c r="B676" s="3"/>
      <c r="C676" s="3"/>
      <c r="D676" s="3"/>
      <c r="E676" s="3"/>
      <c r="F676" s="3"/>
      <c r="G676" s="3"/>
    </row>
    <row r="677" spans="1:7" ht="15.75" customHeight="1">
      <c r="A677" s="3"/>
      <c r="B677" s="3"/>
      <c r="C677" s="3"/>
      <c r="D677" s="3"/>
      <c r="E677" s="3"/>
      <c r="F677" s="3"/>
      <c r="G677" s="3"/>
    </row>
    <row r="678" spans="1:7" ht="15.75" customHeight="1">
      <c r="A678" s="3"/>
      <c r="B678" s="3"/>
      <c r="C678" s="3"/>
      <c r="D678" s="3"/>
      <c r="E678" s="3"/>
      <c r="F678" s="3"/>
      <c r="G678" s="3"/>
    </row>
    <row r="679" spans="1:7" ht="15.75" customHeight="1">
      <c r="A679" s="3"/>
      <c r="B679" s="3"/>
      <c r="C679" s="3"/>
      <c r="D679" s="3"/>
      <c r="E679" s="3"/>
      <c r="F679" s="3"/>
      <c r="G679" s="3"/>
    </row>
    <row r="680" spans="1:7" ht="15.75" customHeight="1">
      <c r="A680" s="3"/>
      <c r="B680" s="3"/>
      <c r="C680" s="3"/>
      <c r="D680" s="3"/>
      <c r="E680" s="3"/>
      <c r="F680" s="3"/>
      <c r="G680" s="3"/>
    </row>
    <row r="681" spans="1:7" ht="15.75" customHeight="1">
      <c r="A681" s="3"/>
      <c r="B681" s="3"/>
      <c r="C681" s="3"/>
      <c r="D681" s="3"/>
      <c r="E681" s="3"/>
      <c r="F681" s="3"/>
      <c r="G681" s="3"/>
    </row>
    <row r="682" spans="1:7" ht="15.75" customHeight="1">
      <c r="A682" s="3"/>
      <c r="B682" s="3"/>
      <c r="C682" s="3"/>
      <c r="D682" s="3"/>
      <c r="E682" s="3"/>
      <c r="F682" s="3"/>
      <c r="G682" s="3"/>
    </row>
    <row r="683" spans="1:7" ht="15.75" customHeight="1">
      <c r="A683" s="3"/>
      <c r="B683" s="3"/>
      <c r="C683" s="3"/>
      <c r="D683" s="3"/>
      <c r="E683" s="3"/>
      <c r="F683" s="3"/>
      <c r="G683" s="3"/>
    </row>
    <row r="684" spans="1:7" ht="15.75" customHeight="1">
      <c r="A684" s="3"/>
      <c r="B684" s="3"/>
      <c r="C684" s="3"/>
      <c r="D684" s="3"/>
      <c r="E684" s="3"/>
      <c r="F684" s="3"/>
      <c r="G684" s="3"/>
    </row>
    <row r="685" spans="1:7" ht="15.75" customHeight="1">
      <c r="A685" s="3"/>
      <c r="B685" s="3"/>
      <c r="C685" s="3"/>
      <c r="D685" s="3"/>
      <c r="E685" s="3"/>
      <c r="F685" s="3"/>
      <c r="G685" s="3"/>
    </row>
    <row r="686" spans="1:7" ht="15.75" customHeight="1">
      <c r="A686" s="3"/>
      <c r="B686" s="3"/>
      <c r="C686" s="3"/>
      <c r="D686" s="3"/>
      <c r="E686" s="3"/>
      <c r="F686" s="3"/>
      <c r="G686" s="3"/>
    </row>
    <row r="687" spans="1:7" ht="15.75" customHeight="1">
      <c r="A687" s="3"/>
      <c r="B687" s="3"/>
      <c r="C687" s="3"/>
      <c r="D687" s="3"/>
      <c r="E687" s="3"/>
      <c r="F687" s="3"/>
      <c r="G687" s="3"/>
    </row>
    <row r="688" spans="1:7" ht="15.75" customHeight="1">
      <c r="A688" s="3"/>
      <c r="B688" s="3"/>
      <c r="C688" s="3"/>
      <c r="D688" s="3"/>
      <c r="E688" s="3"/>
      <c r="F688" s="3"/>
      <c r="G688" s="3"/>
    </row>
    <row r="689" spans="1:7" ht="15.75" customHeight="1">
      <c r="A689" s="3"/>
      <c r="B689" s="3"/>
      <c r="C689" s="3"/>
      <c r="D689" s="3"/>
      <c r="E689" s="3"/>
      <c r="F689" s="3"/>
      <c r="G689" s="3"/>
    </row>
    <row r="690" spans="1:7" ht="15.75" customHeight="1">
      <c r="A690" s="3"/>
      <c r="B690" s="3"/>
      <c r="C690" s="3"/>
      <c r="D690" s="3"/>
      <c r="E690" s="3"/>
      <c r="F690" s="3"/>
      <c r="G690" s="3"/>
    </row>
    <row r="691" spans="1:7" ht="15.75" customHeight="1">
      <c r="A691" s="3"/>
      <c r="B691" s="3"/>
      <c r="C691" s="3"/>
      <c r="D691" s="3"/>
      <c r="E691" s="3"/>
      <c r="F691" s="3"/>
      <c r="G691" s="3"/>
    </row>
    <row r="692" spans="1:7" ht="15.75" customHeight="1">
      <c r="A692" s="3"/>
      <c r="B692" s="3"/>
      <c r="C692" s="3"/>
      <c r="D692" s="3"/>
      <c r="E692" s="3"/>
      <c r="F692" s="3"/>
      <c r="G692" s="3"/>
    </row>
    <row r="693" spans="1:7" ht="15.75" customHeight="1">
      <c r="A693" s="3"/>
      <c r="B693" s="3"/>
      <c r="C693" s="3"/>
      <c r="D693" s="3"/>
      <c r="E693" s="3"/>
      <c r="F693" s="3"/>
      <c r="G693" s="3"/>
    </row>
    <row r="694" spans="1:7" ht="15.75" customHeight="1">
      <c r="A694" s="3"/>
      <c r="B694" s="3"/>
      <c r="C694" s="3"/>
      <c r="D694" s="3"/>
      <c r="E694" s="3"/>
      <c r="F694" s="3"/>
      <c r="G694" s="3"/>
    </row>
    <row r="695" spans="1:7" ht="15.75" customHeight="1">
      <c r="A695" s="3"/>
      <c r="B695" s="3"/>
      <c r="C695" s="3"/>
      <c r="D695" s="3"/>
      <c r="E695" s="3"/>
      <c r="F695" s="3"/>
      <c r="G695" s="3"/>
    </row>
    <row r="696" spans="1:7" ht="15.75" customHeight="1">
      <c r="A696" s="3"/>
      <c r="B696" s="3"/>
      <c r="C696" s="3"/>
      <c r="D696" s="3"/>
      <c r="E696" s="3"/>
      <c r="F696" s="3"/>
      <c r="G696" s="3"/>
    </row>
    <row r="697" spans="1:7" ht="15.75" customHeight="1">
      <c r="A697" s="3"/>
      <c r="B697" s="3"/>
      <c r="C697" s="3"/>
      <c r="D697" s="3"/>
      <c r="E697" s="3"/>
      <c r="F697" s="3"/>
      <c r="G697" s="3"/>
    </row>
    <row r="698" spans="1:7" ht="15.75" customHeight="1">
      <c r="A698" s="3"/>
      <c r="B698" s="3"/>
      <c r="C698" s="3"/>
      <c r="D698" s="3"/>
      <c r="E698" s="3"/>
      <c r="F698" s="3"/>
      <c r="G698" s="3"/>
    </row>
    <row r="699" spans="1:7" ht="15.75" customHeight="1">
      <c r="A699" s="3"/>
      <c r="B699" s="3"/>
      <c r="C699" s="3"/>
      <c r="D699" s="3"/>
      <c r="E699" s="3"/>
      <c r="F699" s="3"/>
      <c r="G699" s="3"/>
    </row>
    <row r="700" spans="1:7" ht="15.75" customHeight="1">
      <c r="A700" s="3"/>
      <c r="B700" s="3"/>
      <c r="C700" s="3"/>
      <c r="D700" s="3"/>
      <c r="E700" s="3"/>
      <c r="F700" s="3"/>
      <c r="G700" s="3"/>
    </row>
    <row r="701" spans="1:7" ht="15.75" customHeight="1">
      <c r="A701" s="3"/>
      <c r="B701" s="3"/>
      <c r="C701" s="3"/>
      <c r="D701" s="3"/>
      <c r="E701" s="3"/>
      <c r="F701" s="3"/>
      <c r="G701" s="3"/>
    </row>
    <row r="702" spans="1:7" ht="15.75" customHeight="1">
      <c r="A702" s="3"/>
      <c r="B702" s="3"/>
      <c r="C702" s="3"/>
      <c r="D702" s="3"/>
      <c r="E702" s="3"/>
      <c r="F702" s="3"/>
      <c r="G702" s="3"/>
    </row>
    <row r="703" spans="1:7" ht="15.75" customHeight="1">
      <c r="A703" s="3"/>
      <c r="B703" s="3"/>
      <c r="C703" s="3"/>
      <c r="D703" s="3"/>
      <c r="E703" s="3"/>
      <c r="F703" s="3"/>
      <c r="G703" s="3"/>
    </row>
    <row r="704" spans="1:7" ht="15.75" customHeight="1">
      <c r="A704" s="3"/>
      <c r="B704" s="3"/>
      <c r="C704" s="3"/>
      <c r="D704" s="3"/>
      <c r="E704" s="3"/>
      <c r="F704" s="3"/>
      <c r="G704" s="3"/>
    </row>
    <row r="705" spans="1:7" ht="15.75" customHeight="1">
      <c r="A705" s="3"/>
      <c r="B705" s="3"/>
      <c r="C705" s="3"/>
      <c r="D705" s="3"/>
      <c r="E705" s="3"/>
      <c r="F705" s="3"/>
      <c r="G705" s="3"/>
    </row>
    <row r="706" spans="1:7" ht="15.75" customHeight="1">
      <c r="A706" s="3"/>
      <c r="B706" s="3"/>
      <c r="C706" s="3"/>
      <c r="D706" s="3"/>
      <c r="E706" s="3"/>
      <c r="F706" s="3"/>
      <c r="G706" s="3"/>
    </row>
    <row r="707" spans="1:7" ht="15.75" customHeight="1">
      <c r="A707" s="3"/>
      <c r="B707" s="3"/>
      <c r="C707" s="3"/>
      <c r="D707" s="3"/>
      <c r="E707" s="3"/>
      <c r="F707" s="3"/>
      <c r="G707" s="3"/>
    </row>
    <row r="708" spans="1:7" ht="15.75" customHeight="1">
      <c r="A708" s="3"/>
      <c r="B708" s="3"/>
      <c r="C708" s="3"/>
      <c r="D708" s="3"/>
      <c r="E708" s="3"/>
      <c r="F708" s="3"/>
      <c r="G708" s="3"/>
    </row>
    <row r="709" spans="1:7" ht="15.75" customHeight="1">
      <c r="A709" s="3"/>
      <c r="B709" s="3"/>
      <c r="C709" s="3"/>
      <c r="D709" s="3"/>
      <c r="E709" s="3"/>
      <c r="F709" s="3"/>
      <c r="G709" s="3"/>
    </row>
    <row r="710" spans="1:7" ht="15.75" customHeight="1">
      <c r="A710" s="3"/>
      <c r="B710" s="3"/>
      <c r="C710" s="3"/>
      <c r="D710" s="3"/>
      <c r="E710" s="3"/>
      <c r="F710" s="3"/>
      <c r="G710" s="3"/>
    </row>
    <row r="711" spans="1:7" ht="15.75" customHeight="1">
      <c r="A711" s="3"/>
      <c r="B711" s="3"/>
      <c r="C711" s="3"/>
      <c r="D711" s="3"/>
      <c r="E711" s="3"/>
      <c r="F711" s="3"/>
      <c r="G711" s="3"/>
    </row>
    <row r="712" spans="1:7" ht="15.75" customHeight="1">
      <c r="A712" s="3"/>
      <c r="B712" s="3"/>
      <c r="C712" s="3"/>
      <c r="D712" s="3"/>
      <c r="E712" s="3"/>
      <c r="F712" s="3"/>
      <c r="G712" s="3"/>
    </row>
    <row r="713" spans="1:7" ht="15.75" customHeight="1">
      <c r="A713" s="3"/>
      <c r="B713" s="3"/>
      <c r="C713" s="3"/>
      <c r="D713" s="3"/>
      <c r="E713" s="3"/>
      <c r="F713" s="3"/>
      <c r="G713" s="3"/>
    </row>
    <row r="714" spans="1:7" ht="15.75" customHeight="1">
      <c r="A714" s="3"/>
      <c r="B714" s="3"/>
      <c r="C714" s="3"/>
      <c r="D714" s="3"/>
      <c r="E714" s="3"/>
      <c r="F714" s="3"/>
      <c r="G714" s="3"/>
    </row>
    <row r="715" spans="1:7" ht="15.75" customHeight="1">
      <c r="A715" s="3"/>
      <c r="B715" s="3"/>
      <c r="C715" s="3"/>
      <c r="D715" s="3"/>
      <c r="E715" s="3"/>
      <c r="F715" s="3"/>
      <c r="G715" s="3"/>
    </row>
    <row r="716" spans="1:7" ht="15.75" customHeight="1">
      <c r="A716" s="3"/>
      <c r="B716" s="3"/>
      <c r="C716" s="3"/>
      <c r="D716" s="3"/>
      <c r="E716" s="3"/>
      <c r="F716" s="3"/>
      <c r="G716" s="3"/>
    </row>
    <row r="717" spans="1:7" ht="15.75" customHeight="1">
      <c r="A717" s="3"/>
      <c r="B717" s="3"/>
      <c r="C717" s="3"/>
      <c r="D717" s="3"/>
      <c r="E717" s="3"/>
      <c r="F717" s="3"/>
      <c r="G717" s="3"/>
    </row>
    <row r="718" spans="1:7" ht="15.75" customHeight="1">
      <c r="A718" s="3"/>
      <c r="B718" s="3"/>
      <c r="C718" s="3"/>
      <c r="D718" s="3"/>
      <c r="E718" s="3"/>
      <c r="F718" s="3"/>
      <c r="G718" s="3"/>
    </row>
    <row r="719" spans="1:7" ht="15.75" customHeight="1">
      <c r="A719" s="3"/>
      <c r="B719" s="3"/>
      <c r="C719" s="3"/>
      <c r="D719" s="3"/>
      <c r="E719" s="3"/>
      <c r="F719" s="3"/>
      <c r="G719" s="3"/>
    </row>
    <row r="720" spans="1:7" ht="15.75" customHeight="1">
      <c r="A720" s="3"/>
      <c r="B720" s="3"/>
      <c r="C720" s="3"/>
      <c r="D720" s="3"/>
      <c r="E720" s="3"/>
      <c r="F720" s="3"/>
      <c r="G720" s="3"/>
    </row>
    <row r="721" spans="1:7" ht="15.75" customHeight="1">
      <c r="A721" s="3"/>
      <c r="B721" s="3"/>
      <c r="C721" s="3"/>
      <c r="D721" s="3"/>
      <c r="E721" s="3"/>
      <c r="F721" s="3"/>
      <c r="G721" s="3"/>
    </row>
    <row r="722" spans="1:7" ht="15.75" customHeight="1">
      <c r="A722" s="3"/>
      <c r="B722" s="3"/>
      <c r="C722" s="3"/>
      <c r="D722" s="3"/>
      <c r="E722" s="3"/>
      <c r="F722" s="3"/>
      <c r="G722" s="3"/>
    </row>
    <row r="723" spans="1:7" ht="15.75" customHeight="1">
      <c r="A723" s="3"/>
      <c r="B723" s="3"/>
      <c r="C723" s="3"/>
      <c r="D723" s="3"/>
      <c r="E723" s="3"/>
      <c r="F723" s="3"/>
      <c r="G723" s="3"/>
    </row>
    <row r="724" spans="1:7" ht="15.75" customHeight="1">
      <c r="A724" s="3"/>
      <c r="B724" s="3"/>
      <c r="C724" s="3"/>
      <c r="D724" s="3"/>
      <c r="E724" s="3"/>
      <c r="F724" s="3"/>
      <c r="G724" s="3"/>
    </row>
    <row r="725" spans="1:7" ht="15.75" customHeight="1">
      <c r="A725" s="3"/>
      <c r="B725" s="3"/>
      <c r="C725" s="3"/>
      <c r="D725" s="3"/>
      <c r="E725" s="3"/>
      <c r="F725" s="3"/>
      <c r="G725" s="3"/>
    </row>
    <row r="726" spans="1:7" ht="15.75" customHeight="1">
      <c r="A726" s="3"/>
      <c r="B726" s="3"/>
      <c r="C726" s="3"/>
      <c r="D726" s="3"/>
      <c r="E726" s="3"/>
      <c r="F726" s="3"/>
      <c r="G726" s="3"/>
    </row>
    <row r="727" spans="1:7" ht="15.75" customHeight="1">
      <c r="A727" s="3"/>
      <c r="B727" s="3"/>
      <c r="C727" s="3"/>
      <c r="D727" s="3"/>
      <c r="E727" s="3"/>
      <c r="F727" s="3"/>
      <c r="G727" s="3"/>
    </row>
    <row r="728" spans="1:7" ht="15.75" customHeight="1">
      <c r="A728" s="3"/>
      <c r="B728" s="3"/>
      <c r="C728" s="3"/>
      <c r="D728" s="3"/>
      <c r="E728" s="3"/>
      <c r="F728" s="3"/>
      <c r="G728" s="3"/>
    </row>
    <row r="729" spans="1:7" ht="15.75" customHeight="1">
      <c r="A729" s="3"/>
      <c r="B729" s="3"/>
      <c r="C729" s="3"/>
      <c r="D729" s="3"/>
      <c r="E729" s="3"/>
      <c r="F729" s="3"/>
      <c r="G729" s="3"/>
    </row>
    <row r="730" spans="1:7" ht="15.75" customHeight="1">
      <c r="A730" s="3"/>
      <c r="B730" s="3"/>
      <c r="C730" s="3"/>
      <c r="D730" s="3"/>
      <c r="E730" s="3"/>
      <c r="F730" s="3"/>
      <c r="G730" s="3"/>
    </row>
    <row r="731" spans="1:7" ht="15.75" customHeight="1">
      <c r="A731" s="3"/>
      <c r="B731" s="3"/>
      <c r="C731" s="3"/>
      <c r="D731" s="3"/>
      <c r="E731" s="3"/>
      <c r="F731" s="3"/>
      <c r="G731" s="3"/>
    </row>
    <row r="732" spans="1:7" ht="15.75" customHeight="1">
      <c r="A732" s="3"/>
      <c r="B732" s="3"/>
      <c r="C732" s="3"/>
      <c r="D732" s="3"/>
      <c r="E732" s="3"/>
      <c r="F732" s="3"/>
      <c r="G732" s="3"/>
    </row>
    <row r="733" spans="1:7" ht="15.75" customHeight="1">
      <c r="A733" s="3"/>
      <c r="B733" s="3"/>
      <c r="C733" s="3"/>
      <c r="D733" s="3"/>
      <c r="E733" s="3"/>
      <c r="F733" s="3"/>
      <c r="G733" s="3"/>
    </row>
    <row r="734" spans="1:7" ht="15.75" customHeight="1">
      <c r="A734" s="3"/>
      <c r="B734" s="3"/>
      <c r="C734" s="3"/>
      <c r="D734" s="3"/>
      <c r="E734" s="3"/>
      <c r="F734" s="3"/>
      <c r="G734" s="3"/>
    </row>
    <row r="735" spans="1:7" ht="15.75" customHeight="1">
      <c r="A735" s="3"/>
      <c r="B735" s="3"/>
      <c r="C735" s="3"/>
      <c r="D735" s="3"/>
      <c r="E735" s="3"/>
      <c r="F735" s="3"/>
      <c r="G735" s="3"/>
    </row>
    <row r="736" spans="1:7" ht="15.75" customHeight="1">
      <c r="A736" s="3"/>
      <c r="B736" s="3"/>
      <c r="C736" s="3"/>
      <c r="D736" s="3"/>
      <c r="E736" s="3"/>
      <c r="F736" s="3"/>
      <c r="G736" s="3"/>
    </row>
    <row r="737" spans="1:7" ht="15.75" customHeight="1">
      <c r="A737" s="3"/>
      <c r="B737" s="3"/>
      <c r="C737" s="3"/>
      <c r="D737" s="3"/>
      <c r="E737" s="3"/>
      <c r="F737" s="3"/>
      <c r="G737" s="3"/>
    </row>
    <row r="738" spans="1:7" ht="15.75" customHeight="1">
      <c r="A738" s="3"/>
      <c r="B738" s="3"/>
      <c r="C738" s="3"/>
      <c r="D738" s="3"/>
      <c r="E738" s="3"/>
      <c r="F738" s="3"/>
      <c r="G738" s="3"/>
    </row>
    <row r="739" spans="1:7" ht="15.75" customHeight="1">
      <c r="A739" s="3"/>
      <c r="B739" s="3"/>
      <c r="C739" s="3"/>
      <c r="D739" s="3"/>
      <c r="E739" s="3"/>
      <c r="F739" s="3"/>
      <c r="G739" s="3"/>
    </row>
    <row r="740" spans="1:7" ht="15.75" customHeight="1">
      <c r="A740" s="3"/>
      <c r="B740" s="3"/>
      <c r="C740" s="3"/>
      <c r="D740" s="3"/>
      <c r="E740" s="3"/>
      <c r="F740" s="3"/>
      <c r="G740" s="3"/>
    </row>
    <row r="741" spans="1:7" ht="15.75" customHeight="1">
      <c r="A741" s="3"/>
      <c r="B741" s="3"/>
      <c r="C741" s="3"/>
      <c r="D741" s="3"/>
      <c r="E741" s="3"/>
      <c r="F741" s="3"/>
      <c r="G741" s="3"/>
    </row>
    <row r="742" spans="1:7" ht="15.75" customHeight="1">
      <c r="A742" s="3"/>
      <c r="B742" s="3"/>
      <c r="C742" s="3"/>
      <c r="D742" s="3"/>
      <c r="E742" s="3"/>
      <c r="F742" s="3"/>
      <c r="G742" s="3"/>
    </row>
    <row r="743" spans="1:7" ht="15.75" customHeight="1">
      <c r="A743" s="3"/>
      <c r="B743" s="3"/>
      <c r="C743" s="3"/>
      <c r="D743" s="3"/>
      <c r="E743" s="3"/>
      <c r="F743" s="3"/>
      <c r="G743" s="3"/>
    </row>
    <row r="744" spans="1:7" ht="15.75" customHeight="1">
      <c r="A744" s="3"/>
      <c r="B744" s="3"/>
      <c r="C744" s="3"/>
      <c r="D744" s="3"/>
      <c r="E744" s="3"/>
      <c r="F744" s="3"/>
      <c r="G744" s="3"/>
    </row>
    <row r="745" spans="1:7" ht="15.75" customHeight="1">
      <c r="A745" s="3"/>
      <c r="B745" s="3"/>
      <c r="C745" s="3"/>
      <c r="D745" s="3"/>
      <c r="E745" s="3"/>
      <c r="F745" s="3"/>
      <c r="G745" s="3"/>
    </row>
    <row r="746" spans="1:7" ht="15.75" customHeight="1">
      <c r="A746" s="3"/>
      <c r="B746" s="3"/>
      <c r="C746" s="3"/>
      <c r="D746" s="3"/>
      <c r="E746" s="3"/>
      <c r="F746" s="3"/>
      <c r="G746" s="3"/>
    </row>
    <row r="747" spans="1:7" ht="15.75" customHeight="1">
      <c r="A747" s="3"/>
      <c r="B747" s="3"/>
      <c r="C747" s="3"/>
      <c r="D747" s="3"/>
      <c r="E747" s="3"/>
      <c r="F747" s="3"/>
      <c r="G747" s="3"/>
    </row>
    <row r="748" spans="1:7" ht="15.75" customHeight="1">
      <c r="A748" s="3"/>
      <c r="B748" s="3"/>
      <c r="C748" s="3"/>
      <c r="D748" s="3"/>
      <c r="E748" s="3"/>
      <c r="F748" s="3"/>
      <c r="G748" s="3"/>
    </row>
    <row r="749" spans="1:7" ht="15.75" customHeight="1">
      <c r="A749" s="3"/>
      <c r="B749" s="3"/>
      <c r="C749" s="3"/>
      <c r="D749" s="3"/>
      <c r="E749" s="3"/>
      <c r="F749" s="3"/>
      <c r="G749" s="3"/>
    </row>
    <row r="750" spans="1:7" ht="15.75" customHeight="1">
      <c r="A750" s="3"/>
      <c r="B750" s="3"/>
      <c r="C750" s="3"/>
      <c r="D750" s="3"/>
      <c r="E750" s="3"/>
      <c r="F750" s="3"/>
      <c r="G750" s="3"/>
    </row>
    <row r="751" spans="1:7" ht="15.75" customHeight="1">
      <c r="A751" s="3"/>
      <c r="B751" s="3"/>
      <c r="C751" s="3"/>
      <c r="D751" s="3"/>
      <c r="E751" s="3"/>
      <c r="F751" s="3"/>
      <c r="G751" s="3"/>
    </row>
    <row r="752" spans="1:7" ht="15.75" customHeight="1">
      <c r="A752" s="3"/>
      <c r="B752" s="3"/>
      <c r="C752" s="3"/>
      <c r="D752" s="3"/>
      <c r="E752" s="3"/>
      <c r="F752" s="3"/>
      <c r="G752" s="3"/>
    </row>
    <row r="753" spans="1:7" ht="15.75" customHeight="1">
      <c r="A753" s="3"/>
      <c r="B753" s="3"/>
      <c r="C753" s="3"/>
      <c r="D753" s="3"/>
      <c r="E753" s="3"/>
      <c r="F753" s="3"/>
      <c r="G753" s="3"/>
    </row>
    <row r="754" spans="1:7" ht="15.75" customHeight="1">
      <c r="A754" s="3"/>
      <c r="B754" s="3"/>
      <c r="C754" s="3"/>
      <c r="D754" s="3"/>
      <c r="E754" s="3"/>
      <c r="F754" s="3"/>
      <c r="G754" s="3"/>
    </row>
    <row r="755" spans="1:7" ht="15.75" customHeight="1">
      <c r="A755" s="3"/>
      <c r="B755" s="3"/>
      <c r="C755" s="3"/>
      <c r="D755" s="3"/>
      <c r="E755" s="3"/>
      <c r="F755" s="3"/>
      <c r="G755" s="3"/>
    </row>
    <row r="756" spans="1:7" ht="15.75" customHeight="1">
      <c r="A756" s="3"/>
      <c r="B756" s="3"/>
      <c r="C756" s="3"/>
      <c r="D756" s="3"/>
      <c r="E756" s="3"/>
      <c r="F756" s="3"/>
      <c r="G756" s="3"/>
    </row>
    <row r="757" spans="1:7" ht="15.75" customHeight="1">
      <c r="A757" s="3"/>
      <c r="B757" s="3"/>
      <c r="C757" s="3"/>
      <c r="D757" s="3"/>
      <c r="E757" s="3"/>
      <c r="F757" s="3"/>
      <c r="G757" s="3"/>
    </row>
    <row r="758" spans="1:7" ht="15.75" customHeight="1">
      <c r="A758" s="3"/>
      <c r="B758" s="3"/>
      <c r="C758" s="3"/>
      <c r="D758" s="3"/>
      <c r="E758" s="3"/>
      <c r="F758" s="3"/>
      <c r="G758" s="3"/>
    </row>
    <row r="759" spans="1:7" ht="15.75" customHeight="1">
      <c r="A759" s="3"/>
      <c r="B759" s="3"/>
      <c r="C759" s="3"/>
      <c r="D759" s="3"/>
      <c r="E759" s="3"/>
      <c r="F759" s="3"/>
      <c r="G759" s="3"/>
    </row>
    <row r="760" spans="1:7" ht="15.75" customHeight="1">
      <c r="A760" s="3"/>
      <c r="B760" s="3"/>
      <c r="C760" s="3"/>
      <c r="D760" s="3"/>
      <c r="E760" s="3"/>
      <c r="F760" s="3"/>
      <c r="G760" s="3"/>
    </row>
    <row r="761" spans="1:7" ht="15.75" customHeight="1">
      <c r="A761" s="3"/>
      <c r="B761" s="3"/>
      <c r="C761" s="3"/>
      <c r="D761" s="3"/>
      <c r="E761" s="3"/>
      <c r="F761" s="3"/>
      <c r="G761" s="3"/>
    </row>
    <row r="762" spans="1:7" ht="15.75" customHeight="1">
      <c r="A762" s="3"/>
      <c r="B762" s="3"/>
      <c r="C762" s="3"/>
      <c r="D762" s="3"/>
      <c r="E762" s="3"/>
      <c r="F762" s="3"/>
      <c r="G762" s="3"/>
    </row>
    <row r="763" spans="1:7" ht="15.75" customHeight="1">
      <c r="A763" s="3"/>
      <c r="B763" s="3"/>
      <c r="C763" s="3"/>
      <c r="D763" s="3"/>
      <c r="E763" s="3"/>
      <c r="F763" s="3"/>
      <c r="G763" s="3"/>
    </row>
    <row r="764" spans="1:7" ht="15.75" customHeight="1">
      <c r="A764" s="3"/>
      <c r="B764" s="3"/>
      <c r="C764" s="3"/>
      <c r="D764" s="3"/>
      <c r="E764" s="3"/>
      <c r="F764" s="3"/>
      <c r="G764" s="3"/>
    </row>
    <row r="765" spans="1:7" ht="15.75" customHeight="1">
      <c r="A765" s="3"/>
      <c r="B765" s="3"/>
      <c r="C765" s="3"/>
      <c r="D765" s="3"/>
      <c r="E765" s="3"/>
      <c r="F765" s="3"/>
      <c r="G765" s="3"/>
    </row>
    <row r="766" spans="1:7" ht="15.75" customHeight="1">
      <c r="A766" s="3"/>
      <c r="B766" s="3"/>
      <c r="C766" s="3"/>
      <c r="D766" s="3"/>
      <c r="E766" s="3"/>
      <c r="F766" s="3"/>
      <c r="G766" s="3"/>
    </row>
    <row r="767" spans="1:7" ht="15.75" customHeight="1">
      <c r="A767" s="3"/>
      <c r="B767" s="3"/>
      <c r="C767" s="3"/>
      <c r="D767" s="3"/>
      <c r="E767" s="3"/>
      <c r="F767" s="3"/>
      <c r="G767" s="3"/>
    </row>
    <row r="768" spans="1:7" ht="15.75" customHeight="1">
      <c r="A768" s="3"/>
      <c r="B768" s="3"/>
      <c r="C768" s="3"/>
      <c r="D768" s="3"/>
      <c r="E768" s="3"/>
      <c r="F768" s="3"/>
      <c r="G768" s="3"/>
    </row>
    <row r="769" spans="1:7" ht="15.75" customHeight="1">
      <c r="A769" s="3"/>
      <c r="B769" s="3"/>
      <c r="C769" s="3"/>
      <c r="D769" s="3"/>
      <c r="E769" s="3"/>
      <c r="F769" s="3"/>
      <c r="G769" s="3"/>
    </row>
    <row r="770" spans="1:7" ht="15.75" customHeight="1">
      <c r="A770" s="3"/>
      <c r="B770" s="3"/>
      <c r="C770" s="3"/>
      <c r="D770" s="3"/>
      <c r="E770" s="3"/>
      <c r="F770" s="3"/>
      <c r="G770" s="3"/>
    </row>
    <row r="771" spans="1:7" ht="15.75" customHeight="1">
      <c r="A771" s="3"/>
      <c r="B771" s="3"/>
      <c r="C771" s="3"/>
      <c r="D771" s="3"/>
      <c r="E771" s="3"/>
      <c r="F771" s="3"/>
      <c r="G771" s="3"/>
    </row>
    <row r="772" spans="1:7" ht="15.75" customHeight="1">
      <c r="A772" s="3"/>
      <c r="B772" s="3"/>
      <c r="C772" s="3"/>
      <c r="D772" s="3"/>
      <c r="E772" s="3"/>
      <c r="F772" s="3"/>
      <c r="G772" s="3"/>
    </row>
    <row r="773" spans="1:7" ht="15.75" customHeight="1">
      <c r="A773" s="3"/>
      <c r="B773" s="3"/>
      <c r="C773" s="3"/>
      <c r="D773" s="3"/>
      <c r="E773" s="3"/>
      <c r="F773" s="3"/>
      <c r="G773" s="3"/>
    </row>
    <row r="774" spans="1:7" ht="15.75" customHeight="1">
      <c r="A774" s="3"/>
      <c r="B774" s="3"/>
      <c r="C774" s="3"/>
      <c r="D774" s="3"/>
      <c r="E774" s="3"/>
      <c r="F774" s="3"/>
      <c r="G774" s="3"/>
    </row>
    <row r="775" spans="1:7" ht="15.75" customHeight="1">
      <c r="A775" s="3"/>
      <c r="B775" s="3"/>
      <c r="C775" s="3"/>
      <c r="D775" s="3"/>
      <c r="E775" s="3"/>
      <c r="F775" s="3"/>
      <c r="G775" s="3"/>
    </row>
    <row r="776" spans="1:7" ht="15.75" customHeight="1">
      <c r="A776" s="3"/>
      <c r="B776" s="3"/>
      <c r="C776" s="3"/>
      <c r="D776" s="3"/>
      <c r="E776" s="3"/>
      <c r="F776" s="3"/>
      <c r="G776" s="3"/>
    </row>
    <row r="777" spans="1:7" ht="15.75" customHeight="1">
      <c r="A777" s="3"/>
      <c r="B777" s="3"/>
      <c r="C777" s="3"/>
      <c r="D777" s="3"/>
      <c r="E777" s="3"/>
      <c r="F777" s="3"/>
      <c r="G777" s="3"/>
    </row>
    <row r="778" spans="1:7" ht="15.75" customHeight="1">
      <c r="A778" s="3"/>
      <c r="B778" s="3"/>
      <c r="C778" s="3"/>
      <c r="D778" s="3"/>
      <c r="E778" s="3"/>
      <c r="F778" s="3"/>
      <c r="G778" s="3"/>
    </row>
    <row r="779" spans="1:7" ht="15.75" customHeight="1">
      <c r="A779" s="3"/>
      <c r="B779" s="3"/>
      <c r="C779" s="3"/>
      <c r="D779" s="3"/>
      <c r="E779" s="3"/>
      <c r="F779" s="3"/>
      <c r="G779" s="3"/>
    </row>
    <row r="780" spans="1:7" ht="15.75" customHeight="1">
      <c r="A780" s="3"/>
      <c r="B780" s="3"/>
      <c r="C780" s="3"/>
      <c r="D780" s="3"/>
      <c r="E780" s="3"/>
      <c r="F780" s="3"/>
      <c r="G780" s="3"/>
    </row>
    <row r="781" spans="1:7" ht="15.75" customHeight="1">
      <c r="A781" s="3"/>
      <c r="B781" s="3"/>
      <c r="C781" s="3"/>
      <c r="D781" s="3"/>
      <c r="E781" s="3"/>
      <c r="F781" s="3"/>
      <c r="G781" s="3"/>
    </row>
    <row r="782" spans="1:7" ht="15.75" customHeight="1">
      <c r="A782" s="3"/>
      <c r="B782" s="3"/>
      <c r="C782" s="3"/>
      <c r="D782" s="3"/>
      <c r="E782" s="3"/>
      <c r="F782" s="3"/>
      <c r="G782" s="3"/>
    </row>
    <row r="783" spans="1:7" ht="15.75" customHeight="1">
      <c r="A783" s="3"/>
      <c r="B783" s="3"/>
      <c r="C783" s="3"/>
      <c r="D783" s="3"/>
      <c r="E783" s="3"/>
      <c r="F783" s="3"/>
      <c r="G783" s="3"/>
    </row>
    <row r="784" spans="1:7" ht="15.75" customHeight="1">
      <c r="A784" s="3"/>
      <c r="B784" s="3"/>
      <c r="C784" s="3"/>
      <c r="D784" s="3"/>
      <c r="E784" s="3"/>
      <c r="F784" s="3"/>
      <c r="G784" s="3"/>
    </row>
    <row r="785" spans="1:7" ht="15.75" customHeight="1">
      <c r="A785" s="3"/>
      <c r="B785" s="3"/>
      <c r="C785" s="3"/>
      <c r="D785" s="3"/>
      <c r="E785" s="3"/>
      <c r="F785" s="3"/>
      <c r="G785" s="3"/>
    </row>
    <row r="786" spans="1:7" ht="15.75" customHeight="1">
      <c r="A786" s="3"/>
      <c r="B786" s="3"/>
      <c r="C786" s="3"/>
      <c r="D786" s="3"/>
      <c r="E786" s="3"/>
      <c r="F786" s="3"/>
      <c r="G786" s="3"/>
    </row>
    <row r="787" spans="1:7" ht="15.75" customHeight="1">
      <c r="A787" s="3"/>
      <c r="B787" s="3"/>
      <c r="C787" s="3"/>
      <c r="D787" s="3"/>
      <c r="E787" s="3"/>
      <c r="F787" s="3"/>
      <c r="G787" s="3"/>
    </row>
    <row r="788" spans="1:7" ht="15.75" customHeight="1">
      <c r="A788" s="3"/>
      <c r="B788" s="3"/>
      <c r="C788" s="3"/>
      <c r="D788" s="3"/>
      <c r="E788" s="3"/>
      <c r="F788" s="3"/>
      <c r="G788" s="3"/>
    </row>
    <row r="789" spans="1:7" ht="15.75" customHeight="1">
      <c r="A789" s="3"/>
      <c r="B789" s="3"/>
      <c r="C789" s="3"/>
      <c r="D789" s="3"/>
      <c r="E789" s="3"/>
      <c r="F789" s="3"/>
      <c r="G789" s="3"/>
    </row>
    <row r="790" spans="1:7" ht="15.75" customHeight="1">
      <c r="A790" s="3"/>
      <c r="B790" s="3"/>
      <c r="C790" s="3"/>
      <c r="D790" s="3"/>
      <c r="E790" s="3"/>
      <c r="F790" s="3"/>
      <c r="G790" s="3"/>
    </row>
    <row r="791" spans="1:7" ht="15.75" customHeight="1">
      <c r="A791" s="3"/>
      <c r="B791" s="3"/>
      <c r="C791" s="3"/>
      <c r="D791" s="3"/>
      <c r="E791" s="3"/>
      <c r="F791" s="3"/>
      <c r="G791" s="3"/>
    </row>
    <row r="792" spans="1:7" ht="15.75" customHeight="1">
      <c r="A792" s="3"/>
      <c r="B792" s="3"/>
      <c r="C792" s="3"/>
      <c r="D792" s="3"/>
      <c r="E792" s="3"/>
      <c r="F792" s="3"/>
      <c r="G792" s="3"/>
    </row>
    <row r="793" spans="1:7" ht="15.75" customHeight="1">
      <c r="A793" s="3"/>
      <c r="B793" s="3"/>
      <c r="C793" s="3"/>
      <c r="D793" s="3"/>
      <c r="E793" s="3"/>
      <c r="F793" s="3"/>
      <c r="G793" s="3"/>
    </row>
    <row r="794" spans="1:7" ht="15.75" customHeight="1">
      <c r="A794" s="3"/>
      <c r="B794" s="3"/>
      <c r="C794" s="3"/>
      <c r="D794" s="3"/>
      <c r="E794" s="3"/>
      <c r="F794" s="3"/>
      <c r="G794" s="3"/>
    </row>
    <row r="795" spans="1:7" ht="15.75" customHeight="1">
      <c r="A795" s="3"/>
      <c r="B795" s="3"/>
      <c r="C795" s="3"/>
      <c r="D795" s="3"/>
      <c r="E795" s="3"/>
      <c r="F795" s="3"/>
      <c r="G795" s="3"/>
    </row>
    <row r="796" spans="1:7" ht="15.75" customHeight="1">
      <c r="A796" s="3"/>
      <c r="B796" s="3"/>
      <c r="C796" s="3"/>
      <c r="D796" s="3"/>
      <c r="E796" s="3"/>
      <c r="F796" s="3"/>
      <c r="G796" s="3"/>
    </row>
    <row r="797" spans="1:7" ht="15.75" customHeight="1">
      <c r="A797" s="3"/>
      <c r="B797" s="3"/>
      <c r="C797" s="3"/>
      <c r="D797" s="3"/>
      <c r="E797" s="3"/>
      <c r="F797" s="3"/>
      <c r="G797" s="3"/>
    </row>
    <row r="798" spans="1:7" ht="15.75" customHeight="1">
      <c r="A798" s="3"/>
      <c r="B798" s="3"/>
      <c r="C798" s="3"/>
      <c r="D798" s="3"/>
      <c r="E798" s="3"/>
      <c r="F798" s="3"/>
      <c r="G798" s="3"/>
    </row>
    <row r="799" spans="1:7" ht="15.75" customHeight="1">
      <c r="A799" s="3"/>
      <c r="B799" s="3"/>
      <c r="C799" s="3"/>
      <c r="D799" s="3"/>
      <c r="E799" s="3"/>
      <c r="F799" s="3"/>
      <c r="G799" s="3"/>
    </row>
    <row r="800" spans="1:7" ht="15.75" customHeight="1">
      <c r="A800" s="3"/>
      <c r="B800" s="3"/>
      <c r="C800" s="3"/>
      <c r="D800" s="3"/>
      <c r="E800" s="3"/>
      <c r="F800" s="3"/>
      <c r="G800" s="3"/>
    </row>
    <row r="801" spans="1:7" ht="15.75" customHeight="1">
      <c r="A801" s="3"/>
      <c r="B801" s="3"/>
      <c r="C801" s="3"/>
      <c r="D801" s="3"/>
      <c r="E801" s="3"/>
      <c r="F801" s="3"/>
      <c r="G801" s="3"/>
    </row>
    <row r="802" spans="1:7" ht="15.75" customHeight="1">
      <c r="A802" s="3"/>
      <c r="B802" s="3"/>
      <c r="C802" s="3"/>
      <c r="D802" s="3"/>
      <c r="E802" s="3"/>
      <c r="F802" s="3"/>
      <c r="G802" s="3"/>
    </row>
    <row r="803" spans="1:7" ht="15.75" customHeight="1">
      <c r="A803" s="3"/>
      <c r="B803" s="3"/>
      <c r="C803" s="3"/>
      <c r="D803" s="3"/>
      <c r="E803" s="3"/>
      <c r="F803" s="3"/>
      <c r="G803" s="3"/>
    </row>
    <row r="804" spans="1:7" ht="15.75" customHeight="1">
      <c r="A804" s="3"/>
      <c r="B804" s="3"/>
      <c r="C804" s="3"/>
      <c r="D804" s="3"/>
      <c r="E804" s="3"/>
      <c r="F804" s="3"/>
      <c r="G804" s="3"/>
    </row>
    <row r="805" spans="1:7" ht="15.75" customHeight="1">
      <c r="A805" s="3"/>
      <c r="B805" s="3"/>
      <c r="C805" s="3"/>
      <c r="D805" s="3"/>
      <c r="E805" s="3"/>
      <c r="F805" s="3"/>
      <c r="G805" s="3"/>
    </row>
    <row r="806" spans="1:7" ht="15.75" customHeight="1">
      <c r="A806" s="3"/>
      <c r="B806" s="3"/>
      <c r="C806" s="3"/>
      <c r="D806" s="3"/>
      <c r="E806" s="3"/>
      <c r="F806" s="3"/>
      <c r="G806" s="3"/>
    </row>
    <row r="807" spans="1:7" ht="15.75" customHeight="1">
      <c r="A807" s="3"/>
      <c r="B807" s="3"/>
      <c r="C807" s="3"/>
      <c r="D807" s="3"/>
      <c r="E807" s="3"/>
      <c r="F807" s="3"/>
      <c r="G807" s="3"/>
    </row>
    <row r="808" spans="1:7" ht="15.75" customHeight="1">
      <c r="A808" s="3"/>
      <c r="B808" s="3"/>
      <c r="C808" s="3"/>
      <c r="D808" s="3"/>
      <c r="E808" s="3"/>
      <c r="F808" s="3"/>
      <c r="G808" s="3"/>
    </row>
    <row r="809" spans="1:7" ht="15.75" customHeight="1">
      <c r="A809" s="3"/>
      <c r="B809" s="3"/>
      <c r="C809" s="3"/>
      <c r="D809" s="3"/>
      <c r="E809" s="3"/>
      <c r="F809" s="3"/>
      <c r="G809" s="3"/>
    </row>
    <row r="810" spans="1:7" ht="15.75" customHeight="1">
      <c r="A810" s="3"/>
      <c r="B810" s="3"/>
      <c r="C810" s="3"/>
      <c r="D810" s="3"/>
      <c r="E810" s="3"/>
      <c r="F810" s="3"/>
      <c r="G810" s="3"/>
    </row>
    <row r="811" spans="1:7" ht="15.75" customHeight="1">
      <c r="A811" s="3"/>
      <c r="B811" s="3"/>
      <c r="C811" s="3"/>
      <c r="D811" s="3"/>
      <c r="E811" s="3"/>
      <c r="F811" s="3"/>
      <c r="G811" s="3"/>
    </row>
    <row r="812" spans="1:7" ht="15.75" customHeight="1">
      <c r="A812" s="3"/>
      <c r="B812" s="3"/>
      <c r="C812" s="3"/>
      <c r="D812" s="3"/>
      <c r="E812" s="3"/>
      <c r="F812" s="3"/>
      <c r="G812" s="3"/>
    </row>
    <row r="813" spans="1:7" ht="15.75" customHeight="1">
      <c r="A813" s="3"/>
      <c r="B813" s="3"/>
      <c r="C813" s="3"/>
      <c r="D813" s="3"/>
      <c r="E813" s="3"/>
      <c r="F813" s="3"/>
      <c r="G813" s="3"/>
    </row>
    <row r="814" spans="1:7" ht="15.75" customHeight="1">
      <c r="A814" s="3"/>
      <c r="B814" s="3"/>
      <c r="C814" s="3"/>
      <c r="D814" s="3"/>
      <c r="E814" s="3"/>
      <c r="F814" s="3"/>
      <c r="G814" s="3"/>
    </row>
    <row r="815" spans="1:7" ht="15.75" customHeight="1">
      <c r="A815" s="3"/>
      <c r="B815" s="3"/>
      <c r="C815" s="3"/>
      <c r="D815" s="3"/>
      <c r="E815" s="3"/>
      <c r="F815" s="3"/>
      <c r="G815" s="3"/>
    </row>
    <row r="816" spans="1:7" ht="15.75" customHeight="1">
      <c r="A816" s="3"/>
      <c r="B816" s="3"/>
      <c r="C816" s="3"/>
      <c r="D816" s="3"/>
      <c r="E816" s="3"/>
      <c r="F816" s="3"/>
      <c r="G816" s="3"/>
    </row>
    <row r="817" spans="1:7" ht="15.75" customHeight="1">
      <c r="A817" s="3"/>
      <c r="B817" s="3"/>
      <c r="C817" s="3"/>
      <c r="D817" s="3"/>
      <c r="E817" s="3"/>
      <c r="F817" s="3"/>
      <c r="G817" s="3"/>
    </row>
    <row r="818" spans="1:7" ht="15.75" customHeight="1">
      <c r="A818" s="3"/>
      <c r="B818" s="3"/>
      <c r="C818" s="3"/>
      <c r="D818" s="3"/>
      <c r="E818" s="3"/>
      <c r="F818" s="3"/>
      <c r="G818" s="3"/>
    </row>
    <row r="819" spans="1:7" ht="15.75" customHeight="1">
      <c r="A819" s="3"/>
      <c r="B819" s="3"/>
      <c r="C819" s="3"/>
      <c r="D819" s="3"/>
      <c r="E819" s="3"/>
      <c r="F819" s="3"/>
      <c r="G819" s="3"/>
    </row>
    <row r="820" spans="1:7" ht="15.75" customHeight="1">
      <c r="A820" s="3"/>
      <c r="B820" s="3"/>
      <c r="C820" s="3"/>
      <c r="D820" s="3"/>
      <c r="E820" s="3"/>
      <c r="F820" s="3"/>
      <c r="G820" s="3"/>
    </row>
    <row r="821" spans="1:7" ht="15.75" customHeight="1">
      <c r="A821" s="3"/>
      <c r="B821" s="3"/>
      <c r="C821" s="3"/>
      <c r="D821" s="3"/>
      <c r="E821" s="3"/>
      <c r="F821" s="3"/>
      <c r="G821" s="3"/>
    </row>
    <row r="822" spans="1:7" ht="15.75" customHeight="1">
      <c r="A822" s="3"/>
      <c r="B822" s="3"/>
      <c r="C822" s="3"/>
      <c r="D822" s="3"/>
      <c r="E822" s="3"/>
      <c r="F822" s="3"/>
      <c r="G822" s="3"/>
    </row>
    <row r="823" spans="1:7" ht="15.75" customHeight="1">
      <c r="A823" s="3"/>
      <c r="B823" s="3"/>
      <c r="C823" s="3"/>
      <c r="D823" s="3"/>
      <c r="E823" s="3"/>
      <c r="F823" s="3"/>
      <c r="G823" s="3"/>
    </row>
    <row r="824" spans="1:7" ht="15.75" customHeight="1">
      <c r="A824" s="3"/>
      <c r="B824" s="3"/>
      <c r="C824" s="3"/>
      <c r="D824" s="3"/>
      <c r="E824" s="3"/>
      <c r="F824" s="3"/>
      <c r="G824" s="3"/>
    </row>
    <row r="825" spans="1:7" ht="15.75" customHeight="1">
      <c r="A825" s="3"/>
      <c r="B825" s="3"/>
      <c r="C825" s="3"/>
      <c r="D825" s="3"/>
      <c r="E825" s="3"/>
      <c r="F825" s="3"/>
      <c r="G825" s="3"/>
    </row>
    <row r="826" spans="1:7" ht="15.75" customHeight="1">
      <c r="A826" s="3"/>
      <c r="B826" s="3"/>
      <c r="C826" s="3"/>
      <c r="D826" s="3"/>
      <c r="E826" s="3"/>
      <c r="F826" s="3"/>
      <c r="G826" s="3"/>
    </row>
    <row r="827" spans="1:7" ht="15.75" customHeight="1">
      <c r="A827" s="3"/>
      <c r="B827" s="3"/>
      <c r="C827" s="3"/>
      <c r="D827" s="3"/>
      <c r="E827" s="3"/>
      <c r="F827" s="3"/>
      <c r="G827" s="3"/>
    </row>
    <row r="828" spans="1:7" ht="15.75" customHeight="1">
      <c r="A828" s="3"/>
      <c r="B828" s="3"/>
      <c r="C828" s="3"/>
      <c r="D828" s="3"/>
      <c r="E828" s="3"/>
      <c r="F828" s="3"/>
      <c r="G828" s="3"/>
    </row>
    <row r="829" spans="1:7" ht="15.75" customHeight="1">
      <c r="A829" s="3"/>
      <c r="B829" s="3"/>
      <c r="C829" s="3"/>
      <c r="D829" s="3"/>
      <c r="E829" s="3"/>
      <c r="F829" s="3"/>
      <c r="G829" s="3"/>
    </row>
    <row r="830" spans="1:7" ht="15.75" customHeight="1">
      <c r="A830" s="3"/>
      <c r="B830" s="3"/>
      <c r="C830" s="3"/>
      <c r="D830" s="3"/>
      <c r="E830" s="3"/>
      <c r="F830" s="3"/>
      <c r="G830" s="3"/>
    </row>
    <row r="831" spans="1:7" ht="15.75" customHeight="1">
      <c r="A831" s="3"/>
      <c r="B831" s="3"/>
      <c r="C831" s="3"/>
      <c r="D831" s="3"/>
      <c r="E831" s="3"/>
      <c r="F831" s="3"/>
      <c r="G831" s="3"/>
    </row>
    <row r="832" spans="1:7" ht="15.75" customHeight="1">
      <c r="A832" s="3"/>
      <c r="B832" s="3"/>
      <c r="C832" s="3"/>
      <c r="D832" s="3"/>
      <c r="E832" s="3"/>
      <c r="F832" s="3"/>
      <c r="G832" s="3"/>
    </row>
    <row r="833" spans="1:7" ht="15.75" customHeight="1">
      <c r="A833" s="3"/>
      <c r="B833" s="3"/>
      <c r="C833" s="3"/>
      <c r="D833" s="3"/>
      <c r="E833" s="3"/>
      <c r="F833" s="3"/>
      <c r="G833" s="3"/>
    </row>
    <row r="834" spans="1:7" ht="15.75" customHeight="1">
      <c r="A834" s="3"/>
      <c r="B834" s="3"/>
      <c r="C834" s="3"/>
      <c r="D834" s="3"/>
      <c r="E834" s="3"/>
      <c r="F834" s="3"/>
      <c r="G834" s="3"/>
    </row>
    <row r="835" spans="1:7" ht="15.75" customHeight="1">
      <c r="A835" s="3"/>
      <c r="B835" s="3"/>
      <c r="C835" s="3"/>
      <c r="D835" s="3"/>
      <c r="E835" s="3"/>
      <c r="F835" s="3"/>
      <c r="G835" s="3"/>
    </row>
    <row r="836" spans="1:7" ht="15.75" customHeight="1">
      <c r="A836" s="3"/>
      <c r="B836" s="3"/>
      <c r="C836" s="3"/>
      <c r="D836" s="3"/>
      <c r="E836" s="3"/>
      <c r="F836" s="3"/>
      <c r="G836" s="3"/>
    </row>
    <row r="837" spans="1:7" ht="15.75" customHeight="1">
      <c r="A837" s="3"/>
      <c r="B837" s="3"/>
      <c r="C837" s="3"/>
      <c r="D837" s="3"/>
      <c r="E837" s="3"/>
      <c r="F837" s="3"/>
      <c r="G837" s="3"/>
    </row>
    <row r="838" spans="1:7" ht="15.75" customHeight="1">
      <c r="A838" s="3"/>
      <c r="B838" s="3"/>
      <c r="C838" s="3"/>
      <c r="D838" s="3"/>
      <c r="E838" s="3"/>
      <c r="F838" s="3"/>
      <c r="G838" s="3"/>
    </row>
    <row r="839" spans="1:7" ht="15.75" customHeight="1">
      <c r="A839" s="3"/>
      <c r="B839" s="3"/>
      <c r="C839" s="3"/>
      <c r="D839" s="3"/>
      <c r="E839" s="3"/>
      <c r="F839" s="3"/>
      <c r="G839" s="3"/>
    </row>
    <row r="840" spans="1:7" ht="15.75" customHeight="1">
      <c r="A840" s="3"/>
      <c r="B840" s="3"/>
      <c r="C840" s="3"/>
      <c r="D840" s="3"/>
      <c r="E840" s="3"/>
      <c r="F840" s="3"/>
      <c r="G840" s="3"/>
    </row>
    <row r="841" spans="1:7" ht="15.75" customHeight="1">
      <c r="A841" s="3"/>
      <c r="B841" s="3"/>
      <c r="C841" s="3"/>
      <c r="D841" s="3"/>
      <c r="E841" s="3"/>
      <c r="F841" s="3"/>
      <c r="G841" s="3"/>
    </row>
    <row r="842" spans="1:7" ht="15.75" customHeight="1">
      <c r="A842" s="3"/>
      <c r="B842" s="3"/>
      <c r="C842" s="3"/>
      <c r="D842" s="3"/>
      <c r="E842" s="3"/>
      <c r="F842" s="3"/>
      <c r="G842" s="3"/>
    </row>
    <row r="843" spans="1:7" ht="15.75" customHeight="1">
      <c r="A843" s="3"/>
      <c r="B843" s="3"/>
      <c r="C843" s="3"/>
      <c r="D843" s="3"/>
      <c r="E843" s="3"/>
      <c r="F843" s="3"/>
      <c r="G843" s="3"/>
    </row>
    <row r="844" spans="1:7" ht="15.75" customHeight="1">
      <c r="A844" s="3"/>
      <c r="B844" s="3"/>
      <c r="C844" s="3"/>
      <c r="D844" s="3"/>
      <c r="E844" s="3"/>
      <c r="F844" s="3"/>
      <c r="G844" s="3"/>
    </row>
    <row r="845" spans="1:7" ht="15.75" customHeight="1">
      <c r="A845" s="3"/>
      <c r="B845" s="3"/>
      <c r="C845" s="3"/>
      <c r="D845" s="3"/>
      <c r="E845" s="3"/>
      <c r="F845" s="3"/>
      <c r="G845" s="3"/>
    </row>
    <row r="846" spans="1:7" ht="15.75" customHeight="1">
      <c r="A846" s="3"/>
      <c r="B846" s="3"/>
      <c r="C846" s="3"/>
      <c r="D846" s="3"/>
      <c r="E846" s="3"/>
      <c r="F846" s="3"/>
      <c r="G846" s="3"/>
    </row>
    <row r="847" spans="1:7" ht="15.75" customHeight="1">
      <c r="A847" s="3"/>
      <c r="B847" s="3"/>
      <c r="C847" s="3"/>
      <c r="D847" s="3"/>
      <c r="E847" s="3"/>
      <c r="F847" s="3"/>
      <c r="G847" s="3"/>
    </row>
    <row r="848" spans="1:7" ht="15.75" customHeight="1">
      <c r="A848" s="3"/>
      <c r="B848" s="3"/>
      <c r="C848" s="3"/>
      <c r="D848" s="3"/>
      <c r="E848" s="3"/>
      <c r="F848" s="3"/>
      <c r="G848" s="3"/>
    </row>
    <row r="849" spans="1:7" ht="15.75" customHeight="1">
      <c r="A849" s="3"/>
      <c r="B849" s="3"/>
      <c r="C849" s="3"/>
      <c r="D849" s="3"/>
      <c r="E849" s="3"/>
      <c r="F849" s="3"/>
      <c r="G849" s="3"/>
    </row>
    <row r="850" spans="1:7" ht="15.75" customHeight="1">
      <c r="A850" s="3"/>
      <c r="B850" s="3"/>
      <c r="C850" s="3"/>
      <c r="D850" s="3"/>
      <c r="E850" s="3"/>
      <c r="F850" s="3"/>
      <c r="G850" s="3"/>
    </row>
    <row r="851" spans="1:7" ht="15.75" customHeight="1">
      <c r="A851" s="3"/>
      <c r="B851" s="3"/>
      <c r="C851" s="3"/>
      <c r="D851" s="3"/>
      <c r="E851" s="3"/>
      <c r="F851" s="3"/>
      <c r="G851" s="3"/>
    </row>
    <row r="852" spans="1:7" ht="15.75" customHeight="1">
      <c r="A852" s="3"/>
      <c r="B852" s="3"/>
      <c r="C852" s="3"/>
      <c r="D852" s="3"/>
      <c r="E852" s="3"/>
      <c r="F852" s="3"/>
      <c r="G852" s="3"/>
    </row>
    <row r="853" spans="1:7" ht="15.75" customHeight="1">
      <c r="A853" s="3"/>
      <c r="B853" s="3"/>
      <c r="C853" s="3"/>
      <c r="D853" s="3"/>
      <c r="E853" s="3"/>
      <c r="F853" s="3"/>
      <c r="G853" s="3"/>
    </row>
    <row r="854" spans="1:7" ht="15.75" customHeight="1">
      <c r="A854" s="3"/>
      <c r="B854" s="3"/>
      <c r="C854" s="3"/>
      <c r="D854" s="3"/>
      <c r="E854" s="3"/>
      <c r="F854" s="3"/>
      <c r="G854" s="3"/>
    </row>
    <row r="855" spans="1:7" ht="15.75" customHeight="1">
      <c r="A855" s="3"/>
      <c r="B855" s="3"/>
      <c r="C855" s="3"/>
      <c r="D855" s="3"/>
      <c r="E855" s="3"/>
      <c r="F855" s="3"/>
      <c r="G855" s="3"/>
    </row>
    <row r="856" spans="1:7" ht="15.75" customHeight="1">
      <c r="A856" s="3"/>
      <c r="B856" s="3"/>
      <c r="C856" s="3"/>
      <c r="D856" s="3"/>
      <c r="E856" s="3"/>
      <c r="F856" s="3"/>
      <c r="G856" s="3"/>
    </row>
    <row r="857" spans="1:7" ht="15.75" customHeight="1">
      <c r="A857" s="3"/>
      <c r="B857" s="3"/>
      <c r="C857" s="3"/>
      <c r="D857" s="3"/>
      <c r="E857" s="3"/>
      <c r="F857" s="3"/>
      <c r="G857" s="3"/>
    </row>
    <row r="858" spans="1:7" ht="15.75" customHeight="1">
      <c r="A858" s="3"/>
      <c r="B858" s="3"/>
      <c r="C858" s="3"/>
      <c r="D858" s="3"/>
      <c r="E858" s="3"/>
      <c r="F858" s="3"/>
      <c r="G858" s="3"/>
    </row>
    <row r="859" spans="1:7" ht="15.75" customHeight="1">
      <c r="A859" s="3"/>
      <c r="B859" s="3"/>
      <c r="C859" s="3"/>
      <c r="D859" s="3"/>
      <c r="E859" s="3"/>
      <c r="F859" s="3"/>
      <c r="G859" s="3"/>
    </row>
    <row r="860" spans="1:7" ht="15.75" customHeight="1">
      <c r="A860" s="3"/>
      <c r="B860" s="3"/>
      <c r="C860" s="3"/>
      <c r="D860" s="3"/>
      <c r="E860" s="3"/>
      <c r="F860" s="3"/>
      <c r="G860" s="3"/>
    </row>
    <row r="861" spans="1:7" ht="15.75" customHeight="1">
      <c r="A861" s="3"/>
      <c r="B861" s="3"/>
      <c r="C861" s="3"/>
      <c r="D861" s="3"/>
      <c r="E861" s="3"/>
      <c r="F861" s="3"/>
      <c r="G861" s="3"/>
    </row>
    <row r="862" spans="1:7" ht="15.75" customHeight="1">
      <c r="A862" s="3"/>
      <c r="B862" s="3"/>
      <c r="C862" s="3"/>
      <c r="D862" s="3"/>
      <c r="E862" s="3"/>
      <c r="F862" s="3"/>
      <c r="G862" s="3"/>
    </row>
    <row r="863" spans="1:7" ht="15.75" customHeight="1">
      <c r="A863" s="3"/>
      <c r="B863" s="3"/>
      <c r="C863" s="3"/>
      <c r="D863" s="3"/>
      <c r="E863" s="3"/>
      <c r="F863" s="3"/>
      <c r="G863" s="3"/>
    </row>
    <row r="864" spans="1:7" ht="15.75" customHeight="1">
      <c r="A864" s="3"/>
      <c r="B864" s="3"/>
      <c r="C864" s="3"/>
      <c r="D864" s="3"/>
      <c r="E864" s="3"/>
      <c r="F864" s="3"/>
      <c r="G864" s="3"/>
    </row>
    <row r="865" spans="1:7" ht="15.75" customHeight="1">
      <c r="A865" s="3"/>
      <c r="B865" s="3"/>
      <c r="C865" s="3"/>
      <c r="D865" s="3"/>
      <c r="E865" s="3"/>
      <c r="F865" s="3"/>
      <c r="G865" s="3"/>
    </row>
    <row r="866" spans="1:7" ht="15.75" customHeight="1">
      <c r="A866" s="3"/>
      <c r="B866" s="3"/>
      <c r="C866" s="3"/>
      <c r="D866" s="3"/>
      <c r="E866" s="3"/>
      <c r="F866" s="3"/>
      <c r="G866" s="3"/>
    </row>
    <row r="867" spans="1:7" ht="15.75" customHeight="1">
      <c r="A867" s="3"/>
      <c r="B867" s="3"/>
      <c r="C867" s="3"/>
      <c r="D867" s="3"/>
      <c r="E867" s="3"/>
      <c r="F867" s="3"/>
      <c r="G867" s="3"/>
    </row>
    <row r="868" spans="1:7" ht="15.75" customHeight="1">
      <c r="A868" s="3"/>
      <c r="B868" s="3"/>
      <c r="C868" s="3"/>
      <c r="D868" s="3"/>
      <c r="E868" s="3"/>
      <c r="F868" s="3"/>
      <c r="G868" s="3"/>
    </row>
    <row r="869" spans="1:7" ht="15.75" customHeight="1">
      <c r="A869" s="3"/>
      <c r="B869" s="3"/>
      <c r="C869" s="3"/>
      <c r="D869" s="3"/>
      <c r="E869" s="3"/>
      <c r="F869" s="3"/>
      <c r="G869" s="3"/>
    </row>
    <row r="870" spans="1:7" ht="15.75" customHeight="1">
      <c r="A870" s="3"/>
      <c r="B870" s="3"/>
      <c r="C870" s="3"/>
      <c r="D870" s="3"/>
      <c r="E870" s="3"/>
      <c r="F870" s="3"/>
      <c r="G870" s="3"/>
    </row>
    <row r="871" spans="1:7" ht="15.75" customHeight="1">
      <c r="A871" s="3"/>
      <c r="B871" s="3"/>
      <c r="C871" s="3"/>
      <c r="D871" s="3"/>
      <c r="E871" s="3"/>
      <c r="F871" s="3"/>
      <c r="G871" s="3"/>
    </row>
    <row r="872" spans="1:7" ht="15.75" customHeight="1">
      <c r="A872" s="3"/>
      <c r="B872" s="3"/>
      <c r="C872" s="3"/>
      <c r="D872" s="3"/>
      <c r="E872" s="3"/>
      <c r="F872" s="3"/>
      <c r="G872" s="3"/>
    </row>
    <row r="873" spans="1:7" ht="15.75" customHeight="1">
      <c r="A873" s="3"/>
      <c r="B873" s="3"/>
      <c r="C873" s="3"/>
      <c r="D873" s="3"/>
      <c r="E873" s="3"/>
      <c r="F873" s="3"/>
      <c r="G873" s="3"/>
    </row>
    <row r="874" spans="1:7" ht="15.75" customHeight="1">
      <c r="A874" s="3"/>
      <c r="B874" s="3"/>
      <c r="C874" s="3"/>
      <c r="D874" s="3"/>
      <c r="E874" s="3"/>
      <c r="F874" s="3"/>
      <c r="G874" s="3"/>
    </row>
    <row r="875" spans="1:7" ht="15.75" customHeight="1">
      <c r="A875" s="3"/>
      <c r="B875" s="3"/>
      <c r="C875" s="3"/>
      <c r="D875" s="3"/>
      <c r="E875" s="3"/>
      <c r="F875" s="3"/>
      <c r="G875" s="3"/>
    </row>
    <row r="876" spans="1:7" ht="15.75" customHeight="1">
      <c r="A876" s="3"/>
      <c r="B876" s="3"/>
      <c r="C876" s="3"/>
      <c r="D876" s="3"/>
      <c r="E876" s="3"/>
      <c r="F876" s="3"/>
      <c r="G876" s="3"/>
    </row>
    <row r="877" spans="1:7" ht="15.75" customHeight="1">
      <c r="A877" s="3"/>
      <c r="B877" s="3"/>
      <c r="C877" s="3"/>
      <c r="D877" s="3"/>
      <c r="E877" s="3"/>
      <c r="F877" s="3"/>
      <c r="G877" s="3"/>
    </row>
    <row r="878" spans="1:7" ht="15.75" customHeight="1">
      <c r="A878" s="3"/>
      <c r="B878" s="3"/>
      <c r="C878" s="3"/>
      <c r="D878" s="3"/>
      <c r="E878" s="3"/>
      <c r="F878" s="3"/>
      <c r="G878" s="3"/>
    </row>
    <row r="879" spans="1:7" ht="15.75" customHeight="1">
      <c r="A879" s="3"/>
      <c r="B879" s="3"/>
      <c r="C879" s="3"/>
      <c r="D879" s="3"/>
      <c r="E879" s="3"/>
      <c r="F879" s="3"/>
      <c r="G879" s="3"/>
    </row>
    <row r="880" spans="1:7" ht="15.75" customHeight="1">
      <c r="A880" s="3"/>
      <c r="B880" s="3"/>
      <c r="C880" s="3"/>
      <c r="D880" s="3"/>
      <c r="E880" s="3"/>
      <c r="F880" s="3"/>
      <c r="G880" s="3"/>
    </row>
    <row r="881" spans="1:7" ht="15.75" customHeight="1">
      <c r="A881" s="3"/>
      <c r="B881" s="3"/>
      <c r="C881" s="3"/>
      <c r="D881" s="3"/>
      <c r="E881" s="3"/>
      <c r="F881" s="3"/>
      <c r="G881" s="3"/>
    </row>
    <row r="882" spans="1:7" ht="15.75" customHeight="1">
      <c r="A882" s="3"/>
      <c r="B882" s="3"/>
      <c r="C882" s="3"/>
      <c r="D882" s="3"/>
      <c r="E882" s="3"/>
      <c r="F882" s="3"/>
      <c r="G882" s="3"/>
    </row>
    <row r="883" spans="1:7" ht="15.75" customHeight="1">
      <c r="A883" s="3"/>
      <c r="B883" s="3"/>
      <c r="C883" s="3"/>
      <c r="D883" s="3"/>
      <c r="E883" s="3"/>
      <c r="F883" s="3"/>
      <c r="G883" s="3"/>
    </row>
    <row r="884" spans="1:7" ht="15.75" customHeight="1">
      <c r="A884" s="3"/>
      <c r="B884" s="3"/>
      <c r="C884" s="3"/>
      <c r="D884" s="3"/>
      <c r="E884" s="3"/>
      <c r="F884" s="3"/>
      <c r="G884" s="3"/>
    </row>
    <row r="885" spans="1:7" ht="15.75" customHeight="1">
      <c r="A885" s="3"/>
      <c r="B885" s="3"/>
      <c r="C885" s="3"/>
      <c r="D885" s="3"/>
      <c r="E885" s="3"/>
      <c r="F885" s="3"/>
      <c r="G885" s="3"/>
    </row>
    <row r="886" spans="1:7" ht="15.75" customHeight="1">
      <c r="A886" s="3"/>
      <c r="B886" s="3"/>
      <c r="C886" s="3"/>
      <c r="D886" s="3"/>
      <c r="E886" s="3"/>
      <c r="F886" s="3"/>
      <c r="G886" s="3"/>
    </row>
    <row r="887" spans="1:7" ht="15.75" customHeight="1">
      <c r="A887" s="3"/>
      <c r="B887" s="3"/>
      <c r="C887" s="3"/>
      <c r="D887" s="3"/>
      <c r="E887" s="3"/>
      <c r="F887" s="3"/>
      <c r="G887" s="3"/>
    </row>
    <row r="888" spans="1:7" ht="15.75" customHeight="1">
      <c r="A888" s="3"/>
      <c r="B888" s="3"/>
      <c r="C888" s="3"/>
      <c r="D888" s="3"/>
      <c r="E888" s="3"/>
      <c r="F888" s="3"/>
      <c r="G888" s="3"/>
    </row>
    <row r="889" spans="1:7" ht="15.75" customHeight="1">
      <c r="A889" s="3"/>
      <c r="B889" s="3"/>
      <c r="C889" s="3"/>
      <c r="D889" s="3"/>
      <c r="E889" s="3"/>
      <c r="F889" s="3"/>
      <c r="G889" s="3"/>
    </row>
    <row r="890" spans="1:7" ht="15.75" customHeight="1">
      <c r="A890" s="3"/>
      <c r="B890" s="3"/>
      <c r="C890" s="3"/>
      <c r="D890" s="3"/>
      <c r="E890" s="3"/>
      <c r="F890" s="3"/>
      <c r="G890" s="3"/>
    </row>
    <row r="891" spans="1:7" ht="15.75" customHeight="1">
      <c r="A891" s="3"/>
      <c r="B891" s="3"/>
      <c r="C891" s="3"/>
      <c r="D891" s="3"/>
      <c r="E891" s="3"/>
      <c r="F891" s="3"/>
      <c r="G891" s="3"/>
    </row>
    <row r="892" spans="1:7" ht="15.75" customHeight="1">
      <c r="A892" s="3"/>
      <c r="B892" s="3"/>
      <c r="C892" s="3"/>
      <c r="D892" s="3"/>
      <c r="E892" s="3"/>
      <c r="F892" s="3"/>
      <c r="G892" s="3"/>
    </row>
    <row r="893" spans="1:7" ht="15.75" customHeight="1">
      <c r="A893" s="3"/>
      <c r="B893" s="3"/>
      <c r="C893" s="3"/>
      <c r="D893" s="3"/>
      <c r="E893" s="3"/>
      <c r="F893" s="3"/>
      <c r="G893" s="3"/>
    </row>
    <row r="894" spans="1:7" ht="15.75" customHeight="1">
      <c r="A894" s="3"/>
      <c r="B894" s="3"/>
      <c r="C894" s="3"/>
      <c r="D894" s="3"/>
      <c r="E894" s="3"/>
      <c r="F894" s="3"/>
      <c r="G894" s="3"/>
    </row>
    <row r="895" spans="1:7" ht="15.75" customHeight="1">
      <c r="A895" s="3"/>
      <c r="B895" s="3"/>
      <c r="C895" s="3"/>
      <c r="D895" s="3"/>
      <c r="E895" s="3"/>
      <c r="F895" s="3"/>
      <c r="G895" s="3"/>
    </row>
    <row r="896" spans="1:7" ht="15.75" customHeight="1">
      <c r="A896" s="3"/>
      <c r="B896" s="3"/>
      <c r="C896" s="3"/>
      <c r="D896" s="3"/>
      <c r="E896" s="3"/>
      <c r="F896" s="3"/>
      <c r="G896" s="3"/>
    </row>
    <row r="897" spans="1:7" ht="15.75" customHeight="1">
      <c r="A897" s="3"/>
      <c r="B897" s="3"/>
      <c r="C897" s="3"/>
      <c r="D897" s="3"/>
      <c r="E897" s="3"/>
      <c r="F897" s="3"/>
      <c r="G897" s="3"/>
    </row>
    <row r="898" spans="1:7" ht="15.75" customHeight="1">
      <c r="A898" s="3"/>
      <c r="B898" s="3"/>
      <c r="C898" s="3"/>
      <c r="D898" s="3"/>
      <c r="E898" s="3"/>
      <c r="F898" s="3"/>
      <c r="G898" s="3"/>
    </row>
    <row r="899" spans="1:7" ht="15.75" customHeight="1">
      <c r="A899" s="3"/>
      <c r="B899" s="3"/>
      <c r="C899" s="3"/>
      <c r="D899" s="3"/>
      <c r="E899" s="3"/>
      <c r="F899" s="3"/>
      <c r="G899" s="3"/>
    </row>
    <row r="900" spans="1:7" ht="15.75" customHeight="1">
      <c r="A900" s="3"/>
      <c r="B900" s="3"/>
      <c r="C900" s="3"/>
      <c r="D900" s="3"/>
      <c r="E900" s="3"/>
      <c r="F900" s="3"/>
      <c r="G900" s="3"/>
    </row>
    <row r="901" spans="1:7" ht="15.75" customHeight="1">
      <c r="A901" s="3"/>
      <c r="B901" s="3"/>
      <c r="C901" s="3"/>
      <c r="D901" s="3"/>
      <c r="E901" s="3"/>
      <c r="F901" s="3"/>
      <c r="G901" s="3"/>
    </row>
    <row r="902" spans="1:7" ht="15.75" customHeight="1">
      <c r="A902" s="3"/>
      <c r="B902" s="3"/>
      <c r="C902" s="3"/>
      <c r="D902" s="3"/>
      <c r="E902" s="3"/>
      <c r="F902" s="3"/>
      <c r="G902" s="3"/>
    </row>
    <row r="903" spans="1:7" ht="15.75" customHeight="1">
      <c r="A903" s="3"/>
      <c r="B903" s="3"/>
      <c r="C903" s="3"/>
      <c r="D903" s="3"/>
      <c r="E903" s="3"/>
      <c r="F903" s="3"/>
      <c r="G903" s="3"/>
    </row>
    <row r="904" spans="1:7" ht="15.75" customHeight="1">
      <c r="A904" s="3"/>
      <c r="B904" s="3"/>
      <c r="C904" s="3"/>
      <c r="D904" s="3"/>
      <c r="E904" s="3"/>
      <c r="F904" s="3"/>
      <c r="G904" s="3"/>
    </row>
    <row r="905" spans="1:7" ht="15.75" customHeight="1">
      <c r="A905" s="3"/>
      <c r="B905" s="3"/>
      <c r="C905" s="3"/>
      <c r="D905" s="3"/>
      <c r="E905" s="3"/>
      <c r="F905" s="3"/>
      <c r="G905" s="3"/>
    </row>
    <row r="906" spans="1:7" ht="15.75" customHeight="1">
      <c r="A906" s="3"/>
      <c r="B906" s="3"/>
      <c r="C906" s="3"/>
      <c r="D906" s="3"/>
      <c r="E906" s="3"/>
      <c r="F906" s="3"/>
      <c r="G906" s="3"/>
    </row>
    <row r="907" spans="1:7" ht="15.75" customHeight="1">
      <c r="A907" s="3"/>
      <c r="B907" s="3"/>
      <c r="C907" s="3"/>
      <c r="D907" s="3"/>
      <c r="E907" s="3"/>
      <c r="F907" s="3"/>
      <c r="G907" s="3"/>
    </row>
    <row r="908" spans="1:7" ht="15.75" customHeight="1">
      <c r="A908" s="3"/>
      <c r="B908" s="3"/>
      <c r="C908" s="3"/>
      <c r="D908" s="3"/>
      <c r="E908" s="3"/>
      <c r="F908" s="3"/>
      <c r="G908" s="3"/>
    </row>
    <row r="909" spans="1:7" ht="15.75" customHeight="1">
      <c r="A909" s="3"/>
      <c r="B909" s="3"/>
      <c r="C909" s="3"/>
      <c r="D909" s="3"/>
      <c r="E909" s="3"/>
      <c r="F909" s="3"/>
      <c r="G909" s="3"/>
    </row>
    <row r="910" spans="1:7" ht="15.75" customHeight="1">
      <c r="A910" s="3"/>
      <c r="B910" s="3"/>
      <c r="C910" s="3"/>
      <c r="D910" s="3"/>
      <c r="E910" s="3"/>
      <c r="F910" s="3"/>
      <c r="G910" s="3"/>
    </row>
    <row r="911" spans="1:7" ht="15.75" customHeight="1">
      <c r="A911" s="3"/>
      <c r="B911" s="3"/>
      <c r="C911" s="3"/>
      <c r="D911" s="3"/>
      <c r="E911" s="3"/>
      <c r="F911" s="3"/>
      <c r="G911" s="3"/>
    </row>
    <row r="912" spans="1:7" ht="15.75" customHeight="1">
      <c r="A912" s="3"/>
      <c r="B912" s="3"/>
      <c r="C912" s="3"/>
      <c r="D912" s="3"/>
      <c r="E912" s="3"/>
      <c r="F912" s="3"/>
      <c r="G912" s="3"/>
    </row>
    <row r="913" spans="1:7" ht="15.75" customHeight="1">
      <c r="A913" s="3"/>
      <c r="B913" s="3"/>
      <c r="C913" s="3"/>
      <c r="D913" s="3"/>
      <c r="E913" s="3"/>
      <c r="F913" s="3"/>
      <c r="G913" s="3"/>
    </row>
    <row r="914" spans="1:7" ht="15.75" customHeight="1">
      <c r="A914" s="3"/>
      <c r="B914" s="3"/>
      <c r="C914" s="3"/>
      <c r="D914" s="3"/>
      <c r="E914" s="3"/>
      <c r="F914" s="3"/>
      <c r="G914" s="3"/>
    </row>
    <row r="915" spans="1:7" ht="15.75" customHeight="1">
      <c r="A915" s="3"/>
      <c r="B915" s="3"/>
      <c r="C915" s="3"/>
      <c r="D915" s="3"/>
      <c r="E915" s="3"/>
      <c r="F915" s="3"/>
      <c r="G915" s="3"/>
    </row>
    <row r="916" spans="1:7" ht="15.75" customHeight="1">
      <c r="A916" s="3"/>
      <c r="B916" s="3"/>
      <c r="C916" s="3"/>
      <c r="D916" s="3"/>
      <c r="E916" s="3"/>
      <c r="F916" s="3"/>
      <c r="G916" s="3"/>
    </row>
    <row r="917" spans="1:7" ht="15.75" customHeight="1">
      <c r="A917" s="3"/>
      <c r="B917" s="3"/>
      <c r="C917" s="3"/>
      <c r="D917" s="3"/>
      <c r="E917" s="3"/>
      <c r="F917" s="3"/>
      <c r="G917" s="3"/>
    </row>
    <row r="918" spans="1:7" ht="15.75" customHeight="1">
      <c r="A918" s="3"/>
      <c r="B918" s="3"/>
      <c r="C918" s="3"/>
      <c r="D918" s="3"/>
      <c r="E918" s="3"/>
      <c r="F918" s="3"/>
      <c r="G918" s="3"/>
    </row>
    <row r="919" spans="1:7" ht="15.75" customHeight="1">
      <c r="A919" s="3"/>
      <c r="B919" s="3"/>
      <c r="C919" s="3"/>
      <c r="D919" s="3"/>
      <c r="E919" s="3"/>
      <c r="F919" s="3"/>
      <c r="G919" s="3"/>
    </row>
    <row r="920" spans="1:7" ht="15.75" customHeight="1">
      <c r="A920" s="3"/>
      <c r="B920" s="3"/>
      <c r="C920" s="3"/>
      <c r="D920" s="3"/>
      <c r="E920" s="3"/>
      <c r="F920" s="3"/>
      <c r="G920" s="3"/>
    </row>
    <row r="921" spans="1:7" ht="15.75" customHeight="1">
      <c r="A921" s="3"/>
      <c r="B921" s="3"/>
      <c r="C921" s="3"/>
      <c r="D921" s="3"/>
      <c r="E921" s="3"/>
      <c r="F921" s="3"/>
      <c r="G921" s="3"/>
    </row>
    <row r="922" spans="1:7" ht="15.75" customHeight="1">
      <c r="A922" s="3"/>
      <c r="B922" s="3"/>
      <c r="C922" s="3"/>
      <c r="D922" s="3"/>
      <c r="E922" s="3"/>
      <c r="F922" s="3"/>
      <c r="G922" s="3"/>
    </row>
    <row r="923" spans="1:7" ht="15.75" customHeight="1">
      <c r="A923" s="3"/>
      <c r="B923" s="3"/>
      <c r="C923" s="3"/>
      <c r="D923" s="3"/>
      <c r="E923" s="3"/>
      <c r="F923" s="3"/>
      <c r="G923" s="3"/>
    </row>
    <row r="924" spans="1:7" ht="15.75" customHeight="1">
      <c r="A924" s="3"/>
      <c r="B924" s="3"/>
      <c r="C924" s="3"/>
      <c r="D924" s="3"/>
      <c r="E924" s="3"/>
      <c r="F924" s="3"/>
      <c r="G924" s="3"/>
    </row>
    <row r="925" spans="1:7" ht="15.75" customHeight="1">
      <c r="A925" s="3"/>
      <c r="B925" s="3"/>
      <c r="C925" s="3"/>
      <c r="D925" s="3"/>
      <c r="E925" s="3"/>
      <c r="F925" s="3"/>
      <c r="G925" s="3"/>
    </row>
    <row r="926" spans="1:7" ht="15.75" customHeight="1">
      <c r="A926" s="3"/>
      <c r="B926" s="3"/>
      <c r="C926" s="3"/>
      <c r="D926" s="3"/>
      <c r="E926" s="3"/>
      <c r="F926" s="3"/>
      <c r="G926" s="3"/>
    </row>
    <row r="927" spans="1:7" ht="15.75" customHeight="1">
      <c r="A927" s="3"/>
      <c r="B927" s="3"/>
      <c r="C927" s="3"/>
      <c r="D927" s="3"/>
      <c r="E927" s="3"/>
      <c r="F927" s="3"/>
      <c r="G927" s="3"/>
    </row>
    <row r="928" spans="1:7" ht="15.75" customHeight="1">
      <c r="A928" s="3"/>
      <c r="B928" s="3"/>
      <c r="C928" s="3"/>
      <c r="D928" s="3"/>
      <c r="E928" s="3"/>
      <c r="F928" s="3"/>
      <c r="G928" s="3"/>
    </row>
    <row r="929" spans="1:7" ht="15.75" customHeight="1">
      <c r="A929" s="3"/>
      <c r="B929" s="3"/>
      <c r="C929" s="3"/>
      <c r="D929" s="3"/>
      <c r="E929" s="3"/>
      <c r="F929" s="3"/>
      <c r="G929" s="3"/>
    </row>
    <row r="930" spans="1:7" ht="15.75" customHeight="1">
      <c r="A930" s="3"/>
      <c r="B930" s="3"/>
      <c r="C930" s="3"/>
      <c r="D930" s="3"/>
      <c r="E930" s="3"/>
      <c r="F930" s="3"/>
      <c r="G930" s="3"/>
    </row>
    <row r="931" spans="1:7" ht="15.75" customHeight="1">
      <c r="A931" s="3"/>
      <c r="B931" s="3"/>
      <c r="C931" s="3"/>
      <c r="D931" s="3"/>
      <c r="E931" s="3"/>
      <c r="F931" s="3"/>
      <c r="G931" s="3"/>
    </row>
    <row r="932" spans="1:7" ht="15.75" customHeight="1">
      <c r="A932" s="3"/>
      <c r="B932" s="3"/>
      <c r="C932" s="3"/>
      <c r="D932" s="3"/>
      <c r="E932" s="3"/>
      <c r="F932" s="3"/>
      <c r="G932" s="3"/>
    </row>
    <row r="933" spans="1:7" ht="15.75" customHeight="1">
      <c r="A933" s="3"/>
      <c r="B933" s="3"/>
      <c r="C933" s="3"/>
      <c r="D933" s="3"/>
      <c r="E933" s="3"/>
      <c r="F933" s="3"/>
      <c r="G933" s="3"/>
    </row>
    <row r="934" spans="1:7" ht="15.75" customHeight="1">
      <c r="A934" s="3"/>
      <c r="B934" s="3"/>
      <c r="C934" s="3"/>
      <c r="D934" s="3"/>
      <c r="E934" s="3"/>
      <c r="F934" s="3"/>
      <c r="G934" s="3"/>
    </row>
    <row r="935" spans="1:7" ht="15.75" customHeight="1">
      <c r="A935" s="3"/>
      <c r="B935" s="3"/>
      <c r="C935" s="3"/>
      <c r="D935" s="3"/>
      <c r="E935" s="3"/>
      <c r="F935" s="3"/>
      <c r="G935" s="3"/>
    </row>
    <row r="936" spans="1:7" ht="15.75" customHeight="1">
      <c r="A936" s="3"/>
      <c r="B936" s="3"/>
      <c r="C936" s="3"/>
      <c r="D936" s="3"/>
      <c r="E936" s="3"/>
      <c r="F936" s="3"/>
      <c r="G936" s="3"/>
    </row>
    <row r="937" spans="1:7" ht="15.75" customHeight="1">
      <c r="A937" s="3"/>
      <c r="B937" s="3"/>
      <c r="C937" s="3"/>
      <c r="D937" s="3"/>
      <c r="E937" s="3"/>
      <c r="F937" s="3"/>
      <c r="G937" s="3"/>
    </row>
    <row r="938" spans="1:7" ht="15.75" customHeight="1">
      <c r="A938" s="3"/>
      <c r="B938" s="3"/>
      <c r="C938" s="3"/>
      <c r="D938" s="3"/>
      <c r="E938" s="3"/>
      <c r="F938" s="3"/>
      <c r="G938" s="3"/>
    </row>
    <row r="939" spans="1:7" ht="15.75" customHeight="1">
      <c r="A939" s="3"/>
      <c r="B939" s="3"/>
      <c r="C939" s="3"/>
      <c r="D939" s="3"/>
      <c r="E939" s="3"/>
      <c r="F939" s="3"/>
      <c r="G939" s="3"/>
    </row>
    <row r="940" spans="1:7" ht="15.75" customHeight="1">
      <c r="A940" s="3"/>
      <c r="B940" s="3"/>
      <c r="C940" s="3"/>
      <c r="D940" s="3"/>
      <c r="E940" s="3"/>
      <c r="F940" s="3"/>
      <c r="G940" s="3"/>
    </row>
    <row r="941" spans="1:7" ht="15.75" customHeight="1">
      <c r="A941" s="3"/>
      <c r="B941" s="3"/>
      <c r="C941" s="3"/>
      <c r="D941" s="3"/>
      <c r="E941" s="3"/>
      <c r="F941" s="3"/>
      <c r="G941" s="3"/>
    </row>
    <row r="942" spans="1:7" ht="15.75" customHeight="1">
      <c r="A942" s="3"/>
      <c r="B942" s="3"/>
      <c r="C942" s="3"/>
      <c r="D942" s="3"/>
      <c r="E942" s="3"/>
      <c r="F942" s="3"/>
      <c r="G942" s="3"/>
    </row>
    <row r="943" spans="1:7" ht="15.75" customHeight="1">
      <c r="A943" s="3"/>
      <c r="B943" s="3"/>
      <c r="C943" s="3"/>
      <c r="D943" s="3"/>
      <c r="E943" s="3"/>
      <c r="F943" s="3"/>
      <c r="G943" s="3"/>
    </row>
    <row r="944" spans="1:7" ht="15.75" customHeight="1">
      <c r="A944" s="3"/>
      <c r="B944" s="3"/>
      <c r="C944" s="3"/>
      <c r="D944" s="3"/>
      <c r="E944" s="3"/>
      <c r="F944" s="3"/>
      <c r="G944" s="3"/>
    </row>
    <row r="945" spans="1:7" ht="15.75" customHeight="1">
      <c r="A945" s="3"/>
      <c r="B945" s="3"/>
      <c r="C945" s="3"/>
      <c r="D945" s="3"/>
      <c r="E945" s="3"/>
      <c r="F945" s="3"/>
      <c r="G945" s="3"/>
    </row>
    <row r="946" spans="1:7" ht="15.75" customHeight="1">
      <c r="A946" s="3"/>
      <c r="B946" s="3"/>
      <c r="C946" s="3"/>
      <c r="D946" s="3"/>
      <c r="E946" s="3"/>
      <c r="F946" s="3"/>
      <c r="G946" s="3"/>
    </row>
    <row r="947" spans="1:7" ht="15.75" customHeight="1">
      <c r="A947" s="3"/>
      <c r="B947" s="3"/>
      <c r="C947" s="3"/>
      <c r="D947" s="3"/>
      <c r="E947" s="3"/>
      <c r="F947" s="3"/>
      <c r="G947" s="3"/>
    </row>
    <row r="948" spans="1:7" ht="15.75" customHeight="1">
      <c r="A948" s="3"/>
      <c r="B948" s="3"/>
      <c r="C948" s="3"/>
      <c r="D948" s="3"/>
      <c r="E948" s="3"/>
      <c r="F948" s="3"/>
      <c r="G948" s="3"/>
    </row>
    <row r="949" spans="1:7" ht="15.75" customHeight="1">
      <c r="A949" s="3"/>
      <c r="B949" s="3"/>
      <c r="C949" s="3"/>
      <c r="D949" s="3"/>
      <c r="E949" s="3"/>
      <c r="F949" s="3"/>
      <c r="G949" s="3"/>
    </row>
    <row r="950" spans="1:7" ht="15.75" customHeight="1">
      <c r="A950" s="3"/>
      <c r="B950" s="3"/>
      <c r="C950" s="3"/>
      <c r="D950" s="3"/>
      <c r="E950" s="3"/>
      <c r="F950" s="3"/>
      <c r="G950" s="3"/>
    </row>
    <row r="951" spans="1:7" ht="15.75" customHeight="1">
      <c r="A951" s="3"/>
      <c r="B951" s="3"/>
      <c r="C951" s="3"/>
      <c r="D951" s="3"/>
      <c r="E951" s="3"/>
      <c r="F951" s="3"/>
      <c r="G951" s="3"/>
    </row>
    <row r="952" spans="1:7" ht="15.75" customHeight="1">
      <c r="A952" s="3"/>
      <c r="B952" s="3"/>
      <c r="C952" s="3"/>
      <c r="D952" s="3"/>
      <c r="E952" s="3"/>
      <c r="F952" s="3"/>
      <c r="G952" s="3"/>
    </row>
    <row r="953" spans="1:7" ht="15.75" customHeight="1">
      <c r="A953" s="3"/>
      <c r="B953" s="3"/>
      <c r="C953" s="3"/>
      <c r="D953" s="3"/>
      <c r="E953" s="3"/>
      <c r="F953" s="3"/>
      <c r="G953" s="3"/>
    </row>
    <row r="954" spans="1:7" ht="15.75" customHeight="1">
      <c r="A954" s="3"/>
      <c r="B954" s="3"/>
      <c r="C954" s="3"/>
      <c r="D954" s="3"/>
      <c r="E954" s="3"/>
      <c r="F954" s="3"/>
      <c r="G954" s="3"/>
    </row>
    <row r="955" spans="1:7" ht="15.75" customHeight="1">
      <c r="A955" s="3"/>
      <c r="B955" s="3"/>
      <c r="C955" s="3"/>
      <c r="D955" s="3"/>
      <c r="E955" s="3"/>
      <c r="F955" s="3"/>
      <c r="G955" s="3"/>
    </row>
    <row r="956" spans="1:7" ht="15.75" customHeight="1">
      <c r="A956" s="3"/>
      <c r="B956" s="3"/>
      <c r="C956" s="3"/>
      <c r="D956" s="3"/>
      <c r="E956" s="3"/>
      <c r="F956" s="3"/>
      <c r="G956" s="3"/>
    </row>
    <row r="957" spans="1:7" ht="15.75" customHeight="1">
      <c r="A957" s="3"/>
      <c r="B957" s="3"/>
      <c r="C957" s="3"/>
      <c r="D957" s="3"/>
      <c r="E957" s="3"/>
      <c r="F957" s="3"/>
      <c r="G957" s="3"/>
    </row>
    <row r="958" spans="1:7" ht="15.75" customHeight="1">
      <c r="A958" s="3"/>
      <c r="B958" s="3"/>
      <c r="C958" s="3"/>
      <c r="D958" s="3"/>
      <c r="E958" s="3"/>
      <c r="F958" s="3"/>
      <c r="G958" s="3"/>
    </row>
    <row r="959" spans="1:7" ht="15.75" customHeight="1">
      <c r="A959" s="3"/>
      <c r="B959" s="3"/>
      <c r="C959" s="3"/>
      <c r="D959" s="3"/>
      <c r="E959" s="3"/>
      <c r="F959" s="3"/>
      <c r="G959" s="3"/>
    </row>
    <row r="960" spans="1:7" ht="15.75" customHeight="1">
      <c r="A960" s="3"/>
      <c r="B960" s="3"/>
      <c r="C960" s="3"/>
      <c r="D960" s="3"/>
      <c r="E960" s="3"/>
      <c r="F960" s="3"/>
      <c r="G960" s="3"/>
    </row>
    <row r="961" spans="1:7" ht="15.75" customHeight="1">
      <c r="A961" s="3"/>
      <c r="B961" s="3"/>
      <c r="C961" s="3"/>
      <c r="D961" s="3"/>
      <c r="E961" s="3"/>
      <c r="F961" s="3"/>
      <c r="G961" s="3"/>
    </row>
    <row r="962" spans="1:7" ht="15.75" customHeight="1">
      <c r="A962" s="3"/>
      <c r="B962" s="3"/>
      <c r="C962" s="3"/>
      <c r="D962" s="3"/>
      <c r="E962" s="3"/>
      <c r="F962" s="3"/>
      <c r="G962" s="3"/>
    </row>
    <row r="963" spans="1:7" ht="15.75" customHeight="1">
      <c r="A963" s="3"/>
      <c r="B963" s="3"/>
      <c r="C963" s="3"/>
      <c r="D963" s="3"/>
      <c r="E963" s="3"/>
      <c r="F963" s="3"/>
      <c r="G963" s="3"/>
    </row>
    <row r="964" spans="1:7" ht="15.75" customHeight="1">
      <c r="A964" s="3"/>
      <c r="B964" s="3"/>
      <c r="C964" s="3"/>
      <c r="D964" s="3"/>
      <c r="E964" s="3"/>
      <c r="F964" s="3"/>
      <c r="G964" s="3"/>
    </row>
    <row r="965" spans="1:7" ht="15.75" customHeight="1">
      <c r="A965" s="3"/>
      <c r="B965" s="3"/>
      <c r="C965" s="3"/>
      <c r="D965" s="3"/>
      <c r="E965" s="3"/>
      <c r="F965" s="3"/>
      <c r="G965" s="3"/>
    </row>
    <row r="966" spans="1:7" ht="15.75" customHeight="1">
      <c r="A966" s="3"/>
      <c r="B966" s="3"/>
      <c r="C966" s="3"/>
      <c r="D966" s="3"/>
      <c r="E966" s="3"/>
      <c r="F966" s="3"/>
      <c r="G966" s="3"/>
    </row>
    <row r="967" spans="1:7" ht="15.75" customHeight="1">
      <c r="A967" s="3"/>
      <c r="B967" s="3"/>
      <c r="C967" s="3"/>
      <c r="D967" s="3"/>
      <c r="E967" s="3"/>
      <c r="F967" s="3"/>
      <c r="G967" s="3"/>
    </row>
    <row r="968" spans="1:7" ht="15.75" customHeight="1">
      <c r="A968" s="3"/>
      <c r="B968" s="3"/>
      <c r="C968" s="3"/>
      <c r="D968" s="3"/>
      <c r="E968" s="3"/>
      <c r="F968" s="3"/>
      <c r="G968" s="3"/>
    </row>
    <row r="969" spans="1:7" ht="15.75" customHeight="1">
      <c r="A969" s="3"/>
      <c r="B969" s="3"/>
      <c r="C969" s="3"/>
      <c r="D969" s="3"/>
      <c r="E969" s="3"/>
      <c r="F969" s="3"/>
      <c r="G969" s="3"/>
    </row>
    <row r="970" spans="1:7" ht="15.75" customHeight="1">
      <c r="A970" s="3"/>
      <c r="B970" s="3"/>
      <c r="C970" s="3"/>
      <c r="D970" s="3"/>
      <c r="E970" s="3"/>
      <c r="F970" s="3"/>
      <c r="G970" s="3"/>
    </row>
    <row r="971" spans="1:7" ht="15.75" customHeight="1">
      <c r="A971" s="3"/>
      <c r="B971" s="3"/>
      <c r="C971" s="3"/>
      <c r="D971" s="3"/>
      <c r="E971" s="3"/>
      <c r="F971" s="3"/>
      <c r="G971" s="3"/>
    </row>
    <row r="972" spans="1:7" ht="15.75" customHeight="1">
      <c r="A972" s="3"/>
      <c r="B972" s="3"/>
      <c r="C972" s="3"/>
      <c r="D972" s="3"/>
      <c r="E972" s="3"/>
      <c r="F972" s="3"/>
      <c r="G972" s="3"/>
    </row>
    <row r="973" spans="1:7" ht="15.75" customHeight="1">
      <c r="A973" s="3"/>
      <c r="B973" s="3"/>
      <c r="C973" s="3"/>
      <c r="D973" s="3"/>
      <c r="E973" s="3"/>
      <c r="F973" s="3"/>
      <c r="G973" s="3"/>
    </row>
    <row r="974" spans="1:7" ht="15.75" customHeight="1">
      <c r="A974" s="3"/>
      <c r="B974" s="3"/>
      <c r="C974" s="3"/>
      <c r="D974" s="3"/>
      <c r="E974" s="3"/>
      <c r="F974" s="3"/>
      <c r="G974" s="3"/>
    </row>
    <row r="975" spans="1:7" ht="15.75" customHeight="1">
      <c r="A975" s="3"/>
      <c r="B975" s="3"/>
      <c r="C975" s="3"/>
      <c r="D975" s="3"/>
      <c r="E975" s="3"/>
      <c r="F975" s="3"/>
      <c r="G975" s="3"/>
    </row>
    <row r="976" spans="1:7" ht="15.75" customHeight="1">
      <c r="A976" s="3"/>
      <c r="B976" s="3"/>
      <c r="C976" s="3"/>
      <c r="D976" s="3"/>
      <c r="E976" s="3"/>
      <c r="F976" s="3"/>
      <c r="G976" s="3"/>
    </row>
    <row r="977" spans="1:7" ht="15.75" customHeight="1">
      <c r="A977" s="3"/>
      <c r="B977" s="3"/>
      <c r="C977" s="3"/>
      <c r="D977" s="3"/>
      <c r="E977" s="3"/>
      <c r="F977" s="3"/>
      <c r="G977" s="3"/>
    </row>
    <row r="978" spans="1:7" ht="15.75" customHeight="1">
      <c r="A978" s="3"/>
      <c r="B978" s="3"/>
      <c r="C978" s="3"/>
      <c r="D978" s="3"/>
      <c r="E978" s="3"/>
      <c r="F978" s="3"/>
      <c r="G978" s="3"/>
    </row>
    <row r="979" spans="1:7" ht="15.75" customHeight="1">
      <c r="A979" s="3"/>
      <c r="B979" s="3"/>
      <c r="C979" s="3"/>
      <c r="D979" s="3"/>
      <c r="E979" s="3"/>
      <c r="F979" s="3"/>
      <c r="G979" s="3"/>
    </row>
    <row r="980" spans="1:7" ht="15.75" customHeight="1">
      <c r="A980" s="3"/>
      <c r="B980" s="3"/>
      <c r="C980" s="3"/>
      <c r="D980" s="3"/>
      <c r="E980" s="3"/>
      <c r="F980" s="3"/>
      <c r="G980" s="3"/>
    </row>
    <row r="981" spans="1:7" ht="15.75" customHeight="1">
      <c r="A981" s="3"/>
      <c r="B981" s="3"/>
      <c r="C981" s="3"/>
      <c r="D981" s="3"/>
      <c r="E981" s="3"/>
      <c r="F981" s="3"/>
      <c r="G981" s="3"/>
    </row>
    <row r="982" spans="1:7" ht="15.75" customHeight="1">
      <c r="A982" s="3"/>
      <c r="B982" s="3"/>
      <c r="C982" s="3"/>
      <c r="D982" s="3"/>
      <c r="E982" s="3"/>
      <c r="F982" s="3"/>
      <c r="G982" s="3"/>
    </row>
    <row r="983" spans="1:7" ht="15.75" customHeight="1">
      <c r="A983" s="3"/>
      <c r="B983" s="3"/>
      <c r="C983" s="3"/>
      <c r="D983" s="3"/>
      <c r="E983" s="3"/>
      <c r="F983" s="3"/>
      <c r="G983" s="3"/>
    </row>
    <row r="984" spans="1:7" ht="15.75" customHeight="1">
      <c r="A984" s="3"/>
      <c r="B984" s="3"/>
      <c r="C984" s="3"/>
      <c r="D984" s="3"/>
      <c r="E984" s="3"/>
      <c r="F984" s="3"/>
      <c r="G984" s="3"/>
    </row>
    <row r="985" spans="1:7" ht="15.75" customHeight="1">
      <c r="A985" s="3"/>
      <c r="B985" s="3"/>
      <c r="C985" s="3"/>
      <c r="D985" s="3"/>
      <c r="E985" s="3"/>
      <c r="F985" s="3"/>
      <c r="G985" s="3"/>
    </row>
    <row r="986" spans="1:7" ht="15.75" customHeight="1">
      <c r="A986" s="3"/>
      <c r="B986" s="3"/>
      <c r="C986" s="3"/>
      <c r="D986" s="3"/>
      <c r="E986" s="3"/>
      <c r="F986" s="3"/>
      <c r="G986" s="3"/>
    </row>
    <row r="987" spans="1:7" ht="15.75" customHeight="1">
      <c r="A987" s="3"/>
      <c r="B987" s="3"/>
      <c r="C987" s="3"/>
      <c r="D987" s="3"/>
      <c r="E987" s="3"/>
      <c r="F987" s="3"/>
      <c r="G987" s="3"/>
    </row>
    <row r="988" spans="1:7" ht="15.75" customHeight="1">
      <c r="A988" s="3"/>
      <c r="B988" s="3"/>
      <c r="C988" s="3"/>
      <c r="D988" s="3"/>
      <c r="E988" s="3"/>
      <c r="F988" s="3"/>
      <c r="G988" s="3"/>
    </row>
    <row r="989" spans="1:7" ht="15.75" customHeight="1">
      <c r="A989" s="3"/>
      <c r="B989" s="3"/>
      <c r="C989" s="3"/>
      <c r="D989" s="3"/>
      <c r="E989" s="3"/>
      <c r="F989" s="3"/>
      <c r="G989" s="3"/>
    </row>
    <row r="990" spans="1:7" ht="15.75" customHeight="1">
      <c r="A990" s="3"/>
      <c r="B990" s="3"/>
      <c r="C990" s="3"/>
      <c r="D990" s="3"/>
      <c r="E990" s="3"/>
      <c r="F990" s="3"/>
      <c r="G990" s="3"/>
    </row>
    <row r="991" spans="1:7" ht="15.75" customHeight="1">
      <c r="A991" s="3"/>
      <c r="B991" s="3"/>
      <c r="C991" s="3"/>
      <c r="D991" s="3"/>
      <c r="E991" s="3"/>
      <c r="F991" s="3"/>
      <c r="G991" s="3"/>
    </row>
    <row r="992" spans="1:7" ht="15.75" customHeight="1">
      <c r="A992" s="3"/>
      <c r="B992" s="3"/>
      <c r="C992" s="3"/>
      <c r="D992" s="3"/>
      <c r="E992" s="3"/>
      <c r="F992" s="3"/>
      <c r="G992" s="3"/>
    </row>
    <row r="993" spans="1:7" ht="15.75" customHeight="1">
      <c r="A993" s="3"/>
      <c r="B993" s="3"/>
      <c r="C993" s="3"/>
      <c r="D993" s="3"/>
      <c r="E993" s="3"/>
      <c r="F993" s="3"/>
      <c r="G993" s="3"/>
    </row>
    <row r="994" spans="1:7" ht="15.75" customHeight="1">
      <c r="A994" s="3"/>
      <c r="B994" s="3"/>
      <c r="C994" s="3"/>
      <c r="D994" s="3"/>
      <c r="E994" s="3"/>
      <c r="F994" s="3"/>
      <c r="G994" s="3"/>
    </row>
    <row r="995" spans="1:7" ht="15.75" customHeight="1">
      <c r="A995" s="3"/>
      <c r="B995" s="3"/>
      <c r="C995" s="3"/>
      <c r="D995" s="3"/>
      <c r="E995" s="3"/>
      <c r="F995" s="3"/>
      <c r="G995" s="3"/>
    </row>
    <row r="996" spans="1:7" ht="15.75" customHeight="1">
      <c r="A996" s="3"/>
      <c r="B996" s="3"/>
      <c r="C996" s="3"/>
      <c r="D996" s="3"/>
      <c r="E996" s="3"/>
      <c r="F996" s="3"/>
      <c r="G996" s="3"/>
    </row>
    <row r="997" spans="1:7" ht="15.75" customHeight="1">
      <c r="A997" s="3"/>
      <c r="B997" s="3"/>
      <c r="C997" s="3"/>
      <c r="D997" s="3"/>
      <c r="E997" s="3"/>
      <c r="F997" s="3"/>
      <c r="G997" s="3"/>
    </row>
    <row r="998" spans="1:7" ht="15.75" customHeight="1">
      <c r="A998" s="3"/>
      <c r="B998" s="3"/>
      <c r="C998" s="3"/>
      <c r="D998" s="3"/>
      <c r="E998" s="3"/>
      <c r="F998" s="3"/>
      <c r="G998" s="3"/>
    </row>
    <row r="999" spans="1:7" ht="15.75" customHeight="1">
      <c r="A999" s="3"/>
      <c r="B999" s="3"/>
      <c r="C999" s="3"/>
      <c r="D999" s="3"/>
      <c r="E999" s="3"/>
      <c r="F999" s="3"/>
      <c r="G999" s="3"/>
    </row>
    <row r="1000" spans="1:7" ht="15.75" customHeight="1">
      <c r="A1000" s="3"/>
      <c r="B1000" s="3"/>
      <c r="C1000" s="3"/>
      <c r="D1000" s="3"/>
      <c r="E1000" s="3"/>
      <c r="F1000" s="3"/>
      <c r="G1000" s="3"/>
    </row>
  </sheetData>
  <mergeCells count="7">
    <mergeCell ref="A78:A79"/>
    <mergeCell ref="A80:G80"/>
    <mergeCell ref="B2:E2"/>
    <mergeCell ref="A6:A7"/>
    <mergeCell ref="A63:A64"/>
    <mergeCell ref="A65:G65"/>
    <mergeCell ref="A70:G70"/>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5703125" customWidth="1"/>
    <col min="7" max="7" width="8" customWidth="1"/>
    <col min="8" max="8" width="9.28515625" customWidth="1"/>
    <col min="9" max="9" width="1.28515625" customWidth="1"/>
    <col min="10" max="10" width="10.42578125" customWidth="1"/>
    <col min="11" max="11" width="8" customWidth="1"/>
    <col min="12" max="12" width="8.28515625" customWidth="1"/>
    <col min="13" max="13" width="1.28515625" customWidth="1"/>
    <col min="14" max="14" width="9.42578125" customWidth="1"/>
    <col min="15" max="15" width="10" customWidth="1"/>
    <col min="16" max="16" width="0.7109375" customWidth="1"/>
    <col min="17" max="17" width="10.42578125" customWidth="1"/>
    <col min="18" max="18" width="8" customWidth="1"/>
    <col min="19" max="19" width="8.28515625" customWidth="1"/>
    <col min="20" max="20" width="1.28515625" customWidth="1"/>
    <col min="21" max="21" width="9.42578125" customWidth="1"/>
    <col min="22" max="22" width="10" customWidth="1"/>
    <col min="23" max="23" width="0.85546875" customWidth="1"/>
    <col min="24" max="24" width="10.42578125" customWidth="1"/>
    <col min="25" max="25" width="8" customWidth="1"/>
    <col min="26" max="26" width="11.7109375" customWidth="1"/>
    <col min="27" max="27" width="2.85546875" customWidth="1"/>
    <col min="28" max="28" width="9.42578125" customWidth="1"/>
    <col min="29" max="29" width="10" customWidth="1"/>
    <col min="30" max="30" width="0.42578125" customWidth="1"/>
    <col min="31" max="31" width="10.42578125" customWidth="1"/>
    <col min="32" max="32" width="8" customWidth="1"/>
    <col min="33" max="33" width="8.28515625" customWidth="1"/>
    <col min="34" max="34" width="2.85546875" customWidth="1"/>
    <col min="35" max="35" width="9.42578125" customWidth="1"/>
    <col min="36" max="36" width="10" customWidth="1"/>
    <col min="37" max="37" width="1.140625" customWidth="1"/>
    <col min="38" max="38" width="10.42578125" customWidth="1"/>
    <col min="39" max="39" width="8" customWidth="1"/>
    <col min="40" max="40" width="8.28515625" customWidth="1"/>
    <col min="41" max="41" width="1.42578125" customWidth="1"/>
    <col min="42" max="42" width="9.42578125" customWidth="1"/>
    <col min="43" max="43" width="10" customWidth="1"/>
  </cols>
  <sheetData>
    <row r="1" spans="1:43" ht="12" customHeight="1">
      <c r="A1" s="53"/>
      <c r="B1" s="53"/>
      <c r="C1" s="53"/>
      <c r="D1" s="53"/>
      <c r="E1" s="53"/>
      <c r="F1" s="53"/>
      <c r="G1" s="53"/>
      <c r="J1" s="53"/>
      <c r="K1" s="53"/>
      <c r="L1" s="53"/>
      <c r="M1" s="53"/>
      <c r="N1" s="53"/>
      <c r="O1" s="53"/>
      <c r="P1" s="53"/>
      <c r="Q1" s="53"/>
      <c r="R1" s="53"/>
      <c r="S1" s="628" t="s">
        <v>319</v>
      </c>
      <c r="T1" s="629"/>
      <c r="U1" s="629"/>
      <c r="V1" s="629"/>
      <c r="W1" s="629"/>
      <c r="X1" s="629"/>
      <c r="Y1" s="630"/>
      <c r="AA1" s="53"/>
      <c r="AB1" s="53"/>
      <c r="AC1" s="53"/>
      <c r="AD1" s="53"/>
      <c r="AE1" s="53"/>
      <c r="AF1" s="53"/>
      <c r="AG1" s="53"/>
      <c r="AH1" s="53"/>
      <c r="AI1" s="53"/>
      <c r="AJ1" s="53"/>
      <c r="AK1" s="53"/>
      <c r="AL1" s="53"/>
      <c r="AM1" s="53"/>
      <c r="AN1" s="53"/>
      <c r="AO1" s="53"/>
      <c r="AP1" s="53"/>
      <c r="AQ1" s="53"/>
    </row>
    <row r="2" spans="1:43" ht="12" customHeight="1">
      <c r="A2" s="53"/>
      <c r="B2" s="53"/>
      <c r="C2" s="373"/>
      <c r="D2" s="373"/>
      <c r="E2" s="373" t="s">
        <v>320</v>
      </c>
      <c r="F2" s="373"/>
      <c r="G2" s="373"/>
      <c r="H2" s="373"/>
      <c r="J2" s="53"/>
      <c r="K2" s="53"/>
      <c r="L2" s="53"/>
      <c r="M2" s="53"/>
      <c r="N2" s="53"/>
      <c r="O2" s="53"/>
      <c r="P2" s="53"/>
      <c r="Q2" s="53"/>
      <c r="R2" s="53"/>
      <c r="S2" s="374">
        <f>'Res (100)'!$S$2</f>
        <v>1</v>
      </c>
      <c r="T2" s="635" t="s">
        <v>321</v>
      </c>
      <c r="U2" s="629"/>
      <c r="V2" s="629"/>
      <c r="W2" s="629"/>
      <c r="X2" s="629"/>
      <c r="Y2" s="630"/>
      <c r="AA2" s="53"/>
      <c r="AB2" s="53"/>
      <c r="AC2" s="53"/>
      <c r="AD2" s="53"/>
      <c r="AE2" s="53"/>
      <c r="AF2" s="53"/>
      <c r="AG2" s="53"/>
      <c r="AH2" s="53"/>
      <c r="AI2" s="53"/>
      <c r="AJ2" s="53"/>
      <c r="AK2" s="53"/>
      <c r="AL2" s="53"/>
      <c r="AM2" s="53"/>
      <c r="AN2" s="53"/>
      <c r="AO2" s="53"/>
      <c r="AP2" s="53"/>
      <c r="AQ2" s="53"/>
    </row>
    <row r="3" spans="1:43" ht="12" customHeight="1">
      <c r="A3" s="53"/>
      <c r="B3" s="53"/>
      <c r="C3" s="373"/>
      <c r="D3" s="373"/>
      <c r="E3" s="373" t="s">
        <v>322</v>
      </c>
      <c r="F3" s="373"/>
      <c r="G3" s="373"/>
      <c r="H3" s="37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row>
    <row r="4" spans="1:43" ht="12" customHeight="1">
      <c r="A4" s="53"/>
      <c r="B4" s="53"/>
      <c r="C4" s="53"/>
      <c r="D4" s="53"/>
      <c r="E4" s="53"/>
      <c r="F4" s="53"/>
      <c r="G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row>
    <row r="5" spans="1:43" ht="12" customHeight="1">
      <c r="A5" s="53"/>
      <c r="B5" s="53"/>
      <c r="C5" s="53"/>
      <c r="D5" s="53"/>
      <c r="E5" s="53"/>
      <c r="F5" s="53"/>
      <c r="G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row>
    <row r="6" spans="1:43" ht="12" customHeight="1">
      <c r="A6" s="53"/>
      <c r="B6" s="327" t="s">
        <v>323</v>
      </c>
      <c r="C6" s="53"/>
      <c r="D6" s="375" t="s">
        <v>247</v>
      </c>
      <c r="E6" s="375"/>
      <c r="F6" s="376"/>
      <c r="G6" s="376"/>
      <c r="H6" s="376"/>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row>
    <row r="7" spans="1:43" ht="12" customHeight="1">
      <c r="A7" s="53"/>
      <c r="B7" s="377"/>
      <c r="C7" s="53"/>
      <c r="D7" s="378"/>
      <c r="E7" s="378"/>
      <c r="F7" s="378"/>
      <c r="G7" s="378"/>
      <c r="H7" s="378"/>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row>
    <row r="8" spans="1:43" ht="12" customHeight="1">
      <c r="A8" s="53"/>
      <c r="B8" s="327" t="s">
        <v>324</v>
      </c>
      <c r="C8" s="53"/>
      <c r="D8" s="379" t="s">
        <v>325</v>
      </c>
      <c r="E8" s="378"/>
      <c r="F8" s="378"/>
      <c r="G8" s="378"/>
      <c r="H8" s="378"/>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row>
    <row r="9" spans="1:43" ht="12" customHeight="1">
      <c r="A9" s="53"/>
      <c r="B9" s="377"/>
      <c r="C9" s="53"/>
      <c r="D9" s="378"/>
      <c r="E9" s="378"/>
      <c r="F9" s="378"/>
      <c r="G9" s="378"/>
      <c r="H9" s="378"/>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row>
    <row r="10" spans="1:43" ht="12" customHeight="1">
      <c r="A10" s="53"/>
      <c r="B10" s="53"/>
      <c r="C10" s="53"/>
      <c r="D10" s="314" t="s">
        <v>326</v>
      </c>
      <c r="F10" s="380">
        <v>232</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row>
    <row r="11" spans="1:43" ht="12" customHeight="1">
      <c r="A11" s="53"/>
      <c r="B11" s="53"/>
      <c r="C11" s="53"/>
      <c r="D11" s="53"/>
      <c r="E11" s="381"/>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row>
    <row r="12" spans="1:43" ht="12" customHeight="1">
      <c r="A12" s="53"/>
      <c r="B12" s="53"/>
      <c r="C12" s="53"/>
      <c r="D12" s="314"/>
      <c r="E12" s="53"/>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317"/>
      <c r="AL12" s="620" t="s">
        <v>6</v>
      </c>
      <c r="AM12" s="586"/>
      <c r="AN12" s="587"/>
      <c r="AO12" s="53"/>
      <c r="AP12" s="621" t="str">
        <f>"Impact "&amp;AE12&amp;" vs "&amp;AL12</f>
        <v>Impact 2029F vs 2030F</v>
      </c>
      <c r="AQ12" s="587"/>
    </row>
    <row r="13" spans="1:43" ht="12" customHeight="1">
      <c r="A13" s="53"/>
      <c r="B13" s="53"/>
      <c r="C13" s="53"/>
      <c r="D13" s="634" t="s">
        <v>328</v>
      </c>
      <c r="E13" s="53"/>
      <c r="F13" s="383" t="s">
        <v>329</v>
      </c>
      <c r="G13" s="384"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382"/>
      <c r="AL13" s="383" t="s">
        <v>329</v>
      </c>
      <c r="AM13" s="384" t="s">
        <v>330</v>
      </c>
      <c r="AN13" s="385" t="s">
        <v>331</v>
      </c>
      <c r="AO13" s="53"/>
      <c r="AP13" s="622" t="s">
        <v>332</v>
      </c>
      <c r="AQ13" s="624" t="s">
        <v>333</v>
      </c>
    </row>
    <row r="14" spans="1:43" ht="12" customHeight="1">
      <c r="A14" s="53"/>
      <c r="B14" s="53"/>
      <c r="C14" s="53"/>
      <c r="D14" s="616"/>
      <c r="E14" s="53"/>
      <c r="F14" s="386" t="s">
        <v>334</v>
      </c>
      <c r="G14" s="38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382"/>
      <c r="AL14" s="386" t="s">
        <v>334</v>
      </c>
      <c r="AM14" s="387"/>
      <c r="AN14" s="388" t="s">
        <v>334</v>
      </c>
      <c r="AO14" s="53"/>
      <c r="AP14" s="623"/>
      <c r="AQ14" s="625"/>
    </row>
    <row r="15" spans="1:43" ht="12" customHeight="1">
      <c r="A15" s="53"/>
      <c r="B15" s="328" t="s">
        <v>246</v>
      </c>
      <c r="C15" s="389" t="str">
        <f t="shared" ref="C15:C28" si="0">D$6&amp;"."&amp;B15</f>
        <v>Residential.Monthly Service Charge</v>
      </c>
      <c r="D15" s="390" t="s">
        <v>335</v>
      </c>
      <c r="E15" s="138"/>
      <c r="F15" s="391">
        <f>IFERROR(VLOOKUP($C15,'Proposed Rates'!$B:$J,F$11,FALSE),0)</f>
        <v>34.26</v>
      </c>
      <c r="G15" s="392">
        <f t="shared" ref="G15:G28" si="1">IF($D15="Monthly",1,IF($D15="per KWH",$F$10,0))</f>
        <v>1</v>
      </c>
      <c r="H15" s="394">
        <f t="shared" ref="H15:H28" si="2">G15*F15</f>
        <v>34.26</v>
      </c>
      <c r="I15" s="53"/>
      <c r="J15" s="391">
        <f>IFERROR(VLOOKUP($C15,'Proposed Rates'!$B:$J,J$11,FALSE),0)</f>
        <v>39.200000000000003</v>
      </c>
      <c r="K15" s="392">
        <f t="shared" ref="K15:K28" si="3">IF($D15="Monthly",1,IF($D15="per KWH",$F$10,0))</f>
        <v>1</v>
      </c>
      <c r="L15" s="394">
        <f t="shared" ref="L15:L28" si="4">K15*J15</f>
        <v>39.200000000000003</v>
      </c>
      <c r="M15" s="138"/>
      <c r="N15" s="395">
        <f t="shared" ref="N15:N48" si="5">L15-H15</f>
        <v>4.9400000000000048</v>
      </c>
      <c r="O15" s="396">
        <f t="shared" ref="O15:O48" si="6">IF((H15)=0,"",(N15/H15))</f>
        <v>0.14419147694103926</v>
      </c>
      <c r="P15" s="53"/>
      <c r="Q15" s="391">
        <f>IFERROR(VLOOKUP($C15,'Proposed Rates'!$B:$J,Q$11,FALSE),0)</f>
        <v>41.1</v>
      </c>
      <c r="R15" s="392">
        <f t="shared" ref="R15:R28" si="7">IF($D15="Monthly",1,IF($D15="per KWH",$F$10,0))</f>
        <v>1</v>
      </c>
      <c r="S15" s="394">
        <f t="shared" ref="S15:S28" si="8">R15*Q15</f>
        <v>41.1</v>
      </c>
      <c r="T15" s="138"/>
      <c r="U15" s="395">
        <f t="shared" ref="U15:U48" si="9">S15-L15</f>
        <v>1.8999999999999986</v>
      </c>
      <c r="V15" s="396">
        <f t="shared" ref="V15:V48" si="10">IF((L15)=0,"",(U15/L15))</f>
        <v>4.8469387755102004E-2</v>
      </c>
      <c r="W15" s="53"/>
      <c r="X15" s="391">
        <f>IFERROR(VLOOKUP($C15,'Proposed Rates'!$B:$J,X$11,FALSE),0)</f>
        <v>43.93</v>
      </c>
      <c r="Y15" s="392">
        <f t="shared" ref="Y15:Y28" si="11">IF($D15="Monthly",1,IF($D15="per KWH",$F$10,0))</f>
        <v>1</v>
      </c>
      <c r="Z15" s="394">
        <f t="shared" ref="Z15:Z28" si="12">Y15*X15</f>
        <v>43.93</v>
      </c>
      <c r="AA15" s="138"/>
      <c r="AB15" s="395">
        <f t="shared" ref="AB15:AB48" si="13">Z15-S15</f>
        <v>2.8299999999999983</v>
      </c>
      <c r="AC15" s="396">
        <f t="shared" ref="AC15:AC48" si="14">IF((S15)=0,"",(AB15/S15))</f>
        <v>6.8856447688564429E-2</v>
      </c>
      <c r="AD15" s="53"/>
      <c r="AE15" s="391">
        <f>IFERROR(VLOOKUP($C15,'Proposed Rates'!$B:$J,AE$11,FALSE),0)</f>
        <v>45.42</v>
      </c>
      <c r="AF15" s="392">
        <f t="shared" ref="AF15:AF28" si="15">IF($D15="Monthly",1,IF($D15="per KWH",$F$10,0))</f>
        <v>1</v>
      </c>
      <c r="AG15" s="394">
        <f t="shared" ref="AG15:AG28" si="16">AF15*AE15</f>
        <v>45.42</v>
      </c>
      <c r="AH15" s="138"/>
      <c r="AI15" s="395">
        <f t="shared" ref="AI15:AI48" si="17">AG15-Z15</f>
        <v>1.490000000000002</v>
      </c>
      <c r="AJ15" s="396">
        <f t="shared" ref="AJ15:AJ48" si="18">IF((Z15)=0,"",(AI15/Z15))</f>
        <v>3.3917596175734165E-2</v>
      </c>
      <c r="AK15" s="397"/>
      <c r="AL15" s="391">
        <f>IFERROR(VLOOKUP($C15,'Proposed Rates'!$B:$J,AL$11,FALSE),0)</f>
        <v>46.78</v>
      </c>
      <c r="AM15" s="392">
        <f t="shared" ref="AM15:AM28" si="19">IF($D15="Monthly",1,IF($D15="per KWH",$F$10,0))</f>
        <v>1</v>
      </c>
      <c r="AN15" s="394">
        <f t="shared" ref="AN15:AN28" si="20">AM15*AL15</f>
        <v>46.78</v>
      </c>
      <c r="AO15" s="138"/>
      <c r="AP15" s="395">
        <f t="shared" ref="AP15:AP48" si="21">AN15-AG15</f>
        <v>1.3599999999999994</v>
      </c>
      <c r="AQ15" s="396">
        <f t="shared" ref="AQ15:AQ48" si="22">IF((AG15)=0,"",(AP15/AG15))</f>
        <v>2.9942756494936138E-2</v>
      </c>
    </row>
    <row r="16" spans="1:43" ht="12" customHeight="1">
      <c r="A16" s="53"/>
      <c r="B16" s="328" t="s">
        <v>336</v>
      </c>
      <c r="C16" s="389" t="str">
        <f t="shared" si="0"/>
        <v>Residential.Smart Meter Rate Adder</v>
      </c>
      <c r="D16" s="390" t="s">
        <v>335</v>
      </c>
      <c r="E16" s="138"/>
      <c r="F16" s="391">
        <f>IFERROR(VLOOKUP($C16,'Proposed Rates'!$B:$J,F$11,FALSE),0)</f>
        <v>0</v>
      </c>
      <c r="G16" s="392">
        <f t="shared" si="1"/>
        <v>1</v>
      </c>
      <c r="H16" s="394">
        <f t="shared" si="2"/>
        <v>0</v>
      </c>
      <c r="I16" s="53"/>
      <c r="J16" s="391">
        <f>IFERROR(VLOOKUP($C16,'Proposed Rates'!$B:$J,J$11,FALSE),0)</f>
        <v>0</v>
      </c>
      <c r="K16" s="392">
        <f t="shared" si="3"/>
        <v>1</v>
      </c>
      <c r="L16" s="394">
        <f t="shared" si="4"/>
        <v>0</v>
      </c>
      <c r="M16" s="138"/>
      <c r="N16" s="395">
        <f t="shared" si="5"/>
        <v>0</v>
      </c>
      <c r="O16" s="396" t="str">
        <f t="shared" si="6"/>
        <v/>
      </c>
      <c r="P16" s="53"/>
      <c r="Q16" s="391">
        <f>IFERROR(VLOOKUP($C16,'Proposed Rates'!$B:$J,Q$11,FALSE),0)</f>
        <v>0</v>
      </c>
      <c r="R16" s="392">
        <f t="shared" si="7"/>
        <v>1</v>
      </c>
      <c r="S16" s="394">
        <f t="shared" si="8"/>
        <v>0</v>
      </c>
      <c r="T16" s="138"/>
      <c r="U16" s="395">
        <f t="shared" si="9"/>
        <v>0</v>
      </c>
      <c r="V16" s="396" t="str">
        <f t="shared" si="10"/>
        <v/>
      </c>
      <c r="W16" s="53"/>
      <c r="X16" s="391">
        <f>IFERROR(VLOOKUP($C16,'Proposed Rates'!$B:$J,X$11,FALSE),0)</f>
        <v>0</v>
      </c>
      <c r="Y16" s="392">
        <f t="shared" si="11"/>
        <v>1</v>
      </c>
      <c r="Z16" s="394">
        <f t="shared" si="12"/>
        <v>0</v>
      </c>
      <c r="AA16" s="138"/>
      <c r="AB16" s="395">
        <f t="shared" si="13"/>
        <v>0</v>
      </c>
      <c r="AC16" s="396" t="str">
        <f t="shared" si="14"/>
        <v/>
      </c>
      <c r="AD16" s="53"/>
      <c r="AE16" s="391">
        <f>IFERROR(VLOOKUP($C16,'Proposed Rates'!$B:$J,AE$11,FALSE),0)</f>
        <v>0</v>
      </c>
      <c r="AF16" s="392">
        <f t="shared" si="15"/>
        <v>1</v>
      </c>
      <c r="AG16" s="394">
        <f t="shared" si="16"/>
        <v>0</v>
      </c>
      <c r="AH16" s="138"/>
      <c r="AI16" s="395">
        <f t="shared" si="17"/>
        <v>0</v>
      </c>
      <c r="AJ16" s="396" t="str">
        <f t="shared" si="18"/>
        <v/>
      </c>
      <c r="AK16" s="397"/>
      <c r="AL16" s="391">
        <f>IFERROR(VLOOKUP($C16,'Proposed Rates'!$B:$J,AL$11,FALSE),0)</f>
        <v>0</v>
      </c>
      <c r="AM16" s="392">
        <f t="shared" si="19"/>
        <v>1</v>
      </c>
      <c r="AN16" s="394">
        <f t="shared" si="20"/>
        <v>0</v>
      </c>
      <c r="AO16" s="138"/>
      <c r="AP16" s="395">
        <f t="shared" si="21"/>
        <v>0</v>
      </c>
      <c r="AQ16" s="396" t="str">
        <f t="shared" si="22"/>
        <v/>
      </c>
    </row>
    <row r="17" spans="1:43" ht="12" customHeight="1">
      <c r="A17" s="53"/>
      <c r="B17" s="398" t="str">
        <f>'Proposed Rates'!C115</f>
        <v>Rate Rider Calculation for Forgone Revenue - variable</v>
      </c>
      <c r="C17" s="389" t="str">
        <f t="shared" si="0"/>
        <v>Residential.Rate Rider Calculation for Forgone Revenue - variable</v>
      </c>
      <c r="D17" s="390" t="s">
        <v>337</v>
      </c>
      <c r="E17" s="138"/>
      <c r="F17" s="391">
        <f>IFERROR(VLOOKUP($C17,'Proposed Rates'!$B:$J,F$11,FALSE),0)</f>
        <v>0</v>
      </c>
      <c r="G17" s="392">
        <f t="shared" si="1"/>
        <v>232</v>
      </c>
      <c r="H17" s="394">
        <f t="shared" si="2"/>
        <v>0</v>
      </c>
      <c r="I17" s="53"/>
      <c r="J17" s="391">
        <f>IFERROR(VLOOKUP($C17,'Proposed Rates'!$B:$J,J$11,FALSE),0)</f>
        <v>0</v>
      </c>
      <c r="K17" s="392">
        <f t="shared" si="3"/>
        <v>232</v>
      </c>
      <c r="L17" s="394">
        <f t="shared" si="4"/>
        <v>0</v>
      </c>
      <c r="M17" s="138"/>
      <c r="N17" s="395">
        <f t="shared" si="5"/>
        <v>0</v>
      </c>
      <c r="O17" s="396" t="str">
        <f t="shared" si="6"/>
        <v/>
      </c>
      <c r="P17" s="53"/>
      <c r="Q17" s="391">
        <f>IFERROR(VLOOKUP($C17,'Proposed Rates'!$B:$J,Q$11,FALSE),0)</f>
        <v>0</v>
      </c>
      <c r="R17" s="392">
        <f t="shared" si="7"/>
        <v>232</v>
      </c>
      <c r="S17" s="394">
        <f t="shared" si="8"/>
        <v>0</v>
      </c>
      <c r="T17" s="138"/>
      <c r="U17" s="395">
        <f t="shared" si="9"/>
        <v>0</v>
      </c>
      <c r="V17" s="396" t="str">
        <f t="shared" si="10"/>
        <v/>
      </c>
      <c r="W17" s="53"/>
      <c r="X17" s="391">
        <f>IFERROR(VLOOKUP($C17,'Proposed Rates'!$B:$J,X$11,FALSE),0)</f>
        <v>0</v>
      </c>
      <c r="Y17" s="392">
        <f t="shared" si="11"/>
        <v>232</v>
      </c>
      <c r="Z17" s="394">
        <f t="shared" si="12"/>
        <v>0</v>
      </c>
      <c r="AA17" s="138"/>
      <c r="AB17" s="395">
        <f t="shared" si="13"/>
        <v>0</v>
      </c>
      <c r="AC17" s="396" t="str">
        <f t="shared" si="14"/>
        <v/>
      </c>
      <c r="AD17" s="53"/>
      <c r="AE17" s="391">
        <f>IFERROR(VLOOKUP($C17,'Proposed Rates'!$B:$J,AE$11,FALSE),0)</f>
        <v>0</v>
      </c>
      <c r="AF17" s="392">
        <f t="shared" si="15"/>
        <v>232</v>
      </c>
      <c r="AG17" s="394">
        <f t="shared" si="16"/>
        <v>0</v>
      </c>
      <c r="AH17" s="138"/>
      <c r="AI17" s="395">
        <f t="shared" si="17"/>
        <v>0</v>
      </c>
      <c r="AJ17" s="396" t="str">
        <f t="shared" si="18"/>
        <v/>
      </c>
      <c r="AK17" s="397"/>
      <c r="AL17" s="391">
        <f>IFERROR(VLOOKUP($C17,'Proposed Rates'!$B:$J,AL$11,FALSE),0)</f>
        <v>0</v>
      </c>
      <c r="AM17" s="392">
        <f t="shared" si="19"/>
        <v>232</v>
      </c>
      <c r="AN17" s="394">
        <f t="shared" si="20"/>
        <v>0</v>
      </c>
      <c r="AO17" s="138"/>
      <c r="AP17" s="395">
        <f t="shared" si="21"/>
        <v>0</v>
      </c>
      <c r="AQ17" s="396" t="str">
        <f t="shared" si="22"/>
        <v/>
      </c>
    </row>
    <row r="18" spans="1:43" ht="12" customHeight="1">
      <c r="A18" s="53"/>
      <c r="B18" s="398" t="str">
        <f>'Proposed Rates'!C128</f>
        <v>Rate Rider Calculation for Forgone Revenue - fixed</v>
      </c>
      <c r="C18" s="389" t="str">
        <f t="shared" si="0"/>
        <v>Residential.Rate Rider Calculation for Forgone Revenue - fixed</v>
      </c>
      <c r="D18" s="390" t="s">
        <v>335</v>
      </c>
      <c r="E18" s="138"/>
      <c r="F18" s="391">
        <f>IFERROR(VLOOKUP($C18,'Proposed Rates'!$B:$J,F$11,FALSE),0)</f>
        <v>0</v>
      </c>
      <c r="G18" s="392">
        <f t="shared" si="1"/>
        <v>1</v>
      </c>
      <c r="H18" s="394">
        <f t="shared" si="2"/>
        <v>0</v>
      </c>
      <c r="I18" s="53"/>
      <c r="J18" s="391">
        <f>IFERROR(VLOOKUP($C18,'Proposed Rates'!$B:$J,J$11,FALSE),0)</f>
        <v>1.84</v>
      </c>
      <c r="K18" s="392">
        <f t="shared" si="3"/>
        <v>1</v>
      </c>
      <c r="L18" s="394">
        <f t="shared" si="4"/>
        <v>1.84</v>
      </c>
      <c r="M18" s="138"/>
      <c r="N18" s="395">
        <f t="shared" si="5"/>
        <v>1.84</v>
      </c>
      <c r="O18" s="396" t="str">
        <f t="shared" si="6"/>
        <v/>
      </c>
      <c r="P18" s="53"/>
      <c r="Q18" s="391">
        <f>IFERROR(VLOOKUP($C18,'Proposed Rates'!$B:$J,Q$11,FALSE),0)</f>
        <v>1.84</v>
      </c>
      <c r="R18" s="392">
        <f t="shared" si="7"/>
        <v>1</v>
      </c>
      <c r="S18" s="394">
        <f t="shared" si="8"/>
        <v>1.84</v>
      </c>
      <c r="T18" s="138"/>
      <c r="U18" s="395">
        <f t="shared" si="9"/>
        <v>0</v>
      </c>
      <c r="V18" s="396">
        <f t="shared" si="10"/>
        <v>0</v>
      </c>
      <c r="W18" s="53"/>
      <c r="X18" s="391">
        <f>IFERROR(VLOOKUP($C18,'Proposed Rates'!$B:$J,X$11,FALSE),0)</f>
        <v>0</v>
      </c>
      <c r="Y18" s="392">
        <f t="shared" si="11"/>
        <v>1</v>
      </c>
      <c r="Z18" s="394">
        <f t="shared" si="12"/>
        <v>0</v>
      </c>
      <c r="AA18" s="138"/>
      <c r="AB18" s="395">
        <f t="shared" si="13"/>
        <v>-1.84</v>
      </c>
      <c r="AC18" s="396">
        <f t="shared" si="14"/>
        <v>-1</v>
      </c>
      <c r="AD18" s="53"/>
      <c r="AE18" s="391">
        <f>IFERROR(VLOOKUP($C18,'Proposed Rates'!$B:$J,AE$11,FALSE),0)</f>
        <v>0</v>
      </c>
      <c r="AF18" s="392">
        <f t="shared" si="15"/>
        <v>1</v>
      </c>
      <c r="AG18" s="394">
        <f t="shared" si="16"/>
        <v>0</v>
      </c>
      <c r="AH18" s="138"/>
      <c r="AI18" s="395">
        <f t="shared" si="17"/>
        <v>0</v>
      </c>
      <c r="AJ18" s="396" t="str">
        <f t="shared" si="18"/>
        <v/>
      </c>
      <c r="AK18" s="397"/>
      <c r="AL18" s="391">
        <f>IFERROR(VLOOKUP($C18,'Proposed Rates'!$B:$J,AL$11,FALSE),0)</f>
        <v>0</v>
      </c>
      <c r="AM18" s="392">
        <f t="shared" si="19"/>
        <v>1</v>
      </c>
      <c r="AN18" s="394">
        <f t="shared" si="20"/>
        <v>0</v>
      </c>
      <c r="AO18" s="138"/>
      <c r="AP18" s="395">
        <f t="shared" si="21"/>
        <v>0</v>
      </c>
      <c r="AQ18" s="396" t="str">
        <f t="shared" si="22"/>
        <v/>
      </c>
    </row>
    <row r="19" spans="1:43" ht="12" customHeight="1">
      <c r="A19" s="53"/>
      <c r="B19" s="328" t="s">
        <v>62</v>
      </c>
      <c r="C19" s="389" t="str">
        <f t="shared" si="0"/>
        <v>Residential.Distribution Volumetric Rate</v>
      </c>
      <c r="D19" s="390" t="s">
        <v>337</v>
      </c>
      <c r="E19" s="138"/>
      <c r="F19" s="391">
        <f>IFERROR(VLOOKUP($C19,'Proposed Rates'!$B:$J,F$11,FALSE),0)</f>
        <v>0</v>
      </c>
      <c r="G19" s="392">
        <f t="shared" si="1"/>
        <v>232</v>
      </c>
      <c r="H19" s="394">
        <f t="shared" si="2"/>
        <v>0</v>
      </c>
      <c r="I19" s="53"/>
      <c r="J19" s="391">
        <f>IFERROR(VLOOKUP($C19,'Proposed Rates'!$B:$J,J$11,FALSE),0)</f>
        <v>0</v>
      </c>
      <c r="K19" s="392">
        <f t="shared" si="3"/>
        <v>232</v>
      </c>
      <c r="L19" s="394">
        <f t="shared" si="4"/>
        <v>0</v>
      </c>
      <c r="M19" s="138"/>
      <c r="N19" s="395">
        <f t="shared" si="5"/>
        <v>0</v>
      </c>
      <c r="O19" s="396" t="str">
        <f t="shared" si="6"/>
        <v/>
      </c>
      <c r="P19" s="53"/>
      <c r="Q19" s="391">
        <f>IFERROR(VLOOKUP($C19,'Proposed Rates'!$B:$J,Q$11,FALSE),0)</f>
        <v>0</v>
      </c>
      <c r="R19" s="392">
        <f t="shared" si="7"/>
        <v>232</v>
      </c>
      <c r="S19" s="394">
        <f t="shared" si="8"/>
        <v>0</v>
      </c>
      <c r="T19" s="138"/>
      <c r="U19" s="395">
        <f t="shared" si="9"/>
        <v>0</v>
      </c>
      <c r="V19" s="396" t="str">
        <f t="shared" si="10"/>
        <v/>
      </c>
      <c r="W19" s="53"/>
      <c r="X19" s="391">
        <f>IFERROR(VLOOKUP($C19,'Proposed Rates'!$B:$J,X$11,FALSE),0)</f>
        <v>0</v>
      </c>
      <c r="Y19" s="392">
        <f t="shared" si="11"/>
        <v>232</v>
      </c>
      <c r="Z19" s="394">
        <f t="shared" si="12"/>
        <v>0</v>
      </c>
      <c r="AA19" s="138"/>
      <c r="AB19" s="395">
        <f t="shared" si="13"/>
        <v>0</v>
      </c>
      <c r="AC19" s="396" t="str">
        <f t="shared" si="14"/>
        <v/>
      </c>
      <c r="AD19" s="53"/>
      <c r="AE19" s="391">
        <f>IFERROR(VLOOKUP($C19,'Proposed Rates'!$B:$J,AE$11,FALSE),0)</f>
        <v>0</v>
      </c>
      <c r="AF19" s="392">
        <f t="shared" si="15"/>
        <v>232</v>
      </c>
      <c r="AG19" s="394">
        <f t="shared" si="16"/>
        <v>0</v>
      </c>
      <c r="AH19" s="138"/>
      <c r="AI19" s="395">
        <f t="shared" si="17"/>
        <v>0</v>
      </c>
      <c r="AJ19" s="396" t="str">
        <f t="shared" si="18"/>
        <v/>
      </c>
      <c r="AK19" s="397"/>
      <c r="AL19" s="391">
        <f>IFERROR(VLOOKUP($C19,'Proposed Rates'!$B:$J,AL$11,FALSE),0)</f>
        <v>0</v>
      </c>
      <c r="AM19" s="392">
        <f t="shared" si="19"/>
        <v>232</v>
      </c>
      <c r="AN19" s="394">
        <f t="shared" si="20"/>
        <v>0</v>
      </c>
      <c r="AO19" s="138"/>
      <c r="AP19" s="395">
        <f t="shared" si="21"/>
        <v>0</v>
      </c>
      <c r="AQ19" s="396" t="str">
        <f t="shared" si="22"/>
        <v/>
      </c>
    </row>
    <row r="20" spans="1:43" ht="12" customHeight="1">
      <c r="A20" s="53"/>
      <c r="B20" s="328" t="s">
        <v>338</v>
      </c>
      <c r="C20" s="389" t="str">
        <f t="shared" si="0"/>
        <v>Residential.Smart Meter Disposition Rider</v>
      </c>
      <c r="D20" s="390" t="s">
        <v>337</v>
      </c>
      <c r="E20" s="138"/>
      <c r="F20" s="391">
        <f>IFERROR(VLOOKUP($C20,'Proposed Rates'!$B:$J,F$11,FALSE),0)</f>
        <v>0</v>
      </c>
      <c r="G20" s="392">
        <f t="shared" si="1"/>
        <v>232</v>
      </c>
      <c r="H20" s="394">
        <f t="shared" si="2"/>
        <v>0</v>
      </c>
      <c r="I20" s="53"/>
      <c r="J20" s="391">
        <f>IFERROR(VLOOKUP($C20,'Proposed Rates'!$B:$J,J$11,FALSE),0)</f>
        <v>0</v>
      </c>
      <c r="K20" s="392">
        <f t="shared" si="3"/>
        <v>232</v>
      </c>
      <c r="L20" s="394">
        <f t="shared" si="4"/>
        <v>0</v>
      </c>
      <c r="M20" s="138"/>
      <c r="N20" s="395">
        <f t="shared" si="5"/>
        <v>0</v>
      </c>
      <c r="O20" s="396" t="str">
        <f t="shared" si="6"/>
        <v/>
      </c>
      <c r="P20" s="53"/>
      <c r="Q20" s="391">
        <f>IFERROR(VLOOKUP($C20,'Proposed Rates'!$B:$J,Q$11,FALSE),0)</f>
        <v>0</v>
      </c>
      <c r="R20" s="392">
        <f t="shared" si="7"/>
        <v>232</v>
      </c>
      <c r="S20" s="394">
        <f t="shared" si="8"/>
        <v>0</v>
      </c>
      <c r="T20" s="138"/>
      <c r="U20" s="395">
        <f t="shared" si="9"/>
        <v>0</v>
      </c>
      <c r="V20" s="396" t="str">
        <f t="shared" si="10"/>
        <v/>
      </c>
      <c r="W20" s="53"/>
      <c r="X20" s="391">
        <f>IFERROR(VLOOKUP($C20,'Proposed Rates'!$B:$J,X$11,FALSE),0)</f>
        <v>0</v>
      </c>
      <c r="Y20" s="392">
        <f t="shared" si="11"/>
        <v>232</v>
      </c>
      <c r="Z20" s="394">
        <f t="shared" si="12"/>
        <v>0</v>
      </c>
      <c r="AA20" s="138"/>
      <c r="AB20" s="395">
        <f t="shared" si="13"/>
        <v>0</v>
      </c>
      <c r="AC20" s="396" t="str">
        <f t="shared" si="14"/>
        <v/>
      </c>
      <c r="AD20" s="53"/>
      <c r="AE20" s="391">
        <f>IFERROR(VLOOKUP($C20,'Proposed Rates'!$B:$J,AE$11,FALSE),0)</f>
        <v>0</v>
      </c>
      <c r="AF20" s="392">
        <f t="shared" si="15"/>
        <v>232</v>
      </c>
      <c r="AG20" s="394">
        <f t="shared" si="16"/>
        <v>0</v>
      </c>
      <c r="AH20" s="138"/>
      <c r="AI20" s="395">
        <f t="shared" si="17"/>
        <v>0</v>
      </c>
      <c r="AJ20" s="396" t="str">
        <f t="shared" si="18"/>
        <v/>
      </c>
      <c r="AK20" s="397"/>
      <c r="AL20" s="391">
        <f>IFERROR(VLOOKUP($C20,'Proposed Rates'!$B:$J,AL$11,FALSE),0)</f>
        <v>0</v>
      </c>
      <c r="AM20" s="392">
        <f t="shared" si="19"/>
        <v>232</v>
      </c>
      <c r="AN20" s="394">
        <f t="shared" si="20"/>
        <v>0</v>
      </c>
      <c r="AO20" s="138"/>
      <c r="AP20" s="395">
        <f t="shared" si="21"/>
        <v>0</v>
      </c>
      <c r="AQ20" s="396" t="str">
        <f t="shared" si="22"/>
        <v/>
      </c>
    </row>
    <row r="21" spans="1:43" ht="12" customHeight="1">
      <c r="A21" s="53"/>
      <c r="B21" s="328" t="s">
        <v>269</v>
      </c>
      <c r="C21" s="389" t="str">
        <f t="shared" si="0"/>
        <v>Residential.LRAM Rate Rider</v>
      </c>
      <c r="D21" s="390" t="s">
        <v>335</v>
      </c>
      <c r="E21" s="138"/>
      <c r="F21" s="391">
        <f>'Proposed Rates'!E77+'Proposed Rates'!E90</f>
        <v>0.25</v>
      </c>
      <c r="G21" s="392">
        <f t="shared" si="1"/>
        <v>1</v>
      </c>
      <c r="H21" s="393">
        <f t="shared" si="2"/>
        <v>0.25</v>
      </c>
      <c r="I21" s="53"/>
      <c r="J21" s="391">
        <f>'Proposed Rates'!F77+'Proposed Rates'!F90</f>
        <v>0</v>
      </c>
      <c r="K21" s="392">
        <f t="shared" si="3"/>
        <v>1</v>
      </c>
      <c r="L21" s="394">
        <f t="shared" si="4"/>
        <v>0</v>
      </c>
      <c r="M21" s="138"/>
      <c r="N21" s="395">
        <f t="shared" si="5"/>
        <v>-0.25</v>
      </c>
      <c r="O21" s="396">
        <f t="shared" si="6"/>
        <v>-1</v>
      </c>
      <c r="P21" s="53"/>
      <c r="Q21" s="391">
        <f>'Proposed Rates'!G77+'Proposed Rates'!G90</f>
        <v>0</v>
      </c>
      <c r="R21" s="392">
        <f t="shared" si="7"/>
        <v>1</v>
      </c>
      <c r="S21" s="394">
        <f t="shared" si="8"/>
        <v>0</v>
      </c>
      <c r="T21" s="138"/>
      <c r="U21" s="395">
        <f t="shared" si="9"/>
        <v>0</v>
      </c>
      <c r="V21" s="396" t="str">
        <f t="shared" si="10"/>
        <v/>
      </c>
      <c r="W21" s="53"/>
      <c r="X21" s="391">
        <f>IFERROR(VLOOKUP($C21,'Proposed Rates'!$B:$J,X$11,FALSE),0)</f>
        <v>0</v>
      </c>
      <c r="Y21" s="392">
        <f t="shared" si="11"/>
        <v>1</v>
      </c>
      <c r="Z21" s="394">
        <f t="shared" si="12"/>
        <v>0</v>
      </c>
      <c r="AA21" s="138"/>
      <c r="AB21" s="395">
        <f t="shared" si="13"/>
        <v>0</v>
      </c>
      <c r="AC21" s="396" t="str">
        <f t="shared" si="14"/>
        <v/>
      </c>
      <c r="AD21" s="53"/>
      <c r="AE21" s="391">
        <f>IFERROR(VLOOKUP($C21,'Proposed Rates'!$B:$J,AE$11,FALSE),0)</f>
        <v>0</v>
      </c>
      <c r="AF21" s="392">
        <f t="shared" si="15"/>
        <v>1</v>
      </c>
      <c r="AG21" s="394">
        <f t="shared" si="16"/>
        <v>0</v>
      </c>
      <c r="AH21" s="138"/>
      <c r="AI21" s="395">
        <f t="shared" si="17"/>
        <v>0</v>
      </c>
      <c r="AJ21" s="396" t="str">
        <f t="shared" si="18"/>
        <v/>
      </c>
      <c r="AK21" s="397"/>
      <c r="AL21" s="391">
        <f>IFERROR(VLOOKUP($C21,'Proposed Rates'!$B:$J,AL$11,FALSE),0)</f>
        <v>0</v>
      </c>
      <c r="AM21" s="392">
        <f t="shared" si="19"/>
        <v>1</v>
      </c>
      <c r="AN21" s="394">
        <f t="shared" si="20"/>
        <v>0</v>
      </c>
      <c r="AO21" s="138"/>
      <c r="AP21" s="395">
        <f t="shared" si="21"/>
        <v>0</v>
      </c>
      <c r="AQ21" s="396" t="str">
        <f t="shared" si="22"/>
        <v/>
      </c>
    </row>
    <row r="22" spans="1:43" ht="12" customHeight="1">
      <c r="A22" s="53"/>
      <c r="B22" s="398" t="s">
        <v>265</v>
      </c>
      <c r="C22" s="389" t="str">
        <f t="shared" si="0"/>
        <v>Residential.Deferral/Variance Account Disposition Rate Rider Group 2</v>
      </c>
      <c r="D22" s="390" t="s">
        <v>335</v>
      </c>
      <c r="E22" s="138"/>
      <c r="F22" s="391">
        <f>IFERROR(VLOOKUP($C22,'Proposed Rates'!$B:$J,F$11,FALSE),0)</f>
        <v>0</v>
      </c>
      <c r="G22" s="392">
        <f t="shared" si="1"/>
        <v>1</v>
      </c>
      <c r="H22" s="394">
        <f t="shared" si="2"/>
        <v>0</v>
      </c>
      <c r="I22" s="53"/>
      <c r="J22" s="391">
        <f>IFERROR(VLOOKUP($C22,'Proposed Rates'!$B:$J,J$11,FALSE),0)</f>
        <v>-1.19</v>
      </c>
      <c r="K22" s="392">
        <f t="shared" si="3"/>
        <v>1</v>
      </c>
      <c r="L22" s="394">
        <f t="shared" si="4"/>
        <v>-1.19</v>
      </c>
      <c r="M22" s="138"/>
      <c r="N22" s="395">
        <f t="shared" si="5"/>
        <v>-1.19</v>
      </c>
      <c r="O22" s="396" t="str">
        <f t="shared" si="6"/>
        <v/>
      </c>
      <c r="P22" s="53"/>
      <c r="Q22" s="391">
        <f>IFERROR(VLOOKUP($C22,'Proposed Rates'!$B:$J,Q$11,FALSE),0)</f>
        <v>0</v>
      </c>
      <c r="R22" s="392">
        <f t="shared" si="7"/>
        <v>1</v>
      </c>
      <c r="S22" s="394">
        <f t="shared" si="8"/>
        <v>0</v>
      </c>
      <c r="T22" s="138"/>
      <c r="U22" s="395">
        <f t="shared" si="9"/>
        <v>1.19</v>
      </c>
      <c r="V22" s="396">
        <f t="shared" si="10"/>
        <v>-1</v>
      </c>
      <c r="W22" s="53"/>
      <c r="X22" s="391">
        <f>IFERROR(VLOOKUP($C22,'Proposed Rates'!$B:$J,X$11,FALSE),0)</f>
        <v>0</v>
      </c>
      <c r="Y22" s="392">
        <f t="shared" si="11"/>
        <v>1</v>
      </c>
      <c r="Z22" s="394">
        <f t="shared" si="12"/>
        <v>0</v>
      </c>
      <c r="AA22" s="138"/>
      <c r="AB22" s="395">
        <f t="shared" si="13"/>
        <v>0</v>
      </c>
      <c r="AC22" s="396" t="str">
        <f t="shared" si="14"/>
        <v/>
      </c>
      <c r="AD22" s="53"/>
      <c r="AE22" s="391">
        <f>IFERROR(VLOOKUP($C22,'Proposed Rates'!$B:$J,AE$11,FALSE),0)</f>
        <v>0</v>
      </c>
      <c r="AF22" s="392">
        <f t="shared" si="15"/>
        <v>1</v>
      </c>
      <c r="AG22" s="394">
        <f t="shared" si="16"/>
        <v>0</v>
      </c>
      <c r="AH22" s="138"/>
      <c r="AI22" s="395">
        <f t="shared" si="17"/>
        <v>0</v>
      </c>
      <c r="AJ22" s="396" t="str">
        <f t="shared" si="18"/>
        <v/>
      </c>
      <c r="AK22" s="397"/>
      <c r="AL22" s="391">
        <f>IFERROR(VLOOKUP($C22,'Proposed Rates'!$B:$J,AL$11,FALSE),0)</f>
        <v>0</v>
      </c>
      <c r="AM22" s="392">
        <f t="shared" si="19"/>
        <v>1</v>
      </c>
      <c r="AN22" s="394">
        <f t="shared" si="20"/>
        <v>0</v>
      </c>
      <c r="AO22" s="138"/>
      <c r="AP22" s="395">
        <f t="shared" si="21"/>
        <v>0</v>
      </c>
      <c r="AQ22" s="396" t="str">
        <f t="shared" si="22"/>
        <v/>
      </c>
    </row>
    <row r="23" spans="1:43" ht="12" customHeight="1">
      <c r="A23" s="53"/>
      <c r="B23" s="398"/>
      <c r="C23" s="389" t="str">
        <f t="shared" si="0"/>
        <v>Residential.</v>
      </c>
      <c r="D23" s="390"/>
      <c r="E23" s="138"/>
      <c r="F23" s="391">
        <f>IFERROR(VLOOKUP($C23,'Proposed Rates'!$B:$J,F$11,FALSE),0)</f>
        <v>0</v>
      </c>
      <c r="G23" s="392">
        <f t="shared" si="1"/>
        <v>0</v>
      </c>
      <c r="H23" s="394">
        <f t="shared" si="2"/>
        <v>0</v>
      </c>
      <c r="I23" s="53"/>
      <c r="J23" s="391">
        <f>IFERROR(VLOOKUP($C23,'Proposed Rates'!$B:$J,J$11,FALSE),0)</f>
        <v>0</v>
      </c>
      <c r="K23" s="392">
        <f t="shared" si="3"/>
        <v>0</v>
      </c>
      <c r="L23" s="394">
        <f t="shared" si="4"/>
        <v>0</v>
      </c>
      <c r="M23" s="138"/>
      <c r="N23" s="395">
        <f t="shared" si="5"/>
        <v>0</v>
      </c>
      <c r="O23" s="396" t="str">
        <f t="shared" si="6"/>
        <v/>
      </c>
      <c r="P23" s="53"/>
      <c r="Q23" s="391">
        <f>IFERROR(VLOOKUP($C23,'Proposed Rates'!$B:$J,Q$11,FALSE),0)</f>
        <v>0</v>
      </c>
      <c r="R23" s="392">
        <f t="shared" si="7"/>
        <v>0</v>
      </c>
      <c r="S23" s="394">
        <f t="shared" si="8"/>
        <v>0</v>
      </c>
      <c r="T23" s="138"/>
      <c r="U23" s="395">
        <f t="shared" si="9"/>
        <v>0</v>
      </c>
      <c r="V23" s="396" t="str">
        <f t="shared" si="10"/>
        <v/>
      </c>
      <c r="W23" s="53"/>
      <c r="X23" s="391">
        <f>IFERROR(VLOOKUP($C23,'Proposed Rates'!$B:$J,X$11,FALSE),0)</f>
        <v>0</v>
      </c>
      <c r="Y23" s="392">
        <f t="shared" si="11"/>
        <v>0</v>
      </c>
      <c r="Z23" s="394">
        <f t="shared" si="12"/>
        <v>0</v>
      </c>
      <c r="AA23" s="138"/>
      <c r="AB23" s="395">
        <f t="shared" si="13"/>
        <v>0</v>
      </c>
      <c r="AC23" s="396" t="str">
        <f t="shared" si="14"/>
        <v/>
      </c>
      <c r="AD23" s="53"/>
      <c r="AE23" s="391">
        <f>IFERROR(VLOOKUP($C23,'Proposed Rates'!$B:$J,AE$11,FALSE),0)</f>
        <v>0</v>
      </c>
      <c r="AF23" s="392">
        <f t="shared" si="15"/>
        <v>0</v>
      </c>
      <c r="AG23" s="394">
        <f t="shared" si="16"/>
        <v>0</v>
      </c>
      <c r="AH23" s="138"/>
      <c r="AI23" s="395">
        <f t="shared" si="17"/>
        <v>0</v>
      </c>
      <c r="AJ23" s="396" t="str">
        <f t="shared" si="18"/>
        <v/>
      </c>
      <c r="AK23" s="397"/>
      <c r="AL23" s="391">
        <f>IFERROR(VLOOKUP($C23,'Proposed Rates'!$B:$J,AL$11,FALSE),0)</f>
        <v>0</v>
      </c>
      <c r="AM23" s="392">
        <f t="shared" si="19"/>
        <v>0</v>
      </c>
      <c r="AN23" s="394">
        <f t="shared" si="20"/>
        <v>0</v>
      </c>
      <c r="AO23" s="138"/>
      <c r="AP23" s="395">
        <f t="shared" si="21"/>
        <v>0</v>
      </c>
      <c r="AQ23" s="396" t="str">
        <f t="shared" si="22"/>
        <v/>
      </c>
    </row>
    <row r="24" spans="1:43" ht="12" customHeight="1">
      <c r="A24" s="53"/>
      <c r="B24" s="398"/>
      <c r="C24" s="389" t="str">
        <f t="shared" si="0"/>
        <v>Residential.</v>
      </c>
      <c r="D24" s="390"/>
      <c r="E24" s="138"/>
      <c r="F24" s="391">
        <f>IFERROR(VLOOKUP($C24,'Proposed Rates'!$B:$J,F$11,FALSE),0)</f>
        <v>0</v>
      </c>
      <c r="G24" s="392">
        <f t="shared" si="1"/>
        <v>0</v>
      </c>
      <c r="H24" s="394">
        <f t="shared" si="2"/>
        <v>0</v>
      </c>
      <c r="I24" s="53"/>
      <c r="J24" s="391">
        <f>IFERROR(VLOOKUP($C24,'Proposed Rates'!$B:$J,J$11,FALSE),0)</f>
        <v>0</v>
      </c>
      <c r="K24" s="392">
        <f t="shared" si="3"/>
        <v>0</v>
      </c>
      <c r="L24" s="394">
        <f t="shared" si="4"/>
        <v>0</v>
      </c>
      <c r="M24" s="138"/>
      <c r="N24" s="395">
        <f t="shared" si="5"/>
        <v>0</v>
      </c>
      <c r="O24" s="396" t="str">
        <f t="shared" si="6"/>
        <v/>
      </c>
      <c r="P24" s="53"/>
      <c r="Q24" s="391">
        <f>IFERROR(VLOOKUP($C24,'Proposed Rates'!$B:$J,Q$11,FALSE),0)</f>
        <v>0</v>
      </c>
      <c r="R24" s="392">
        <f t="shared" si="7"/>
        <v>0</v>
      </c>
      <c r="S24" s="394">
        <f t="shared" si="8"/>
        <v>0</v>
      </c>
      <c r="T24" s="138"/>
      <c r="U24" s="395">
        <f t="shared" si="9"/>
        <v>0</v>
      </c>
      <c r="V24" s="396" t="str">
        <f t="shared" si="10"/>
        <v/>
      </c>
      <c r="W24" s="53"/>
      <c r="X24" s="391">
        <f>IFERROR(VLOOKUP($C24,'Proposed Rates'!$B:$J,X$11,FALSE),0)</f>
        <v>0</v>
      </c>
      <c r="Y24" s="392">
        <f t="shared" si="11"/>
        <v>0</v>
      </c>
      <c r="Z24" s="394">
        <f t="shared" si="12"/>
        <v>0</v>
      </c>
      <c r="AA24" s="138"/>
      <c r="AB24" s="395">
        <f t="shared" si="13"/>
        <v>0</v>
      </c>
      <c r="AC24" s="396" t="str">
        <f t="shared" si="14"/>
        <v/>
      </c>
      <c r="AD24" s="53"/>
      <c r="AE24" s="391">
        <f>IFERROR(VLOOKUP($C24,'Proposed Rates'!$B:$J,AE$11,FALSE),0)</f>
        <v>0</v>
      </c>
      <c r="AF24" s="392">
        <f t="shared" si="15"/>
        <v>0</v>
      </c>
      <c r="AG24" s="394">
        <f t="shared" si="16"/>
        <v>0</v>
      </c>
      <c r="AH24" s="138"/>
      <c r="AI24" s="395">
        <f t="shared" si="17"/>
        <v>0</v>
      </c>
      <c r="AJ24" s="396" t="str">
        <f t="shared" si="18"/>
        <v/>
      </c>
      <c r="AK24" s="397"/>
      <c r="AL24" s="391">
        <f>IFERROR(VLOOKUP($C24,'Proposed Rates'!$B:$J,AL$11,FALSE),0)</f>
        <v>0</v>
      </c>
      <c r="AM24" s="392">
        <f t="shared" si="19"/>
        <v>0</v>
      </c>
      <c r="AN24" s="394">
        <f t="shared" si="20"/>
        <v>0</v>
      </c>
      <c r="AO24" s="138"/>
      <c r="AP24" s="395">
        <f t="shared" si="21"/>
        <v>0</v>
      </c>
      <c r="AQ24" s="396" t="str">
        <f t="shared" si="22"/>
        <v/>
      </c>
    </row>
    <row r="25" spans="1:43" ht="12" customHeight="1">
      <c r="A25" s="53"/>
      <c r="B25" s="398"/>
      <c r="C25" s="389" t="str">
        <f t="shared" si="0"/>
        <v>Residential.</v>
      </c>
      <c r="D25" s="390"/>
      <c r="E25" s="138"/>
      <c r="F25" s="391">
        <f>IFERROR(VLOOKUP($C25,'Proposed Rates'!$B:$J,F$11,FALSE),0)</f>
        <v>0</v>
      </c>
      <c r="G25" s="392">
        <f t="shared" si="1"/>
        <v>0</v>
      </c>
      <c r="H25" s="394">
        <f t="shared" si="2"/>
        <v>0</v>
      </c>
      <c r="I25" s="53"/>
      <c r="J25" s="391">
        <f>IFERROR(VLOOKUP($C25,'Proposed Rates'!$B:$J,J$11,FALSE),0)</f>
        <v>0</v>
      </c>
      <c r="K25" s="392">
        <f t="shared" si="3"/>
        <v>0</v>
      </c>
      <c r="L25" s="394">
        <f t="shared" si="4"/>
        <v>0</v>
      </c>
      <c r="M25" s="138"/>
      <c r="N25" s="395">
        <f t="shared" si="5"/>
        <v>0</v>
      </c>
      <c r="O25" s="396" t="str">
        <f t="shared" si="6"/>
        <v/>
      </c>
      <c r="P25" s="53"/>
      <c r="Q25" s="391">
        <f>IFERROR(VLOOKUP($C25,'Proposed Rates'!$B:$J,Q$11,FALSE),0)</f>
        <v>0</v>
      </c>
      <c r="R25" s="392">
        <f t="shared" si="7"/>
        <v>0</v>
      </c>
      <c r="S25" s="394">
        <f t="shared" si="8"/>
        <v>0</v>
      </c>
      <c r="T25" s="138"/>
      <c r="U25" s="395">
        <f t="shared" si="9"/>
        <v>0</v>
      </c>
      <c r="V25" s="396" t="str">
        <f t="shared" si="10"/>
        <v/>
      </c>
      <c r="W25" s="53"/>
      <c r="X25" s="391">
        <f>IFERROR(VLOOKUP($C25,'Proposed Rates'!$B:$J,X$11,FALSE),0)</f>
        <v>0</v>
      </c>
      <c r="Y25" s="392">
        <f t="shared" si="11"/>
        <v>0</v>
      </c>
      <c r="Z25" s="394">
        <f t="shared" si="12"/>
        <v>0</v>
      </c>
      <c r="AA25" s="138"/>
      <c r="AB25" s="395">
        <f t="shared" si="13"/>
        <v>0</v>
      </c>
      <c r="AC25" s="396" t="str">
        <f t="shared" si="14"/>
        <v/>
      </c>
      <c r="AD25" s="53"/>
      <c r="AE25" s="391">
        <f>IFERROR(VLOOKUP($C25,'Proposed Rates'!$B:$J,AE$11,FALSE),0)</f>
        <v>0</v>
      </c>
      <c r="AF25" s="392">
        <f t="shared" si="15"/>
        <v>0</v>
      </c>
      <c r="AG25" s="394">
        <f t="shared" si="16"/>
        <v>0</v>
      </c>
      <c r="AH25" s="138"/>
      <c r="AI25" s="395">
        <f t="shared" si="17"/>
        <v>0</v>
      </c>
      <c r="AJ25" s="396" t="str">
        <f t="shared" si="18"/>
        <v/>
      </c>
      <c r="AK25" s="397"/>
      <c r="AL25" s="391">
        <f>IFERROR(VLOOKUP($C25,'Proposed Rates'!$B:$J,AL$11,FALSE),0)</f>
        <v>0</v>
      </c>
      <c r="AM25" s="392">
        <f t="shared" si="19"/>
        <v>0</v>
      </c>
      <c r="AN25" s="394">
        <f t="shared" si="20"/>
        <v>0</v>
      </c>
      <c r="AO25" s="138"/>
      <c r="AP25" s="395">
        <f t="shared" si="21"/>
        <v>0</v>
      </c>
      <c r="AQ25" s="396" t="str">
        <f t="shared" si="22"/>
        <v/>
      </c>
    </row>
    <row r="26" spans="1:43" ht="12" customHeight="1">
      <c r="A26" s="53"/>
      <c r="B26" s="398"/>
      <c r="C26" s="389" t="str">
        <f t="shared" si="0"/>
        <v>Residential.</v>
      </c>
      <c r="D26" s="390"/>
      <c r="E26" s="138"/>
      <c r="F26" s="391">
        <f>IFERROR(VLOOKUP($C26,'Proposed Rates'!$B:$J,F$11,FALSE),0)</f>
        <v>0</v>
      </c>
      <c r="G26" s="392">
        <f t="shared" si="1"/>
        <v>0</v>
      </c>
      <c r="H26" s="394">
        <f t="shared" si="2"/>
        <v>0</v>
      </c>
      <c r="I26" s="53"/>
      <c r="J26" s="391">
        <f>IFERROR(VLOOKUP($C26,'Proposed Rates'!$B:$J,J$11,FALSE),0)</f>
        <v>0</v>
      </c>
      <c r="K26" s="392">
        <f t="shared" si="3"/>
        <v>0</v>
      </c>
      <c r="L26" s="394">
        <f t="shared" si="4"/>
        <v>0</v>
      </c>
      <c r="M26" s="138"/>
      <c r="N26" s="395">
        <f t="shared" si="5"/>
        <v>0</v>
      </c>
      <c r="O26" s="396" t="str">
        <f t="shared" si="6"/>
        <v/>
      </c>
      <c r="P26" s="53"/>
      <c r="Q26" s="391">
        <f>IFERROR(VLOOKUP($C26,'Proposed Rates'!$B:$J,Q$11,FALSE),0)</f>
        <v>0</v>
      </c>
      <c r="R26" s="392">
        <f t="shared" si="7"/>
        <v>0</v>
      </c>
      <c r="S26" s="394">
        <f t="shared" si="8"/>
        <v>0</v>
      </c>
      <c r="T26" s="138"/>
      <c r="U26" s="395">
        <f t="shared" si="9"/>
        <v>0</v>
      </c>
      <c r="V26" s="396" t="str">
        <f t="shared" si="10"/>
        <v/>
      </c>
      <c r="W26" s="53"/>
      <c r="X26" s="391">
        <f>IFERROR(VLOOKUP($C26,'Proposed Rates'!$B:$J,X$11,FALSE),0)</f>
        <v>0</v>
      </c>
      <c r="Y26" s="392">
        <f t="shared" si="11"/>
        <v>0</v>
      </c>
      <c r="Z26" s="394">
        <f t="shared" si="12"/>
        <v>0</v>
      </c>
      <c r="AA26" s="138"/>
      <c r="AB26" s="395">
        <f t="shared" si="13"/>
        <v>0</v>
      </c>
      <c r="AC26" s="396" t="str">
        <f t="shared" si="14"/>
        <v/>
      </c>
      <c r="AD26" s="53"/>
      <c r="AE26" s="391">
        <f>IFERROR(VLOOKUP($C26,'Proposed Rates'!$B:$J,AE$11,FALSE),0)</f>
        <v>0</v>
      </c>
      <c r="AF26" s="392">
        <f t="shared" si="15"/>
        <v>0</v>
      </c>
      <c r="AG26" s="394">
        <f t="shared" si="16"/>
        <v>0</v>
      </c>
      <c r="AH26" s="138"/>
      <c r="AI26" s="395">
        <f t="shared" si="17"/>
        <v>0</v>
      </c>
      <c r="AJ26" s="396" t="str">
        <f t="shared" si="18"/>
        <v/>
      </c>
      <c r="AK26" s="397"/>
      <c r="AL26" s="391">
        <f>IFERROR(VLOOKUP($C26,'Proposed Rates'!$B:$J,AL$11,FALSE),0)</f>
        <v>0</v>
      </c>
      <c r="AM26" s="392">
        <f t="shared" si="19"/>
        <v>0</v>
      </c>
      <c r="AN26" s="394">
        <f t="shared" si="20"/>
        <v>0</v>
      </c>
      <c r="AO26" s="138"/>
      <c r="AP26" s="395">
        <f t="shared" si="21"/>
        <v>0</v>
      </c>
      <c r="AQ26" s="396" t="str">
        <f t="shared" si="22"/>
        <v/>
      </c>
    </row>
    <row r="27" spans="1:43" ht="12" customHeight="1">
      <c r="A27" s="53"/>
      <c r="B27" s="398"/>
      <c r="C27" s="389" t="str">
        <f t="shared" si="0"/>
        <v>Residential.</v>
      </c>
      <c r="D27" s="390"/>
      <c r="E27" s="138"/>
      <c r="F27" s="391">
        <f>IFERROR(VLOOKUP($C27,'Proposed Rates'!$B:$J,F$11,FALSE),0)</f>
        <v>0</v>
      </c>
      <c r="G27" s="392">
        <f t="shared" si="1"/>
        <v>0</v>
      </c>
      <c r="H27" s="394">
        <f t="shared" si="2"/>
        <v>0</v>
      </c>
      <c r="I27" s="53"/>
      <c r="J27" s="391">
        <f>IFERROR(VLOOKUP($C27,'Proposed Rates'!$B:$J,J$11,FALSE),0)</f>
        <v>0</v>
      </c>
      <c r="K27" s="392">
        <f t="shared" si="3"/>
        <v>0</v>
      </c>
      <c r="L27" s="394">
        <f t="shared" si="4"/>
        <v>0</v>
      </c>
      <c r="M27" s="138"/>
      <c r="N27" s="395">
        <f t="shared" si="5"/>
        <v>0</v>
      </c>
      <c r="O27" s="396" t="str">
        <f t="shared" si="6"/>
        <v/>
      </c>
      <c r="P27" s="53"/>
      <c r="Q27" s="391">
        <f>IFERROR(VLOOKUP($C27,'Proposed Rates'!$B:$J,Q$11,FALSE),0)</f>
        <v>0</v>
      </c>
      <c r="R27" s="392">
        <f t="shared" si="7"/>
        <v>0</v>
      </c>
      <c r="S27" s="394">
        <f t="shared" si="8"/>
        <v>0</v>
      </c>
      <c r="T27" s="138"/>
      <c r="U27" s="395">
        <f t="shared" si="9"/>
        <v>0</v>
      </c>
      <c r="V27" s="396" t="str">
        <f t="shared" si="10"/>
        <v/>
      </c>
      <c r="W27" s="53"/>
      <c r="X27" s="391">
        <f>IFERROR(VLOOKUP($C27,'Proposed Rates'!$B:$J,X$11,FALSE),0)</f>
        <v>0</v>
      </c>
      <c r="Y27" s="392">
        <f t="shared" si="11"/>
        <v>0</v>
      </c>
      <c r="Z27" s="394">
        <f t="shared" si="12"/>
        <v>0</v>
      </c>
      <c r="AA27" s="138"/>
      <c r="AB27" s="395">
        <f t="shared" si="13"/>
        <v>0</v>
      </c>
      <c r="AC27" s="396" t="str">
        <f t="shared" si="14"/>
        <v/>
      </c>
      <c r="AD27" s="53"/>
      <c r="AE27" s="391">
        <f>IFERROR(VLOOKUP($C27,'Proposed Rates'!$B:$J,AE$11,FALSE),0)</f>
        <v>0</v>
      </c>
      <c r="AF27" s="392">
        <f t="shared" si="15"/>
        <v>0</v>
      </c>
      <c r="AG27" s="394">
        <f t="shared" si="16"/>
        <v>0</v>
      </c>
      <c r="AH27" s="138"/>
      <c r="AI27" s="395">
        <f t="shared" si="17"/>
        <v>0</v>
      </c>
      <c r="AJ27" s="396" t="str">
        <f t="shared" si="18"/>
        <v/>
      </c>
      <c r="AK27" s="397"/>
      <c r="AL27" s="391">
        <f>IFERROR(VLOOKUP($C27,'Proposed Rates'!$B:$J,AL$11,FALSE),0)</f>
        <v>0</v>
      </c>
      <c r="AM27" s="392">
        <f t="shared" si="19"/>
        <v>0</v>
      </c>
      <c r="AN27" s="394">
        <f t="shared" si="20"/>
        <v>0</v>
      </c>
      <c r="AO27" s="138"/>
      <c r="AP27" s="395">
        <f t="shared" si="21"/>
        <v>0</v>
      </c>
      <c r="AQ27" s="396" t="str">
        <f t="shared" si="22"/>
        <v/>
      </c>
    </row>
    <row r="28" spans="1:43" ht="12" customHeight="1">
      <c r="A28" s="53"/>
      <c r="B28" s="398"/>
      <c r="C28" s="389" t="str">
        <f t="shared" si="0"/>
        <v>Residential.</v>
      </c>
      <c r="D28" s="390"/>
      <c r="E28" s="138"/>
      <c r="F28" s="391">
        <f>IFERROR(VLOOKUP($C28,'Proposed Rates'!$B:$J,F$11,FALSE),0)</f>
        <v>0</v>
      </c>
      <c r="G28" s="392">
        <f t="shared" si="1"/>
        <v>0</v>
      </c>
      <c r="H28" s="394">
        <f t="shared" si="2"/>
        <v>0</v>
      </c>
      <c r="I28" s="53"/>
      <c r="J28" s="391">
        <f>IFERROR(VLOOKUP($C28,'Proposed Rates'!$B:$J,J$11,FALSE),0)</f>
        <v>0</v>
      </c>
      <c r="K28" s="392">
        <f t="shared" si="3"/>
        <v>0</v>
      </c>
      <c r="L28" s="394">
        <f t="shared" si="4"/>
        <v>0</v>
      </c>
      <c r="M28" s="138"/>
      <c r="N28" s="395">
        <f t="shared" si="5"/>
        <v>0</v>
      </c>
      <c r="O28" s="396" t="str">
        <f t="shared" si="6"/>
        <v/>
      </c>
      <c r="P28" s="53"/>
      <c r="Q28" s="391">
        <f>IFERROR(VLOOKUP($C28,'Proposed Rates'!$B:$J,Q$11,FALSE),0)</f>
        <v>0</v>
      </c>
      <c r="R28" s="392">
        <f t="shared" si="7"/>
        <v>0</v>
      </c>
      <c r="S28" s="394">
        <f t="shared" si="8"/>
        <v>0</v>
      </c>
      <c r="T28" s="138"/>
      <c r="U28" s="395">
        <f t="shared" si="9"/>
        <v>0</v>
      </c>
      <c r="V28" s="396" t="str">
        <f t="shared" si="10"/>
        <v/>
      </c>
      <c r="W28" s="53"/>
      <c r="X28" s="391">
        <f>IFERROR(VLOOKUP($C28,'Proposed Rates'!$B:$J,X$11,FALSE),0)</f>
        <v>0</v>
      </c>
      <c r="Y28" s="392">
        <f t="shared" si="11"/>
        <v>0</v>
      </c>
      <c r="Z28" s="394">
        <f t="shared" si="12"/>
        <v>0</v>
      </c>
      <c r="AA28" s="138"/>
      <c r="AB28" s="395">
        <f t="shared" si="13"/>
        <v>0</v>
      </c>
      <c r="AC28" s="396" t="str">
        <f t="shared" si="14"/>
        <v/>
      </c>
      <c r="AD28" s="53"/>
      <c r="AE28" s="391">
        <f>IFERROR(VLOOKUP($C28,'Proposed Rates'!$B:$J,AE$11,FALSE),0)</f>
        <v>0</v>
      </c>
      <c r="AF28" s="392">
        <f t="shared" si="15"/>
        <v>0</v>
      </c>
      <c r="AG28" s="394">
        <f t="shared" si="16"/>
        <v>0</v>
      </c>
      <c r="AH28" s="138"/>
      <c r="AI28" s="395">
        <f t="shared" si="17"/>
        <v>0</v>
      </c>
      <c r="AJ28" s="396" t="str">
        <f t="shared" si="18"/>
        <v/>
      </c>
      <c r="AK28" s="397"/>
      <c r="AL28" s="391">
        <f>IFERROR(VLOOKUP($C28,'Proposed Rates'!$B:$J,AL$11,FALSE),0)</f>
        <v>0</v>
      </c>
      <c r="AM28" s="392">
        <f t="shared" si="19"/>
        <v>0</v>
      </c>
      <c r="AN28" s="394">
        <f t="shared" si="20"/>
        <v>0</v>
      </c>
      <c r="AO28" s="138"/>
      <c r="AP28" s="395">
        <f t="shared" si="21"/>
        <v>0</v>
      </c>
      <c r="AQ28" s="396" t="str">
        <f t="shared" si="22"/>
        <v/>
      </c>
    </row>
    <row r="29" spans="1:43" ht="12" customHeight="1">
      <c r="A29" s="314"/>
      <c r="B29" s="399" t="s">
        <v>339</v>
      </c>
      <c r="C29" s="400"/>
      <c r="D29" s="400"/>
      <c r="E29" s="404"/>
      <c r="F29" s="401"/>
      <c r="G29" s="402"/>
      <c r="H29" s="403">
        <f>SUM(H15:H28)</f>
        <v>34.51</v>
      </c>
      <c r="I29" s="314"/>
      <c r="J29" s="401"/>
      <c r="K29" s="402"/>
      <c r="L29" s="403">
        <f>SUM(L15:L28)</f>
        <v>39.850000000000009</v>
      </c>
      <c r="M29" s="404"/>
      <c r="N29" s="405">
        <f t="shared" si="5"/>
        <v>5.3400000000000105</v>
      </c>
      <c r="O29" s="406">
        <f t="shared" si="6"/>
        <v>0.15473775717183458</v>
      </c>
      <c r="P29" s="314"/>
      <c r="Q29" s="401"/>
      <c r="R29" s="402"/>
      <c r="S29" s="403">
        <f>SUM(S15:S28)</f>
        <v>42.940000000000005</v>
      </c>
      <c r="T29" s="404"/>
      <c r="U29" s="405">
        <f t="shared" si="9"/>
        <v>3.0899999999999963</v>
      </c>
      <c r="V29" s="406">
        <f t="shared" si="10"/>
        <v>7.7540777917189357E-2</v>
      </c>
      <c r="W29" s="314"/>
      <c r="X29" s="401"/>
      <c r="Y29" s="402"/>
      <c r="Z29" s="403">
        <f>SUM(Z15:Z28)</f>
        <v>43.93</v>
      </c>
      <c r="AA29" s="404"/>
      <c r="AB29" s="405">
        <f t="shared" si="13"/>
        <v>0.98999999999999488</v>
      </c>
      <c r="AC29" s="406">
        <f t="shared" si="14"/>
        <v>2.3055426176059497E-2</v>
      </c>
      <c r="AD29" s="314"/>
      <c r="AE29" s="401"/>
      <c r="AF29" s="402"/>
      <c r="AG29" s="403">
        <f>SUM(AG15:AG28)</f>
        <v>45.42</v>
      </c>
      <c r="AH29" s="404"/>
      <c r="AI29" s="405">
        <f t="shared" si="17"/>
        <v>1.490000000000002</v>
      </c>
      <c r="AJ29" s="406">
        <f t="shared" si="18"/>
        <v>3.3917596175734165E-2</v>
      </c>
      <c r="AK29" s="407"/>
      <c r="AL29" s="401"/>
      <c r="AM29" s="402"/>
      <c r="AN29" s="403">
        <f>SUM(AN15:AN28)</f>
        <v>46.78</v>
      </c>
      <c r="AO29" s="404"/>
      <c r="AP29" s="405">
        <f t="shared" si="21"/>
        <v>1.3599999999999994</v>
      </c>
      <c r="AQ29" s="406">
        <f t="shared" si="22"/>
        <v>2.9942756494936138E-2</v>
      </c>
    </row>
    <row r="30" spans="1:43" ht="12" customHeight="1">
      <c r="A30" s="53"/>
      <c r="B30" s="398" t="s">
        <v>262</v>
      </c>
      <c r="C30" s="389" t="str">
        <f t="shared" ref="C30:C36" si="23">D$6&amp;"."&amp;B30</f>
        <v>Residential.DVA Disposition Rate Rider Group 1 -2025</v>
      </c>
      <c r="D30" s="390" t="s">
        <v>337</v>
      </c>
      <c r="E30" s="138"/>
      <c r="F30" s="408">
        <f>IFERROR(VLOOKUP($C30,'Proposed Rates'!$B:$J,F$11,FALSE),0)</f>
        <v>-2.0000000000000001E-4</v>
      </c>
      <c r="G30" s="409">
        <f t="shared" ref="G30:G33" si="24">IF($D30="Monthly",1,IF($D30="per KWH",$F$10,0))</f>
        <v>232</v>
      </c>
      <c r="H30" s="410">
        <f t="shared" ref="H30:H36" si="25">G30*F30</f>
        <v>-4.6400000000000004E-2</v>
      </c>
      <c r="I30" s="53"/>
      <c r="J30" s="408">
        <f>IFERROR(VLOOKUP($C30,'Proposed Rates'!$B:$J,J$11,FALSE),0)</f>
        <v>-1E-3</v>
      </c>
      <c r="K30" s="409">
        <f t="shared" ref="K30:K33" si="26">IF($D30="Monthly",1,IF($D30="per KWH",$F$10,0))</f>
        <v>232</v>
      </c>
      <c r="L30" s="394">
        <f t="shared" ref="L30:L36" si="27">K30*J30</f>
        <v>-0.23200000000000001</v>
      </c>
      <c r="M30" s="138"/>
      <c r="N30" s="395">
        <f t="shared" si="5"/>
        <v>-0.18560000000000001</v>
      </c>
      <c r="O30" s="396">
        <f t="shared" si="6"/>
        <v>4</v>
      </c>
      <c r="P30" s="53"/>
      <c r="Q30" s="408">
        <f>IFERROR(VLOOKUP($C30,'Proposed Rates'!$B:$J,Q$11,FALSE),0)</f>
        <v>0</v>
      </c>
      <c r="R30" s="409">
        <f t="shared" ref="R30:R33" si="28">IF($D30="Monthly",1,IF($D30="per KWH",$F$10,0))</f>
        <v>232</v>
      </c>
      <c r="S30" s="394">
        <f t="shared" ref="S30:S36" si="29">R30*Q30</f>
        <v>0</v>
      </c>
      <c r="T30" s="138"/>
      <c r="U30" s="395">
        <f t="shared" si="9"/>
        <v>0.23200000000000001</v>
      </c>
      <c r="V30" s="396">
        <f t="shared" si="10"/>
        <v>-1</v>
      </c>
      <c r="W30" s="53"/>
      <c r="X30" s="408">
        <f>IFERROR(VLOOKUP($C30,'Proposed Rates'!$B:$J,X$11,FALSE),0)</f>
        <v>0</v>
      </c>
      <c r="Y30" s="409">
        <f t="shared" ref="Y30:Y33" si="30">IF($D30="Monthly",1,IF($D30="per KWH",$F$10,0))</f>
        <v>232</v>
      </c>
      <c r="Z30" s="394">
        <f t="shared" ref="Z30:Z36" si="31">Y30*X30</f>
        <v>0</v>
      </c>
      <c r="AA30" s="138"/>
      <c r="AB30" s="395">
        <f t="shared" si="13"/>
        <v>0</v>
      </c>
      <c r="AC30" s="396" t="str">
        <f t="shared" si="14"/>
        <v/>
      </c>
      <c r="AD30" s="53"/>
      <c r="AE30" s="408">
        <f>IFERROR(VLOOKUP($C30,'Proposed Rates'!$B:$J,AE$11,FALSE),0)</f>
        <v>0</v>
      </c>
      <c r="AF30" s="409">
        <f t="shared" ref="AF30:AF33" si="32">IF($D30="Monthly",1,IF($D30="per KWH",$F$10,0))</f>
        <v>232</v>
      </c>
      <c r="AG30" s="394">
        <f t="shared" ref="AG30:AG36" si="33">AF30*AE30</f>
        <v>0</v>
      </c>
      <c r="AH30" s="138"/>
      <c r="AI30" s="395">
        <f t="shared" si="17"/>
        <v>0</v>
      </c>
      <c r="AJ30" s="396" t="str">
        <f t="shared" si="18"/>
        <v/>
      </c>
      <c r="AK30" s="397"/>
      <c r="AL30" s="408">
        <f>IFERROR(VLOOKUP($C30,'Proposed Rates'!$B:$J,AL$11,FALSE),0)</f>
        <v>0</v>
      </c>
      <c r="AM30" s="409">
        <f t="shared" ref="AM30:AM33" si="34">IF($D30="Monthly",1,IF($D30="per KWH",$F$10,0))</f>
        <v>232</v>
      </c>
      <c r="AN30" s="394">
        <f t="shared" ref="AN30:AN36" si="35">AM30*AL30</f>
        <v>0</v>
      </c>
      <c r="AO30" s="138"/>
      <c r="AP30" s="395">
        <f t="shared" si="21"/>
        <v>0</v>
      </c>
      <c r="AQ30" s="396" t="str">
        <f t="shared" si="22"/>
        <v/>
      </c>
    </row>
    <row r="31" spans="1:43" ht="12" customHeight="1">
      <c r="A31" s="53"/>
      <c r="B31" s="398" t="s">
        <v>264</v>
      </c>
      <c r="C31" s="389" t="str">
        <f t="shared" si="23"/>
        <v>Residential.DVA Disposition Rate Rider Group 1 - 2024</v>
      </c>
      <c r="D31" s="390" t="s">
        <v>337</v>
      </c>
      <c r="E31" s="138"/>
      <c r="F31" s="408">
        <f>IFERROR(VLOOKUP($C31,'Proposed Rates'!$B:$J,F$11,FALSE),0)</f>
        <v>0</v>
      </c>
      <c r="G31" s="409">
        <f t="shared" si="24"/>
        <v>232</v>
      </c>
      <c r="H31" s="394">
        <f t="shared" si="25"/>
        <v>0</v>
      </c>
      <c r="I31" s="53"/>
      <c r="J31" s="408">
        <f>IFERROR(VLOOKUP($C31,'Proposed Rates'!$B:$J,J$11,FALSE),0)</f>
        <v>0</v>
      </c>
      <c r="K31" s="409">
        <f t="shared" si="26"/>
        <v>232</v>
      </c>
      <c r="L31" s="394">
        <f t="shared" si="27"/>
        <v>0</v>
      </c>
      <c r="M31" s="411"/>
      <c r="N31" s="395">
        <f t="shared" si="5"/>
        <v>0</v>
      </c>
      <c r="O31" s="396" t="str">
        <f t="shared" si="6"/>
        <v/>
      </c>
      <c r="P31" s="53"/>
      <c r="Q31" s="408">
        <f>IFERROR(VLOOKUP($C31,'Proposed Rates'!$B:$J,Q$11,FALSE),0)</f>
        <v>0</v>
      </c>
      <c r="R31" s="409">
        <f t="shared" si="28"/>
        <v>232</v>
      </c>
      <c r="S31" s="394">
        <f t="shared" si="29"/>
        <v>0</v>
      </c>
      <c r="T31" s="411"/>
      <c r="U31" s="395">
        <f t="shared" si="9"/>
        <v>0</v>
      </c>
      <c r="V31" s="396" t="str">
        <f t="shared" si="10"/>
        <v/>
      </c>
      <c r="W31" s="53"/>
      <c r="X31" s="408">
        <f>IFERROR(VLOOKUP($C31,'Proposed Rates'!$B:$J,X$11,FALSE),0)</f>
        <v>0</v>
      </c>
      <c r="Y31" s="409">
        <f t="shared" si="30"/>
        <v>232</v>
      </c>
      <c r="Z31" s="394">
        <f t="shared" si="31"/>
        <v>0</v>
      </c>
      <c r="AA31" s="411"/>
      <c r="AB31" s="395">
        <f t="shared" si="13"/>
        <v>0</v>
      </c>
      <c r="AC31" s="396" t="str">
        <f t="shared" si="14"/>
        <v/>
      </c>
      <c r="AD31" s="53"/>
      <c r="AE31" s="408">
        <f>IFERROR(VLOOKUP($C31,'Proposed Rates'!$B:$J,AE$11,FALSE),0)</f>
        <v>0</v>
      </c>
      <c r="AF31" s="409">
        <f t="shared" si="32"/>
        <v>232</v>
      </c>
      <c r="AG31" s="394">
        <f t="shared" si="33"/>
        <v>0</v>
      </c>
      <c r="AH31" s="411"/>
      <c r="AI31" s="395">
        <f t="shared" si="17"/>
        <v>0</v>
      </c>
      <c r="AJ31" s="396" t="str">
        <f t="shared" si="18"/>
        <v/>
      </c>
      <c r="AK31" s="397"/>
      <c r="AL31" s="408">
        <f>IFERROR(VLOOKUP($C31,'Proposed Rates'!$B:$J,AL$11,FALSE),0)</f>
        <v>0</v>
      </c>
      <c r="AM31" s="409">
        <f t="shared" si="34"/>
        <v>232</v>
      </c>
      <c r="AN31" s="394">
        <f t="shared" si="35"/>
        <v>0</v>
      </c>
      <c r="AO31" s="411"/>
      <c r="AP31" s="395">
        <f t="shared" si="21"/>
        <v>0</v>
      </c>
      <c r="AQ31" s="396" t="str">
        <f t="shared" si="22"/>
        <v/>
      </c>
    </row>
    <row r="32" spans="1:43" ht="12" customHeight="1">
      <c r="A32" s="53"/>
      <c r="B32" s="398" t="s">
        <v>272</v>
      </c>
      <c r="C32" s="389" t="str">
        <f t="shared" si="23"/>
        <v>Residential.CBR Class B Rate Riders</v>
      </c>
      <c r="D32" s="390" t="s">
        <v>337</v>
      </c>
      <c r="E32" s="138"/>
      <c r="F32" s="408">
        <f>IFERROR(VLOOKUP($C32,'Proposed Rates'!$B:$J,F$11,FALSE),0)</f>
        <v>2.0000000000000001E-4</v>
      </c>
      <c r="G32" s="409">
        <f t="shared" si="24"/>
        <v>232</v>
      </c>
      <c r="H32" s="394">
        <f t="shared" si="25"/>
        <v>4.6400000000000004E-2</v>
      </c>
      <c r="I32" s="53"/>
      <c r="J32" s="408">
        <f>IFERROR(VLOOKUP($C32,'Proposed Rates'!$B:$J,J$11,FALSE),0)</f>
        <v>6.9999999999999999E-4</v>
      </c>
      <c r="K32" s="409">
        <f t="shared" si="26"/>
        <v>232</v>
      </c>
      <c r="L32" s="394">
        <f t="shared" si="27"/>
        <v>0.16239999999999999</v>
      </c>
      <c r="M32" s="411"/>
      <c r="N32" s="395">
        <f t="shared" si="5"/>
        <v>0.11599999999999999</v>
      </c>
      <c r="O32" s="396">
        <f t="shared" si="6"/>
        <v>2.4999999999999996</v>
      </c>
      <c r="P32" s="53"/>
      <c r="Q32" s="408">
        <f>IFERROR(VLOOKUP($C32,'Proposed Rates'!$B:$J,Q$11,FALSE),0)</f>
        <v>0</v>
      </c>
      <c r="R32" s="409">
        <f t="shared" si="28"/>
        <v>232</v>
      </c>
      <c r="S32" s="394">
        <f t="shared" si="29"/>
        <v>0</v>
      </c>
      <c r="T32" s="411"/>
      <c r="U32" s="395">
        <f t="shared" si="9"/>
        <v>-0.16239999999999999</v>
      </c>
      <c r="V32" s="396">
        <f t="shared" si="10"/>
        <v>-1</v>
      </c>
      <c r="W32" s="53"/>
      <c r="X32" s="408">
        <f>IFERROR(VLOOKUP($C32,'Proposed Rates'!$B:$J,X$11,FALSE),0)</f>
        <v>0</v>
      </c>
      <c r="Y32" s="409">
        <f t="shared" si="30"/>
        <v>232</v>
      </c>
      <c r="Z32" s="394">
        <f t="shared" si="31"/>
        <v>0</v>
      </c>
      <c r="AA32" s="411"/>
      <c r="AB32" s="395">
        <f t="shared" si="13"/>
        <v>0</v>
      </c>
      <c r="AC32" s="396" t="str">
        <f t="shared" si="14"/>
        <v/>
      </c>
      <c r="AD32" s="53"/>
      <c r="AE32" s="408">
        <f>IFERROR(VLOOKUP($C32,'Proposed Rates'!$B:$J,AE$11,FALSE),0)</f>
        <v>0</v>
      </c>
      <c r="AF32" s="409">
        <f t="shared" si="32"/>
        <v>232</v>
      </c>
      <c r="AG32" s="394">
        <f t="shared" si="33"/>
        <v>0</v>
      </c>
      <c r="AH32" s="411"/>
      <c r="AI32" s="395">
        <f t="shared" si="17"/>
        <v>0</v>
      </c>
      <c r="AJ32" s="396" t="str">
        <f t="shared" si="18"/>
        <v/>
      </c>
      <c r="AK32" s="397"/>
      <c r="AL32" s="408">
        <f>IFERROR(VLOOKUP($C32,'Proposed Rates'!$B:$J,AL$11,FALSE),0)</f>
        <v>0</v>
      </c>
      <c r="AM32" s="409">
        <f t="shared" si="34"/>
        <v>232</v>
      </c>
      <c r="AN32" s="394">
        <f t="shared" si="35"/>
        <v>0</v>
      </c>
      <c r="AO32" s="411"/>
      <c r="AP32" s="395">
        <f t="shared" si="21"/>
        <v>0</v>
      </c>
      <c r="AQ32" s="396" t="str">
        <f t="shared" si="22"/>
        <v/>
      </c>
    </row>
    <row r="33" spans="1:43" ht="12" customHeight="1">
      <c r="A33" s="53"/>
      <c r="B33" s="398" t="s">
        <v>340</v>
      </c>
      <c r="C33" s="389" t="str">
        <f t="shared" si="23"/>
        <v>Residential.GA Disposition Rate Rider-NonRPP</v>
      </c>
      <c r="D33" s="390" t="s">
        <v>337</v>
      </c>
      <c r="E33" s="138"/>
      <c r="F33" s="408">
        <f>IFERROR(VLOOKUP($C33,'Proposed Rates'!$B:$J,F$11,FALSE),0)</f>
        <v>0</v>
      </c>
      <c r="G33" s="409">
        <f t="shared" si="24"/>
        <v>232</v>
      </c>
      <c r="H33" s="394">
        <f t="shared" si="25"/>
        <v>0</v>
      </c>
      <c r="I33" s="53"/>
      <c r="J33" s="408">
        <f>IFERROR(VLOOKUP($C33,'Proposed Rates'!$B:$J,J$11,FALSE),0)</f>
        <v>0</v>
      </c>
      <c r="K33" s="409">
        <f t="shared" si="26"/>
        <v>232</v>
      </c>
      <c r="L33" s="394">
        <f t="shared" si="27"/>
        <v>0</v>
      </c>
      <c r="M33" s="411"/>
      <c r="N33" s="395">
        <f t="shared" si="5"/>
        <v>0</v>
      </c>
      <c r="O33" s="396" t="str">
        <f t="shared" si="6"/>
        <v/>
      </c>
      <c r="P33" s="53"/>
      <c r="Q33" s="408">
        <f>IFERROR(VLOOKUP($C33,'Proposed Rates'!$B:$J,Q$11,FALSE),0)</f>
        <v>0</v>
      </c>
      <c r="R33" s="409">
        <f t="shared" si="28"/>
        <v>232</v>
      </c>
      <c r="S33" s="394">
        <f t="shared" si="29"/>
        <v>0</v>
      </c>
      <c r="T33" s="411"/>
      <c r="U33" s="395">
        <f t="shared" si="9"/>
        <v>0</v>
      </c>
      <c r="V33" s="396" t="str">
        <f t="shared" si="10"/>
        <v/>
      </c>
      <c r="W33" s="53"/>
      <c r="X33" s="408">
        <f>IFERROR(VLOOKUP($C33,'Proposed Rates'!$B:$J,X$11,FALSE),0)</f>
        <v>0</v>
      </c>
      <c r="Y33" s="409">
        <f t="shared" si="30"/>
        <v>232</v>
      </c>
      <c r="Z33" s="394">
        <f t="shared" si="31"/>
        <v>0</v>
      </c>
      <c r="AA33" s="411"/>
      <c r="AB33" s="395">
        <f t="shared" si="13"/>
        <v>0</v>
      </c>
      <c r="AC33" s="396" t="str">
        <f t="shared" si="14"/>
        <v/>
      </c>
      <c r="AD33" s="53"/>
      <c r="AE33" s="408">
        <f>IFERROR(VLOOKUP($C33,'Proposed Rates'!$B:$J,AE$11,FALSE),0)</f>
        <v>0</v>
      </c>
      <c r="AF33" s="409">
        <f t="shared" si="32"/>
        <v>232</v>
      </c>
      <c r="AG33" s="394">
        <f t="shared" si="33"/>
        <v>0</v>
      </c>
      <c r="AH33" s="411"/>
      <c r="AI33" s="395">
        <f t="shared" si="17"/>
        <v>0</v>
      </c>
      <c r="AJ33" s="396" t="str">
        <f t="shared" si="18"/>
        <v/>
      </c>
      <c r="AK33" s="397"/>
      <c r="AL33" s="408">
        <f>IFERROR(VLOOKUP($C33,'Proposed Rates'!$B:$J,AL$11,FALSE),0)</f>
        <v>0</v>
      </c>
      <c r="AM33" s="409">
        <f t="shared" si="34"/>
        <v>232</v>
      </c>
      <c r="AN33" s="394">
        <f t="shared" si="35"/>
        <v>0</v>
      </c>
      <c r="AO33" s="411"/>
      <c r="AP33" s="395">
        <f t="shared" si="21"/>
        <v>0</v>
      </c>
      <c r="AQ33" s="396" t="str">
        <f t="shared" si="22"/>
        <v/>
      </c>
    </row>
    <row r="34" spans="1:43" ht="12" customHeight="1">
      <c r="A34" s="53"/>
      <c r="B34" s="328" t="s">
        <v>300</v>
      </c>
      <c r="C34" s="389" t="str">
        <f t="shared" si="23"/>
        <v>Residential.Low Voltage Service Charge</v>
      </c>
      <c r="D34" s="390" t="s">
        <v>337</v>
      </c>
      <c r="E34" s="138"/>
      <c r="F34" s="412">
        <f>IFERROR(VLOOKUP($C34,'Proposed Rates'!$B:$J,F$11,FALSE),0)</f>
        <v>5.0000000000000002E-5</v>
      </c>
      <c r="G34" s="413">
        <f>$F$10*(1+F$63)</f>
        <v>239.8416</v>
      </c>
      <c r="H34" s="394">
        <f t="shared" si="25"/>
        <v>1.199208E-2</v>
      </c>
      <c r="I34" s="53"/>
      <c r="J34" s="412">
        <f>IFERROR(VLOOKUP($C34,'Proposed Rates'!$B:$J,J$11,FALSE),0)</f>
        <v>6.9999999999999994E-5</v>
      </c>
      <c r="K34" s="413">
        <f>$F$10*(1+J$63)</f>
        <v>239.70239999999998</v>
      </c>
      <c r="L34" s="394">
        <f t="shared" si="27"/>
        <v>1.6779167999999997E-2</v>
      </c>
      <c r="M34" s="138"/>
      <c r="N34" s="395">
        <f t="shared" si="5"/>
        <v>4.7870879999999966E-3</v>
      </c>
      <c r="O34" s="396">
        <f t="shared" si="6"/>
        <v>0.3991874637260589</v>
      </c>
      <c r="P34" s="53"/>
      <c r="Q34" s="412">
        <f>IFERROR(VLOOKUP($C34,'Proposed Rates'!$B:$J,Q$11,FALSE),0)</f>
        <v>6.9999999999999994E-5</v>
      </c>
      <c r="R34" s="413">
        <f>$F$10*(1+Q$63)</f>
        <v>239.70239999999998</v>
      </c>
      <c r="S34" s="394">
        <f t="shared" si="29"/>
        <v>1.6779167999999997E-2</v>
      </c>
      <c r="T34" s="138"/>
      <c r="U34" s="395">
        <f t="shared" si="9"/>
        <v>0</v>
      </c>
      <c r="V34" s="396">
        <f t="shared" si="10"/>
        <v>0</v>
      </c>
      <c r="W34" s="53"/>
      <c r="X34" s="412">
        <f>IFERROR(VLOOKUP($C34,'Proposed Rates'!$B:$J,X$11,FALSE),0)</f>
        <v>8.0000000000000007E-5</v>
      </c>
      <c r="Y34" s="413">
        <f>$F$10*(1+X$63)</f>
        <v>239.70239999999998</v>
      </c>
      <c r="Z34" s="394">
        <f t="shared" si="31"/>
        <v>1.9176192000000002E-2</v>
      </c>
      <c r="AA34" s="138"/>
      <c r="AB34" s="395">
        <f t="shared" si="13"/>
        <v>2.3970240000000045E-3</v>
      </c>
      <c r="AC34" s="396">
        <f t="shared" si="14"/>
        <v>0.14285714285714315</v>
      </c>
      <c r="AD34" s="53"/>
      <c r="AE34" s="412">
        <f>IFERROR(VLOOKUP($C34,'Proposed Rates'!$B:$J,AE$11,FALSE),0)</f>
        <v>8.0000000000000007E-5</v>
      </c>
      <c r="AF34" s="413">
        <f>$F$10*(1+AE$63)</f>
        <v>239.70239999999998</v>
      </c>
      <c r="AG34" s="394">
        <f t="shared" si="33"/>
        <v>1.9176192000000002E-2</v>
      </c>
      <c r="AH34" s="138"/>
      <c r="AI34" s="395">
        <f t="shared" si="17"/>
        <v>0</v>
      </c>
      <c r="AJ34" s="396">
        <f t="shared" si="18"/>
        <v>0</v>
      </c>
      <c r="AK34" s="397"/>
      <c r="AL34" s="412">
        <f>IFERROR(VLOOKUP($C34,'Proposed Rates'!$B:$J,AL$11,FALSE),0)</f>
        <v>8.0000000000000007E-5</v>
      </c>
      <c r="AM34" s="413">
        <f>$F$10*(1+AL$63)</f>
        <v>239.70239999999998</v>
      </c>
      <c r="AN34" s="394">
        <f t="shared" si="35"/>
        <v>1.9176192000000002E-2</v>
      </c>
      <c r="AO34" s="138"/>
      <c r="AP34" s="395">
        <f t="shared" si="21"/>
        <v>0</v>
      </c>
      <c r="AQ34" s="396">
        <f t="shared" si="22"/>
        <v>0</v>
      </c>
    </row>
    <row r="35" spans="1:43" ht="12" customHeight="1">
      <c r="A35" s="53"/>
      <c r="B35" s="328" t="s">
        <v>341</v>
      </c>
      <c r="C35" s="389" t="str">
        <f t="shared" si="23"/>
        <v>Residential.Line Losses on Cost of Power</v>
      </c>
      <c r="D35" s="390" t="s">
        <v>337</v>
      </c>
      <c r="E35" s="138"/>
      <c r="F35" s="414">
        <f>'Proposed Rates'!$K$256*F$44+'Proposed Rates'!$K$257*F$45+'Proposed Rates'!$K$258*F$46</f>
        <v>0.12752000000000002</v>
      </c>
      <c r="G35" s="415">
        <f>$F$10*(1+F$63)-$F$10</f>
        <v>7.8415999999999997</v>
      </c>
      <c r="H35" s="394">
        <f t="shared" si="25"/>
        <v>0.99996083200000019</v>
      </c>
      <c r="I35" s="53"/>
      <c r="J35" s="414">
        <f>'Proposed Rates'!$K$256*J$44+'Proposed Rates'!$K$257*J$45+'Proposed Rates'!$K$258*J$46</f>
        <v>0.12752000000000002</v>
      </c>
      <c r="K35" s="475">
        <f>$F$10*(1+J$63)-$F$10</f>
        <v>7.702399999999983</v>
      </c>
      <c r="L35" s="394">
        <f t="shared" si="27"/>
        <v>0.982210047999998</v>
      </c>
      <c r="M35" s="138"/>
      <c r="N35" s="395">
        <f t="shared" si="5"/>
        <v>-1.7750784000002184E-2</v>
      </c>
      <c r="O35" s="396">
        <f t="shared" si="6"/>
        <v>-1.7751479289943011E-2</v>
      </c>
      <c r="P35" s="53"/>
      <c r="Q35" s="414">
        <f>'Proposed Rates'!$K$256*Q$44+'Proposed Rates'!$K$257*Q$45+'Proposed Rates'!$K$258*Q$46</f>
        <v>0.12752000000000002</v>
      </c>
      <c r="R35" s="415">
        <f>$F$10*(1+Q$63)-$F$10</f>
        <v>7.702399999999983</v>
      </c>
      <c r="S35" s="394">
        <f t="shared" si="29"/>
        <v>0.982210047999998</v>
      </c>
      <c r="T35" s="138"/>
      <c r="U35" s="395">
        <f t="shared" si="9"/>
        <v>0</v>
      </c>
      <c r="V35" s="396">
        <f t="shared" si="10"/>
        <v>0</v>
      </c>
      <c r="W35" s="53"/>
      <c r="X35" s="414">
        <f>'Proposed Rates'!$K$256*X$44+'Proposed Rates'!$K$257*X$45+'Proposed Rates'!$K$258*X$46</f>
        <v>0.12752000000000002</v>
      </c>
      <c r="Y35" s="415">
        <f>$F$10*(1+X$63)-$F$10</f>
        <v>7.702399999999983</v>
      </c>
      <c r="Z35" s="394">
        <f t="shared" si="31"/>
        <v>0.982210047999998</v>
      </c>
      <c r="AA35" s="138"/>
      <c r="AB35" s="395">
        <f t="shared" si="13"/>
        <v>0</v>
      </c>
      <c r="AC35" s="396">
        <f t="shared" si="14"/>
        <v>0</v>
      </c>
      <c r="AD35" s="53"/>
      <c r="AE35" s="414">
        <f>'Proposed Rates'!$K$256*AE$44+'Proposed Rates'!$K$257*AE$45+'Proposed Rates'!$K$258*AE$46</f>
        <v>0.12752000000000002</v>
      </c>
      <c r="AF35" s="415">
        <f>$F$10*(1+AE$63)-$F$10</f>
        <v>7.702399999999983</v>
      </c>
      <c r="AG35" s="394">
        <f t="shared" si="33"/>
        <v>0.982210047999998</v>
      </c>
      <c r="AH35" s="138"/>
      <c r="AI35" s="395">
        <f t="shared" si="17"/>
        <v>0</v>
      </c>
      <c r="AJ35" s="396">
        <f t="shared" si="18"/>
        <v>0</v>
      </c>
      <c r="AK35" s="397"/>
      <c r="AL35" s="414">
        <f>'Proposed Rates'!$K$256*AL$44+'Proposed Rates'!$K$257*AL$45+'Proposed Rates'!$K$258*AL$46</f>
        <v>0.12752000000000002</v>
      </c>
      <c r="AM35" s="415">
        <f>$F$10*(1+AL$63)-$F$10</f>
        <v>7.702399999999983</v>
      </c>
      <c r="AN35" s="394">
        <f t="shared" si="35"/>
        <v>0.982210047999998</v>
      </c>
      <c r="AO35" s="138"/>
      <c r="AP35" s="395">
        <f t="shared" si="21"/>
        <v>0</v>
      </c>
      <c r="AQ35" s="396">
        <f t="shared" si="22"/>
        <v>0</v>
      </c>
    </row>
    <row r="36" spans="1:43" ht="12" customHeight="1">
      <c r="A36" s="53"/>
      <c r="B36" s="328" t="s">
        <v>302</v>
      </c>
      <c r="C36" s="389" t="str">
        <f t="shared" si="23"/>
        <v>Residential.Smart Meter Entity Charge</v>
      </c>
      <c r="D36" s="390" t="s">
        <v>335</v>
      </c>
      <c r="E36" s="138"/>
      <c r="F36" s="391">
        <f>IFERROR(VLOOKUP($C36,'Proposed Rates'!$B:$J,F$11,FALSE),0)</f>
        <v>0.42</v>
      </c>
      <c r="G36" s="409">
        <f>IF($D36="Monthly",1,IF($D36="per KWH",$F$10,0))</f>
        <v>1</v>
      </c>
      <c r="H36" s="394">
        <f t="shared" si="25"/>
        <v>0.42</v>
      </c>
      <c r="I36" s="53"/>
      <c r="J36" s="391">
        <f>IFERROR(VLOOKUP($C36,'Proposed Rates'!$B:$J,J$11,FALSE),0)</f>
        <v>0.42</v>
      </c>
      <c r="K36" s="409">
        <f>IF($D36="Monthly",1,IF($D36="per KWH",$F$10,0))</f>
        <v>1</v>
      </c>
      <c r="L36" s="394">
        <f t="shared" si="27"/>
        <v>0.42</v>
      </c>
      <c r="M36" s="138"/>
      <c r="N36" s="395">
        <f t="shared" si="5"/>
        <v>0</v>
      </c>
      <c r="O36" s="396">
        <f t="shared" si="6"/>
        <v>0</v>
      </c>
      <c r="P36" s="53"/>
      <c r="Q36" s="391">
        <f>IFERROR(VLOOKUP($C36,'Proposed Rates'!$B:$J,Q$11,FALSE),0)</f>
        <v>0.42</v>
      </c>
      <c r="R36" s="409">
        <f>IF($D36="Monthly",1,IF($D36="per KWH",$F$10,0))</f>
        <v>1</v>
      </c>
      <c r="S36" s="394">
        <f t="shared" si="29"/>
        <v>0.42</v>
      </c>
      <c r="T36" s="138"/>
      <c r="U36" s="395">
        <f t="shared" si="9"/>
        <v>0</v>
      </c>
      <c r="V36" s="396">
        <f t="shared" si="10"/>
        <v>0</v>
      </c>
      <c r="W36" s="53"/>
      <c r="X36" s="391">
        <f>IFERROR(VLOOKUP($C36,'Proposed Rates'!$B:$J,X$11,FALSE),0)</f>
        <v>0.43</v>
      </c>
      <c r="Y36" s="409">
        <f>IF($D36="Monthly",1,IF($D36="per KWH",$F$10,0))</f>
        <v>1</v>
      </c>
      <c r="Z36" s="394">
        <f t="shared" si="31"/>
        <v>0.43</v>
      </c>
      <c r="AA36" s="138"/>
      <c r="AB36" s="395">
        <f t="shared" si="13"/>
        <v>1.0000000000000009E-2</v>
      </c>
      <c r="AC36" s="396">
        <f t="shared" si="14"/>
        <v>2.3809523809523832E-2</v>
      </c>
      <c r="AD36" s="53"/>
      <c r="AE36" s="391">
        <f>IFERROR(VLOOKUP($C36,'Proposed Rates'!$B:$J,AE$11,FALSE),0)</f>
        <v>0.44</v>
      </c>
      <c r="AF36" s="409">
        <f>IF($D36="Monthly",1,IF($D36="per KWH",$F$10,0))</f>
        <v>1</v>
      </c>
      <c r="AG36" s="394">
        <f t="shared" si="33"/>
        <v>0.44</v>
      </c>
      <c r="AH36" s="138"/>
      <c r="AI36" s="395">
        <f t="shared" si="17"/>
        <v>1.0000000000000009E-2</v>
      </c>
      <c r="AJ36" s="396">
        <f t="shared" si="18"/>
        <v>2.3255813953488393E-2</v>
      </c>
      <c r="AK36" s="397"/>
      <c r="AL36" s="391">
        <f>IFERROR(VLOOKUP($C36,'Proposed Rates'!$B:$J,AL$11,FALSE),0)</f>
        <v>0.45</v>
      </c>
      <c r="AM36" s="409">
        <f>IF($D36="Monthly",1,IF($D36="per KWH",$F$10,0))</f>
        <v>1</v>
      </c>
      <c r="AN36" s="394">
        <f t="shared" si="35"/>
        <v>0.45</v>
      </c>
      <c r="AO36" s="138"/>
      <c r="AP36" s="395">
        <f t="shared" si="21"/>
        <v>1.0000000000000009E-2</v>
      </c>
      <c r="AQ36" s="396">
        <f t="shared" si="22"/>
        <v>2.2727272727272749E-2</v>
      </c>
    </row>
    <row r="37" spans="1:43" ht="12" customHeight="1">
      <c r="A37" s="53"/>
      <c r="B37" s="399" t="s">
        <v>342</v>
      </c>
      <c r="C37" s="416"/>
      <c r="D37" s="416"/>
      <c r="E37" s="419"/>
      <c r="F37" s="417"/>
      <c r="G37" s="418"/>
      <c r="H37" s="403">
        <f>SUM(H30:H36)+H29</f>
        <v>35.941952911999998</v>
      </c>
      <c r="I37" s="53"/>
      <c r="J37" s="417"/>
      <c r="K37" s="418"/>
      <c r="L37" s="403">
        <f>SUM(L30:L36)+L29</f>
        <v>41.199389216000007</v>
      </c>
      <c r="M37" s="419"/>
      <c r="N37" s="405">
        <f t="shared" si="5"/>
        <v>5.2574363040000094</v>
      </c>
      <c r="O37" s="406">
        <f t="shared" si="6"/>
        <v>0.14627575515644006</v>
      </c>
      <c r="P37" s="53"/>
      <c r="Q37" s="417"/>
      <c r="R37" s="418"/>
      <c r="S37" s="403">
        <f>SUM(S30:S36)+S29</f>
        <v>44.358989216000005</v>
      </c>
      <c r="T37" s="419"/>
      <c r="U37" s="405">
        <f t="shared" si="9"/>
        <v>3.1595999999999975</v>
      </c>
      <c r="V37" s="406">
        <f t="shared" si="10"/>
        <v>7.66904573132106E-2</v>
      </c>
      <c r="W37" s="53"/>
      <c r="X37" s="417"/>
      <c r="Y37" s="418"/>
      <c r="Z37" s="403">
        <f>SUM(Z30:Z36)+Z29</f>
        <v>45.361386239999995</v>
      </c>
      <c r="AA37" s="419"/>
      <c r="AB37" s="405">
        <f t="shared" si="13"/>
        <v>1.0023970239999898</v>
      </c>
      <c r="AC37" s="406">
        <f t="shared" si="14"/>
        <v>2.2597381989904124E-2</v>
      </c>
      <c r="AD37" s="53"/>
      <c r="AE37" s="417"/>
      <c r="AF37" s="418"/>
      <c r="AG37" s="403">
        <f>SUM(AG30:AG36)+AG29</f>
        <v>46.861386240000002</v>
      </c>
      <c r="AH37" s="419"/>
      <c r="AI37" s="405">
        <f t="shared" si="17"/>
        <v>1.5000000000000071</v>
      </c>
      <c r="AJ37" s="406">
        <f t="shared" si="18"/>
        <v>3.3067772489662063E-2</v>
      </c>
      <c r="AK37" s="407"/>
      <c r="AL37" s="417"/>
      <c r="AM37" s="418"/>
      <c r="AN37" s="403">
        <f>SUM(AN30:AN36)+AN29</f>
        <v>48.231386239999999</v>
      </c>
      <c r="AO37" s="419"/>
      <c r="AP37" s="405">
        <f t="shared" si="21"/>
        <v>1.3699999999999974</v>
      </c>
      <c r="AQ37" s="406">
        <f t="shared" si="22"/>
        <v>2.9235157342199815E-2</v>
      </c>
    </row>
    <row r="38" spans="1:43" ht="12" customHeight="1">
      <c r="A38" s="53"/>
      <c r="B38" s="138" t="s">
        <v>285</v>
      </c>
      <c r="C38" s="389" t="str">
        <f t="shared" ref="C38:C39" si="36">D$6&amp;"."&amp;B38</f>
        <v>Residential.RTSR - Network</v>
      </c>
      <c r="D38" s="420" t="s">
        <v>337</v>
      </c>
      <c r="E38" s="138"/>
      <c r="F38" s="408">
        <f>IFERROR(VLOOKUP($C38,'Proposed Rates'!$B:$J,F$11,FALSE),0)</f>
        <v>1.26E-2</v>
      </c>
      <c r="G38" s="413">
        <f t="shared" ref="G38:G39" si="37">$F$10*(1+F$63)</f>
        <v>239.8416</v>
      </c>
      <c r="H38" s="394">
        <f t="shared" ref="H38:H39" si="38">G38*F38</f>
        <v>3.0220041599999998</v>
      </c>
      <c r="I38" s="53"/>
      <c r="J38" s="408">
        <f>IFERROR(VLOOKUP($C38,'Proposed Rates'!$B:$J,J$11,FALSE),0)</f>
        <v>1.38E-2</v>
      </c>
      <c r="K38" s="413">
        <f t="shared" ref="K38:K39" si="39">$F$10*(1+J$63)</f>
        <v>239.70239999999998</v>
      </c>
      <c r="L38" s="394">
        <f t="shared" ref="L38:L39" si="40">K38*J38</f>
        <v>3.3078931199999997</v>
      </c>
      <c r="M38" s="138"/>
      <c r="N38" s="395">
        <f t="shared" si="5"/>
        <v>0.28588895999999986</v>
      </c>
      <c r="O38" s="396">
        <f t="shared" si="6"/>
        <v>9.4602437608821782E-2</v>
      </c>
      <c r="P38" s="53"/>
      <c r="Q38" s="408">
        <f>IFERROR(VLOOKUP($C38,'Proposed Rates'!$B:$J,Q$11,FALSE),0)</f>
        <v>1.38E-2</v>
      </c>
      <c r="R38" s="413">
        <f t="shared" ref="R38:R39" si="41">$F$10*(1+Q$63)</f>
        <v>239.70239999999998</v>
      </c>
      <c r="S38" s="394">
        <f t="shared" ref="S38:S39" si="42">R38*Q38</f>
        <v>3.3078931199999997</v>
      </c>
      <c r="T38" s="138"/>
      <c r="U38" s="395">
        <f t="shared" si="9"/>
        <v>0</v>
      </c>
      <c r="V38" s="396">
        <f t="shared" si="10"/>
        <v>0</v>
      </c>
      <c r="W38" s="53"/>
      <c r="X38" s="408">
        <f>IFERROR(VLOOKUP($C38,'Proposed Rates'!$B:$J,X$11,FALSE),0)</f>
        <v>1.38E-2</v>
      </c>
      <c r="Y38" s="413">
        <f t="shared" ref="Y38:Y39" si="43">$F$10*(1+X$63)</f>
        <v>239.70239999999998</v>
      </c>
      <c r="Z38" s="394">
        <f t="shared" ref="Z38:Z39" si="44">Y38*X38</f>
        <v>3.3078931199999997</v>
      </c>
      <c r="AA38" s="138"/>
      <c r="AB38" s="395">
        <f t="shared" si="13"/>
        <v>0</v>
      </c>
      <c r="AC38" s="396">
        <f t="shared" si="14"/>
        <v>0</v>
      </c>
      <c r="AD38" s="53"/>
      <c r="AE38" s="408">
        <f>IFERROR(VLOOKUP($C38,'Proposed Rates'!$B:$J,AE$11,FALSE),0)</f>
        <v>1.38E-2</v>
      </c>
      <c r="AF38" s="413">
        <f t="shared" ref="AF38:AF39" si="45">$F$10*(1+AE$63)</f>
        <v>239.70239999999998</v>
      </c>
      <c r="AG38" s="394">
        <f t="shared" ref="AG38:AG39" si="46">AF38*AE38</f>
        <v>3.3078931199999997</v>
      </c>
      <c r="AH38" s="138"/>
      <c r="AI38" s="395">
        <f t="shared" si="17"/>
        <v>0</v>
      </c>
      <c r="AJ38" s="396">
        <f t="shared" si="18"/>
        <v>0</v>
      </c>
      <c r="AK38" s="397"/>
      <c r="AL38" s="408">
        <f>IFERROR(VLOOKUP($C38,'Proposed Rates'!$B:$J,AL$11,FALSE),0)</f>
        <v>1.38E-2</v>
      </c>
      <c r="AM38" s="413">
        <f t="shared" ref="AM38:AM39" si="47">$F$10*(1+AL$63)</f>
        <v>239.70239999999998</v>
      </c>
      <c r="AN38" s="394">
        <f t="shared" ref="AN38:AN39" si="48">AM38*AL38</f>
        <v>3.3078931199999997</v>
      </c>
      <c r="AO38" s="138"/>
      <c r="AP38" s="395">
        <f t="shared" si="21"/>
        <v>0</v>
      </c>
      <c r="AQ38" s="396">
        <f t="shared" si="22"/>
        <v>0</v>
      </c>
    </row>
    <row r="39" spans="1:43" ht="12" customHeight="1">
      <c r="A39" s="53"/>
      <c r="B39" s="138" t="s">
        <v>288</v>
      </c>
      <c r="C39" s="389" t="str">
        <f t="shared" si="36"/>
        <v>Residential.RTSR - Line and Transformation Connection</v>
      </c>
      <c r="D39" s="420" t="s">
        <v>337</v>
      </c>
      <c r="E39" s="138"/>
      <c r="F39" s="408">
        <f>IFERROR(VLOOKUP($C39,'Proposed Rates'!$B:$J,F$11,FALSE),0)</f>
        <v>7.1999999999999998E-3</v>
      </c>
      <c r="G39" s="413">
        <f t="shared" si="37"/>
        <v>239.8416</v>
      </c>
      <c r="H39" s="394">
        <f t="shared" si="38"/>
        <v>1.7268595199999999</v>
      </c>
      <c r="I39" s="53"/>
      <c r="J39" s="408">
        <f>IFERROR(VLOOKUP($C39,'Proposed Rates'!$B:$J,J$11,FALSE),0)</f>
        <v>7.7999999999999996E-3</v>
      </c>
      <c r="K39" s="413">
        <f t="shared" si="39"/>
        <v>239.70239999999998</v>
      </c>
      <c r="L39" s="394">
        <f t="shared" si="40"/>
        <v>1.8696787199999998</v>
      </c>
      <c r="M39" s="138"/>
      <c r="N39" s="395">
        <f t="shared" si="5"/>
        <v>0.14281919999999992</v>
      </c>
      <c r="O39" s="396">
        <f t="shared" si="6"/>
        <v>8.2704585026117203E-2</v>
      </c>
      <c r="P39" s="53"/>
      <c r="Q39" s="408">
        <f>IFERROR(VLOOKUP($C39,'Proposed Rates'!$B:$J,Q$11,FALSE),0)</f>
        <v>7.7999999999999996E-3</v>
      </c>
      <c r="R39" s="413">
        <f t="shared" si="41"/>
        <v>239.70239999999998</v>
      </c>
      <c r="S39" s="394">
        <f t="shared" si="42"/>
        <v>1.8696787199999998</v>
      </c>
      <c r="T39" s="138"/>
      <c r="U39" s="395">
        <f t="shared" si="9"/>
        <v>0</v>
      </c>
      <c r="V39" s="396">
        <f t="shared" si="10"/>
        <v>0</v>
      </c>
      <c r="W39" s="53"/>
      <c r="X39" s="408">
        <f>IFERROR(VLOOKUP($C39,'Proposed Rates'!$B:$J,X$11,FALSE),0)</f>
        <v>7.7999999999999996E-3</v>
      </c>
      <c r="Y39" s="413">
        <f t="shared" si="43"/>
        <v>239.70239999999998</v>
      </c>
      <c r="Z39" s="394">
        <f t="shared" si="44"/>
        <v>1.8696787199999998</v>
      </c>
      <c r="AA39" s="138"/>
      <c r="AB39" s="395">
        <f t="shared" si="13"/>
        <v>0</v>
      </c>
      <c r="AC39" s="396">
        <f t="shared" si="14"/>
        <v>0</v>
      </c>
      <c r="AD39" s="53"/>
      <c r="AE39" s="408">
        <f>IFERROR(VLOOKUP($C39,'Proposed Rates'!$B:$J,AE$11,FALSE),0)</f>
        <v>7.7999999999999996E-3</v>
      </c>
      <c r="AF39" s="413">
        <f t="shared" si="45"/>
        <v>239.70239999999998</v>
      </c>
      <c r="AG39" s="394">
        <f t="shared" si="46"/>
        <v>1.8696787199999998</v>
      </c>
      <c r="AH39" s="138"/>
      <c r="AI39" s="395">
        <f t="shared" si="17"/>
        <v>0</v>
      </c>
      <c r="AJ39" s="396">
        <f t="shared" si="18"/>
        <v>0</v>
      </c>
      <c r="AK39" s="397"/>
      <c r="AL39" s="408">
        <f>IFERROR(VLOOKUP($C39,'Proposed Rates'!$B:$J,AL$11,FALSE),0)</f>
        <v>7.7999999999999996E-3</v>
      </c>
      <c r="AM39" s="413">
        <f t="shared" si="47"/>
        <v>239.70239999999998</v>
      </c>
      <c r="AN39" s="394">
        <f t="shared" si="48"/>
        <v>1.8696787199999998</v>
      </c>
      <c r="AO39" s="138"/>
      <c r="AP39" s="395">
        <f t="shared" si="21"/>
        <v>0</v>
      </c>
      <c r="AQ39" s="396">
        <f t="shared" si="22"/>
        <v>0</v>
      </c>
    </row>
    <row r="40" spans="1:43" ht="12" customHeight="1">
      <c r="A40" s="53"/>
      <c r="B40" s="399" t="s">
        <v>343</v>
      </c>
      <c r="C40" s="421"/>
      <c r="D40" s="421"/>
      <c r="E40" s="404"/>
      <c r="F40" s="422"/>
      <c r="G40" s="423"/>
      <c r="H40" s="403">
        <f>SUM(H37:H39)</f>
        <v>40.690816591999997</v>
      </c>
      <c r="I40" s="53"/>
      <c r="J40" s="422"/>
      <c r="K40" s="423"/>
      <c r="L40" s="403">
        <f>SUM(L37:L39)</f>
        <v>46.376961056000013</v>
      </c>
      <c r="M40" s="404"/>
      <c r="N40" s="405">
        <f t="shared" si="5"/>
        <v>5.6861444640000158</v>
      </c>
      <c r="O40" s="406">
        <f t="shared" si="6"/>
        <v>0.13974023969619567</v>
      </c>
      <c r="P40" s="53"/>
      <c r="Q40" s="422"/>
      <c r="R40" s="423"/>
      <c r="S40" s="403">
        <f>SUM(S37:S39)</f>
        <v>49.536561056000011</v>
      </c>
      <c r="T40" s="404"/>
      <c r="U40" s="405">
        <f t="shared" si="9"/>
        <v>3.1595999999999975</v>
      </c>
      <c r="V40" s="406">
        <f t="shared" si="10"/>
        <v>6.8128655437013047E-2</v>
      </c>
      <c r="W40" s="53"/>
      <c r="X40" s="422"/>
      <c r="Y40" s="423"/>
      <c r="Z40" s="403">
        <f>SUM(Z37:Z39)</f>
        <v>50.53895808</v>
      </c>
      <c r="AA40" s="404"/>
      <c r="AB40" s="405">
        <f t="shared" si="13"/>
        <v>1.0023970239999898</v>
      </c>
      <c r="AC40" s="406">
        <f t="shared" si="14"/>
        <v>2.0235498844314234E-2</v>
      </c>
      <c r="AD40" s="53"/>
      <c r="AE40" s="422"/>
      <c r="AF40" s="423"/>
      <c r="AG40" s="403">
        <f>SUM(AG37:AG39)</f>
        <v>52.038958080000008</v>
      </c>
      <c r="AH40" s="404"/>
      <c r="AI40" s="405">
        <f t="shared" si="17"/>
        <v>1.5000000000000071</v>
      </c>
      <c r="AJ40" s="406">
        <f t="shared" si="18"/>
        <v>2.9680073689402169E-2</v>
      </c>
      <c r="AK40" s="407"/>
      <c r="AL40" s="422"/>
      <c r="AM40" s="423"/>
      <c r="AN40" s="403">
        <f>SUM(AN37:AN39)</f>
        <v>53.408958080000005</v>
      </c>
      <c r="AO40" s="404"/>
      <c r="AP40" s="405">
        <f t="shared" si="21"/>
        <v>1.3699999999999974</v>
      </c>
      <c r="AQ40" s="406">
        <f t="shared" si="22"/>
        <v>2.6326430246621825E-2</v>
      </c>
    </row>
    <row r="41" spans="1:43" ht="12" customHeight="1">
      <c r="A41" s="53"/>
      <c r="B41" s="328" t="s">
        <v>289</v>
      </c>
      <c r="C41" s="389" t="str">
        <f t="shared" ref="C41:C48" si="49">D$6&amp;"."&amp;B41</f>
        <v>Residential.Wholesale Market Service Charge (WMSC)</v>
      </c>
      <c r="D41" s="390" t="s">
        <v>337</v>
      </c>
      <c r="E41" s="138"/>
      <c r="F41" s="408">
        <f>IFERROR(VLOOKUP($C41,'Proposed Rates'!$B:$J,F$11,FALSE),0)</f>
        <v>4.4999999999999997E-3</v>
      </c>
      <c r="G41" s="413">
        <f t="shared" ref="G41:G42" si="50">$F$10*(1+F$63)</f>
        <v>239.8416</v>
      </c>
      <c r="H41" s="394">
        <f t="shared" ref="H41:H48" si="51">G41*F41</f>
        <v>1.0792872</v>
      </c>
      <c r="I41" s="53"/>
      <c r="J41" s="408">
        <f>IFERROR(VLOOKUP($C41,'Proposed Rates'!$B:$J,J$11,FALSE),0)</f>
        <v>4.7000000000000002E-3</v>
      </c>
      <c r="K41" s="413">
        <f t="shared" ref="K41:K42" si="52">$F$10*(1+J$63)</f>
        <v>239.70239999999998</v>
      </c>
      <c r="L41" s="394">
        <f t="shared" ref="L41:L48" si="53">K41*J41</f>
        <v>1.12660128</v>
      </c>
      <c r="M41" s="138"/>
      <c r="N41" s="395">
        <f t="shared" si="5"/>
        <v>4.7314080000000036E-2</v>
      </c>
      <c r="O41" s="396">
        <f t="shared" si="6"/>
        <v>4.383826658928229E-2</v>
      </c>
      <c r="P41" s="53"/>
      <c r="Q41" s="408">
        <f>IFERROR(VLOOKUP($C41,'Proposed Rates'!$B:$J,Q$11,FALSE),0)</f>
        <v>4.7000000000000002E-3</v>
      </c>
      <c r="R41" s="413">
        <f t="shared" ref="R41:R42" si="54">$F$10*(1+Q$63)</f>
        <v>239.70239999999998</v>
      </c>
      <c r="S41" s="394">
        <f t="shared" ref="S41:S48" si="55">R41*Q41</f>
        <v>1.12660128</v>
      </c>
      <c r="T41" s="138"/>
      <c r="U41" s="395">
        <f t="shared" si="9"/>
        <v>0</v>
      </c>
      <c r="V41" s="396">
        <f t="shared" si="10"/>
        <v>0</v>
      </c>
      <c r="W41" s="53"/>
      <c r="X41" s="408">
        <f>IFERROR(VLOOKUP($C41,'Proposed Rates'!$B:$J,X$11,FALSE),0)</f>
        <v>4.7000000000000002E-3</v>
      </c>
      <c r="Y41" s="413">
        <f t="shared" ref="Y41:Y42" si="56">$F$10*(1+X$63)</f>
        <v>239.70239999999998</v>
      </c>
      <c r="Z41" s="394">
        <f t="shared" ref="Z41:Z48" si="57">Y41*X41</f>
        <v>1.12660128</v>
      </c>
      <c r="AA41" s="138"/>
      <c r="AB41" s="395">
        <f t="shared" si="13"/>
        <v>0</v>
      </c>
      <c r="AC41" s="396">
        <f t="shared" si="14"/>
        <v>0</v>
      </c>
      <c r="AD41" s="53"/>
      <c r="AE41" s="408">
        <f>IFERROR(VLOOKUP($C41,'Proposed Rates'!$B:$J,AE$11,FALSE),0)</f>
        <v>4.7000000000000002E-3</v>
      </c>
      <c r="AF41" s="413">
        <f t="shared" ref="AF41:AF42" si="58">$F$10*(1+AE$63)</f>
        <v>239.70239999999998</v>
      </c>
      <c r="AG41" s="394">
        <f t="shared" ref="AG41:AG48" si="59">AF41*AE41</f>
        <v>1.12660128</v>
      </c>
      <c r="AH41" s="138"/>
      <c r="AI41" s="395">
        <f t="shared" si="17"/>
        <v>0</v>
      </c>
      <c r="AJ41" s="396">
        <f t="shared" si="18"/>
        <v>0</v>
      </c>
      <c r="AK41" s="397"/>
      <c r="AL41" s="408">
        <f>IFERROR(VLOOKUP($C41,'Proposed Rates'!$B:$J,AL$11,FALSE),0)</f>
        <v>4.7000000000000002E-3</v>
      </c>
      <c r="AM41" s="413">
        <f t="shared" ref="AM41:AM42" si="60">$F$10*(1+AL$63)</f>
        <v>239.70239999999998</v>
      </c>
      <c r="AN41" s="394">
        <f t="shared" ref="AN41:AN48" si="61">AM41*AL41</f>
        <v>1.12660128</v>
      </c>
      <c r="AO41" s="138"/>
      <c r="AP41" s="395">
        <f t="shared" si="21"/>
        <v>0</v>
      </c>
      <c r="AQ41" s="396">
        <f t="shared" si="22"/>
        <v>0</v>
      </c>
    </row>
    <row r="42" spans="1:43" ht="12" customHeight="1">
      <c r="A42" s="53"/>
      <c r="B42" s="328" t="s">
        <v>290</v>
      </c>
      <c r="C42" s="389" t="str">
        <f t="shared" si="49"/>
        <v>Residential.Rural and Remote Rate Protection (RRRP)</v>
      </c>
      <c r="D42" s="390" t="s">
        <v>337</v>
      </c>
      <c r="E42" s="138"/>
      <c r="F42" s="408">
        <f>IFERROR(VLOOKUP($C42,'Proposed Rates'!$B:$J,F$11,FALSE),0)</f>
        <v>1.5E-3</v>
      </c>
      <c r="G42" s="413">
        <f t="shared" si="50"/>
        <v>239.8416</v>
      </c>
      <c r="H42" s="394">
        <f t="shared" si="51"/>
        <v>0.35976239999999998</v>
      </c>
      <c r="I42" s="53"/>
      <c r="J42" s="408">
        <f>IFERROR(VLOOKUP($C42,'Proposed Rates'!$B:$J,J$11,FALSE),0)</f>
        <v>5.9999999999999995E-4</v>
      </c>
      <c r="K42" s="413">
        <f t="shared" si="52"/>
        <v>239.70239999999998</v>
      </c>
      <c r="L42" s="394">
        <f t="shared" si="53"/>
        <v>0.14382143999999997</v>
      </c>
      <c r="M42" s="138"/>
      <c r="N42" s="395">
        <f t="shared" si="5"/>
        <v>-0.21594096000000002</v>
      </c>
      <c r="O42" s="396">
        <f t="shared" si="6"/>
        <v>-0.600232153221126</v>
      </c>
      <c r="P42" s="53"/>
      <c r="Q42" s="408">
        <f>IFERROR(VLOOKUP($C42,'Proposed Rates'!$B:$J,Q$11,FALSE),0)</f>
        <v>5.9999999999999995E-4</v>
      </c>
      <c r="R42" s="413">
        <f t="shared" si="54"/>
        <v>239.70239999999998</v>
      </c>
      <c r="S42" s="394">
        <f t="shared" si="55"/>
        <v>0.14382143999999997</v>
      </c>
      <c r="T42" s="138"/>
      <c r="U42" s="395">
        <f t="shared" si="9"/>
        <v>0</v>
      </c>
      <c r="V42" s="396">
        <f t="shared" si="10"/>
        <v>0</v>
      </c>
      <c r="W42" s="53"/>
      <c r="X42" s="408">
        <f>IFERROR(VLOOKUP($C42,'Proposed Rates'!$B:$J,X$11,FALSE),0)</f>
        <v>5.9999999999999995E-4</v>
      </c>
      <c r="Y42" s="413">
        <f t="shared" si="56"/>
        <v>239.70239999999998</v>
      </c>
      <c r="Z42" s="394">
        <f t="shared" si="57"/>
        <v>0.14382143999999997</v>
      </c>
      <c r="AA42" s="138"/>
      <c r="AB42" s="395">
        <f t="shared" si="13"/>
        <v>0</v>
      </c>
      <c r="AC42" s="396">
        <f t="shared" si="14"/>
        <v>0</v>
      </c>
      <c r="AD42" s="53"/>
      <c r="AE42" s="408">
        <f>IFERROR(VLOOKUP($C42,'Proposed Rates'!$B:$J,AE$11,FALSE),0)</f>
        <v>5.9999999999999995E-4</v>
      </c>
      <c r="AF42" s="413">
        <f t="shared" si="58"/>
        <v>239.70239999999998</v>
      </c>
      <c r="AG42" s="394">
        <f t="shared" si="59"/>
        <v>0.14382143999999997</v>
      </c>
      <c r="AH42" s="138"/>
      <c r="AI42" s="395">
        <f t="shared" si="17"/>
        <v>0</v>
      </c>
      <c r="AJ42" s="396">
        <f t="shared" si="18"/>
        <v>0</v>
      </c>
      <c r="AK42" s="397"/>
      <c r="AL42" s="408">
        <f>IFERROR(VLOOKUP($C42,'Proposed Rates'!$B:$J,AL$11,FALSE),0)</f>
        <v>5.9999999999999995E-4</v>
      </c>
      <c r="AM42" s="413">
        <f t="shared" si="60"/>
        <v>239.70239999999998</v>
      </c>
      <c r="AN42" s="394">
        <f t="shared" si="61"/>
        <v>0.14382143999999997</v>
      </c>
      <c r="AO42" s="138"/>
      <c r="AP42" s="395">
        <f t="shared" si="21"/>
        <v>0</v>
      </c>
      <c r="AQ42" s="396">
        <f t="shared" si="22"/>
        <v>0</v>
      </c>
    </row>
    <row r="43" spans="1:43" ht="12" customHeight="1">
      <c r="A43" s="53"/>
      <c r="B43" s="328" t="s">
        <v>291</v>
      </c>
      <c r="C43" s="389" t="str">
        <f t="shared" si="49"/>
        <v>Residential.Standard Supply Service Charge</v>
      </c>
      <c r="D43" s="390" t="s">
        <v>335</v>
      </c>
      <c r="E43" s="138"/>
      <c r="F43" s="408">
        <f>IFERROR(VLOOKUP($C43,'Proposed Rates'!$B:$J,F$11,FALSE),0)</f>
        <v>0.25</v>
      </c>
      <c r="G43" s="409">
        <f>IF($D43="Monthly",1,IF($D43="per KWH",$F$10,0))</f>
        <v>1</v>
      </c>
      <c r="H43" s="394">
        <f t="shared" si="51"/>
        <v>0.25</v>
      </c>
      <c r="I43" s="53"/>
      <c r="J43" s="408">
        <f>IFERROR(VLOOKUP($C43,'Proposed Rates'!$B:$J,J$11,FALSE),0)</f>
        <v>0.25</v>
      </c>
      <c r="K43" s="409">
        <f>IF($D43="Monthly",1,IF($D43="per KWH",$F$10,0))</f>
        <v>1</v>
      </c>
      <c r="L43" s="394">
        <f t="shared" si="53"/>
        <v>0.25</v>
      </c>
      <c r="M43" s="138"/>
      <c r="N43" s="395">
        <f t="shared" si="5"/>
        <v>0</v>
      </c>
      <c r="O43" s="396">
        <f t="shared" si="6"/>
        <v>0</v>
      </c>
      <c r="P43" s="53"/>
      <c r="Q43" s="408">
        <f>IFERROR(VLOOKUP($C43,'Proposed Rates'!$B:$J,Q$11,FALSE),0)</f>
        <v>0.25</v>
      </c>
      <c r="R43" s="409">
        <f>IF($D43="Monthly",1,IF($D43="per KWH",$F$10,0))</f>
        <v>1</v>
      </c>
      <c r="S43" s="394">
        <f t="shared" si="55"/>
        <v>0.25</v>
      </c>
      <c r="T43" s="138"/>
      <c r="U43" s="395">
        <f t="shared" si="9"/>
        <v>0</v>
      </c>
      <c r="V43" s="396">
        <f t="shared" si="10"/>
        <v>0</v>
      </c>
      <c r="W43" s="53"/>
      <c r="X43" s="408">
        <f>IFERROR(VLOOKUP($C43,'Proposed Rates'!$B:$J,X$11,FALSE),0)</f>
        <v>0.25</v>
      </c>
      <c r="Y43" s="409">
        <f>IF($D43="Monthly",1,IF($D43="per KWH",$F$10,0))</f>
        <v>1</v>
      </c>
      <c r="Z43" s="394">
        <f t="shared" si="57"/>
        <v>0.25</v>
      </c>
      <c r="AA43" s="138"/>
      <c r="AB43" s="395">
        <f t="shared" si="13"/>
        <v>0</v>
      </c>
      <c r="AC43" s="396">
        <f t="shared" si="14"/>
        <v>0</v>
      </c>
      <c r="AD43" s="53"/>
      <c r="AE43" s="408">
        <f>IFERROR(VLOOKUP($C43,'Proposed Rates'!$B:$J,AE$11,FALSE),0)</f>
        <v>0.25</v>
      </c>
      <c r="AF43" s="409">
        <f>IF($D43="Monthly",1,IF($D43="per KWH",$F$10,0))</f>
        <v>1</v>
      </c>
      <c r="AG43" s="394">
        <f t="shared" si="59"/>
        <v>0.25</v>
      </c>
      <c r="AH43" s="138"/>
      <c r="AI43" s="395">
        <f t="shared" si="17"/>
        <v>0</v>
      </c>
      <c r="AJ43" s="396">
        <f t="shared" si="18"/>
        <v>0</v>
      </c>
      <c r="AK43" s="397"/>
      <c r="AL43" s="408">
        <f>IFERROR(VLOOKUP($C43,'Proposed Rates'!$B:$J,AL$11,FALSE),0)</f>
        <v>0.25</v>
      </c>
      <c r="AM43" s="409">
        <f>IF($D43="Monthly",1,IF($D43="per KWH",$F$10,0))</f>
        <v>1</v>
      </c>
      <c r="AN43" s="394">
        <f t="shared" si="61"/>
        <v>0.25</v>
      </c>
      <c r="AO43" s="138"/>
      <c r="AP43" s="395">
        <f t="shared" si="21"/>
        <v>0</v>
      </c>
      <c r="AQ43" s="396">
        <f t="shared" si="22"/>
        <v>0</v>
      </c>
    </row>
    <row r="44" spans="1:43" ht="12" customHeight="1">
      <c r="A44" s="53"/>
      <c r="B44" s="328" t="s">
        <v>293</v>
      </c>
      <c r="C44" s="389" t="str">
        <f t="shared" si="49"/>
        <v>Residential.TOU - Off Peak</v>
      </c>
      <c r="D44" s="390" t="s">
        <v>337</v>
      </c>
      <c r="E44" s="138"/>
      <c r="F44" s="424">
        <f>VLOOKUP($B44,'Proposed Rates'!$D$255:$J$261,+F$11-2,FALSE)</f>
        <v>9.8000000000000004E-2</v>
      </c>
      <c r="G44" s="415">
        <f>$F$10*'Proposed Rates'!$K$256</f>
        <v>148.47999999999999</v>
      </c>
      <c r="H44" s="394">
        <f t="shared" si="51"/>
        <v>14.55104</v>
      </c>
      <c r="I44" s="53"/>
      <c r="J44" s="424">
        <f>VLOOKUP($B44,'Proposed Rates'!$D$255:$J$261,+J$11-2,FALSE)</f>
        <v>9.8000000000000004E-2</v>
      </c>
      <c r="K44" s="415">
        <f>$F$10*'Proposed Rates'!$K$256</f>
        <v>148.47999999999999</v>
      </c>
      <c r="L44" s="394">
        <f t="shared" si="53"/>
        <v>14.55104</v>
      </c>
      <c r="M44" s="138"/>
      <c r="N44" s="395">
        <f t="shared" si="5"/>
        <v>0</v>
      </c>
      <c r="O44" s="396">
        <f t="shared" si="6"/>
        <v>0</v>
      </c>
      <c r="P44" s="53"/>
      <c r="Q44" s="424">
        <f>VLOOKUP($B44,'Proposed Rates'!$D$255:$J$261,+Q$11-2,FALSE)</f>
        <v>9.8000000000000004E-2</v>
      </c>
      <c r="R44" s="415">
        <f>$F$10*'Proposed Rates'!$K$256</f>
        <v>148.47999999999999</v>
      </c>
      <c r="S44" s="394">
        <f t="shared" si="55"/>
        <v>14.55104</v>
      </c>
      <c r="T44" s="138"/>
      <c r="U44" s="395">
        <f t="shared" si="9"/>
        <v>0</v>
      </c>
      <c r="V44" s="396">
        <f t="shared" si="10"/>
        <v>0</v>
      </c>
      <c r="W44" s="53"/>
      <c r="X44" s="424">
        <f>VLOOKUP($B44,'Proposed Rates'!$D$255:$J$261,+X$11-2,FALSE)</f>
        <v>9.8000000000000004E-2</v>
      </c>
      <c r="Y44" s="415">
        <f>$F$10*'Proposed Rates'!$K$256</f>
        <v>148.47999999999999</v>
      </c>
      <c r="Z44" s="394">
        <f t="shared" si="57"/>
        <v>14.55104</v>
      </c>
      <c r="AA44" s="138"/>
      <c r="AB44" s="395">
        <f t="shared" si="13"/>
        <v>0</v>
      </c>
      <c r="AC44" s="396">
        <f t="shared" si="14"/>
        <v>0</v>
      </c>
      <c r="AD44" s="53"/>
      <c r="AE44" s="424">
        <f>VLOOKUP($B44,'Proposed Rates'!$D$255:$J$261,+AE$11-2,FALSE)</f>
        <v>9.8000000000000004E-2</v>
      </c>
      <c r="AF44" s="415">
        <f>$F$10*'Proposed Rates'!$K$256</f>
        <v>148.47999999999999</v>
      </c>
      <c r="AG44" s="394">
        <f t="shared" si="59"/>
        <v>14.55104</v>
      </c>
      <c r="AH44" s="138"/>
      <c r="AI44" s="395">
        <f t="shared" si="17"/>
        <v>0</v>
      </c>
      <c r="AJ44" s="396">
        <f t="shared" si="18"/>
        <v>0</v>
      </c>
      <c r="AK44" s="397"/>
      <c r="AL44" s="424">
        <f>VLOOKUP($B44,'Proposed Rates'!$D$255:$J$261,+AL$11-2,FALSE)</f>
        <v>9.8000000000000004E-2</v>
      </c>
      <c r="AM44" s="415">
        <f>$F$10*'Proposed Rates'!$K$256</f>
        <v>148.47999999999999</v>
      </c>
      <c r="AN44" s="394">
        <f t="shared" si="61"/>
        <v>14.55104</v>
      </c>
      <c r="AO44" s="138"/>
      <c r="AP44" s="395">
        <f t="shared" si="21"/>
        <v>0</v>
      </c>
      <c r="AQ44" s="396">
        <f t="shared" si="22"/>
        <v>0</v>
      </c>
    </row>
    <row r="45" spans="1:43" ht="12" customHeight="1">
      <c r="A45" s="53"/>
      <c r="B45" s="328" t="s">
        <v>294</v>
      </c>
      <c r="C45" s="389" t="str">
        <f t="shared" si="49"/>
        <v>Residential.TOU - Mid Peak</v>
      </c>
      <c r="D45" s="390" t="s">
        <v>337</v>
      </c>
      <c r="E45" s="138"/>
      <c r="F45" s="424">
        <f>VLOOKUP($B45,'Proposed Rates'!$D$255:$J$261,+F$11-2,FALSE)</f>
        <v>0.157</v>
      </c>
      <c r="G45" s="415">
        <f>$F$10*'Proposed Rates'!$K$257</f>
        <v>41.76</v>
      </c>
      <c r="H45" s="394">
        <f t="shared" si="51"/>
        <v>6.5563199999999995</v>
      </c>
      <c r="I45" s="53"/>
      <c r="J45" s="424">
        <f>VLOOKUP($B45,'Proposed Rates'!$D$255:$J$261,+J$11-2,FALSE)</f>
        <v>0.157</v>
      </c>
      <c r="K45" s="415">
        <f>$F$10*'Proposed Rates'!$K$257</f>
        <v>41.76</v>
      </c>
      <c r="L45" s="394">
        <f t="shared" si="53"/>
        <v>6.5563199999999995</v>
      </c>
      <c r="M45" s="138"/>
      <c r="N45" s="395">
        <f t="shared" si="5"/>
        <v>0</v>
      </c>
      <c r="O45" s="396">
        <f t="shared" si="6"/>
        <v>0</v>
      </c>
      <c r="P45" s="53"/>
      <c r="Q45" s="424">
        <f>VLOOKUP($B45,'Proposed Rates'!$D$255:$J$261,+Q$11-2,FALSE)</f>
        <v>0.157</v>
      </c>
      <c r="R45" s="415">
        <f>$F$10*'Proposed Rates'!$K$257</f>
        <v>41.76</v>
      </c>
      <c r="S45" s="394">
        <f t="shared" si="55"/>
        <v>6.5563199999999995</v>
      </c>
      <c r="T45" s="138"/>
      <c r="U45" s="395">
        <f t="shared" si="9"/>
        <v>0</v>
      </c>
      <c r="V45" s="396">
        <f t="shared" si="10"/>
        <v>0</v>
      </c>
      <c r="W45" s="53"/>
      <c r="X45" s="424">
        <f>VLOOKUP($B45,'Proposed Rates'!$D$255:$J$261,+X$11-2,FALSE)</f>
        <v>0.157</v>
      </c>
      <c r="Y45" s="415">
        <f>$F$10*'Proposed Rates'!$K$257</f>
        <v>41.76</v>
      </c>
      <c r="Z45" s="394">
        <f t="shared" si="57"/>
        <v>6.5563199999999995</v>
      </c>
      <c r="AA45" s="138"/>
      <c r="AB45" s="395">
        <f t="shared" si="13"/>
        <v>0</v>
      </c>
      <c r="AC45" s="396">
        <f t="shared" si="14"/>
        <v>0</v>
      </c>
      <c r="AD45" s="53"/>
      <c r="AE45" s="424">
        <f>VLOOKUP($B45,'Proposed Rates'!$D$255:$J$261,+AE$11-2,FALSE)</f>
        <v>0.157</v>
      </c>
      <c r="AF45" s="415">
        <f>$F$10*'Proposed Rates'!$K$257</f>
        <v>41.76</v>
      </c>
      <c r="AG45" s="394">
        <f t="shared" si="59"/>
        <v>6.5563199999999995</v>
      </c>
      <c r="AH45" s="138"/>
      <c r="AI45" s="395">
        <f t="shared" si="17"/>
        <v>0</v>
      </c>
      <c r="AJ45" s="396">
        <f t="shared" si="18"/>
        <v>0</v>
      </c>
      <c r="AK45" s="397"/>
      <c r="AL45" s="424">
        <f>VLOOKUP($B45,'Proposed Rates'!$D$255:$J$261,+AL$11-2,FALSE)</f>
        <v>0.157</v>
      </c>
      <c r="AM45" s="415">
        <f>$F$10*'Proposed Rates'!$K$257</f>
        <v>41.76</v>
      </c>
      <c r="AN45" s="394">
        <f t="shared" si="61"/>
        <v>6.5563199999999995</v>
      </c>
      <c r="AO45" s="138"/>
      <c r="AP45" s="395">
        <f t="shared" si="21"/>
        <v>0</v>
      </c>
      <c r="AQ45" s="396">
        <f t="shared" si="22"/>
        <v>0</v>
      </c>
    </row>
    <row r="46" spans="1:43" ht="12" customHeight="1">
      <c r="A46" s="53"/>
      <c r="B46" s="53" t="s">
        <v>295</v>
      </c>
      <c r="C46" s="389" t="str">
        <f t="shared" si="49"/>
        <v>Residential.TOU - On Peak</v>
      </c>
      <c r="D46" s="390" t="s">
        <v>337</v>
      </c>
      <c r="E46" s="138"/>
      <c r="F46" s="424">
        <f>VLOOKUP($B46,'Proposed Rates'!$D$255:$J$261,+F$11-2,FALSE)</f>
        <v>0.20300000000000001</v>
      </c>
      <c r="G46" s="415">
        <f>$F$10*'Proposed Rates'!$K$258</f>
        <v>41.76</v>
      </c>
      <c r="H46" s="394">
        <f t="shared" si="51"/>
        <v>8.4772800000000004</v>
      </c>
      <c r="I46" s="53"/>
      <c r="J46" s="424">
        <f>VLOOKUP($B46,'Proposed Rates'!$D$255:$J$261,+J$11-2,FALSE)</f>
        <v>0.20300000000000001</v>
      </c>
      <c r="K46" s="415">
        <f>$F$10*'Proposed Rates'!$K$258</f>
        <v>41.76</v>
      </c>
      <c r="L46" s="394">
        <f t="shared" si="53"/>
        <v>8.4772800000000004</v>
      </c>
      <c r="M46" s="138"/>
      <c r="N46" s="395">
        <f t="shared" si="5"/>
        <v>0</v>
      </c>
      <c r="O46" s="396">
        <f t="shared" si="6"/>
        <v>0</v>
      </c>
      <c r="P46" s="53"/>
      <c r="Q46" s="424">
        <f>VLOOKUP($B46,'Proposed Rates'!$D$255:$J$261,+Q$11-2,FALSE)</f>
        <v>0.20300000000000001</v>
      </c>
      <c r="R46" s="415">
        <f>$F$10*'Proposed Rates'!$K$258</f>
        <v>41.76</v>
      </c>
      <c r="S46" s="394">
        <f t="shared" si="55"/>
        <v>8.4772800000000004</v>
      </c>
      <c r="T46" s="138"/>
      <c r="U46" s="395">
        <f t="shared" si="9"/>
        <v>0</v>
      </c>
      <c r="V46" s="396">
        <f t="shared" si="10"/>
        <v>0</v>
      </c>
      <c r="W46" s="53"/>
      <c r="X46" s="424">
        <f>VLOOKUP($B46,'Proposed Rates'!$D$255:$J$261,+X$11-2,FALSE)</f>
        <v>0.20300000000000001</v>
      </c>
      <c r="Y46" s="415">
        <f>$F$10*'Proposed Rates'!$K$258</f>
        <v>41.76</v>
      </c>
      <c r="Z46" s="394">
        <f t="shared" si="57"/>
        <v>8.4772800000000004</v>
      </c>
      <c r="AA46" s="138"/>
      <c r="AB46" s="395">
        <f t="shared" si="13"/>
        <v>0</v>
      </c>
      <c r="AC46" s="396">
        <f t="shared" si="14"/>
        <v>0</v>
      </c>
      <c r="AD46" s="53"/>
      <c r="AE46" s="424">
        <f>VLOOKUP($B46,'Proposed Rates'!$D$255:$J$261,+AE$11-2,FALSE)</f>
        <v>0.20300000000000001</v>
      </c>
      <c r="AF46" s="415">
        <f>$F$10*'Proposed Rates'!$K$258</f>
        <v>41.76</v>
      </c>
      <c r="AG46" s="394">
        <f t="shared" si="59"/>
        <v>8.4772800000000004</v>
      </c>
      <c r="AH46" s="138"/>
      <c r="AI46" s="395">
        <f t="shared" si="17"/>
        <v>0</v>
      </c>
      <c r="AJ46" s="396">
        <f t="shared" si="18"/>
        <v>0</v>
      </c>
      <c r="AK46" s="397"/>
      <c r="AL46" s="424">
        <f>VLOOKUP($B46,'Proposed Rates'!$D$255:$J$261,+AL$11-2,FALSE)</f>
        <v>0.20300000000000001</v>
      </c>
      <c r="AM46" s="415">
        <f>$F$10*'Proposed Rates'!$K$258</f>
        <v>41.76</v>
      </c>
      <c r="AN46" s="394">
        <f t="shared" si="61"/>
        <v>8.4772800000000004</v>
      </c>
      <c r="AO46" s="138"/>
      <c r="AP46" s="395">
        <f t="shared" si="21"/>
        <v>0</v>
      </c>
      <c r="AQ46" s="396">
        <f t="shared" si="22"/>
        <v>0</v>
      </c>
    </row>
    <row r="47" spans="1:43" ht="12" customHeight="1">
      <c r="A47" s="53"/>
      <c r="B47" s="328" t="s">
        <v>296</v>
      </c>
      <c r="C47" s="389" t="str">
        <f t="shared" si="49"/>
        <v>Residential.Energy - RPP - Tier 1</v>
      </c>
      <c r="D47" s="390" t="s">
        <v>337</v>
      </c>
      <c r="E47" s="138"/>
      <c r="F47" s="424">
        <f>VLOOKUP($B47,'Proposed Rates'!$D$255:$J$261,+F$11-2,FALSE)</f>
        <v>0.12</v>
      </c>
      <c r="G47" s="425">
        <f>IF(AND($S$2=1, $F$10&gt;=600), 600, IF(AND($S$2=1, AND($F$10&lt;600, $F$10&gt;=0)), $F$10, IF(AND($S$2=2, $F$10&gt;=1000), 1000, IF(AND($S$2=2, AND($F$10&lt;1000, $F$10&gt;=0)), $F$10))))</f>
        <v>232</v>
      </c>
      <c r="H47" s="394">
        <f t="shared" si="51"/>
        <v>27.84</v>
      </c>
      <c r="I47" s="53"/>
      <c r="J47" s="424">
        <f>VLOOKUP($B47,'Proposed Rates'!$D$255:$J$261,+J$11-2,FALSE)</f>
        <v>0.12</v>
      </c>
      <c r="K47" s="425">
        <f>IF(AND($S$2=1, $F$10&gt;=600), 600, IF(AND($S$2=1, AND($F$10&lt;600, $F$10&gt;=0)), $F$10, IF(AND($S$2=2, $F$10&gt;=1000), 1000, IF(AND($S$2=2, AND($F$10&lt;1000, $F$10&gt;=0)), $F$10))))</f>
        <v>232</v>
      </c>
      <c r="L47" s="394">
        <f t="shared" si="53"/>
        <v>27.84</v>
      </c>
      <c r="M47" s="138"/>
      <c r="N47" s="395">
        <f t="shared" si="5"/>
        <v>0</v>
      </c>
      <c r="O47" s="396">
        <f t="shared" si="6"/>
        <v>0</v>
      </c>
      <c r="P47" s="53"/>
      <c r="Q47" s="424">
        <f>VLOOKUP($B47,'Proposed Rates'!$D$255:$J$261,+Q$11-2,FALSE)</f>
        <v>0.12</v>
      </c>
      <c r="R47" s="425">
        <f>IF(AND($S$2=1, $F$10&gt;=600), 600, IF(AND($S$2=1, AND($F$10&lt;600, $F$10&gt;=0)), $F$10, IF(AND($S$2=2, $F$10&gt;=1000), 1000, IF(AND($S$2=2, AND($F$10&lt;1000, $F$10&gt;=0)), $F$10))))</f>
        <v>232</v>
      </c>
      <c r="S47" s="394">
        <f t="shared" si="55"/>
        <v>27.84</v>
      </c>
      <c r="T47" s="138"/>
      <c r="U47" s="395">
        <f t="shared" si="9"/>
        <v>0</v>
      </c>
      <c r="V47" s="396">
        <f t="shared" si="10"/>
        <v>0</v>
      </c>
      <c r="W47" s="53"/>
      <c r="X47" s="424">
        <f>VLOOKUP($B47,'Proposed Rates'!$D$255:$J$261,+X$11-2,FALSE)</f>
        <v>0.12</v>
      </c>
      <c r="Y47" s="425">
        <f>IF(AND($S$2=1, $F$10&gt;=600), 600, IF(AND($S$2=1, AND($F$10&lt;600, $F$10&gt;=0)), $F$10, IF(AND($S$2=2, $F$10&gt;=1000), 1000, IF(AND($S$2=2, AND($F$10&lt;1000, $F$10&gt;=0)), $F$10))))</f>
        <v>232</v>
      </c>
      <c r="Z47" s="394">
        <f t="shared" si="57"/>
        <v>27.84</v>
      </c>
      <c r="AA47" s="138"/>
      <c r="AB47" s="395">
        <f t="shared" si="13"/>
        <v>0</v>
      </c>
      <c r="AC47" s="396">
        <f t="shared" si="14"/>
        <v>0</v>
      </c>
      <c r="AD47" s="53"/>
      <c r="AE47" s="424">
        <f>VLOOKUP($B47,'Proposed Rates'!$D$255:$J$261,+AE$11-2,FALSE)</f>
        <v>0.12</v>
      </c>
      <c r="AF47" s="425">
        <f>IF(AND($S$2=1, $F$10&gt;=600), 600, IF(AND($S$2=1, AND($F$10&lt;600, $F$10&gt;=0)), $F$10, IF(AND($S$2=2, $F$10&gt;=1000), 1000, IF(AND($S$2=2, AND($F$10&lt;1000, $F$10&gt;=0)), $F$10))))</f>
        <v>232</v>
      </c>
      <c r="AG47" s="394">
        <f t="shared" si="59"/>
        <v>27.84</v>
      </c>
      <c r="AH47" s="138"/>
      <c r="AI47" s="395">
        <f t="shared" si="17"/>
        <v>0</v>
      </c>
      <c r="AJ47" s="396">
        <f t="shared" si="18"/>
        <v>0</v>
      </c>
      <c r="AK47" s="397"/>
      <c r="AL47" s="424">
        <f>VLOOKUP($B47,'Proposed Rates'!$D$255:$J$261,+AL$11-2,FALSE)</f>
        <v>0.12</v>
      </c>
      <c r="AM47" s="425">
        <f>IF(AND($S$2=1, $F$10&gt;=600), 600, IF(AND($S$2=1, AND($F$10&lt;600, $F$10&gt;=0)), $F$10, IF(AND($S$2=2, $F$10&gt;=1000), 1000, IF(AND($S$2=2, AND($F$10&lt;1000, $F$10&gt;=0)), $F$10))))</f>
        <v>232</v>
      </c>
      <c r="AN47" s="394">
        <f t="shared" si="61"/>
        <v>27.84</v>
      </c>
      <c r="AO47" s="138"/>
      <c r="AP47" s="395">
        <f t="shared" si="21"/>
        <v>0</v>
      </c>
      <c r="AQ47" s="396">
        <f t="shared" si="22"/>
        <v>0</v>
      </c>
    </row>
    <row r="48" spans="1:43" ht="12" customHeight="1">
      <c r="A48" s="53"/>
      <c r="B48" s="328" t="s">
        <v>297</v>
      </c>
      <c r="C48" s="389" t="str">
        <f t="shared" si="49"/>
        <v>Residential.Energy - RPP - Tier 2</v>
      </c>
      <c r="D48" s="390" t="s">
        <v>337</v>
      </c>
      <c r="E48" s="138"/>
      <c r="F48" s="424">
        <f>VLOOKUP($B48,'Proposed Rates'!$D$255:$J$261,+F$11-2,FALSE)</f>
        <v>0.14199999999999999</v>
      </c>
      <c r="G48" s="427">
        <f>IF(AND($S$2=1, $F$10&gt;=600), $F$10-600, IF(AND($S$2=1, AND($F$10&lt;600, $F$10&gt;=0)), 0, IF(AND($S$2=2, $F$10&gt;=1000), $F$10-1000, IF(AND($S$2=2, AND($F$10&lt;1000, $F$10&gt;=0)), 0))))</f>
        <v>0</v>
      </c>
      <c r="H48" s="394">
        <f t="shared" si="51"/>
        <v>0</v>
      </c>
      <c r="I48" s="53"/>
      <c r="J48" s="424">
        <f>VLOOKUP($B48,'Proposed Rates'!$D$255:$J$261,+J$11-2,FALSE)</f>
        <v>0.14199999999999999</v>
      </c>
      <c r="K48" s="427">
        <f>IF(AND($S$2=1, $F$10&gt;=600), $F$10-600, IF(AND($S$2=1, AND($F$10&lt;600, $F$10&gt;=0)), 0, IF(AND($S$2=2, $F$10&gt;=1000), $F$10-1000, IF(AND($S$2=2, AND($F$10&lt;1000, $F$10&gt;=0)), 0))))</f>
        <v>0</v>
      </c>
      <c r="L48" s="394">
        <f t="shared" si="53"/>
        <v>0</v>
      </c>
      <c r="M48" s="138"/>
      <c r="N48" s="395">
        <f t="shared" si="5"/>
        <v>0</v>
      </c>
      <c r="O48" s="396" t="str">
        <f t="shared" si="6"/>
        <v/>
      </c>
      <c r="P48" s="53"/>
      <c r="Q48" s="424">
        <f>VLOOKUP($B48,'Proposed Rates'!$D$255:$J$261,+Q$11-2,FALSE)</f>
        <v>0.14199999999999999</v>
      </c>
      <c r="R48" s="427">
        <f>IF(AND($S$2=1, $F$10&gt;=600), $F$10-600, IF(AND($S$2=1, AND($F$10&lt;600, $F$10&gt;=0)), 0, IF(AND($S$2=2, $F$10&gt;=1000), $F$10-1000, IF(AND($S$2=2, AND($F$10&lt;1000, $F$10&gt;=0)), 0))))</f>
        <v>0</v>
      </c>
      <c r="S48" s="394">
        <f t="shared" si="55"/>
        <v>0</v>
      </c>
      <c r="T48" s="138"/>
      <c r="U48" s="395">
        <f t="shared" si="9"/>
        <v>0</v>
      </c>
      <c r="V48" s="396" t="str">
        <f t="shared" si="10"/>
        <v/>
      </c>
      <c r="W48" s="53"/>
      <c r="X48" s="424">
        <f>VLOOKUP($B48,'Proposed Rates'!$D$255:$J$261,+X$11-2,FALSE)</f>
        <v>0.14199999999999999</v>
      </c>
      <c r="Y48" s="427">
        <f>IF(AND($S$2=1, $F$10&gt;=600), $F$10-600, IF(AND($S$2=1, AND($F$10&lt;600, $F$10&gt;=0)), 0, IF(AND($S$2=2, $F$10&gt;=1000), $F$10-1000, IF(AND($S$2=2, AND($F$10&lt;1000, $F$10&gt;=0)), 0))))</f>
        <v>0</v>
      </c>
      <c r="Z48" s="394">
        <f t="shared" si="57"/>
        <v>0</v>
      </c>
      <c r="AA48" s="138"/>
      <c r="AB48" s="395">
        <f t="shared" si="13"/>
        <v>0</v>
      </c>
      <c r="AC48" s="396" t="str">
        <f t="shared" si="14"/>
        <v/>
      </c>
      <c r="AD48" s="53"/>
      <c r="AE48" s="424">
        <f>VLOOKUP($B48,'Proposed Rates'!$D$255:$J$261,+AE$11-2,FALSE)</f>
        <v>0.14199999999999999</v>
      </c>
      <c r="AF48" s="427">
        <f>IF(AND($S$2=1, $F$10&gt;=600), $F$10-600, IF(AND($S$2=1, AND($F$10&lt;600, $F$10&gt;=0)), 0, IF(AND($S$2=2, $F$10&gt;=1000), $F$10-1000, IF(AND($S$2=2, AND($F$10&lt;1000, $F$10&gt;=0)), 0))))</f>
        <v>0</v>
      </c>
      <c r="AG48" s="394">
        <f t="shared" si="59"/>
        <v>0</v>
      </c>
      <c r="AH48" s="138"/>
      <c r="AI48" s="395">
        <f t="shared" si="17"/>
        <v>0</v>
      </c>
      <c r="AJ48" s="396" t="str">
        <f t="shared" si="18"/>
        <v/>
      </c>
      <c r="AK48" s="397"/>
      <c r="AL48" s="424">
        <f>VLOOKUP($B48,'Proposed Rates'!$D$255:$J$261,+AL$11-2,FALSE)</f>
        <v>0.14199999999999999</v>
      </c>
      <c r="AM48" s="427">
        <f>IF(AND($S$2=1, $F$10&gt;=600), $F$10-600, IF(AND($S$2=1, AND($F$10&lt;600, $F$10&gt;=0)), 0, IF(AND($S$2=2, $F$10&gt;=1000), $F$10-1000, IF(AND($S$2=2, AND($F$10&lt;1000, $F$10&gt;=0)), 0))))</f>
        <v>0</v>
      </c>
      <c r="AN48" s="394">
        <f t="shared" si="61"/>
        <v>0</v>
      </c>
      <c r="AO48" s="138"/>
      <c r="AP48" s="395">
        <f t="shared" si="21"/>
        <v>0</v>
      </c>
      <c r="AQ48" s="396" t="str">
        <f t="shared" si="22"/>
        <v/>
      </c>
    </row>
    <row r="49" spans="1:43" ht="12" customHeight="1">
      <c r="A49" s="53"/>
      <c r="B49" s="428"/>
      <c r="C49" s="429"/>
      <c r="D49" s="429"/>
      <c r="E49" s="434"/>
      <c r="F49" s="430"/>
      <c r="G49" s="431"/>
      <c r="H49" s="432"/>
      <c r="I49" s="53"/>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437"/>
      <c r="AL49" s="430"/>
      <c r="AM49" s="431"/>
      <c r="AN49" s="432"/>
      <c r="AO49" s="434"/>
      <c r="AP49" s="435"/>
      <c r="AQ49" s="436"/>
    </row>
    <row r="50" spans="1:43" ht="12" customHeight="1">
      <c r="A50" s="53"/>
      <c r="B50" s="438" t="s">
        <v>344</v>
      </c>
      <c r="C50" s="328"/>
      <c r="D50" s="328"/>
      <c r="E50" s="476"/>
      <c r="F50" s="439"/>
      <c r="G50" s="440"/>
      <c r="H50" s="441">
        <f>SUM(H41:H46,H40)</f>
        <v>71.964506192000002</v>
      </c>
      <c r="I50" s="53"/>
      <c r="J50" s="440"/>
      <c r="K50" s="440"/>
      <c r="L50" s="442">
        <f>SUM(L41:L46,L40)</f>
        <v>77.482023776000005</v>
      </c>
      <c r="M50" s="443"/>
      <c r="N50" s="442">
        <f t="shared" ref="N50:N54" si="62">L50-H50</f>
        <v>5.5175175840000037</v>
      </c>
      <c r="O50" s="444">
        <f t="shared" ref="O50:O54" si="63">IF((H50)=0,"",(N50/H50))</f>
        <v>7.6669984634916644E-2</v>
      </c>
      <c r="P50" s="53"/>
      <c r="Q50" s="440"/>
      <c r="R50" s="440"/>
      <c r="S50" s="442">
        <f>SUM(S41:S46,S40)</f>
        <v>80.641623776000017</v>
      </c>
      <c r="T50" s="443"/>
      <c r="U50" s="442">
        <f t="shared" ref="U50:U54" si="64">S50-L50</f>
        <v>3.1596000000000117</v>
      </c>
      <c r="V50" s="444">
        <f t="shared" ref="V50:V54" si="65">IF((L50)=0,"",(U50/L50))</f>
        <v>4.0778490881115771E-2</v>
      </c>
      <c r="W50" s="53"/>
      <c r="X50" s="440"/>
      <c r="Y50" s="440"/>
      <c r="Z50" s="442">
        <f>SUM(Z41:Z46,Z40)</f>
        <v>81.644020799999993</v>
      </c>
      <c r="AA50" s="443"/>
      <c r="AB50" s="442">
        <f t="shared" ref="AB50:AB54" si="66">Z50-S50</f>
        <v>1.0023970239999755</v>
      </c>
      <c r="AC50" s="444">
        <f t="shared" ref="AC50:AC54" si="67">IF((S50)=0,"",(AB50/S50))</f>
        <v>1.2430268353528636E-2</v>
      </c>
      <c r="AD50" s="53"/>
      <c r="AE50" s="440"/>
      <c r="AF50" s="440"/>
      <c r="AG50" s="442">
        <f>SUM(AG41:AG46,AG40)</f>
        <v>83.144020800000007</v>
      </c>
      <c r="AH50" s="443"/>
      <c r="AI50" s="442">
        <f t="shared" ref="AI50:AI54" si="68">AG50-Z50</f>
        <v>1.5000000000000142</v>
      </c>
      <c r="AJ50" s="444">
        <f t="shared" ref="AJ50:AJ54" si="69">IF((Z50)=0,"",(AI50/Z50))</f>
        <v>1.8372441549326712E-2</v>
      </c>
      <c r="AK50" s="445"/>
      <c r="AL50" s="440"/>
      <c r="AM50" s="440"/>
      <c r="AN50" s="442">
        <f>SUM(AN41:AN46,AN40)</f>
        <v>84.514020799999997</v>
      </c>
      <c r="AO50" s="443"/>
      <c r="AP50" s="442">
        <f t="shared" ref="AP50:AP54" si="70">AN50-AG50</f>
        <v>1.3699999999999903</v>
      </c>
      <c r="AQ50" s="444">
        <f t="shared" ref="AQ50:AQ54" si="71">IF((AG50)=0,"",(AP50/AG50))</f>
        <v>1.6477432614132009E-2</v>
      </c>
    </row>
    <row r="51" spans="1:43" ht="12" customHeight="1">
      <c r="A51" s="53"/>
      <c r="B51" s="446" t="s">
        <v>345</v>
      </c>
      <c r="C51" s="328"/>
      <c r="D51" s="328"/>
      <c r="E51" s="411"/>
      <c r="F51" s="439">
        <v>0.13</v>
      </c>
      <c r="G51" s="411"/>
      <c r="H51" s="394">
        <f>H50*F51</f>
        <v>9.3553858049600009</v>
      </c>
      <c r="I51" s="53"/>
      <c r="J51" s="447">
        <v>0.13</v>
      </c>
      <c r="K51" s="411"/>
      <c r="L51" s="394">
        <f>L50*J51</f>
        <v>10.072663090880001</v>
      </c>
      <c r="M51" s="138"/>
      <c r="N51" s="395">
        <f t="shared" si="62"/>
        <v>0.71727728591999984</v>
      </c>
      <c r="O51" s="396">
        <f t="shared" si="63"/>
        <v>7.6669984634916574E-2</v>
      </c>
      <c r="P51" s="53"/>
      <c r="Q51" s="447">
        <v>0.13</v>
      </c>
      <c r="R51" s="411"/>
      <c r="S51" s="394">
        <f>S50*Q51</f>
        <v>10.483411090880002</v>
      </c>
      <c r="T51" s="138"/>
      <c r="U51" s="395">
        <f t="shared" si="64"/>
        <v>0.41074800000000167</v>
      </c>
      <c r="V51" s="396">
        <f t="shared" si="65"/>
        <v>4.0778490881115785E-2</v>
      </c>
      <c r="W51" s="53"/>
      <c r="X51" s="447">
        <v>0.13</v>
      </c>
      <c r="Y51" s="411"/>
      <c r="Z51" s="394">
        <f>Z50*X51</f>
        <v>10.613722703999999</v>
      </c>
      <c r="AA51" s="138"/>
      <c r="AB51" s="395">
        <f t="shared" si="66"/>
        <v>0.13031161311999639</v>
      </c>
      <c r="AC51" s="396">
        <f t="shared" si="67"/>
        <v>1.2430268353528597E-2</v>
      </c>
      <c r="AD51" s="53"/>
      <c r="AE51" s="447">
        <v>0.13</v>
      </c>
      <c r="AF51" s="411"/>
      <c r="AG51" s="394">
        <f>AG50*AE51</f>
        <v>10.808722704000001</v>
      </c>
      <c r="AH51" s="138"/>
      <c r="AI51" s="395">
        <f t="shared" si="68"/>
        <v>0.19500000000000206</v>
      </c>
      <c r="AJ51" s="396">
        <f t="shared" si="69"/>
        <v>1.8372441549326733E-2</v>
      </c>
      <c r="AK51" s="397"/>
      <c r="AL51" s="447">
        <v>0.13</v>
      </c>
      <c r="AM51" s="411"/>
      <c r="AN51" s="394">
        <f>AN50*AL51</f>
        <v>10.986822704</v>
      </c>
      <c r="AO51" s="138"/>
      <c r="AP51" s="395">
        <f t="shared" si="70"/>
        <v>0.17809999999999881</v>
      </c>
      <c r="AQ51" s="396">
        <f t="shared" si="71"/>
        <v>1.6477432614132016E-2</v>
      </c>
    </row>
    <row r="52" spans="1:43" ht="12" customHeight="1">
      <c r="A52" s="53"/>
      <c r="B52" s="448" t="s">
        <v>364</v>
      </c>
      <c r="C52" s="328"/>
      <c r="D52" s="328"/>
      <c r="E52" s="411"/>
      <c r="F52" s="449"/>
      <c r="G52" s="411"/>
      <c r="H52" s="394">
        <f>H50+H51</f>
        <v>81.319891996959996</v>
      </c>
      <c r="I52" s="53"/>
      <c r="J52" s="411"/>
      <c r="K52" s="411"/>
      <c r="L52" s="394">
        <f>L50+L51</f>
        <v>87.554686866880004</v>
      </c>
      <c r="M52" s="138"/>
      <c r="N52" s="395">
        <f t="shared" si="62"/>
        <v>6.2347948699200089</v>
      </c>
      <c r="O52" s="396">
        <f t="shared" si="63"/>
        <v>7.6669984634916699E-2</v>
      </c>
      <c r="P52" s="53"/>
      <c r="Q52" s="411"/>
      <c r="R52" s="411"/>
      <c r="S52" s="394">
        <f>S50+S51</f>
        <v>91.125034866880014</v>
      </c>
      <c r="T52" s="138"/>
      <c r="U52" s="395">
        <f t="shared" si="64"/>
        <v>3.5703480000000098</v>
      </c>
      <c r="V52" s="396">
        <f t="shared" si="65"/>
        <v>4.0778490881115736E-2</v>
      </c>
      <c r="W52" s="53"/>
      <c r="X52" s="411"/>
      <c r="Y52" s="411"/>
      <c r="Z52" s="394">
        <f>Z50+Z51</f>
        <v>92.25774350399999</v>
      </c>
      <c r="AA52" s="138"/>
      <c r="AB52" s="395">
        <f t="shared" si="66"/>
        <v>1.1327086371199755</v>
      </c>
      <c r="AC52" s="396">
        <f t="shared" si="67"/>
        <v>1.2430268353528673E-2</v>
      </c>
      <c r="AD52" s="53"/>
      <c r="AE52" s="411"/>
      <c r="AF52" s="411"/>
      <c r="AG52" s="394">
        <f>AG50+AG51</f>
        <v>93.952743504000011</v>
      </c>
      <c r="AH52" s="138"/>
      <c r="AI52" s="395">
        <f t="shared" si="68"/>
        <v>1.6950000000000216</v>
      </c>
      <c r="AJ52" s="396">
        <f t="shared" si="69"/>
        <v>1.8372441549326771E-2</v>
      </c>
      <c r="AK52" s="397"/>
      <c r="AL52" s="411"/>
      <c r="AM52" s="411"/>
      <c r="AN52" s="394">
        <f>AN50+AN51</f>
        <v>95.500843504000002</v>
      </c>
      <c r="AO52" s="138"/>
      <c r="AP52" s="395">
        <f t="shared" si="70"/>
        <v>1.5480999999999909</v>
      </c>
      <c r="AQ52" s="396">
        <f t="shared" si="71"/>
        <v>1.647743261413203E-2</v>
      </c>
    </row>
    <row r="53" spans="1:43" ht="12" customHeight="1">
      <c r="A53" s="53"/>
      <c r="B53" s="626" t="s">
        <v>304</v>
      </c>
      <c r="C53" s="616"/>
      <c r="D53" s="616"/>
      <c r="E53" s="411"/>
      <c r="F53" s="450">
        <f>'Proposed Rates'!E293</f>
        <v>0.23499999999999999</v>
      </c>
      <c r="G53" s="411"/>
      <c r="H53" s="451">
        <f>F53*H50</f>
        <v>16.91165895512</v>
      </c>
      <c r="I53" s="53"/>
      <c r="J53" s="452">
        <f>'Proposed Rates'!F293</f>
        <v>0.23499999999999999</v>
      </c>
      <c r="K53" s="411"/>
      <c r="L53" s="451">
        <f>J53*L50</f>
        <v>18.208275587359999</v>
      </c>
      <c r="M53" s="138"/>
      <c r="N53" s="451">
        <f t="shared" si="62"/>
        <v>1.2966166322399992</v>
      </c>
      <c r="O53" s="453">
        <f t="shared" si="63"/>
        <v>7.6669984634916546E-2</v>
      </c>
      <c r="P53" s="53"/>
      <c r="Q53" s="452">
        <f>'Proposed Rates'!G293</f>
        <v>0.23499999999999999</v>
      </c>
      <c r="R53" s="411"/>
      <c r="S53" s="451">
        <f>Q53*S50</f>
        <v>18.950781587360002</v>
      </c>
      <c r="T53" s="138"/>
      <c r="U53" s="451">
        <f t="shared" si="64"/>
        <v>0.74250600000000233</v>
      </c>
      <c r="V53" s="453">
        <f t="shared" si="65"/>
        <v>4.0778490881115757E-2</v>
      </c>
      <c r="W53" s="53"/>
      <c r="X53" s="452">
        <f>'Proposed Rates'!H293</f>
        <v>0.23499999999999999</v>
      </c>
      <c r="Y53" s="411"/>
      <c r="Z53" s="451">
        <f>X53*Z50</f>
        <v>19.186344887999997</v>
      </c>
      <c r="AA53" s="138"/>
      <c r="AB53" s="451">
        <f t="shared" si="66"/>
        <v>0.23556330063999553</v>
      </c>
      <c r="AC53" s="453">
        <f t="shared" si="67"/>
        <v>1.2430268353528706E-2</v>
      </c>
      <c r="AD53" s="53"/>
      <c r="AE53" s="452">
        <f>'Proposed Rates'!I293</f>
        <v>0.23499999999999999</v>
      </c>
      <c r="AF53" s="411"/>
      <c r="AG53" s="451">
        <f>AE53*AG50</f>
        <v>19.538844888</v>
      </c>
      <c r="AH53" s="138"/>
      <c r="AI53" s="451">
        <f t="shared" si="68"/>
        <v>0.3525000000000027</v>
      </c>
      <c r="AJ53" s="453">
        <f t="shared" si="69"/>
        <v>1.8372441549326681E-2</v>
      </c>
      <c r="AK53" s="454"/>
      <c r="AL53" s="452">
        <f>'Proposed Rates'!J293</f>
        <v>0.23499999999999999</v>
      </c>
      <c r="AM53" s="411"/>
      <c r="AN53" s="451">
        <f>AL53*AN50</f>
        <v>19.860794887999997</v>
      </c>
      <c r="AO53" s="138"/>
      <c r="AP53" s="451">
        <f t="shared" si="70"/>
        <v>0.32194999999999752</v>
      </c>
      <c r="AQ53" s="453">
        <f t="shared" si="71"/>
        <v>1.6477432614132002E-2</v>
      </c>
    </row>
    <row r="54" spans="1:43" ht="12" customHeight="1">
      <c r="A54" s="53"/>
      <c r="B54" s="627" t="s">
        <v>347</v>
      </c>
      <c r="C54" s="608"/>
      <c r="D54" s="600"/>
      <c r="E54" s="457"/>
      <c r="F54" s="456"/>
      <c r="G54" s="457"/>
      <c r="H54" s="458">
        <f>H52-H53</f>
        <v>64.408233041839992</v>
      </c>
      <c r="I54" s="53"/>
      <c r="J54" s="457"/>
      <c r="K54" s="457"/>
      <c r="L54" s="458">
        <f>L52-L53</f>
        <v>69.346411279519998</v>
      </c>
      <c r="M54" s="459"/>
      <c r="N54" s="460">
        <f t="shared" si="62"/>
        <v>4.9381782376800061</v>
      </c>
      <c r="O54" s="461">
        <f t="shared" si="63"/>
        <v>7.6669984634916699E-2</v>
      </c>
      <c r="P54" s="53"/>
      <c r="Q54" s="457"/>
      <c r="R54" s="457"/>
      <c r="S54" s="458">
        <f>S52-S53</f>
        <v>72.174253279520016</v>
      </c>
      <c r="T54" s="459"/>
      <c r="U54" s="460">
        <f t="shared" si="64"/>
        <v>2.8278420000000182</v>
      </c>
      <c r="V54" s="461">
        <f t="shared" si="65"/>
        <v>4.0778490881115889E-2</v>
      </c>
      <c r="W54" s="53"/>
      <c r="X54" s="457"/>
      <c r="Y54" s="457"/>
      <c r="Z54" s="458">
        <f>Z52-Z53</f>
        <v>73.071398615999996</v>
      </c>
      <c r="AA54" s="459"/>
      <c r="AB54" s="460">
        <f t="shared" si="66"/>
        <v>0.89714533647997996</v>
      </c>
      <c r="AC54" s="461">
        <f t="shared" si="67"/>
        <v>1.2430268353528662E-2</v>
      </c>
      <c r="AD54" s="53"/>
      <c r="AE54" s="457"/>
      <c r="AF54" s="457"/>
      <c r="AG54" s="458">
        <f>AG52-AG53</f>
        <v>74.413898616000012</v>
      </c>
      <c r="AH54" s="459"/>
      <c r="AI54" s="460">
        <f t="shared" si="68"/>
        <v>1.3425000000000153</v>
      </c>
      <c r="AJ54" s="461">
        <f t="shared" si="69"/>
        <v>1.8372441549326747E-2</v>
      </c>
      <c r="AK54" s="462"/>
      <c r="AL54" s="457"/>
      <c r="AM54" s="457"/>
      <c r="AN54" s="458">
        <f>AN52-AN53</f>
        <v>75.640048616000001</v>
      </c>
      <c r="AO54" s="459"/>
      <c r="AP54" s="460">
        <f t="shared" si="70"/>
        <v>1.2261499999999899</v>
      </c>
      <c r="AQ54" s="461">
        <f t="shared" si="71"/>
        <v>1.6477432614131989E-2</v>
      </c>
    </row>
    <row r="55" spans="1:43" ht="12" customHeight="1">
      <c r="A55" s="53"/>
      <c r="B55" s="428"/>
      <c r="C55" s="429"/>
      <c r="D55" s="429"/>
      <c r="E55" s="434"/>
      <c r="F55" s="430"/>
      <c r="G55" s="431"/>
      <c r="H55" s="432"/>
      <c r="I55" s="53"/>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437"/>
      <c r="AL55" s="430"/>
      <c r="AM55" s="431"/>
      <c r="AN55" s="432"/>
      <c r="AO55" s="434"/>
      <c r="AP55" s="435"/>
      <c r="AQ55" s="436"/>
    </row>
    <row r="56" spans="1:43" ht="12" customHeight="1">
      <c r="A56" s="53"/>
      <c r="B56" s="438" t="s">
        <v>348</v>
      </c>
      <c r="C56" s="328"/>
      <c r="D56" s="328"/>
      <c r="E56" s="476"/>
      <c r="F56" s="439"/>
      <c r="G56" s="440"/>
      <c r="H56" s="441">
        <f>SUM(H47:H48,H40,H41:H43)</f>
        <v>70.219866191999984</v>
      </c>
      <c r="I56" s="53"/>
      <c r="J56" s="440"/>
      <c r="K56" s="440"/>
      <c r="L56" s="442">
        <f>SUM(L47:L48,L40,L41:L43)</f>
        <v>75.737383776000016</v>
      </c>
      <c r="M56" s="443"/>
      <c r="N56" s="442">
        <f t="shared" ref="N56:N60" si="72">L56-H56</f>
        <v>5.5175175840000321</v>
      </c>
      <c r="O56" s="444">
        <f t="shared" ref="O56:O60" si="73">IF((H56)=0,"",(N56/H56))</f>
        <v>7.8574880346733447E-2</v>
      </c>
      <c r="P56" s="53"/>
      <c r="Q56" s="440"/>
      <c r="R56" s="440"/>
      <c r="S56" s="442">
        <f>SUM(S47:S48,S40,S41:S43)</f>
        <v>78.896983776000013</v>
      </c>
      <c r="T56" s="443"/>
      <c r="U56" s="442">
        <f t="shared" ref="U56:U60" si="74">S56-L56</f>
        <v>3.1595999999999975</v>
      </c>
      <c r="V56" s="444">
        <f t="shared" ref="V56:V60" si="75">IF((L56)=0,"",(U56/L56))</f>
        <v>4.1717839229102403E-2</v>
      </c>
      <c r="W56" s="53"/>
      <c r="X56" s="440"/>
      <c r="Y56" s="440"/>
      <c r="Z56" s="442">
        <f>SUM(Z47:Z48,Z40,Z41:Z43)</f>
        <v>79.899380800000003</v>
      </c>
      <c r="AA56" s="443"/>
      <c r="AB56" s="442">
        <f t="shared" ref="AB56:AB60" si="76">Z56-S56</f>
        <v>1.0023970239999898</v>
      </c>
      <c r="AC56" s="444">
        <f t="shared" ref="AC56:AC60" si="77">IF((S56)=0,"",(AB56/S56))</f>
        <v>1.2705137459322152E-2</v>
      </c>
      <c r="AD56" s="53"/>
      <c r="AE56" s="440"/>
      <c r="AF56" s="440"/>
      <c r="AG56" s="442">
        <f>SUM(AG47:AG48,AG40,AG41:AG43)</f>
        <v>81.399380800000003</v>
      </c>
      <c r="AH56" s="443"/>
      <c r="AI56" s="442">
        <f t="shared" ref="AI56:AI60" si="78">AG56-Z56</f>
        <v>1.5</v>
      </c>
      <c r="AJ56" s="444">
        <f t="shared" ref="AJ56:AJ60" si="79">IF((Z56)=0,"",(AI56/Z56))</f>
        <v>1.8773612323163335E-2</v>
      </c>
      <c r="AK56" s="445"/>
      <c r="AL56" s="440"/>
      <c r="AM56" s="440"/>
      <c r="AN56" s="442">
        <f>SUM(AN47:AN48,AN40,AN41:AN43)</f>
        <v>82.769380800000008</v>
      </c>
      <c r="AO56" s="443"/>
      <c r="AP56" s="442">
        <f t="shared" ref="AP56:AP60" si="80">AN56-AG56</f>
        <v>1.3700000000000045</v>
      </c>
      <c r="AQ56" s="444">
        <f t="shared" ref="AQ56:AQ60" si="81">IF((AG56)=0,"",(AP56/AG56))</f>
        <v>1.683059485877569E-2</v>
      </c>
    </row>
    <row r="57" spans="1:43" ht="12" customHeight="1">
      <c r="A57" s="53"/>
      <c r="B57" s="446" t="s">
        <v>345</v>
      </c>
      <c r="C57" s="328"/>
      <c r="D57" s="328"/>
      <c r="E57" s="411"/>
      <c r="F57" s="439">
        <v>0.13</v>
      </c>
      <c r="G57" s="447"/>
      <c r="H57" s="394">
        <f>H56*F57</f>
        <v>9.1285826049599983</v>
      </c>
      <c r="I57" s="53"/>
      <c r="J57" s="439">
        <v>0.13</v>
      </c>
      <c r="K57" s="447"/>
      <c r="L57" s="394">
        <f>L56*J57</f>
        <v>9.8458598908800017</v>
      </c>
      <c r="M57" s="138"/>
      <c r="N57" s="395">
        <f t="shared" si="72"/>
        <v>0.71727728592000339</v>
      </c>
      <c r="O57" s="396">
        <f t="shared" si="73"/>
        <v>7.8574880346733364E-2</v>
      </c>
      <c r="P57" s="53"/>
      <c r="Q57" s="439">
        <v>0.13</v>
      </c>
      <c r="R57" s="447"/>
      <c r="S57" s="394">
        <f>S56*Q57</f>
        <v>10.256607890880002</v>
      </c>
      <c r="T57" s="138"/>
      <c r="U57" s="395">
        <f t="shared" si="74"/>
        <v>0.41074799999999989</v>
      </c>
      <c r="V57" s="396">
        <f t="shared" si="75"/>
        <v>4.1717839229102431E-2</v>
      </c>
      <c r="W57" s="53"/>
      <c r="X57" s="439">
        <v>0.13</v>
      </c>
      <c r="Y57" s="447"/>
      <c r="Z57" s="394">
        <f>Z56*X57</f>
        <v>10.386919504000002</v>
      </c>
      <c r="AA57" s="138"/>
      <c r="AB57" s="395">
        <f t="shared" si="76"/>
        <v>0.13031161311999995</v>
      </c>
      <c r="AC57" s="396">
        <f t="shared" si="77"/>
        <v>1.2705137459322276E-2</v>
      </c>
      <c r="AD57" s="53"/>
      <c r="AE57" s="439">
        <v>0.13</v>
      </c>
      <c r="AF57" s="447"/>
      <c r="AG57" s="394">
        <f>AG56*AE57</f>
        <v>10.581919504</v>
      </c>
      <c r="AH57" s="138"/>
      <c r="AI57" s="395">
        <f t="shared" si="78"/>
        <v>0.19499999999999851</v>
      </c>
      <c r="AJ57" s="396">
        <f t="shared" si="79"/>
        <v>1.8773612323163189E-2</v>
      </c>
      <c r="AK57" s="397"/>
      <c r="AL57" s="439">
        <v>0.13</v>
      </c>
      <c r="AM57" s="447"/>
      <c r="AN57" s="394">
        <f>AN56*AL57</f>
        <v>10.760019504000001</v>
      </c>
      <c r="AO57" s="138"/>
      <c r="AP57" s="395">
        <f t="shared" si="80"/>
        <v>0.17810000000000059</v>
      </c>
      <c r="AQ57" s="396">
        <f t="shared" si="81"/>
        <v>1.683059485877569E-2</v>
      </c>
    </row>
    <row r="58" spans="1:43" ht="12" customHeight="1">
      <c r="A58" s="53"/>
      <c r="B58" s="448" t="s">
        <v>365</v>
      </c>
      <c r="C58" s="328"/>
      <c r="D58" s="328"/>
      <c r="E58" s="411"/>
      <c r="F58" s="449"/>
      <c r="G58" s="411"/>
      <c r="H58" s="394">
        <f>H56+H57</f>
        <v>79.348448796959985</v>
      </c>
      <c r="I58" s="53"/>
      <c r="J58" s="411"/>
      <c r="K58" s="411"/>
      <c r="L58" s="394">
        <f>L56+L57</f>
        <v>85.583243666880023</v>
      </c>
      <c r="M58" s="138"/>
      <c r="N58" s="395">
        <f t="shared" si="72"/>
        <v>6.2347948699200373</v>
      </c>
      <c r="O58" s="396">
        <f t="shared" si="73"/>
        <v>7.8574880346733461E-2</v>
      </c>
      <c r="P58" s="53"/>
      <c r="Q58" s="411"/>
      <c r="R58" s="411"/>
      <c r="S58" s="394">
        <f>S56+S57</f>
        <v>89.153591666880018</v>
      </c>
      <c r="T58" s="138"/>
      <c r="U58" s="395">
        <f t="shared" si="74"/>
        <v>3.5703479999999956</v>
      </c>
      <c r="V58" s="396">
        <f t="shared" si="75"/>
        <v>4.1717839229102383E-2</v>
      </c>
      <c r="W58" s="53"/>
      <c r="X58" s="411"/>
      <c r="Y58" s="411"/>
      <c r="Z58" s="394">
        <f>Z56+Z57</f>
        <v>90.286300304000008</v>
      </c>
      <c r="AA58" s="138"/>
      <c r="AB58" s="395">
        <f t="shared" si="76"/>
        <v>1.1327086371199897</v>
      </c>
      <c r="AC58" s="396">
        <f t="shared" si="77"/>
        <v>1.2705137459322165E-2</v>
      </c>
      <c r="AD58" s="53"/>
      <c r="AE58" s="411"/>
      <c r="AF58" s="411"/>
      <c r="AG58" s="394">
        <f>AG56+AG57</f>
        <v>91.981300304000001</v>
      </c>
      <c r="AH58" s="138"/>
      <c r="AI58" s="395">
        <f t="shared" si="78"/>
        <v>1.6949999999999932</v>
      </c>
      <c r="AJ58" s="396">
        <f t="shared" si="79"/>
        <v>1.8773612323163259E-2</v>
      </c>
      <c r="AK58" s="397"/>
      <c r="AL58" s="411"/>
      <c r="AM58" s="411"/>
      <c r="AN58" s="394">
        <f>AN56+AN57</f>
        <v>93.529400304000006</v>
      </c>
      <c r="AO58" s="138"/>
      <c r="AP58" s="395">
        <f t="shared" si="80"/>
        <v>1.5481000000000051</v>
      </c>
      <c r="AQ58" s="396">
        <f t="shared" si="81"/>
        <v>1.683059485877569E-2</v>
      </c>
    </row>
    <row r="59" spans="1:43" ht="12" customHeight="1">
      <c r="A59" s="53"/>
      <c r="B59" s="626" t="s">
        <v>304</v>
      </c>
      <c r="C59" s="616"/>
      <c r="D59" s="616"/>
      <c r="E59" s="411"/>
      <c r="F59" s="450">
        <f>F53</f>
        <v>0.23499999999999999</v>
      </c>
      <c r="G59" s="411"/>
      <c r="H59" s="451">
        <f>F59*H56</f>
        <v>16.501668555119995</v>
      </c>
      <c r="I59" s="53"/>
      <c r="J59" s="452">
        <f>J53</f>
        <v>0.23499999999999999</v>
      </c>
      <c r="K59" s="411"/>
      <c r="L59" s="451">
        <f>J59*L56</f>
        <v>17.798285187360001</v>
      </c>
      <c r="M59" s="138"/>
      <c r="N59" s="451">
        <f t="shared" si="72"/>
        <v>1.2966166322400063</v>
      </c>
      <c r="O59" s="453">
        <f t="shared" si="73"/>
        <v>7.8574880346733378E-2</v>
      </c>
      <c r="P59" s="53"/>
      <c r="Q59" s="452">
        <f>Q53</f>
        <v>0.23499999999999999</v>
      </c>
      <c r="R59" s="411"/>
      <c r="S59" s="451">
        <f>Q59*S56</f>
        <v>18.540791187360004</v>
      </c>
      <c r="T59" s="138"/>
      <c r="U59" s="451">
        <f t="shared" si="74"/>
        <v>0.74250600000000233</v>
      </c>
      <c r="V59" s="453">
        <f t="shared" si="75"/>
        <v>4.1717839229102577E-2</v>
      </c>
      <c r="W59" s="53"/>
      <c r="X59" s="452">
        <f>X53</f>
        <v>0.23499999999999999</v>
      </c>
      <c r="Y59" s="411"/>
      <c r="Z59" s="451">
        <f>X59*Z56</f>
        <v>18.776354487999999</v>
      </c>
      <c r="AA59" s="138"/>
      <c r="AB59" s="451">
        <f t="shared" si="76"/>
        <v>0.23556330063999553</v>
      </c>
      <c r="AC59" s="453">
        <f t="shared" si="77"/>
        <v>1.2705137459322039E-2</v>
      </c>
      <c r="AD59" s="53"/>
      <c r="AE59" s="452">
        <f>AE53</f>
        <v>0.23499999999999999</v>
      </c>
      <c r="AF59" s="411"/>
      <c r="AG59" s="451">
        <f>AE59*AG56</f>
        <v>19.128854487999998</v>
      </c>
      <c r="AH59" s="138"/>
      <c r="AI59" s="451">
        <f t="shared" si="78"/>
        <v>0.35249999999999915</v>
      </c>
      <c r="AJ59" s="453">
        <f t="shared" si="79"/>
        <v>1.877361232316329E-2</v>
      </c>
      <c r="AK59" s="454"/>
      <c r="AL59" s="452">
        <f>AL53</f>
        <v>0.23499999999999999</v>
      </c>
      <c r="AM59" s="411"/>
      <c r="AN59" s="451">
        <f>AL59*AN56</f>
        <v>19.450804487999999</v>
      </c>
      <c r="AO59" s="138"/>
      <c r="AP59" s="451">
        <f t="shared" si="80"/>
        <v>0.32195000000000107</v>
      </c>
      <c r="AQ59" s="453">
        <f t="shared" si="81"/>
        <v>1.683059485877569E-2</v>
      </c>
    </row>
    <row r="60" spans="1:43" ht="12" customHeight="1">
      <c r="A60" s="53"/>
      <c r="B60" s="627" t="s">
        <v>350</v>
      </c>
      <c r="C60" s="608"/>
      <c r="D60" s="600"/>
      <c r="E60" s="464"/>
      <c r="F60" s="463"/>
      <c r="G60" s="464"/>
      <c r="H60" s="465">
        <f>H58-H59</f>
        <v>62.846780241839994</v>
      </c>
      <c r="I60" s="53"/>
      <c r="J60" s="464"/>
      <c r="K60" s="464"/>
      <c r="L60" s="465">
        <f>L58-L59</f>
        <v>67.784958479520014</v>
      </c>
      <c r="M60" s="466"/>
      <c r="N60" s="467">
        <f t="shared" si="72"/>
        <v>4.9381782376800203</v>
      </c>
      <c r="O60" s="468">
        <f t="shared" si="73"/>
        <v>7.8574880346733308E-2</v>
      </c>
      <c r="P60" s="53"/>
      <c r="Q60" s="464"/>
      <c r="R60" s="464"/>
      <c r="S60" s="465">
        <f>S58-S59</f>
        <v>70.612800479520018</v>
      </c>
      <c r="T60" s="466"/>
      <c r="U60" s="467">
        <f t="shared" si="74"/>
        <v>2.827842000000004</v>
      </c>
      <c r="V60" s="468">
        <f t="shared" si="75"/>
        <v>4.1717839229102494E-2</v>
      </c>
      <c r="W60" s="53"/>
      <c r="X60" s="464"/>
      <c r="Y60" s="464"/>
      <c r="Z60" s="465">
        <f>Z58-Z59</f>
        <v>71.509945816000013</v>
      </c>
      <c r="AA60" s="466"/>
      <c r="AB60" s="467">
        <f t="shared" si="76"/>
        <v>0.89714533647999417</v>
      </c>
      <c r="AC60" s="468">
        <f t="shared" si="77"/>
        <v>1.2705137459322197E-2</v>
      </c>
      <c r="AD60" s="53"/>
      <c r="AE60" s="464"/>
      <c r="AF60" s="464"/>
      <c r="AG60" s="465">
        <f>AG58-AG59</f>
        <v>72.852445815999999</v>
      </c>
      <c r="AH60" s="466"/>
      <c r="AI60" s="467">
        <f t="shared" si="78"/>
        <v>1.3424999999999869</v>
      </c>
      <c r="AJ60" s="468">
        <f t="shared" si="79"/>
        <v>1.8773612323163151E-2</v>
      </c>
      <c r="AK60" s="462"/>
      <c r="AL60" s="464"/>
      <c r="AM60" s="464"/>
      <c r="AN60" s="465">
        <f>AN58-AN59</f>
        <v>74.078595816000004</v>
      </c>
      <c r="AO60" s="466"/>
      <c r="AP60" s="467">
        <f t="shared" si="80"/>
        <v>1.2261500000000041</v>
      </c>
      <c r="AQ60" s="468">
        <f t="shared" si="81"/>
        <v>1.683059485877569E-2</v>
      </c>
    </row>
    <row r="61" spans="1:43" ht="12" customHeight="1">
      <c r="A61" s="53"/>
      <c r="B61" s="428"/>
      <c r="C61" s="429"/>
      <c r="D61" s="429"/>
      <c r="E61" s="470"/>
      <c r="F61" s="469"/>
      <c r="G61" s="470"/>
      <c r="H61" s="435"/>
      <c r="I61" s="53"/>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437"/>
      <c r="AL61" s="469"/>
      <c r="AM61" s="470"/>
      <c r="AN61" s="435"/>
      <c r="AO61" s="434"/>
      <c r="AP61" s="471"/>
      <c r="AQ61" s="436"/>
    </row>
    <row r="62" spans="1:43" ht="12" customHeight="1">
      <c r="A62" s="53"/>
      <c r="B62" s="53"/>
      <c r="C62" s="53"/>
      <c r="D62" s="53"/>
      <c r="E62" s="53"/>
      <c r="F62" s="53"/>
      <c r="G62" s="53"/>
      <c r="H62" s="196"/>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row>
    <row r="63" spans="1:43" ht="12"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row>
    <row r="64" spans="1:43"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row>
    <row r="65" spans="1:43" ht="12" customHeight="1">
      <c r="A65" s="473" t="s">
        <v>366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row>
    <row r="66" spans="1:43"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row>
    <row r="67" spans="1:43" ht="12"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row>
    <row r="68" spans="1:43" ht="12"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row>
    <row r="69" spans="1:43"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row>
    <row r="70" spans="1:43" ht="12"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row>
    <row r="71" spans="1:43" ht="12"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row>
    <row r="72" spans="1:43"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row>
    <row r="73" spans="1:43" ht="12"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row>
    <row r="74" spans="1:43" ht="12"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row>
    <row r="75" spans="1:43" ht="12"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row>
    <row r="76" spans="1:43" ht="12"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row>
    <row r="77" spans="1:43" ht="12"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row>
    <row r="78" spans="1:43"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row>
    <row r="79" spans="1:43" ht="12" customHeight="1">
      <c r="A79" s="474"/>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row>
    <row r="80" spans="1:43"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row>
    <row r="81" spans="1:43" ht="12"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row>
    <row r="82" spans="1:43"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row>
    <row r="83" spans="1:43"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row>
    <row r="84" spans="1:43"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row>
    <row r="85" spans="1:43"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row>
    <row r="86" spans="1:43"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row>
    <row r="87" spans="1:43"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row>
    <row r="88" spans="1:43"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row>
    <row r="89" spans="1:43"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row>
    <row r="90" spans="1:43"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row>
    <row r="91" spans="1:43"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row>
    <row r="92" spans="1:43"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row>
    <row r="93" spans="1:43"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row>
    <row r="94" spans="1:43"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row>
    <row r="95" spans="1:43"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row>
    <row r="96" spans="1:43"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row>
    <row r="97" spans="1:43"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row>
    <row r="98" spans="1:43"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row>
    <row r="99" spans="1:43"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row>
    <row r="100" spans="1:43"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row>
    <row r="101" spans="1:43"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row>
    <row r="102" spans="1:43"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row>
    <row r="103" spans="1:43"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row>
    <row r="104" spans="1:43"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row>
    <row r="105" spans="1:43"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row>
    <row r="106" spans="1:43"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row>
    <row r="107" spans="1:43"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row>
    <row r="108" spans="1:43"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row>
    <row r="109" spans="1:43"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row>
    <row r="110" spans="1:43"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row>
    <row r="111" spans="1:43"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row>
    <row r="112" spans="1:43"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row>
    <row r="113" spans="1:43"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row>
    <row r="114" spans="1:43"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row>
    <row r="115" spans="1:43"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row>
    <row r="116" spans="1:43"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row>
    <row r="117" spans="1:43"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row>
    <row r="118" spans="1:43"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row>
    <row r="119" spans="1:43"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row>
    <row r="120" spans="1:43"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row>
    <row r="121" spans="1:43"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row>
    <row r="122" spans="1:43"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row>
    <row r="123" spans="1:43"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row>
    <row r="124" spans="1:43"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row>
    <row r="125" spans="1:43"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row>
    <row r="126" spans="1:43"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row>
    <row r="127" spans="1:43"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row>
    <row r="128" spans="1:43"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row>
    <row r="129" spans="1:43"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row>
    <row r="130" spans="1:43"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row>
    <row r="131" spans="1:43"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row>
    <row r="132" spans="1:43"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row>
    <row r="133" spans="1:43"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row>
    <row r="134" spans="1:43"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row>
    <row r="135" spans="1:43"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row>
    <row r="136" spans="1:43"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row>
    <row r="137" spans="1:43"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row>
    <row r="138" spans="1:43"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row>
    <row r="139" spans="1:43"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row>
    <row r="140" spans="1:43"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row>
    <row r="141" spans="1:43"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row>
    <row r="142" spans="1:43"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row>
    <row r="143" spans="1:43"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row>
    <row r="144" spans="1:43"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row>
    <row r="145" spans="1:43"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row>
    <row r="146" spans="1:43"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row>
    <row r="147" spans="1:43"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row>
    <row r="148" spans="1:43"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row>
    <row r="149" spans="1:43"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row>
    <row r="150" spans="1:43"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row>
    <row r="151" spans="1:43"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row>
    <row r="152" spans="1:43"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row>
    <row r="153" spans="1:43"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row>
    <row r="154" spans="1:43"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row>
    <row r="155" spans="1:43"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row>
    <row r="156" spans="1:43"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row>
    <row r="157" spans="1:43"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row>
    <row r="158" spans="1:43"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row>
    <row r="159" spans="1:43"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row>
    <row r="160" spans="1:43"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row>
    <row r="161" spans="1:43"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row>
    <row r="162" spans="1:43"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row>
    <row r="163" spans="1:43"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row>
    <row r="164" spans="1:43"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row>
    <row r="165" spans="1:43"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row>
    <row r="166" spans="1:43"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row>
    <row r="167" spans="1:43"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row>
    <row r="168" spans="1:43"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row>
    <row r="169" spans="1:43"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row>
    <row r="170" spans="1:43"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row>
    <row r="171" spans="1:43"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row>
    <row r="172" spans="1:43"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row>
    <row r="173" spans="1:43"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row>
    <row r="174" spans="1:43"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row>
    <row r="175" spans="1:43"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row>
    <row r="176" spans="1:43"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row>
    <row r="177" spans="1:43"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row>
    <row r="178" spans="1:43"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row>
    <row r="179" spans="1:43"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row>
    <row r="180" spans="1:43"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row>
    <row r="181" spans="1:43"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row>
    <row r="182" spans="1:43"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row>
    <row r="183" spans="1:43"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row>
    <row r="184" spans="1:43"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row>
    <row r="185" spans="1:43"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row>
    <row r="186" spans="1:43"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row>
    <row r="187" spans="1:43"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row>
    <row r="188" spans="1:43"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row>
    <row r="189" spans="1:43"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row>
    <row r="190" spans="1:43"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row>
    <row r="191" spans="1:43"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3"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2">
    <dataValidation type="list" allowBlank="1" showErrorMessage="1" sqref="D8" xr:uid="{00000000-0002-0000-0900-000000000000}">
      <formula1>"TOU,non-TOU"</formula1>
    </dataValidation>
    <dataValidation type="list" allowBlank="1" showInputMessage="1" showErrorMessage="1" prompt="Select Charge Unit - monthly, per kWh, per kW" sqref="D15:D28 D30:D36 D38:D39 D41:D49 D55 D61" xr:uid="{00000000-0002-0000-0900-000001000000}">
      <formula1>"Monthly,per kWh,per kW"</formula1>
    </dataValidation>
  </dataValidations>
  <pageMargins left="0.74803149606299213" right="0.74803149606299213" top="0.98425196850393704" bottom="0.98425196850393704"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8.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8.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8.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8.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8.28515625" customWidth="1"/>
    <col min="41" max="41" width="2.85546875" customWidth="1"/>
    <col min="42" max="42" width="9.42578125" customWidth="1"/>
    <col min="43" max="43" width="10" customWidth="1"/>
    <col min="44" max="44" width="1.140625" customWidth="1"/>
    <col min="45" max="45" width="12.42578125" customWidth="1"/>
  </cols>
  <sheetData>
    <row r="1" spans="1:45" ht="15" customHeight="1">
      <c r="A1" s="3"/>
      <c r="B1" s="3"/>
      <c r="C1" s="3"/>
      <c r="D1" s="3"/>
      <c r="E1" s="3"/>
      <c r="F1" s="3"/>
      <c r="G1" s="3"/>
      <c r="H1" s="3"/>
      <c r="I1" s="3"/>
      <c r="J1" s="3"/>
      <c r="K1" s="3"/>
      <c r="L1" s="3"/>
      <c r="M1" s="3"/>
      <c r="N1" s="3"/>
      <c r="O1" s="3"/>
      <c r="P1" s="3"/>
      <c r="Q1" s="3"/>
      <c r="R1" s="3"/>
      <c r="S1" s="628" t="s">
        <v>319</v>
      </c>
      <c r="T1" s="629"/>
      <c r="U1" s="629"/>
      <c r="V1" s="629"/>
      <c r="W1" s="629"/>
      <c r="X1" s="629"/>
      <c r="Y1" s="630"/>
      <c r="Z1" s="3"/>
      <c r="AA1" s="3"/>
      <c r="AB1" s="3"/>
      <c r="AC1" s="3"/>
      <c r="AD1" s="3"/>
      <c r="AE1" s="3"/>
      <c r="AF1" s="3"/>
      <c r="AG1" s="3"/>
      <c r="AH1" s="3"/>
      <c r="AI1" s="3"/>
      <c r="AJ1" s="3"/>
      <c r="AK1" s="3"/>
      <c r="AL1" s="3"/>
      <c r="AM1" s="3"/>
      <c r="AN1" s="3"/>
      <c r="AO1" s="3"/>
      <c r="AP1" s="3"/>
      <c r="AQ1" s="3"/>
      <c r="AR1" s="3"/>
      <c r="AS1" s="3"/>
    </row>
    <row r="2" spans="1:45" ht="18.75"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5" ht="18.75"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75" customHeight="1">
      <c r="A6" s="53"/>
      <c r="B6" s="327" t="s">
        <v>323</v>
      </c>
      <c r="C6" s="53"/>
      <c r="D6" s="375" t="s">
        <v>247</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7.5"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row>
    <row r="8" spans="1:45" ht="12.75"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75"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75" customHeight="1">
      <c r="A10" s="53"/>
      <c r="B10" s="53"/>
      <c r="C10" s="53"/>
      <c r="D10" s="314" t="s">
        <v>326</v>
      </c>
      <c r="E10" s="314"/>
      <c r="F10" s="380">
        <v>250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75"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5" ht="12.75"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5" ht="12.75"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5" ht="12.75"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5" ht="12.75" customHeight="1">
      <c r="A15" s="53"/>
      <c r="B15" s="328" t="s">
        <v>246</v>
      </c>
      <c r="C15" s="389" t="str">
        <f t="shared" ref="C15:C28" si="0">D$6&amp;"."&amp;B15</f>
        <v>Residential.Monthly Service Charge</v>
      </c>
      <c r="D15" s="390" t="s">
        <v>335</v>
      </c>
      <c r="E15" s="328"/>
      <c r="F15" s="391">
        <f>IFERROR(VLOOKUP($C15,'Proposed Rates'!$B:$J,F$11,FALSE),0)</f>
        <v>34.26</v>
      </c>
      <c r="G15" s="392">
        <f t="shared" ref="G15:G28" si="1">IF($D15="Monthly",1,IF($D15="per KWH",$F$10,0))</f>
        <v>1</v>
      </c>
      <c r="H15" s="394">
        <f t="shared" ref="H15:H28" si="2">G15*F15</f>
        <v>34.26</v>
      </c>
      <c r="I15" s="138"/>
      <c r="J15" s="391">
        <f>IFERROR(VLOOKUP($C15,'Proposed Rates'!$B:$J,J$11,FALSE),0)</f>
        <v>39.200000000000003</v>
      </c>
      <c r="K15" s="392">
        <f t="shared" ref="K15:K28" si="3">IF($D15="Monthly",1,IF($D15="per KWH",$F$10,0))</f>
        <v>1</v>
      </c>
      <c r="L15" s="394">
        <f t="shared" ref="L15:L28" si="4">K15*J15</f>
        <v>39.200000000000003</v>
      </c>
      <c r="M15" s="138"/>
      <c r="N15" s="395">
        <f t="shared" ref="N15:N48" si="5">L15-H15</f>
        <v>4.9400000000000048</v>
      </c>
      <c r="O15" s="396">
        <f t="shared" ref="O15:O48" si="6">IF((H15)=0,"",(N15/H15))</f>
        <v>0.14419147694103926</v>
      </c>
      <c r="P15" s="53"/>
      <c r="Q15" s="391">
        <f>IFERROR(VLOOKUP($C15,'Proposed Rates'!$B:$J,Q$11,FALSE),0)</f>
        <v>41.1</v>
      </c>
      <c r="R15" s="392">
        <f t="shared" ref="R15:R28" si="7">IF($D15="Monthly",1,IF($D15="per KWH",$F$10,0))</f>
        <v>1</v>
      </c>
      <c r="S15" s="394">
        <f t="shared" ref="S15:S28" si="8">R15*Q15</f>
        <v>41.1</v>
      </c>
      <c r="T15" s="138"/>
      <c r="U15" s="395">
        <f t="shared" ref="U15:U48" si="9">S15-L15</f>
        <v>1.8999999999999986</v>
      </c>
      <c r="V15" s="396">
        <f t="shared" ref="V15:V48" si="10">IF((L15)=0,"",(U15/L15))</f>
        <v>4.8469387755102004E-2</v>
      </c>
      <c r="W15" s="53"/>
      <c r="X15" s="391">
        <f>IFERROR(VLOOKUP($C15,'Proposed Rates'!$B:$J,X$11,FALSE),0)</f>
        <v>43.93</v>
      </c>
      <c r="Y15" s="392">
        <f t="shared" ref="Y15:Y28" si="11">IF($D15="Monthly",1,IF($D15="per KWH",$F$10,0))</f>
        <v>1</v>
      </c>
      <c r="Z15" s="394">
        <f t="shared" ref="Z15:Z28" si="12">Y15*X15</f>
        <v>43.93</v>
      </c>
      <c r="AA15" s="138"/>
      <c r="AB15" s="395">
        <f t="shared" ref="AB15:AB48" si="13">Z15-S15</f>
        <v>2.8299999999999983</v>
      </c>
      <c r="AC15" s="396">
        <f t="shared" ref="AC15:AC48" si="14">IF((S15)=0,"",(AB15/S15))</f>
        <v>6.8856447688564429E-2</v>
      </c>
      <c r="AD15" s="53"/>
      <c r="AE15" s="391">
        <f>IFERROR(VLOOKUP($C15,'Proposed Rates'!$B:$J,AE$11,FALSE),0)</f>
        <v>45.42</v>
      </c>
      <c r="AF15" s="392">
        <f t="shared" ref="AF15:AF28" si="15">IF($D15="Monthly",1,IF($D15="per KWH",$F$10,0))</f>
        <v>1</v>
      </c>
      <c r="AG15" s="394">
        <f t="shared" ref="AG15:AG28" si="16">AF15*AE15</f>
        <v>45.42</v>
      </c>
      <c r="AH15" s="138"/>
      <c r="AI15" s="395">
        <f t="shared" ref="AI15:AI48" si="17">AG15-Z15</f>
        <v>1.490000000000002</v>
      </c>
      <c r="AJ15" s="396">
        <f t="shared" ref="AJ15:AJ48" si="18">IF((Z15)=0,"",(AI15/Z15))</f>
        <v>3.3917596175734165E-2</v>
      </c>
      <c r="AK15" s="53"/>
      <c r="AL15" s="391">
        <f>IFERROR(VLOOKUP($C15,'Proposed Rates'!$B:$J,AL$11,FALSE),0)</f>
        <v>46.78</v>
      </c>
      <c r="AM15" s="392">
        <f t="shared" ref="AM15:AM28" si="19">IF($D15="Monthly",1,IF($D15="per KWH",$F$10,0))</f>
        <v>1</v>
      </c>
      <c r="AN15" s="394">
        <f t="shared" ref="AN15:AN28" si="20">AM15*AL15</f>
        <v>46.78</v>
      </c>
      <c r="AO15" s="138"/>
      <c r="AP15" s="395">
        <f t="shared" ref="AP15:AP30" si="21">AN15-AG15</f>
        <v>1.3599999999999994</v>
      </c>
      <c r="AQ15" s="396">
        <f t="shared" ref="AQ15:AQ30" si="22">IF((AG15)=0,"",(AP15/AG15))</f>
        <v>2.9942756494936138E-2</v>
      </c>
      <c r="AR15" s="397"/>
    </row>
    <row r="16" spans="1:45" ht="12.75" customHeight="1">
      <c r="A16" s="53"/>
      <c r="B16" s="328" t="s">
        <v>336</v>
      </c>
      <c r="C16" s="389" t="str">
        <f t="shared" si="0"/>
        <v>Residential.Smart Meter Rate Adder</v>
      </c>
      <c r="D16" s="390" t="s">
        <v>335</v>
      </c>
      <c r="E16" s="328"/>
      <c r="F16" s="391">
        <f>IFERROR(VLOOKUP($C16,'Proposed Rates'!$B:$J,F$11,FALSE),0)</f>
        <v>0</v>
      </c>
      <c r="G16" s="392">
        <f t="shared" si="1"/>
        <v>1</v>
      </c>
      <c r="H16" s="394">
        <f t="shared" si="2"/>
        <v>0</v>
      </c>
      <c r="I16" s="138"/>
      <c r="J16" s="391">
        <f>IFERROR(VLOOKUP($C16,'Proposed Rates'!$B:$J,J$11,FALSE),0)</f>
        <v>0</v>
      </c>
      <c r="K16" s="392">
        <f t="shared" si="3"/>
        <v>1</v>
      </c>
      <c r="L16" s="394">
        <f t="shared" si="4"/>
        <v>0</v>
      </c>
      <c r="M16" s="138"/>
      <c r="N16" s="395">
        <f t="shared" si="5"/>
        <v>0</v>
      </c>
      <c r="O16" s="396" t="str">
        <f t="shared" si="6"/>
        <v/>
      </c>
      <c r="P16" s="53"/>
      <c r="Q16" s="391">
        <f>IFERROR(VLOOKUP($C16,'Proposed Rates'!$B:$J,Q$11,FALSE),0)</f>
        <v>0</v>
      </c>
      <c r="R16" s="392">
        <f t="shared" si="7"/>
        <v>1</v>
      </c>
      <c r="S16" s="394">
        <f t="shared" si="8"/>
        <v>0</v>
      </c>
      <c r="T16" s="138"/>
      <c r="U16" s="395">
        <f t="shared" si="9"/>
        <v>0</v>
      </c>
      <c r="V16" s="396" t="str">
        <f t="shared" si="10"/>
        <v/>
      </c>
      <c r="W16" s="53"/>
      <c r="X16" s="391">
        <f>IFERROR(VLOOKUP($C16,'Proposed Rates'!$B:$J,X$11,FALSE),0)</f>
        <v>0</v>
      </c>
      <c r="Y16" s="392">
        <f t="shared" si="11"/>
        <v>1</v>
      </c>
      <c r="Z16" s="394">
        <f t="shared" si="12"/>
        <v>0</v>
      </c>
      <c r="AA16" s="138"/>
      <c r="AB16" s="395">
        <f t="shared" si="13"/>
        <v>0</v>
      </c>
      <c r="AC16" s="396" t="str">
        <f t="shared" si="14"/>
        <v/>
      </c>
      <c r="AD16" s="53"/>
      <c r="AE16" s="391">
        <f>IFERROR(VLOOKUP($C16,'Proposed Rates'!$B:$J,AE$11,FALSE),0)</f>
        <v>0</v>
      </c>
      <c r="AF16" s="392">
        <f t="shared" si="15"/>
        <v>1</v>
      </c>
      <c r="AG16" s="394">
        <f t="shared" si="16"/>
        <v>0</v>
      </c>
      <c r="AH16" s="138"/>
      <c r="AI16" s="395">
        <f t="shared" si="17"/>
        <v>0</v>
      </c>
      <c r="AJ16" s="396" t="str">
        <f t="shared" si="18"/>
        <v/>
      </c>
      <c r="AK16" s="53"/>
      <c r="AL16" s="391">
        <f>IFERROR(VLOOKUP($C16,'Proposed Rates'!$B:$J,AL$11,FALSE),0)</f>
        <v>0</v>
      </c>
      <c r="AM16" s="392">
        <f t="shared" si="19"/>
        <v>1</v>
      </c>
      <c r="AN16" s="394">
        <f t="shared" si="20"/>
        <v>0</v>
      </c>
      <c r="AO16" s="138"/>
      <c r="AP16" s="395">
        <f t="shared" si="21"/>
        <v>0</v>
      </c>
      <c r="AQ16" s="396" t="str">
        <f t="shared" si="22"/>
        <v/>
      </c>
      <c r="AR16" s="397"/>
    </row>
    <row r="17" spans="1:44" ht="12.75" customHeight="1">
      <c r="A17" s="53"/>
      <c r="B17" s="398" t="str">
        <f>'Proposed Rates'!C115</f>
        <v>Rate Rider Calculation for Forgone Revenue - variable</v>
      </c>
      <c r="C17" s="389" t="str">
        <f t="shared" si="0"/>
        <v>Residential.Rate Rider Calculation for Forgone Revenue - variable</v>
      </c>
      <c r="D17" s="390" t="s">
        <v>337</v>
      </c>
      <c r="E17" s="328"/>
      <c r="F17" s="391">
        <f>IFERROR(VLOOKUP($C17,'Proposed Rates'!$B:$J,F$11,FALSE),0)</f>
        <v>0</v>
      </c>
      <c r="G17" s="392">
        <f t="shared" si="1"/>
        <v>250</v>
      </c>
      <c r="H17" s="394">
        <f t="shared" si="2"/>
        <v>0</v>
      </c>
      <c r="I17" s="138"/>
      <c r="J17" s="391">
        <f>IFERROR(VLOOKUP($C17,'Proposed Rates'!$B:$J,J$11,FALSE),0)</f>
        <v>0</v>
      </c>
      <c r="K17" s="392">
        <f t="shared" si="3"/>
        <v>250</v>
      </c>
      <c r="L17" s="394">
        <f t="shared" si="4"/>
        <v>0</v>
      </c>
      <c r="M17" s="138"/>
      <c r="N17" s="395">
        <f t="shared" si="5"/>
        <v>0</v>
      </c>
      <c r="O17" s="396" t="str">
        <f t="shared" si="6"/>
        <v/>
      </c>
      <c r="P17" s="53"/>
      <c r="Q17" s="391">
        <f>IFERROR(VLOOKUP($C17,'Proposed Rates'!$B:$J,Q$11,FALSE),0)</f>
        <v>0</v>
      </c>
      <c r="R17" s="392">
        <f t="shared" si="7"/>
        <v>250</v>
      </c>
      <c r="S17" s="394">
        <f t="shared" si="8"/>
        <v>0</v>
      </c>
      <c r="T17" s="138"/>
      <c r="U17" s="395">
        <f t="shared" si="9"/>
        <v>0</v>
      </c>
      <c r="V17" s="396" t="str">
        <f t="shared" si="10"/>
        <v/>
      </c>
      <c r="W17" s="53"/>
      <c r="X17" s="391">
        <f>IFERROR(VLOOKUP($C17,'Proposed Rates'!$B:$J,X$11,FALSE),0)</f>
        <v>0</v>
      </c>
      <c r="Y17" s="392">
        <f t="shared" si="11"/>
        <v>250</v>
      </c>
      <c r="Z17" s="394">
        <f t="shared" si="12"/>
        <v>0</v>
      </c>
      <c r="AA17" s="138"/>
      <c r="AB17" s="395">
        <f t="shared" si="13"/>
        <v>0</v>
      </c>
      <c r="AC17" s="396" t="str">
        <f t="shared" si="14"/>
        <v/>
      </c>
      <c r="AD17" s="53"/>
      <c r="AE17" s="391">
        <f>IFERROR(VLOOKUP($C17,'Proposed Rates'!$B:$J,AE$11,FALSE),0)</f>
        <v>0</v>
      </c>
      <c r="AF17" s="392">
        <f t="shared" si="15"/>
        <v>250</v>
      </c>
      <c r="AG17" s="394">
        <f t="shared" si="16"/>
        <v>0</v>
      </c>
      <c r="AH17" s="138"/>
      <c r="AI17" s="395">
        <f t="shared" si="17"/>
        <v>0</v>
      </c>
      <c r="AJ17" s="396" t="str">
        <f t="shared" si="18"/>
        <v/>
      </c>
      <c r="AK17" s="53"/>
      <c r="AL17" s="391">
        <f>IFERROR(VLOOKUP($C17,'Proposed Rates'!$B:$J,AL$11,FALSE),0)</f>
        <v>0</v>
      </c>
      <c r="AM17" s="392">
        <f t="shared" si="19"/>
        <v>250</v>
      </c>
      <c r="AN17" s="394">
        <f t="shared" si="20"/>
        <v>0</v>
      </c>
      <c r="AO17" s="138"/>
      <c r="AP17" s="395">
        <f t="shared" si="21"/>
        <v>0</v>
      </c>
      <c r="AQ17" s="396" t="str">
        <f t="shared" si="22"/>
        <v/>
      </c>
      <c r="AR17" s="397"/>
    </row>
    <row r="18" spans="1:44" ht="12.75" customHeight="1">
      <c r="A18" s="53"/>
      <c r="B18" s="398" t="str">
        <f>'Proposed Rates'!C128</f>
        <v>Rate Rider Calculation for Forgone Revenue - fixed</v>
      </c>
      <c r="C18" s="389" t="str">
        <f t="shared" si="0"/>
        <v>Residential.Rate Rider Calculation for Forgone Revenue - fixed</v>
      </c>
      <c r="D18" s="390" t="s">
        <v>335</v>
      </c>
      <c r="E18" s="328"/>
      <c r="F18" s="391">
        <f>IFERROR(VLOOKUP($C18,'Proposed Rates'!$B:$J,F$11,FALSE),0)</f>
        <v>0</v>
      </c>
      <c r="G18" s="392">
        <f t="shared" si="1"/>
        <v>1</v>
      </c>
      <c r="H18" s="394">
        <f t="shared" si="2"/>
        <v>0</v>
      </c>
      <c r="I18" s="138"/>
      <c r="J18" s="391">
        <f>IFERROR(VLOOKUP($C18,'Proposed Rates'!$B:$J,J$11,FALSE),0)</f>
        <v>1.84</v>
      </c>
      <c r="K18" s="392">
        <f t="shared" si="3"/>
        <v>1</v>
      </c>
      <c r="L18" s="394">
        <f t="shared" si="4"/>
        <v>1.84</v>
      </c>
      <c r="M18" s="138"/>
      <c r="N18" s="395">
        <f t="shared" si="5"/>
        <v>1.84</v>
      </c>
      <c r="O18" s="396" t="str">
        <f t="shared" si="6"/>
        <v/>
      </c>
      <c r="P18" s="53"/>
      <c r="Q18" s="391">
        <f>IFERROR(VLOOKUP($C18,'Proposed Rates'!$B:$J,Q$11,FALSE),0)</f>
        <v>1.84</v>
      </c>
      <c r="R18" s="392">
        <f t="shared" si="7"/>
        <v>1</v>
      </c>
      <c r="S18" s="394">
        <f t="shared" si="8"/>
        <v>1.84</v>
      </c>
      <c r="T18" s="138"/>
      <c r="U18" s="395">
        <f t="shared" si="9"/>
        <v>0</v>
      </c>
      <c r="V18" s="396">
        <f t="shared" si="10"/>
        <v>0</v>
      </c>
      <c r="W18" s="53"/>
      <c r="X18" s="391">
        <f>IFERROR(VLOOKUP($C18,'Proposed Rates'!$B:$J,X$11,FALSE),0)</f>
        <v>0</v>
      </c>
      <c r="Y18" s="392">
        <f t="shared" si="11"/>
        <v>1</v>
      </c>
      <c r="Z18" s="394">
        <f t="shared" si="12"/>
        <v>0</v>
      </c>
      <c r="AA18" s="138"/>
      <c r="AB18" s="395">
        <f t="shared" si="13"/>
        <v>-1.84</v>
      </c>
      <c r="AC18" s="396">
        <f t="shared" si="14"/>
        <v>-1</v>
      </c>
      <c r="AD18" s="53"/>
      <c r="AE18" s="391">
        <f>IFERROR(VLOOKUP($C18,'Proposed Rates'!$B:$J,AE$11,FALSE),0)</f>
        <v>0</v>
      </c>
      <c r="AF18" s="392">
        <f t="shared" si="15"/>
        <v>1</v>
      </c>
      <c r="AG18" s="394">
        <f t="shared" si="16"/>
        <v>0</v>
      </c>
      <c r="AH18" s="138"/>
      <c r="AI18" s="395">
        <f t="shared" si="17"/>
        <v>0</v>
      </c>
      <c r="AJ18" s="396" t="str">
        <f t="shared" si="18"/>
        <v/>
      </c>
      <c r="AK18" s="53"/>
      <c r="AL18" s="391">
        <f>IFERROR(VLOOKUP($C18,'Proposed Rates'!$B:$J,AL$11,FALSE),0)</f>
        <v>0</v>
      </c>
      <c r="AM18" s="392">
        <f t="shared" si="19"/>
        <v>1</v>
      </c>
      <c r="AN18" s="394">
        <f t="shared" si="20"/>
        <v>0</v>
      </c>
      <c r="AO18" s="138"/>
      <c r="AP18" s="395">
        <f t="shared" si="21"/>
        <v>0</v>
      </c>
      <c r="AQ18" s="396" t="str">
        <f t="shared" si="22"/>
        <v/>
      </c>
      <c r="AR18" s="397"/>
    </row>
    <row r="19" spans="1:44" ht="12.75" customHeight="1">
      <c r="A19" s="53"/>
      <c r="B19" s="328" t="s">
        <v>62</v>
      </c>
      <c r="C19" s="389" t="str">
        <f t="shared" si="0"/>
        <v>Residential.Distribution Volumetric Rate</v>
      </c>
      <c r="D19" s="390" t="s">
        <v>337</v>
      </c>
      <c r="E19" s="328"/>
      <c r="F19" s="391">
        <f>IFERROR(VLOOKUP($C19,'Proposed Rates'!$B:$J,F$11,FALSE),0)</f>
        <v>0</v>
      </c>
      <c r="G19" s="392">
        <f t="shared" si="1"/>
        <v>250</v>
      </c>
      <c r="H19" s="394">
        <f t="shared" si="2"/>
        <v>0</v>
      </c>
      <c r="I19" s="138"/>
      <c r="J19" s="391">
        <f>IFERROR(VLOOKUP($C19,'Proposed Rates'!$B:$J,J$11,FALSE),0)</f>
        <v>0</v>
      </c>
      <c r="K19" s="392">
        <f t="shared" si="3"/>
        <v>250</v>
      </c>
      <c r="L19" s="394">
        <f t="shared" si="4"/>
        <v>0</v>
      </c>
      <c r="M19" s="138"/>
      <c r="N19" s="395">
        <f t="shared" si="5"/>
        <v>0</v>
      </c>
      <c r="O19" s="396" t="str">
        <f t="shared" si="6"/>
        <v/>
      </c>
      <c r="P19" s="53"/>
      <c r="Q19" s="391">
        <f>IFERROR(VLOOKUP($C19,'Proposed Rates'!$B:$J,Q$11,FALSE),0)</f>
        <v>0</v>
      </c>
      <c r="R19" s="392">
        <f t="shared" si="7"/>
        <v>250</v>
      </c>
      <c r="S19" s="394">
        <f t="shared" si="8"/>
        <v>0</v>
      </c>
      <c r="T19" s="138"/>
      <c r="U19" s="395">
        <f t="shared" si="9"/>
        <v>0</v>
      </c>
      <c r="V19" s="396" t="str">
        <f t="shared" si="10"/>
        <v/>
      </c>
      <c r="W19" s="53"/>
      <c r="X19" s="391">
        <f>IFERROR(VLOOKUP($C19,'Proposed Rates'!$B:$J,X$11,FALSE),0)</f>
        <v>0</v>
      </c>
      <c r="Y19" s="392">
        <f t="shared" si="11"/>
        <v>250</v>
      </c>
      <c r="Z19" s="394">
        <f t="shared" si="12"/>
        <v>0</v>
      </c>
      <c r="AA19" s="138"/>
      <c r="AB19" s="395">
        <f t="shared" si="13"/>
        <v>0</v>
      </c>
      <c r="AC19" s="396" t="str">
        <f t="shared" si="14"/>
        <v/>
      </c>
      <c r="AD19" s="53"/>
      <c r="AE19" s="391">
        <f>IFERROR(VLOOKUP($C19,'Proposed Rates'!$B:$J,AE$11,FALSE),0)</f>
        <v>0</v>
      </c>
      <c r="AF19" s="392">
        <f t="shared" si="15"/>
        <v>250</v>
      </c>
      <c r="AG19" s="394">
        <f t="shared" si="16"/>
        <v>0</v>
      </c>
      <c r="AH19" s="138"/>
      <c r="AI19" s="395">
        <f t="shared" si="17"/>
        <v>0</v>
      </c>
      <c r="AJ19" s="396" t="str">
        <f t="shared" si="18"/>
        <v/>
      </c>
      <c r="AK19" s="53"/>
      <c r="AL19" s="391">
        <f>IFERROR(VLOOKUP($C19,'Proposed Rates'!$B:$J,AL$11,FALSE),0)</f>
        <v>0</v>
      </c>
      <c r="AM19" s="392">
        <f t="shared" si="19"/>
        <v>250</v>
      </c>
      <c r="AN19" s="394">
        <f t="shared" si="20"/>
        <v>0</v>
      </c>
      <c r="AO19" s="138"/>
      <c r="AP19" s="395">
        <f t="shared" si="21"/>
        <v>0</v>
      </c>
      <c r="AQ19" s="396" t="str">
        <f t="shared" si="22"/>
        <v/>
      </c>
      <c r="AR19" s="397"/>
    </row>
    <row r="20" spans="1:44" ht="12.75" customHeight="1">
      <c r="A20" s="53"/>
      <c r="B20" s="328" t="s">
        <v>338</v>
      </c>
      <c r="C20" s="389" t="str">
        <f t="shared" si="0"/>
        <v>Residential.Smart Meter Disposition Rider</v>
      </c>
      <c r="D20" s="390" t="s">
        <v>337</v>
      </c>
      <c r="E20" s="328"/>
      <c r="F20" s="391">
        <f>IFERROR(VLOOKUP($C20,'Proposed Rates'!$B:$J,F$11,FALSE),0)</f>
        <v>0</v>
      </c>
      <c r="G20" s="392">
        <f t="shared" si="1"/>
        <v>250</v>
      </c>
      <c r="H20" s="394">
        <f t="shared" si="2"/>
        <v>0</v>
      </c>
      <c r="I20" s="138"/>
      <c r="J20" s="391">
        <f>IFERROR(VLOOKUP($C20,'Proposed Rates'!$B:$J,J$11,FALSE),0)</f>
        <v>0</v>
      </c>
      <c r="K20" s="392">
        <f t="shared" si="3"/>
        <v>250</v>
      </c>
      <c r="L20" s="394">
        <f t="shared" si="4"/>
        <v>0</v>
      </c>
      <c r="M20" s="138"/>
      <c r="N20" s="395">
        <f t="shared" si="5"/>
        <v>0</v>
      </c>
      <c r="O20" s="396" t="str">
        <f t="shared" si="6"/>
        <v/>
      </c>
      <c r="P20" s="53"/>
      <c r="Q20" s="391">
        <f>IFERROR(VLOOKUP($C20,'Proposed Rates'!$B:$J,Q$11,FALSE),0)</f>
        <v>0</v>
      </c>
      <c r="R20" s="392">
        <f t="shared" si="7"/>
        <v>250</v>
      </c>
      <c r="S20" s="394">
        <f t="shared" si="8"/>
        <v>0</v>
      </c>
      <c r="T20" s="138"/>
      <c r="U20" s="395">
        <f t="shared" si="9"/>
        <v>0</v>
      </c>
      <c r="V20" s="396" t="str">
        <f t="shared" si="10"/>
        <v/>
      </c>
      <c r="W20" s="53"/>
      <c r="X20" s="391">
        <f>IFERROR(VLOOKUP($C20,'Proposed Rates'!$B:$J,X$11,FALSE),0)</f>
        <v>0</v>
      </c>
      <c r="Y20" s="392">
        <f t="shared" si="11"/>
        <v>250</v>
      </c>
      <c r="Z20" s="394">
        <f t="shared" si="12"/>
        <v>0</v>
      </c>
      <c r="AA20" s="138"/>
      <c r="AB20" s="395">
        <f t="shared" si="13"/>
        <v>0</v>
      </c>
      <c r="AC20" s="396" t="str">
        <f t="shared" si="14"/>
        <v/>
      </c>
      <c r="AD20" s="53"/>
      <c r="AE20" s="391">
        <f>IFERROR(VLOOKUP($C20,'Proposed Rates'!$B:$J,AE$11,FALSE),0)</f>
        <v>0</v>
      </c>
      <c r="AF20" s="392">
        <f t="shared" si="15"/>
        <v>250</v>
      </c>
      <c r="AG20" s="394">
        <f t="shared" si="16"/>
        <v>0</v>
      </c>
      <c r="AH20" s="138"/>
      <c r="AI20" s="395">
        <f t="shared" si="17"/>
        <v>0</v>
      </c>
      <c r="AJ20" s="396" t="str">
        <f t="shared" si="18"/>
        <v/>
      </c>
      <c r="AK20" s="53"/>
      <c r="AL20" s="391">
        <f>IFERROR(VLOOKUP($C20,'Proposed Rates'!$B:$J,AL$11,FALSE),0)</f>
        <v>0</v>
      </c>
      <c r="AM20" s="392">
        <f t="shared" si="19"/>
        <v>250</v>
      </c>
      <c r="AN20" s="394">
        <f t="shared" si="20"/>
        <v>0</v>
      </c>
      <c r="AO20" s="138"/>
      <c r="AP20" s="395">
        <f t="shared" si="21"/>
        <v>0</v>
      </c>
      <c r="AQ20" s="396" t="str">
        <f t="shared" si="22"/>
        <v/>
      </c>
      <c r="AR20" s="397"/>
    </row>
    <row r="21" spans="1:44" ht="12.75" customHeight="1">
      <c r="A21" s="53"/>
      <c r="B21" s="328" t="s">
        <v>269</v>
      </c>
      <c r="C21" s="389" t="str">
        <f t="shared" si="0"/>
        <v>Residential.LRAM Rate Rider</v>
      </c>
      <c r="D21" s="390" t="s">
        <v>335</v>
      </c>
      <c r="E21" s="328"/>
      <c r="F21" s="391">
        <f>'Proposed Rates'!E77+'Proposed Rates'!E90</f>
        <v>0.25</v>
      </c>
      <c r="G21" s="392">
        <f t="shared" si="1"/>
        <v>1</v>
      </c>
      <c r="H21" s="393">
        <f t="shared" si="2"/>
        <v>0.25</v>
      </c>
      <c r="I21" s="53"/>
      <c r="J21" s="391">
        <f>'Proposed Rates'!F77+'Proposed Rates'!F90</f>
        <v>0</v>
      </c>
      <c r="K21" s="392">
        <f t="shared" si="3"/>
        <v>1</v>
      </c>
      <c r="L21" s="394">
        <f t="shared" si="4"/>
        <v>0</v>
      </c>
      <c r="M21" s="138"/>
      <c r="N21" s="395">
        <f t="shared" si="5"/>
        <v>-0.25</v>
      </c>
      <c r="O21" s="396">
        <f t="shared" si="6"/>
        <v>-1</v>
      </c>
      <c r="P21" s="53"/>
      <c r="Q21" s="391">
        <f>'Proposed Rates'!G77+'Proposed Rates'!G90</f>
        <v>0</v>
      </c>
      <c r="R21" s="392">
        <f t="shared" si="7"/>
        <v>1</v>
      </c>
      <c r="S21" s="394">
        <f t="shared" si="8"/>
        <v>0</v>
      </c>
      <c r="T21" s="138"/>
      <c r="U21" s="395">
        <f t="shared" si="9"/>
        <v>0</v>
      </c>
      <c r="V21" s="396" t="str">
        <f t="shared" si="10"/>
        <v/>
      </c>
      <c r="W21" s="53"/>
      <c r="X21" s="391">
        <f>IFERROR(VLOOKUP($C21,'Proposed Rates'!$B:$J,X$11,FALSE),0)</f>
        <v>0</v>
      </c>
      <c r="Y21" s="392">
        <f t="shared" si="11"/>
        <v>1</v>
      </c>
      <c r="Z21" s="394">
        <f t="shared" si="12"/>
        <v>0</v>
      </c>
      <c r="AA21" s="138"/>
      <c r="AB21" s="395">
        <f t="shared" si="13"/>
        <v>0</v>
      </c>
      <c r="AC21" s="396" t="str">
        <f t="shared" si="14"/>
        <v/>
      </c>
      <c r="AD21" s="53"/>
      <c r="AE21" s="391">
        <f>IFERROR(VLOOKUP($C21,'Proposed Rates'!$B:$J,AE$11,FALSE),0)</f>
        <v>0</v>
      </c>
      <c r="AF21" s="392">
        <f t="shared" si="15"/>
        <v>1</v>
      </c>
      <c r="AG21" s="394">
        <f t="shared" si="16"/>
        <v>0</v>
      </c>
      <c r="AH21" s="138"/>
      <c r="AI21" s="395">
        <f t="shared" si="17"/>
        <v>0</v>
      </c>
      <c r="AJ21" s="396" t="str">
        <f t="shared" si="18"/>
        <v/>
      </c>
      <c r="AK21" s="53"/>
      <c r="AL21" s="391">
        <f>IFERROR(VLOOKUP($C21,'Proposed Rates'!$B:$J,AL$11,FALSE),0)</f>
        <v>0</v>
      </c>
      <c r="AM21" s="392">
        <f t="shared" si="19"/>
        <v>1</v>
      </c>
      <c r="AN21" s="394">
        <f t="shared" si="20"/>
        <v>0</v>
      </c>
      <c r="AO21" s="138"/>
      <c r="AP21" s="395">
        <f t="shared" si="21"/>
        <v>0</v>
      </c>
      <c r="AQ21" s="396" t="str">
        <f t="shared" si="22"/>
        <v/>
      </c>
      <c r="AR21" s="397"/>
    </row>
    <row r="22" spans="1:44" ht="12.75" customHeight="1">
      <c r="A22" s="53"/>
      <c r="B22" s="478" t="s">
        <v>265</v>
      </c>
      <c r="C22" s="389" t="str">
        <f t="shared" si="0"/>
        <v>Residential.Deferral/Variance Account Disposition Rate Rider Group 2</v>
      </c>
      <c r="D22" s="390" t="s">
        <v>335</v>
      </c>
      <c r="E22" s="328"/>
      <c r="F22" s="391">
        <f>IFERROR(VLOOKUP($C22,'Proposed Rates'!$B:$J,F$11,FALSE),0)</f>
        <v>0</v>
      </c>
      <c r="G22" s="392">
        <f t="shared" si="1"/>
        <v>1</v>
      </c>
      <c r="H22" s="394">
        <f t="shared" si="2"/>
        <v>0</v>
      </c>
      <c r="I22" s="138"/>
      <c r="J22" s="391">
        <f>IFERROR(VLOOKUP($C22,'Proposed Rates'!$B:$J,J$11,FALSE),0)</f>
        <v>-1.19</v>
      </c>
      <c r="K22" s="392">
        <f t="shared" si="3"/>
        <v>1</v>
      </c>
      <c r="L22" s="394">
        <f t="shared" si="4"/>
        <v>-1.19</v>
      </c>
      <c r="M22" s="138"/>
      <c r="N22" s="395">
        <f t="shared" si="5"/>
        <v>-1.19</v>
      </c>
      <c r="O22" s="396" t="str">
        <f t="shared" si="6"/>
        <v/>
      </c>
      <c r="P22" s="53"/>
      <c r="Q22" s="391">
        <f>IFERROR(VLOOKUP($C22,'Proposed Rates'!$B:$J,Q$11,FALSE),0)</f>
        <v>0</v>
      </c>
      <c r="R22" s="392">
        <f t="shared" si="7"/>
        <v>1</v>
      </c>
      <c r="S22" s="394">
        <f t="shared" si="8"/>
        <v>0</v>
      </c>
      <c r="T22" s="138"/>
      <c r="U22" s="395">
        <f t="shared" si="9"/>
        <v>1.19</v>
      </c>
      <c r="V22" s="396">
        <f t="shared" si="10"/>
        <v>-1</v>
      </c>
      <c r="W22" s="53"/>
      <c r="X22" s="391">
        <f>IFERROR(VLOOKUP($C22,'Proposed Rates'!$B:$J,X$11,FALSE),0)</f>
        <v>0</v>
      </c>
      <c r="Y22" s="392">
        <f t="shared" si="11"/>
        <v>1</v>
      </c>
      <c r="Z22" s="394">
        <f t="shared" si="12"/>
        <v>0</v>
      </c>
      <c r="AA22" s="138"/>
      <c r="AB22" s="395">
        <f t="shared" si="13"/>
        <v>0</v>
      </c>
      <c r="AC22" s="396" t="str">
        <f t="shared" si="14"/>
        <v/>
      </c>
      <c r="AD22" s="53"/>
      <c r="AE22" s="391">
        <f>IFERROR(VLOOKUP($C22,'Proposed Rates'!$B:$J,AE$11,FALSE),0)</f>
        <v>0</v>
      </c>
      <c r="AF22" s="392">
        <f t="shared" si="15"/>
        <v>1</v>
      </c>
      <c r="AG22" s="394">
        <f t="shared" si="16"/>
        <v>0</v>
      </c>
      <c r="AH22" s="138"/>
      <c r="AI22" s="395">
        <f t="shared" si="17"/>
        <v>0</v>
      </c>
      <c r="AJ22" s="396" t="str">
        <f t="shared" si="18"/>
        <v/>
      </c>
      <c r="AK22" s="53"/>
      <c r="AL22" s="391">
        <f>IFERROR(VLOOKUP($C22,'Proposed Rates'!$B:$J,AL$11,FALSE),0)</f>
        <v>0</v>
      </c>
      <c r="AM22" s="392">
        <f t="shared" si="19"/>
        <v>1</v>
      </c>
      <c r="AN22" s="394">
        <f t="shared" si="20"/>
        <v>0</v>
      </c>
      <c r="AO22" s="138"/>
      <c r="AP22" s="395">
        <f t="shared" si="21"/>
        <v>0</v>
      </c>
      <c r="AQ22" s="396" t="str">
        <f t="shared" si="22"/>
        <v/>
      </c>
      <c r="AR22" s="397"/>
    </row>
    <row r="23" spans="1:44" ht="12.75" customHeight="1">
      <c r="A23" s="53"/>
      <c r="B23" s="398"/>
      <c r="C23" s="389" t="str">
        <f t="shared" si="0"/>
        <v>Residential.</v>
      </c>
      <c r="D23" s="390"/>
      <c r="E23" s="328"/>
      <c r="F23" s="391">
        <f>IFERROR(VLOOKUP($C23,'Proposed Rates'!$B:$J,F$11,FALSE),0)</f>
        <v>0</v>
      </c>
      <c r="G23" s="392">
        <f t="shared" si="1"/>
        <v>0</v>
      </c>
      <c r="H23" s="394">
        <f t="shared" si="2"/>
        <v>0</v>
      </c>
      <c r="I23" s="138"/>
      <c r="J23" s="391">
        <f>IFERROR(VLOOKUP($C23,'Proposed Rates'!$B:$J,J$11,FALSE),0)</f>
        <v>0</v>
      </c>
      <c r="K23" s="392">
        <f t="shared" si="3"/>
        <v>0</v>
      </c>
      <c r="L23" s="394">
        <f t="shared" si="4"/>
        <v>0</v>
      </c>
      <c r="M23" s="138"/>
      <c r="N23" s="395">
        <f t="shared" si="5"/>
        <v>0</v>
      </c>
      <c r="O23" s="396" t="str">
        <f t="shared" si="6"/>
        <v/>
      </c>
      <c r="P23" s="53"/>
      <c r="Q23" s="391">
        <f>IFERROR(VLOOKUP($C23,'Proposed Rates'!$B:$J,Q$11,FALSE),0)</f>
        <v>0</v>
      </c>
      <c r="R23" s="392">
        <f t="shared" si="7"/>
        <v>0</v>
      </c>
      <c r="S23" s="394">
        <f t="shared" si="8"/>
        <v>0</v>
      </c>
      <c r="T23" s="138"/>
      <c r="U23" s="395">
        <f t="shared" si="9"/>
        <v>0</v>
      </c>
      <c r="V23" s="396" t="str">
        <f t="shared" si="10"/>
        <v/>
      </c>
      <c r="W23" s="53"/>
      <c r="X23" s="391">
        <f>IFERROR(VLOOKUP($C23,'Proposed Rates'!$B:$J,X$11,FALSE),0)</f>
        <v>0</v>
      </c>
      <c r="Y23" s="392">
        <f t="shared" si="11"/>
        <v>0</v>
      </c>
      <c r="Z23" s="394">
        <f t="shared" si="12"/>
        <v>0</v>
      </c>
      <c r="AA23" s="138"/>
      <c r="AB23" s="395">
        <f t="shared" si="13"/>
        <v>0</v>
      </c>
      <c r="AC23" s="396" t="str">
        <f t="shared" si="14"/>
        <v/>
      </c>
      <c r="AD23" s="53"/>
      <c r="AE23" s="391">
        <f>IFERROR(VLOOKUP($C23,'Proposed Rates'!$B:$J,AE$11,FALSE),0)</f>
        <v>0</v>
      </c>
      <c r="AF23" s="392">
        <f t="shared" si="15"/>
        <v>0</v>
      </c>
      <c r="AG23" s="394">
        <f t="shared" si="16"/>
        <v>0</v>
      </c>
      <c r="AH23" s="138"/>
      <c r="AI23" s="395">
        <f t="shared" si="17"/>
        <v>0</v>
      </c>
      <c r="AJ23" s="396" t="str">
        <f t="shared" si="18"/>
        <v/>
      </c>
      <c r="AK23" s="53"/>
      <c r="AL23" s="391">
        <f>IFERROR(VLOOKUP($C23,'Proposed Rates'!$B:$J,AL$11,FALSE),0)</f>
        <v>0</v>
      </c>
      <c r="AM23" s="392">
        <f t="shared" si="19"/>
        <v>0</v>
      </c>
      <c r="AN23" s="394">
        <f t="shared" si="20"/>
        <v>0</v>
      </c>
      <c r="AO23" s="138"/>
      <c r="AP23" s="395">
        <f t="shared" si="21"/>
        <v>0</v>
      </c>
      <c r="AQ23" s="396" t="str">
        <f t="shared" si="22"/>
        <v/>
      </c>
      <c r="AR23" s="397"/>
    </row>
    <row r="24" spans="1:44" ht="12.75" customHeight="1">
      <c r="A24" s="53"/>
      <c r="B24" s="398"/>
      <c r="C24" s="389" t="str">
        <f t="shared" si="0"/>
        <v>Residential.</v>
      </c>
      <c r="D24" s="390"/>
      <c r="E24" s="328"/>
      <c r="F24" s="391">
        <f>IFERROR(VLOOKUP($C24,'Proposed Rates'!$B:$J,F$11,FALSE),0)</f>
        <v>0</v>
      </c>
      <c r="G24" s="392">
        <f t="shared" si="1"/>
        <v>0</v>
      </c>
      <c r="H24" s="394">
        <f t="shared" si="2"/>
        <v>0</v>
      </c>
      <c r="I24" s="138"/>
      <c r="J24" s="391">
        <f>IFERROR(VLOOKUP($C24,'Proposed Rates'!$B:$J,J$11,FALSE),0)</f>
        <v>0</v>
      </c>
      <c r="K24" s="392">
        <f t="shared" si="3"/>
        <v>0</v>
      </c>
      <c r="L24" s="394">
        <f t="shared" si="4"/>
        <v>0</v>
      </c>
      <c r="M24" s="138"/>
      <c r="N24" s="395">
        <f t="shared" si="5"/>
        <v>0</v>
      </c>
      <c r="O24" s="396" t="str">
        <f t="shared" si="6"/>
        <v/>
      </c>
      <c r="P24" s="53"/>
      <c r="Q24" s="391">
        <f>IFERROR(VLOOKUP($C24,'Proposed Rates'!$B:$J,Q$11,FALSE),0)</f>
        <v>0</v>
      </c>
      <c r="R24" s="392">
        <f t="shared" si="7"/>
        <v>0</v>
      </c>
      <c r="S24" s="394">
        <f t="shared" si="8"/>
        <v>0</v>
      </c>
      <c r="T24" s="138"/>
      <c r="U24" s="395">
        <f t="shared" si="9"/>
        <v>0</v>
      </c>
      <c r="V24" s="396" t="str">
        <f t="shared" si="10"/>
        <v/>
      </c>
      <c r="W24" s="53"/>
      <c r="X24" s="391">
        <f>IFERROR(VLOOKUP($C24,'Proposed Rates'!$B:$J,X$11,FALSE),0)</f>
        <v>0</v>
      </c>
      <c r="Y24" s="392">
        <f t="shared" si="11"/>
        <v>0</v>
      </c>
      <c r="Z24" s="394">
        <f t="shared" si="12"/>
        <v>0</v>
      </c>
      <c r="AA24" s="138"/>
      <c r="AB24" s="395">
        <f t="shared" si="13"/>
        <v>0</v>
      </c>
      <c r="AC24" s="396" t="str">
        <f t="shared" si="14"/>
        <v/>
      </c>
      <c r="AD24" s="53"/>
      <c r="AE24" s="391">
        <f>IFERROR(VLOOKUP($C24,'Proposed Rates'!$B:$J,AE$11,FALSE),0)</f>
        <v>0</v>
      </c>
      <c r="AF24" s="392">
        <f t="shared" si="15"/>
        <v>0</v>
      </c>
      <c r="AG24" s="394">
        <f t="shared" si="16"/>
        <v>0</v>
      </c>
      <c r="AH24" s="138"/>
      <c r="AI24" s="395">
        <f t="shared" si="17"/>
        <v>0</v>
      </c>
      <c r="AJ24" s="396" t="str">
        <f t="shared" si="18"/>
        <v/>
      </c>
      <c r="AK24" s="53"/>
      <c r="AL24" s="391">
        <f>IFERROR(VLOOKUP($C24,'Proposed Rates'!$B:$J,AL$11,FALSE),0)</f>
        <v>0</v>
      </c>
      <c r="AM24" s="392">
        <f t="shared" si="19"/>
        <v>0</v>
      </c>
      <c r="AN24" s="394">
        <f t="shared" si="20"/>
        <v>0</v>
      </c>
      <c r="AO24" s="138"/>
      <c r="AP24" s="395">
        <f t="shared" si="21"/>
        <v>0</v>
      </c>
      <c r="AQ24" s="396" t="str">
        <f t="shared" si="22"/>
        <v/>
      </c>
      <c r="AR24" s="397"/>
    </row>
    <row r="25" spans="1:44" ht="12.75" customHeight="1">
      <c r="A25" s="53"/>
      <c r="B25" s="398"/>
      <c r="C25" s="389" t="str">
        <f t="shared" si="0"/>
        <v>Residential.</v>
      </c>
      <c r="D25" s="390"/>
      <c r="E25" s="328"/>
      <c r="F25" s="391">
        <f>IFERROR(VLOOKUP($C25,'Proposed Rates'!$B:$J,F$11,FALSE),0)</f>
        <v>0</v>
      </c>
      <c r="G25" s="392">
        <f t="shared" si="1"/>
        <v>0</v>
      </c>
      <c r="H25" s="394">
        <f t="shared" si="2"/>
        <v>0</v>
      </c>
      <c r="I25" s="138"/>
      <c r="J25" s="391">
        <f>IFERROR(VLOOKUP($C25,'Proposed Rates'!$B:$J,J$11,FALSE),0)</f>
        <v>0</v>
      </c>
      <c r="K25" s="392">
        <f t="shared" si="3"/>
        <v>0</v>
      </c>
      <c r="L25" s="394">
        <f t="shared" si="4"/>
        <v>0</v>
      </c>
      <c r="M25" s="138"/>
      <c r="N25" s="395">
        <f t="shared" si="5"/>
        <v>0</v>
      </c>
      <c r="O25" s="396" t="str">
        <f t="shared" si="6"/>
        <v/>
      </c>
      <c r="P25" s="53"/>
      <c r="Q25" s="391">
        <f>IFERROR(VLOOKUP($C25,'Proposed Rates'!$B:$J,Q$11,FALSE),0)</f>
        <v>0</v>
      </c>
      <c r="R25" s="392">
        <f t="shared" si="7"/>
        <v>0</v>
      </c>
      <c r="S25" s="394">
        <f t="shared" si="8"/>
        <v>0</v>
      </c>
      <c r="T25" s="138"/>
      <c r="U25" s="395">
        <f t="shared" si="9"/>
        <v>0</v>
      </c>
      <c r="V25" s="396" t="str">
        <f t="shared" si="10"/>
        <v/>
      </c>
      <c r="W25" s="53"/>
      <c r="X25" s="391">
        <f>IFERROR(VLOOKUP($C25,'Proposed Rates'!$B:$J,X$11,FALSE),0)</f>
        <v>0</v>
      </c>
      <c r="Y25" s="392">
        <f t="shared" si="11"/>
        <v>0</v>
      </c>
      <c r="Z25" s="394">
        <f t="shared" si="12"/>
        <v>0</v>
      </c>
      <c r="AA25" s="138"/>
      <c r="AB25" s="395">
        <f t="shared" si="13"/>
        <v>0</v>
      </c>
      <c r="AC25" s="396" t="str">
        <f t="shared" si="14"/>
        <v/>
      </c>
      <c r="AD25" s="53"/>
      <c r="AE25" s="391">
        <f>IFERROR(VLOOKUP($C25,'Proposed Rates'!$B:$J,AE$11,FALSE),0)</f>
        <v>0</v>
      </c>
      <c r="AF25" s="392">
        <f t="shared" si="15"/>
        <v>0</v>
      </c>
      <c r="AG25" s="394">
        <f t="shared" si="16"/>
        <v>0</v>
      </c>
      <c r="AH25" s="138"/>
      <c r="AI25" s="395">
        <f t="shared" si="17"/>
        <v>0</v>
      </c>
      <c r="AJ25" s="396" t="str">
        <f t="shared" si="18"/>
        <v/>
      </c>
      <c r="AK25" s="53"/>
      <c r="AL25" s="391">
        <f>IFERROR(VLOOKUP($C25,'Proposed Rates'!$B:$J,AL$11,FALSE),0)</f>
        <v>0</v>
      </c>
      <c r="AM25" s="392">
        <f t="shared" si="19"/>
        <v>0</v>
      </c>
      <c r="AN25" s="394">
        <f t="shared" si="20"/>
        <v>0</v>
      </c>
      <c r="AO25" s="138"/>
      <c r="AP25" s="395">
        <f t="shared" si="21"/>
        <v>0</v>
      </c>
      <c r="AQ25" s="396" t="str">
        <f t="shared" si="22"/>
        <v/>
      </c>
      <c r="AR25" s="397"/>
    </row>
    <row r="26" spans="1:44" ht="12.75" customHeight="1">
      <c r="A26" s="53"/>
      <c r="B26" s="478"/>
      <c r="C26" s="389" t="str">
        <f t="shared" si="0"/>
        <v>Residential.</v>
      </c>
      <c r="D26" s="390"/>
      <c r="E26" s="328"/>
      <c r="F26" s="391">
        <f>IFERROR(VLOOKUP($C26,'Proposed Rates'!$B:$J,F$11,FALSE),0)</f>
        <v>0</v>
      </c>
      <c r="G26" s="392">
        <f t="shared" si="1"/>
        <v>0</v>
      </c>
      <c r="H26" s="394">
        <f t="shared" si="2"/>
        <v>0</v>
      </c>
      <c r="I26" s="138"/>
      <c r="J26" s="391">
        <f>IFERROR(VLOOKUP($C26,'Proposed Rates'!$B:$J,J$11,FALSE),0)</f>
        <v>0</v>
      </c>
      <c r="K26" s="392">
        <f t="shared" si="3"/>
        <v>0</v>
      </c>
      <c r="L26" s="394">
        <f t="shared" si="4"/>
        <v>0</v>
      </c>
      <c r="M26" s="138"/>
      <c r="N26" s="395">
        <f t="shared" si="5"/>
        <v>0</v>
      </c>
      <c r="O26" s="396" t="str">
        <f t="shared" si="6"/>
        <v/>
      </c>
      <c r="P26" s="53"/>
      <c r="Q26" s="391">
        <f>IFERROR(VLOOKUP($C26,'Proposed Rates'!$B:$J,Q$11,FALSE),0)</f>
        <v>0</v>
      </c>
      <c r="R26" s="392">
        <f t="shared" si="7"/>
        <v>0</v>
      </c>
      <c r="S26" s="394">
        <f t="shared" si="8"/>
        <v>0</v>
      </c>
      <c r="T26" s="138"/>
      <c r="U26" s="395">
        <f t="shared" si="9"/>
        <v>0</v>
      </c>
      <c r="V26" s="396" t="str">
        <f t="shared" si="10"/>
        <v/>
      </c>
      <c r="W26" s="53"/>
      <c r="X26" s="391">
        <f>IFERROR(VLOOKUP($C26,'Proposed Rates'!$B:$J,X$11,FALSE),0)</f>
        <v>0</v>
      </c>
      <c r="Y26" s="392">
        <f t="shared" si="11"/>
        <v>0</v>
      </c>
      <c r="Z26" s="394">
        <f t="shared" si="12"/>
        <v>0</v>
      </c>
      <c r="AA26" s="138"/>
      <c r="AB26" s="395">
        <f t="shared" si="13"/>
        <v>0</v>
      </c>
      <c r="AC26" s="396" t="str">
        <f t="shared" si="14"/>
        <v/>
      </c>
      <c r="AD26" s="53"/>
      <c r="AE26" s="391">
        <f>IFERROR(VLOOKUP($C26,'Proposed Rates'!$B:$J,AE$11,FALSE),0)</f>
        <v>0</v>
      </c>
      <c r="AF26" s="392">
        <f t="shared" si="15"/>
        <v>0</v>
      </c>
      <c r="AG26" s="394">
        <f t="shared" si="16"/>
        <v>0</v>
      </c>
      <c r="AH26" s="138"/>
      <c r="AI26" s="395">
        <f t="shared" si="17"/>
        <v>0</v>
      </c>
      <c r="AJ26" s="396" t="str">
        <f t="shared" si="18"/>
        <v/>
      </c>
      <c r="AK26" s="53"/>
      <c r="AL26" s="391">
        <f>IFERROR(VLOOKUP($C26,'Proposed Rates'!$B:$J,AL$11,FALSE),0)</f>
        <v>0</v>
      </c>
      <c r="AM26" s="392">
        <f t="shared" si="19"/>
        <v>0</v>
      </c>
      <c r="AN26" s="394">
        <f t="shared" si="20"/>
        <v>0</v>
      </c>
      <c r="AO26" s="138"/>
      <c r="AP26" s="395">
        <f t="shared" si="21"/>
        <v>0</v>
      </c>
      <c r="AQ26" s="396" t="str">
        <f t="shared" si="22"/>
        <v/>
      </c>
      <c r="AR26" s="397"/>
    </row>
    <row r="27" spans="1:44" ht="12.75" customHeight="1">
      <c r="A27" s="53"/>
      <c r="B27" s="398"/>
      <c r="C27" s="389" t="str">
        <f t="shared" si="0"/>
        <v>Residential.</v>
      </c>
      <c r="D27" s="390"/>
      <c r="E27" s="328"/>
      <c r="F27" s="391">
        <f>IFERROR(VLOOKUP($C27,'Proposed Rates'!$B:$J,F$11,FALSE),0)</f>
        <v>0</v>
      </c>
      <c r="G27" s="392">
        <f t="shared" si="1"/>
        <v>0</v>
      </c>
      <c r="H27" s="394">
        <f t="shared" si="2"/>
        <v>0</v>
      </c>
      <c r="I27" s="138"/>
      <c r="J27" s="391">
        <f>IFERROR(VLOOKUP($C27,'Proposed Rates'!$B:$J,J$11,FALSE),0)</f>
        <v>0</v>
      </c>
      <c r="K27" s="392">
        <f t="shared" si="3"/>
        <v>0</v>
      </c>
      <c r="L27" s="394">
        <f t="shared" si="4"/>
        <v>0</v>
      </c>
      <c r="M27" s="138"/>
      <c r="N27" s="395">
        <f t="shared" si="5"/>
        <v>0</v>
      </c>
      <c r="O27" s="396" t="str">
        <f t="shared" si="6"/>
        <v/>
      </c>
      <c r="P27" s="53"/>
      <c r="Q27" s="391">
        <f>IFERROR(VLOOKUP($C27,'Proposed Rates'!$B:$J,Q$11,FALSE),0)</f>
        <v>0</v>
      </c>
      <c r="R27" s="392">
        <f t="shared" si="7"/>
        <v>0</v>
      </c>
      <c r="S27" s="394">
        <f t="shared" si="8"/>
        <v>0</v>
      </c>
      <c r="T27" s="138"/>
      <c r="U27" s="395">
        <f t="shared" si="9"/>
        <v>0</v>
      </c>
      <c r="V27" s="396" t="str">
        <f t="shared" si="10"/>
        <v/>
      </c>
      <c r="W27" s="53"/>
      <c r="X27" s="391">
        <f>IFERROR(VLOOKUP($C27,'Proposed Rates'!$B:$J,X$11,FALSE),0)</f>
        <v>0</v>
      </c>
      <c r="Y27" s="392">
        <f t="shared" si="11"/>
        <v>0</v>
      </c>
      <c r="Z27" s="394">
        <f t="shared" si="12"/>
        <v>0</v>
      </c>
      <c r="AA27" s="138"/>
      <c r="AB27" s="395">
        <f t="shared" si="13"/>
        <v>0</v>
      </c>
      <c r="AC27" s="396" t="str">
        <f t="shared" si="14"/>
        <v/>
      </c>
      <c r="AD27" s="53"/>
      <c r="AE27" s="391">
        <f>IFERROR(VLOOKUP($C27,'Proposed Rates'!$B:$J,AE$11,FALSE),0)</f>
        <v>0</v>
      </c>
      <c r="AF27" s="392">
        <f t="shared" si="15"/>
        <v>0</v>
      </c>
      <c r="AG27" s="394">
        <f t="shared" si="16"/>
        <v>0</v>
      </c>
      <c r="AH27" s="138"/>
      <c r="AI27" s="395">
        <f t="shared" si="17"/>
        <v>0</v>
      </c>
      <c r="AJ27" s="396" t="str">
        <f t="shared" si="18"/>
        <v/>
      </c>
      <c r="AK27" s="53"/>
      <c r="AL27" s="391">
        <f>IFERROR(VLOOKUP($C27,'Proposed Rates'!$B:$J,AL$11,FALSE),0)</f>
        <v>0</v>
      </c>
      <c r="AM27" s="392">
        <f t="shared" si="19"/>
        <v>0</v>
      </c>
      <c r="AN27" s="394">
        <f t="shared" si="20"/>
        <v>0</v>
      </c>
      <c r="AO27" s="138"/>
      <c r="AP27" s="395">
        <f t="shared" si="21"/>
        <v>0</v>
      </c>
      <c r="AQ27" s="396" t="str">
        <f t="shared" si="22"/>
        <v/>
      </c>
      <c r="AR27" s="397"/>
    </row>
    <row r="28" spans="1:44" ht="12.75" customHeight="1">
      <c r="A28" s="53"/>
      <c r="B28" s="398"/>
      <c r="C28" s="389" t="str">
        <f t="shared" si="0"/>
        <v>Residential.</v>
      </c>
      <c r="D28" s="390"/>
      <c r="E28" s="328"/>
      <c r="F28" s="391">
        <f>IFERROR(VLOOKUP($C28,'Proposed Rates'!$B:$J,F$11,FALSE),0)</f>
        <v>0</v>
      </c>
      <c r="G28" s="392">
        <f t="shared" si="1"/>
        <v>0</v>
      </c>
      <c r="H28" s="394">
        <f t="shared" si="2"/>
        <v>0</v>
      </c>
      <c r="I28" s="138"/>
      <c r="J28" s="391">
        <f>IFERROR(VLOOKUP($C28,'Proposed Rates'!$B:$J,J$11,FALSE),0)</f>
        <v>0</v>
      </c>
      <c r="K28" s="392">
        <f t="shared" si="3"/>
        <v>0</v>
      </c>
      <c r="L28" s="394">
        <f t="shared" si="4"/>
        <v>0</v>
      </c>
      <c r="M28" s="138"/>
      <c r="N28" s="395">
        <f t="shared" si="5"/>
        <v>0</v>
      </c>
      <c r="O28" s="396" t="str">
        <f t="shared" si="6"/>
        <v/>
      </c>
      <c r="P28" s="53"/>
      <c r="Q28" s="391">
        <f>IFERROR(VLOOKUP($C28,'Proposed Rates'!$B:$J,Q$11,FALSE),0)</f>
        <v>0</v>
      </c>
      <c r="R28" s="392">
        <f t="shared" si="7"/>
        <v>0</v>
      </c>
      <c r="S28" s="394">
        <f t="shared" si="8"/>
        <v>0</v>
      </c>
      <c r="T28" s="138"/>
      <c r="U28" s="395">
        <f t="shared" si="9"/>
        <v>0</v>
      </c>
      <c r="V28" s="396" t="str">
        <f t="shared" si="10"/>
        <v/>
      </c>
      <c r="W28" s="53"/>
      <c r="X28" s="391">
        <f>IFERROR(VLOOKUP($C28,'Proposed Rates'!$B:$J,X$11,FALSE),0)</f>
        <v>0</v>
      </c>
      <c r="Y28" s="392">
        <f t="shared" si="11"/>
        <v>0</v>
      </c>
      <c r="Z28" s="394">
        <f t="shared" si="12"/>
        <v>0</v>
      </c>
      <c r="AA28" s="138"/>
      <c r="AB28" s="395">
        <f t="shared" si="13"/>
        <v>0</v>
      </c>
      <c r="AC28" s="396" t="str">
        <f t="shared" si="14"/>
        <v/>
      </c>
      <c r="AD28" s="53"/>
      <c r="AE28" s="391">
        <f>IFERROR(VLOOKUP($C28,'Proposed Rates'!$B:$J,AE$11,FALSE),0)</f>
        <v>0</v>
      </c>
      <c r="AF28" s="392">
        <f t="shared" si="15"/>
        <v>0</v>
      </c>
      <c r="AG28" s="394">
        <f t="shared" si="16"/>
        <v>0</v>
      </c>
      <c r="AH28" s="138"/>
      <c r="AI28" s="395">
        <f t="shared" si="17"/>
        <v>0</v>
      </c>
      <c r="AJ28" s="396" t="str">
        <f t="shared" si="18"/>
        <v/>
      </c>
      <c r="AK28" s="53"/>
      <c r="AL28" s="391">
        <f>IFERROR(VLOOKUP($C28,'Proposed Rates'!$B:$J,AL$11,FALSE),0)</f>
        <v>0</v>
      </c>
      <c r="AM28" s="392">
        <f t="shared" si="19"/>
        <v>0</v>
      </c>
      <c r="AN28" s="394">
        <f t="shared" si="20"/>
        <v>0</v>
      </c>
      <c r="AO28" s="138"/>
      <c r="AP28" s="395">
        <f t="shared" si="21"/>
        <v>0</v>
      </c>
      <c r="AQ28" s="396" t="str">
        <f t="shared" si="22"/>
        <v/>
      </c>
      <c r="AR28" s="397"/>
    </row>
    <row r="29" spans="1:44" ht="12.75" customHeight="1">
      <c r="A29" s="314"/>
      <c r="B29" s="399" t="s">
        <v>339</v>
      </c>
      <c r="C29" s="400"/>
      <c r="D29" s="400"/>
      <c r="E29" s="400"/>
      <c r="F29" s="401"/>
      <c r="G29" s="402"/>
      <c r="H29" s="403">
        <f>SUM(H15:H28)</f>
        <v>34.51</v>
      </c>
      <c r="I29" s="404"/>
      <c r="J29" s="401"/>
      <c r="K29" s="402"/>
      <c r="L29" s="403">
        <f>SUM(L15:L28)</f>
        <v>39.850000000000009</v>
      </c>
      <c r="M29" s="404"/>
      <c r="N29" s="405">
        <f t="shared" si="5"/>
        <v>5.3400000000000105</v>
      </c>
      <c r="O29" s="406">
        <f t="shared" si="6"/>
        <v>0.15473775717183458</v>
      </c>
      <c r="P29" s="314"/>
      <c r="Q29" s="401"/>
      <c r="R29" s="402"/>
      <c r="S29" s="403">
        <f>SUM(S15:S28)</f>
        <v>42.940000000000005</v>
      </c>
      <c r="T29" s="404"/>
      <c r="U29" s="405">
        <f t="shared" si="9"/>
        <v>3.0899999999999963</v>
      </c>
      <c r="V29" s="406">
        <f t="shared" si="10"/>
        <v>7.7540777917189357E-2</v>
      </c>
      <c r="W29" s="314"/>
      <c r="X29" s="401"/>
      <c r="Y29" s="402"/>
      <c r="Z29" s="403">
        <f>SUM(Z15:Z28)</f>
        <v>43.93</v>
      </c>
      <c r="AA29" s="404"/>
      <c r="AB29" s="405">
        <f t="shared" si="13"/>
        <v>0.98999999999999488</v>
      </c>
      <c r="AC29" s="406">
        <f t="shared" si="14"/>
        <v>2.3055426176059497E-2</v>
      </c>
      <c r="AD29" s="314"/>
      <c r="AE29" s="401"/>
      <c r="AF29" s="402"/>
      <c r="AG29" s="403">
        <f>SUM(AG15:AG28)</f>
        <v>45.42</v>
      </c>
      <c r="AH29" s="404"/>
      <c r="AI29" s="405">
        <f t="shared" si="17"/>
        <v>1.490000000000002</v>
      </c>
      <c r="AJ29" s="406">
        <f t="shared" si="18"/>
        <v>3.3917596175734165E-2</v>
      </c>
      <c r="AK29" s="314"/>
      <c r="AL29" s="401"/>
      <c r="AM29" s="402"/>
      <c r="AN29" s="403">
        <f>SUM(AN15:AN28)</f>
        <v>46.78</v>
      </c>
      <c r="AO29" s="404"/>
      <c r="AP29" s="405">
        <f t="shared" si="21"/>
        <v>1.3599999999999994</v>
      </c>
      <c r="AQ29" s="406">
        <f t="shared" si="22"/>
        <v>2.9942756494936138E-2</v>
      </c>
      <c r="AR29" s="407"/>
    </row>
    <row r="30" spans="1:44" ht="12.75" customHeight="1">
      <c r="A30" s="53"/>
      <c r="B30" s="398" t="s">
        <v>262</v>
      </c>
      <c r="C30" s="389" t="str">
        <f t="shared" ref="C30:C36" si="23">D$6&amp;"."&amp;B30</f>
        <v>Residential.DVA Disposition Rate Rider Group 1 -2025</v>
      </c>
      <c r="D30" s="390" t="s">
        <v>337</v>
      </c>
      <c r="E30" s="328"/>
      <c r="F30" s="408">
        <f>IFERROR(VLOOKUP($C30,'Proposed Rates'!$B:$J,F$11,FALSE),0)</f>
        <v>-2.0000000000000001E-4</v>
      </c>
      <c r="G30" s="409">
        <f t="shared" ref="G30:G33" si="24">IF($D30="Monthly",1,IF($D30="per KWH",$F$10,0))</f>
        <v>250</v>
      </c>
      <c r="H30" s="394">
        <f t="shared" ref="H30:H36" si="25">G30*F30</f>
        <v>-0.05</v>
      </c>
      <c r="I30" s="138"/>
      <c r="J30" s="408">
        <f>IFERROR(VLOOKUP($C30,'Proposed Rates'!$B:$J,J$11,FALSE),0)</f>
        <v>-1E-3</v>
      </c>
      <c r="K30" s="409">
        <f t="shared" ref="K30:K33" si="26">IF($D30="Monthly",1,IF($D30="per KWH",$F$10,0))</f>
        <v>250</v>
      </c>
      <c r="L30" s="410">
        <f t="shared" ref="L30:L36" si="27">K30*J30</f>
        <v>-0.25</v>
      </c>
      <c r="M30" s="138"/>
      <c r="N30" s="395">
        <f t="shared" si="5"/>
        <v>-0.2</v>
      </c>
      <c r="O30" s="396">
        <f t="shared" si="6"/>
        <v>4</v>
      </c>
      <c r="P30" s="53"/>
      <c r="Q30" s="408">
        <f>IFERROR(VLOOKUP($C30,'Proposed Rates'!$B:$J,Q$11,FALSE),0)</f>
        <v>0</v>
      </c>
      <c r="R30" s="409">
        <f t="shared" ref="R30:R33" si="28">IF($D30="Monthly",1,IF($D30="per KWH",$F$10,0))</f>
        <v>250</v>
      </c>
      <c r="S30" s="394">
        <f t="shared" ref="S30:S36" si="29">R30*Q30</f>
        <v>0</v>
      </c>
      <c r="T30" s="138"/>
      <c r="U30" s="395">
        <f t="shared" si="9"/>
        <v>0.25</v>
      </c>
      <c r="V30" s="396">
        <f t="shared" si="10"/>
        <v>-1</v>
      </c>
      <c r="W30" s="53"/>
      <c r="X30" s="408">
        <f>IFERROR(VLOOKUP($C30,'Proposed Rates'!$B:$J,X$11,FALSE),0)</f>
        <v>0</v>
      </c>
      <c r="Y30" s="409">
        <f t="shared" ref="Y30:Y33" si="30">IF($D30="Monthly",1,IF($D30="per KWH",$F$10,0))</f>
        <v>250</v>
      </c>
      <c r="Z30" s="394">
        <f t="shared" ref="Z30:Z36" si="31">Y30*X30</f>
        <v>0</v>
      </c>
      <c r="AA30" s="138"/>
      <c r="AB30" s="395">
        <f t="shared" si="13"/>
        <v>0</v>
      </c>
      <c r="AC30" s="396" t="str">
        <f t="shared" si="14"/>
        <v/>
      </c>
      <c r="AD30" s="53"/>
      <c r="AE30" s="408">
        <f>IFERROR(VLOOKUP($C30,'Proposed Rates'!$B:$J,AE$11,FALSE),0)</f>
        <v>0</v>
      </c>
      <c r="AF30" s="409">
        <f t="shared" ref="AF30:AF33" si="32">IF($D30="Monthly",1,IF($D30="per KWH",$F$10,0))</f>
        <v>250</v>
      </c>
      <c r="AG30" s="394">
        <f t="shared" ref="AG30:AG36" si="33">AF30*AE30</f>
        <v>0</v>
      </c>
      <c r="AH30" s="138"/>
      <c r="AI30" s="395">
        <f t="shared" si="17"/>
        <v>0</v>
      </c>
      <c r="AJ30" s="396" t="str">
        <f t="shared" si="18"/>
        <v/>
      </c>
      <c r="AK30" s="53"/>
      <c r="AL30" s="408">
        <f>IFERROR(VLOOKUP($C30,'Proposed Rates'!$B:$J,AL$11,FALSE),0)</f>
        <v>0</v>
      </c>
      <c r="AM30" s="409">
        <f t="shared" ref="AM30:AM33" si="34">IF($D30="Monthly",1,IF($D30="per KWH",$F$10,0))</f>
        <v>250</v>
      </c>
      <c r="AN30" s="394">
        <f t="shared" ref="AN30:AN36" si="35">AM30*AL30</f>
        <v>0</v>
      </c>
      <c r="AO30" s="138"/>
      <c r="AP30" s="395">
        <f t="shared" si="21"/>
        <v>0</v>
      </c>
      <c r="AQ30" s="396" t="str">
        <f t="shared" si="22"/>
        <v/>
      </c>
      <c r="AR30" s="397"/>
    </row>
    <row r="31" spans="1:44" ht="12.75" customHeight="1">
      <c r="A31" s="53"/>
      <c r="B31" s="478" t="s">
        <v>264</v>
      </c>
      <c r="C31" s="389" t="str">
        <f t="shared" si="23"/>
        <v>Residential.DVA Disposition Rate Rider Group 1 - 2024</v>
      </c>
      <c r="D31" s="390" t="s">
        <v>337</v>
      </c>
      <c r="E31" s="328"/>
      <c r="F31" s="408">
        <f>IFERROR(VLOOKUP($C31,'Proposed Rates'!$B:$J,F$11,FALSE),0)</f>
        <v>0</v>
      </c>
      <c r="G31" s="409">
        <f t="shared" si="24"/>
        <v>250</v>
      </c>
      <c r="H31" s="394">
        <f t="shared" si="25"/>
        <v>0</v>
      </c>
      <c r="I31" s="479"/>
      <c r="J31" s="408">
        <f>IFERROR(VLOOKUP($C31,'Proposed Rates'!$B:$J,J$11,FALSE),0)</f>
        <v>0</v>
      </c>
      <c r="K31" s="409">
        <f t="shared" si="26"/>
        <v>250</v>
      </c>
      <c r="L31" s="410">
        <f t="shared" si="27"/>
        <v>0</v>
      </c>
      <c r="M31" s="138"/>
      <c r="N31" s="395">
        <f t="shared" si="5"/>
        <v>0</v>
      </c>
      <c r="O31" s="396" t="str">
        <f t="shared" si="6"/>
        <v/>
      </c>
      <c r="P31" s="53"/>
      <c r="Q31" s="408">
        <f>IFERROR(VLOOKUP($C31,'Proposed Rates'!$B:$J,Q$11,FALSE),0)</f>
        <v>0</v>
      </c>
      <c r="R31" s="409">
        <f t="shared" si="28"/>
        <v>250</v>
      </c>
      <c r="S31" s="394">
        <f t="shared" si="29"/>
        <v>0</v>
      </c>
      <c r="T31" s="138"/>
      <c r="U31" s="395">
        <f t="shared" si="9"/>
        <v>0</v>
      </c>
      <c r="V31" s="396" t="str">
        <f t="shared" si="10"/>
        <v/>
      </c>
      <c r="W31" s="53"/>
      <c r="X31" s="408">
        <f>IFERROR(VLOOKUP($C31,'Proposed Rates'!$B:$J,X$11,FALSE),0)</f>
        <v>0</v>
      </c>
      <c r="Y31" s="409">
        <f t="shared" si="30"/>
        <v>250</v>
      </c>
      <c r="Z31" s="394">
        <f t="shared" si="31"/>
        <v>0</v>
      </c>
      <c r="AA31" s="138"/>
      <c r="AB31" s="395">
        <f t="shared" si="13"/>
        <v>0</v>
      </c>
      <c r="AC31" s="396" t="str">
        <f t="shared" si="14"/>
        <v/>
      </c>
      <c r="AD31" s="53"/>
      <c r="AE31" s="408">
        <f>IFERROR(VLOOKUP($C31,'Proposed Rates'!$B:$J,AE$11,FALSE),0)</f>
        <v>0</v>
      </c>
      <c r="AF31" s="409">
        <f t="shared" si="32"/>
        <v>250</v>
      </c>
      <c r="AG31" s="394">
        <f t="shared" si="33"/>
        <v>0</v>
      </c>
      <c r="AH31" s="138"/>
      <c r="AI31" s="395">
        <f t="shared" si="17"/>
        <v>0</v>
      </c>
      <c r="AJ31" s="396" t="str">
        <f t="shared" si="18"/>
        <v/>
      </c>
      <c r="AK31" s="53"/>
      <c r="AL31" s="408">
        <f>IFERROR(VLOOKUP($C31,'Proposed Rates'!$B:$J,AL$11,FALSE),0)</f>
        <v>0</v>
      </c>
      <c r="AM31" s="409">
        <f t="shared" si="34"/>
        <v>250</v>
      </c>
      <c r="AN31" s="394">
        <f t="shared" si="35"/>
        <v>0</v>
      </c>
      <c r="AO31" s="411"/>
      <c r="AP31" s="395"/>
      <c r="AQ31" s="396"/>
      <c r="AR31" s="397"/>
    </row>
    <row r="32" spans="1:44" ht="12.75" customHeight="1">
      <c r="A32" s="53"/>
      <c r="B32" s="478" t="s">
        <v>272</v>
      </c>
      <c r="C32" s="389" t="str">
        <f t="shared" si="23"/>
        <v>Residential.CBR Class B Rate Riders</v>
      </c>
      <c r="D32" s="390" t="s">
        <v>337</v>
      </c>
      <c r="E32" s="328"/>
      <c r="F32" s="408">
        <f>IFERROR(VLOOKUP($C32,'Proposed Rates'!$B:$J,F$11,FALSE),0)</f>
        <v>2.0000000000000001E-4</v>
      </c>
      <c r="G32" s="409">
        <f t="shared" si="24"/>
        <v>250</v>
      </c>
      <c r="H32" s="394">
        <f t="shared" si="25"/>
        <v>0.05</v>
      </c>
      <c r="I32" s="479"/>
      <c r="J32" s="408">
        <f>IFERROR(VLOOKUP($C32,'Proposed Rates'!$B:$J,J$11,FALSE),0)</f>
        <v>6.9999999999999999E-4</v>
      </c>
      <c r="K32" s="409">
        <f t="shared" si="26"/>
        <v>250</v>
      </c>
      <c r="L32" s="394">
        <f t="shared" si="27"/>
        <v>0.17499999999999999</v>
      </c>
      <c r="M32" s="411"/>
      <c r="N32" s="395">
        <f t="shared" si="5"/>
        <v>0.12499999999999999</v>
      </c>
      <c r="O32" s="396">
        <f t="shared" si="6"/>
        <v>2.4999999999999996</v>
      </c>
      <c r="P32" s="53"/>
      <c r="Q32" s="408">
        <f>IFERROR(VLOOKUP($C32,'Proposed Rates'!$B:$J,Q$11,FALSE),0)</f>
        <v>0</v>
      </c>
      <c r="R32" s="409">
        <f t="shared" si="28"/>
        <v>250</v>
      </c>
      <c r="S32" s="394">
        <f t="shared" si="29"/>
        <v>0</v>
      </c>
      <c r="T32" s="411"/>
      <c r="U32" s="395">
        <f t="shared" si="9"/>
        <v>-0.17499999999999999</v>
      </c>
      <c r="V32" s="396">
        <f t="shared" si="10"/>
        <v>-1</v>
      </c>
      <c r="W32" s="53"/>
      <c r="X32" s="408">
        <f>IFERROR(VLOOKUP($C32,'Proposed Rates'!$B:$J,X$11,FALSE),0)</f>
        <v>0</v>
      </c>
      <c r="Y32" s="409">
        <f t="shared" si="30"/>
        <v>250</v>
      </c>
      <c r="Z32" s="394">
        <f t="shared" si="31"/>
        <v>0</v>
      </c>
      <c r="AA32" s="411"/>
      <c r="AB32" s="395">
        <f t="shared" si="13"/>
        <v>0</v>
      </c>
      <c r="AC32" s="396" t="str">
        <f t="shared" si="14"/>
        <v/>
      </c>
      <c r="AD32" s="53"/>
      <c r="AE32" s="408">
        <f>IFERROR(VLOOKUP($C32,'Proposed Rates'!$B:$J,AE$11,FALSE),0)</f>
        <v>0</v>
      </c>
      <c r="AF32" s="409">
        <f t="shared" si="32"/>
        <v>250</v>
      </c>
      <c r="AG32" s="394">
        <f t="shared" si="33"/>
        <v>0</v>
      </c>
      <c r="AH32" s="411"/>
      <c r="AI32" s="395">
        <f t="shared" si="17"/>
        <v>0</v>
      </c>
      <c r="AJ32" s="396" t="str">
        <f t="shared" si="18"/>
        <v/>
      </c>
      <c r="AK32" s="53"/>
      <c r="AL32" s="408">
        <f>IFERROR(VLOOKUP($C32,'Proposed Rates'!$B:$J,AL$11,FALSE),0)</f>
        <v>0</v>
      </c>
      <c r="AM32" s="409">
        <f t="shared" si="34"/>
        <v>250</v>
      </c>
      <c r="AN32" s="394">
        <f t="shared" si="35"/>
        <v>0</v>
      </c>
      <c r="AO32" s="411"/>
      <c r="AP32" s="395">
        <f t="shared" ref="AP32:AP48" si="36">AN32-AG32</f>
        <v>0</v>
      </c>
      <c r="AQ32" s="396" t="str">
        <f t="shared" ref="AQ32:AQ48" si="37">IF((AG32)=0,"",(AP32/AG32))</f>
        <v/>
      </c>
      <c r="AR32" s="397"/>
    </row>
    <row r="33" spans="1:44" ht="12.75" customHeight="1">
      <c r="A33" s="53"/>
      <c r="B33" s="478" t="s">
        <v>340</v>
      </c>
      <c r="C33" s="389" t="str">
        <f t="shared" si="23"/>
        <v>Residential.GA Disposition Rate Rider-NonRPP</v>
      </c>
      <c r="D33" s="390" t="s">
        <v>337</v>
      </c>
      <c r="E33" s="328"/>
      <c r="F33" s="408">
        <f>IFERROR(VLOOKUP($C33,'Proposed Rates'!$B:$J,F$11,FALSE),0)</f>
        <v>0</v>
      </c>
      <c r="G33" s="409">
        <f t="shared" si="24"/>
        <v>250</v>
      </c>
      <c r="H33" s="394">
        <f t="shared" si="25"/>
        <v>0</v>
      </c>
      <c r="I33" s="479"/>
      <c r="J33" s="408">
        <f>IFERROR(VLOOKUP($C33,'Proposed Rates'!$B:$J,J$11,FALSE),0)</f>
        <v>0</v>
      </c>
      <c r="K33" s="409">
        <f t="shared" si="26"/>
        <v>250</v>
      </c>
      <c r="L33" s="394">
        <f t="shared" si="27"/>
        <v>0</v>
      </c>
      <c r="M33" s="411"/>
      <c r="N33" s="395">
        <f t="shared" si="5"/>
        <v>0</v>
      </c>
      <c r="O33" s="396" t="str">
        <f t="shared" si="6"/>
        <v/>
      </c>
      <c r="P33" s="53"/>
      <c r="Q33" s="408">
        <f>IFERROR(VLOOKUP($C33,'Proposed Rates'!$B:$J,Q$11,FALSE),0)</f>
        <v>0</v>
      </c>
      <c r="R33" s="409">
        <f t="shared" si="28"/>
        <v>250</v>
      </c>
      <c r="S33" s="394">
        <f t="shared" si="29"/>
        <v>0</v>
      </c>
      <c r="T33" s="411"/>
      <c r="U33" s="395">
        <f t="shared" si="9"/>
        <v>0</v>
      </c>
      <c r="V33" s="396" t="str">
        <f t="shared" si="10"/>
        <v/>
      </c>
      <c r="W33" s="53"/>
      <c r="X33" s="408">
        <f>IFERROR(VLOOKUP($C33,'Proposed Rates'!$B:$J,X$11,FALSE),0)</f>
        <v>0</v>
      </c>
      <c r="Y33" s="409">
        <f t="shared" si="30"/>
        <v>250</v>
      </c>
      <c r="Z33" s="394">
        <f t="shared" si="31"/>
        <v>0</v>
      </c>
      <c r="AA33" s="411"/>
      <c r="AB33" s="395">
        <f t="shared" si="13"/>
        <v>0</v>
      </c>
      <c r="AC33" s="396" t="str">
        <f t="shared" si="14"/>
        <v/>
      </c>
      <c r="AD33" s="53"/>
      <c r="AE33" s="408">
        <f>IFERROR(VLOOKUP($C33,'Proposed Rates'!$B:$J,AE$11,FALSE),0)</f>
        <v>0</v>
      </c>
      <c r="AF33" s="409">
        <f t="shared" si="32"/>
        <v>250</v>
      </c>
      <c r="AG33" s="394">
        <f t="shared" si="33"/>
        <v>0</v>
      </c>
      <c r="AH33" s="411"/>
      <c r="AI33" s="395">
        <f t="shared" si="17"/>
        <v>0</v>
      </c>
      <c r="AJ33" s="396" t="str">
        <f t="shared" si="18"/>
        <v/>
      </c>
      <c r="AK33" s="53"/>
      <c r="AL33" s="408">
        <f>IFERROR(VLOOKUP($C33,'Proposed Rates'!$B:$J,AL$11,FALSE),0)</f>
        <v>0</v>
      </c>
      <c r="AM33" s="409">
        <f t="shared" si="34"/>
        <v>250</v>
      </c>
      <c r="AN33" s="394">
        <f t="shared" si="35"/>
        <v>0</v>
      </c>
      <c r="AO33" s="411"/>
      <c r="AP33" s="395">
        <f t="shared" si="36"/>
        <v>0</v>
      </c>
      <c r="AQ33" s="396" t="str">
        <f t="shared" si="37"/>
        <v/>
      </c>
      <c r="AR33" s="397"/>
    </row>
    <row r="34" spans="1:44" ht="12.75" customHeight="1">
      <c r="A34" s="53"/>
      <c r="B34" s="328" t="s">
        <v>300</v>
      </c>
      <c r="C34" s="389" t="str">
        <f t="shared" si="23"/>
        <v>Residential.Low Voltage Service Charge</v>
      </c>
      <c r="D34" s="390" t="s">
        <v>337</v>
      </c>
      <c r="E34" s="328"/>
      <c r="F34" s="412">
        <f>IFERROR(VLOOKUP($C34,'Proposed Rates'!$B:$J,F$11,FALSE),0)</f>
        <v>5.0000000000000002E-5</v>
      </c>
      <c r="G34" s="413">
        <f>$F$10*(1+F$63)</f>
        <v>258.45</v>
      </c>
      <c r="H34" s="394">
        <f t="shared" si="25"/>
        <v>1.29225E-2</v>
      </c>
      <c r="I34" s="138"/>
      <c r="J34" s="412">
        <f>IFERROR(VLOOKUP($C34,'Proposed Rates'!$B:$J,J$11,FALSE),0)</f>
        <v>6.9999999999999994E-5</v>
      </c>
      <c r="K34" s="413">
        <f>$F$10*(1+J$63)</f>
        <v>258.29999999999995</v>
      </c>
      <c r="L34" s="394">
        <f t="shared" si="27"/>
        <v>1.8080999999999996E-2</v>
      </c>
      <c r="M34" s="138"/>
      <c r="N34" s="395">
        <f t="shared" si="5"/>
        <v>5.1584999999999964E-3</v>
      </c>
      <c r="O34" s="396">
        <f t="shared" si="6"/>
        <v>0.3991874637260589</v>
      </c>
      <c r="P34" s="53"/>
      <c r="Q34" s="412">
        <f>IFERROR(VLOOKUP($C34,'Proposed Rates'!$B:$J,Q$11,FALSE),0)</f>
        <v>6.9999999999999994E-5</v>
      </c>
      <c r="R34" s="413">
        <f>$F$10*(1+Q$63)</f>
        <v>258.29999999999995</v>
      </c>
      <c r="S34" s="394">
        <f t="shared" si="29"/>
        <v>1.8080999999999996E-2</v>
      </c>
      <c r="T34" s="138"/>
      <c r="U34" s="395">
        <f t="shared" si="9"/>
        <v>0</v>
      </c>
      <c r="V34" s="396">
        <f t="shared" si="10"/>
        <v>0</v>
      </c>
      <c r="W34" s="53"/>
      <c r="X34" s="412">
        <f>IFERROR(VLOOKUP($C34,'Proposed Rates'!$B:$J,X$11,FALSE),0)</f>
        <v>8.0000000000000007E-5</v>
      </c>
      <c r="Y34" s="413">
        <f>$F$10*(1+X$63)</f>
        <v>258.29999999999995</v>
      </c>
      <c r="Z34" s="394">
        <f t="shared" si="31"/>
        <v>2.0663999999999998E-2</v>
      </c>
      <c r="AA34" s="138"/>
      <c r="AB34" s="395">
        <f t="shared" si="13"/>
        <v>2.583000000000002E-3</v>
      </c>
      <c r="AC34" s="396">
        <f t="shared" si="14"/>
        <v>0.14285714285714299</v>
      </c>
      <c r="AD34" s="53"/>
      <c r="AE34" s="412">
        <f>IFERROR(VLOOKUP($C34,'Proposed Rates'!$B:$J,AE$11,FALSE),0)</f>
        <v>8.0000000000000007E-5</v>
      </c>
      <c r="AF34" s="413">
        <f>$F$10*(1+AE$63)</f>
        <v>258.29999999999995</v>
      </c>
      <c r="AG34" s="394">
        <f t="shared" si="33"/>
        <v>2.0663999999999998E-2</v>
      </c>
      <c r="AH34" s="138"/>
      <c r="AI34" s="395">
        <f t="shared" si="17"/>
        <v>0</v>
      </c>
      <c r="AJ34" s="396">
        <f t="shared" si="18"/>
        <v>0</v>
      </c>
      <c r="AK34" s="53"/>
      <c r="AL34" s="412">
        <f>IFERROR(VLOOKUP($C34,'Proposed Rates'!$B:$J,AL$11,FALSE),0)</f>
        <v>8.0000000000000007E-5</v>
      </c>
      <c r="AM34" s="413">
        <f>$F$10*(1+AL$63)</f>
        <v>258.29999999999995</v>
      </c>
      <c r="AN34" s="394">
        <f t="shared" si="35"/>
        <v>2.0663999999999998E-2</v>
      </c>
      <c r="AO34" s="138"/>
      <c r="AP34" s="395">
        <f t="shared" si="36"/>
        <v>0</v>
      </c>
      <c r="AQ34" s="396">
        <f t="shared" si="37"/>
        <v>0</v>
      </c>
      <c r="AR34" s="397"/>
    </row>
    <row r="35" spans="1:44" ht="12.75" customHeight="1">
      <c r="A35" s="53"/>
      <c r="B35" s="328" t="s">
        <v>341</v>
      </c>
      <c r="C35" s="389" t="str">
        <f t="shared" si="23"/>
        <v>Residential.Line Losses on Cost of Power</v>
      </c>
      <c r="D35" s="390" t="s">
        <v>337</v>
      </c>
      <c r="E35" s="328"/>
      <c r="F35" s="414">
        <f>'Proposed Rates'!$K$256*F$44+'Proposed Rates'!$K$257*F$45+'Proposed Rates'!$K$258*F$46</f>
        <v>0.12752000000000002</v>
      </c>
      <c r="G35" s="415">
        <f>$F$10*(1+F$63)-$F$10</f>
        <v>8.4499999999999886</v>
      </c>
      <c r="H35" s="394">
        <f t="shared" si="25"/>
        <v>1.0775439999999987</v>
      </c>
      <c r="I35" s="138"/>
      <c r="J35" s="414">
        <f>'Proposed Rates'!$K$256*J$44+'Proposed Rates'!$K$257*J$45+'Proposed Rates'!$K$258*J$46</f>
        <v>0.12752000000000002</v>
      </c>
      <c r="K35" s="415">
        <f>$F$10*(1+J$63)-$F$10</f>
        <v>8.2999999999999545</v>
      </c>
      <c r="L35" s="394">
        <f t="shared" si="27"/>
        <v>1.0584159999999945</v>
      </c>
      <c r="M35" s="138"/>
      <c r="N35" s="395">
        <f t="shared" si="5"/>
        <v>-1.9128000000004253E-2</v>
      </c>
      <c r="O35" s="396">
        <f t="shared" si="6"/>
        <v>-1.7751479289944794E-2</v>
      </c>
      <c r="P35" s="53"/>
      <c r="Q35" s="414">
        <f>'Proposed Rates'!$K$256*Q$44+'Proposed Rates'!$K$257*Q$45+'Proposed Rates'!$K$258*Q$46</f>
        <v>0.12752000000000002</v>
      </c>
      <c r="R35" s="415">
        <f>$F$10*(1+Q$63)-$F$10</f>
        <v>8.2999999999999545</v>
      </c>
      <c r="S35" s="394">
        <f t="shared" si="29"/>
        <v>1.0584159999999945</v>
      </c>
      <c r="T35" s="138"/>
      <c r="U35" s="395">
        <f t="shared" si="9"/>
        <v>0</v>
      </c>
      <c r="V35" s="396">
        <f t="shared" si="10"/>
        <v>0</v>
      </c>
      <c r="W35" s="53"/>
      <c r="X35" s="414">
        <f>'Proposed Rates'!$K$256*X$44+'Proposed Rates'!$K$257*X$45+'Proposed Rates'!$K$258*X$46</f>
        <v>0.12752000000000002</v>
      </c>
      <c r="Y35" s="415">
        <f>$F$10*(1+X$63)-$F$10</f>
        <v>8.2999999999999545</v>
      </c>
      <c r="Z35" s="394">
        <f t="shared" si="31"/>
        <v>1.0584159999999945</v>
      </c>
      <c r="AA35" s="138"/>
      <c r="AB35" s="395">
        <f t="shared" si="13"/>
        <v>0</v>
      </c>
      <c r="AC35" s="396">
        <f t="shared" si="14"/>
        <v>0</v>
      </c>
      <c r="AD35" s="53"/>
      <c r="AE35" s="414">
        <f>'Proposed Rates'!$K$256*AE$44+'Proposed Rates'!$K$257*AE$45+'Proposed Rates'!$K$258*AE$46</f>
        <v>0.12752000000000002</v>
      </c>
      <c r="AF35" s="415">
        <f>$F$10*(1+AE$63)-$F$10</f>
        <v>8.2999999999999545</v>
      </c>
      <c r="AG35" s="394">
        <f t="shared" si="33"/>
        <v>1.0584159999999945</v>
      </c>
      <c r="AH35" s="138"/>
      <c r="AI35" s="395">
        <f t="shared" si="17"/>
        <v>0</v>
      </c>
      <c r="AJ35" s="396">
        <f t="shared" si="18"/>
        <v>0</v>
      </c>
      <c r="AK35" s="53"/>
      <c r="AL35" s="414">
        <f>'Proposed Rates'!$K$256*AL$44+'Proposed Rates'!$K$257*AL$45+'Proposed Rates'!$K$258*AL$46</f>
        <v>0.12752000000000002</v>
      </c>
      <c r="AM35" s="415">
        <f>$F$10*(1+AL$63)-$F$10</f>
        <v>8.2999999999999545</v>
      </c>
      <c r="AN35" s="394">
        <f t="shared" si="35"/>
        <v>1.0584159999999945</v>
      </c>
      <c r="AO35" s="138"/>
      <c r="AP35" s="395">
        <f t="shared" si="36"/>
        <v>0</v>
      </c>
      <c r="AQ35" s="396">
        <f t="shared" si="37"/>
        <v>0</v>
      </c>
      <c r="AR35" s="397"/>
    </row>
    <row r="36" spans="1:44" ht="12.75" customHeight="1">
      <c r="A36" s="53"/>
      <c r="B36" s="328" t="s">
        <v>302</v>
      </c>
      <c r="C36" s="389" t="str">
        <f t="shared" si="23"/>
        <v>Residential.Smart Meter Entity Charge</v>
      </c>
      <c r="D36" s="390" t="s">
        <v>335</v>
      </c>
      <c r="E36" s="328"/>
      <c r="F36" s="391">
        <f>IFERROR(VLOOKUP($C36,'Proposed Rates'!$B:$J,F$11,FALSE),0)</f>
        <v>0.42</v>
      </c>
      <c r="G36" s="409">
        <f>IF($D36="Monthly",1,IF($D36="per KWH",$F$10,0))</f>
        <v>1</v>
      </c>
      <c r="H36" s="394">
        <f t="shared" si="25"/>
        <v>0.42</v>
      </c>
      <c r="I36" s="138"/>
      <c r="J36" s="391">
        <f>IFERROR(VLOOKUP($C36,'Proposed Rates'!$B:$J,J$11,FALSE),0)</f>
        <v>0.42</v>
      </c>
      <c r="K36" s="409">
        <f>IF($D36="Monthly",1,IF($D36="per KWH",$F$10,0))</f>
        <v>1</v>
      </c>
      <c r="L36" s="394">
        <f t="shared" si="27"/>
        <v>0.42</v>
      </c>
      <c r="M36" s="138"/>
      <c r="N36" s="395">
        <f t="shared" si="5"/>
        <v>0</v>
      </c>
      <c r="O36" s="396">
        <f t="shared" si="6"/>
        <v>0</v>
      </c>
      <c r="P36" s="53"/>
      <c r="Q36" s="391">
        <f>IFERROR(VLOOKUP($C36,'Proposed Rates'!$B:$J,Q$11,FALSE),0)</f>
        <v>0.42</v>
      </c>
      <c r="R36" s="409">
        <f>IF($D36="Monthly",1,IF($D36="per KWH",$F$10,0))</f>
        <v>1</v>
      </c>
      <c r="S36" s="394">
        <f t="shared" si="29"/>
        <v>0.42</v>
      </c>
      <c r="T36" s="138"/>
      <c r="U36" s="395">
        <f t="shared" si="9"/>
        <v>0</v>
      </c>
      <c r="V36" s="396">
        <f t="shared" si="10"/>
        <v>0</v>
      </c>
      <c r="W36" s="53"/>
      <c r="X36" s="391">
        <f>IFERROR(VLOOKUP($C36,'Proposed Rates'!$B:$J,X$11,FALSE),0)</f>
        <v>0.43</v>
      </c>
      <c r="Y36" s="409">
        <f>IF($D36="Monthly",1,IF($D36="per KWH",$F$10,0))</f>
        <v>1</v>
      </c>
      <c r="Z36" s="394">
        <f t="shared" si="31"/>
        <v>0.43</v>
      </c>
      <c r="AA36" s="138"/>
      <c r="AB36" s="395">
        <f t="shared" si="13"/>
        <v>1.0000000000000009E-2</v>
      </c>
      <c r="AC36" s="396">
        <f t="shared" si="14"/>
        <v>2.3809523809523832E-2</v>
      </c>
      <c r="AD36" s="53"/>
      <c r="AE36" s="391">
        <f>IFERROR(VLOOKUP($C36,'Proposed Rates'!$B:$J,AE$11,FALSE),0)</f>
        <v>0.44</v>
      </c>
      <c r="AF36" s="409">
        <f>IF($D36="Monthly",1,IF($D36="per KWH",$F$10,0))</f>
        <v>1</v>
      </c>
      <c r="AG36" s="394">
        <f t="shared" si="33"/>
        <v>0.44</v>
      </c>
      <c r="AH36" s="138"/>
      <c r="AI36" s="395">
        <f t="shared" si="17"/>
        <v>1.0000000000000009E-2</v>
      </c>
      <c r="AJ36" s="396">
        <f t="shared" si="18"/>
        <v>2.3255813953488393E-2</v>
      </c>
      <c r="AK36" s="53"/>
      <c r="AL36" s="391">
        <f>IFERROR(VLOOKUP($C36,'Proposed Rates'!$B:$J,AL$11,FALSE),0)</f>
        <v>0.45</v>
      </c>
      <c r="AM36" s="409">
        <f>IF($D36="Monthly",1,IF($D36="per KWH",$F$10,0))</f>
        <v>1</v>
      </c>
      <c r="AN36" s="394">
        <f t="shared" si="35"/>
        <v>0.45</v>
      </c>
      <c r="AO36" s="138"/>
      <c r="AP36" s="395">
        <f t="shared" si="36"/>
        <v>1.0000000000000009E-2</v>
      </c>
      <c r="AQ36" s="396">
        <f t="shared" si="37"/>
        <v>2.2727272727272749E-2</v>
      </c>
      <c r="AR36" s="397"/>
    </row>
    <row r="37" spans="1:44" ht="12.75" customHeight="1">
      <c r="A37" s="53"/>
      <c r="B37" s="480" t="s">
        <v>342</v>
      </c>
      <c r="C37" s="416"/>
      <c r="D37" s="416"/>
      <c r="E37" s="416"/>
      <c r="F37" s="417"/>
      <c r="G37" s="418"/>
      <c r="H37" s="403">
        <f>SUM(H30:H36)+H29</f>
        <v>36.020466499999998</v>
      </c>
      <c r="I37" s="419"/>
      <c r="J37" s="417"/>
      <c r="K37" s="418"/>
      <c r="L37" s="403">
        <f>SUM(L30:L36)+L29</f>
        <v>41.271497000000004</v>
      </c>
      <c r="M37" s="419"/>
      <c r="N37" s="405">
        <f t="shared" si="5"/>
        <v>5.2510305000000059</v>
      </c>
      <c r="O37" s="406">
        <f t="shared" si="6"/>
        <v>0.14577908090113176</v>
      </c>
      <c r="P37" s="53"/>
      <c r="Q37" s="417"/>
      <c r="R37" s="418"/>
      <c r="S37" s="403">
        <f>SUM(S30:S36)+S29</f>
        <v>44.436497000000003</v>
      </c>
      <c r="T37" s="419"/>
      <c r="U37" s="405">
        <f t="shared" si="9"/>
        <v>3.1649999999999991</v>
      </c>
      <c r="V37" s="406">
        <f t="shared" si="10"/>
        <v>7.6687307950084743E-2</v>
      </c>
      <c r="W37" s="53"/>
      <c r="X37" s="417"/>
      <c r="Y37" s="418"/>
      <c r="Z37" s="403">
        <f>SUM(Z30:Z36)+Z29</f>
        <v>45.439079999999997</v>
      </c>
      <c r="AA37" s="419"/>
      <c r="AB37" s="405">
        <f t="shared" si="13"/>
        <v>1.0025829999999942</v>
      </c>
      <c r="AC37" s="406">
        <f t="shared" si="14"/>
        <v>2.2562152007616489E-2</v>
      </c>
      <c r="AD37" s="53"/>
      <c r="AE37" s="417"/>
      <c r="AF37" s="418"/>
      <c r="AG37" s="403">
        <f>SUM(AG30:AG36)+AG29</f>
        <v>46.939079999999997</v>
      </c>
      <c r="AH37" s="419"/>
      <c r="AI37" s="405">
        <f t="shared" si="17"/>
        <v>1.5</v>
      </c>
      <c r="AJ37" s="406">
        <f t="shared" si="18"/>
        <v>3.3011231741487727E-2</v>
      </c>
      <c r="AK37" s="53"/>
      <c r="AL37" s="417"/>
      <c r="AM37" s="418"/>
      <c r="AN37" s="403">
        <f>SUM(AN30:AN36)+AN29</f>
        <v>48.309079999999994</v>
      </c>
      <c r="AO37" s="419"/>
      <c r="AP37" s="405">
        <f t="shared" si="36"/>
        <v>1.3699999999999974</v>
      </c>
      <c r="AQ37" s="406">
        <f t="shared" si="37"/>
        <v>2.9186767188449318E-2</v>
      </c>
      <c r="AR37" s="407"/>
    </row>
    <row r="38" spans="1:44" ht="12.75" customHeight="1">
      <c r="A38" s="53"/>
      <c r="B38" s="138" t="s">
        <v>285</v>
      </c>
      <c r="C38" s="389" t="str">
        <f t="shared" ref="C38:C39" si="38">D$6&amp;"."&amp;B38</f>
        <v>Residential.RTSR - Network</v>
      </c>
      <c r="D38" s="420" t="s">
        <v>337</v>
      </c>
      <c r="E38" s="138"/>
      <c r="F38" s="408">
        <f>IFERROR(VLOOKUP($C38,'Proposed Rates'!$B:$J,F$11,FALSE),0)</f>
        <v>1.26E-2</v>
      </c>
      <c r="G38" s="413">
        <f t="shared" ref="G38:G39" si="39">$F$10*(1+F$63)</f>
        <v>258.45</v>
      </c>
      <c r="H38" s="394">
        <f t="shared" ref="H38:H39" si="40">G38*F38</f>
        <v>3.2564699999999998</v>
      </c>
      <c r="I38" s="138"/>
      <c r="J38" s="408">
        <f>IFERROR(VLOOKUP($C38,'Proposed Rates'!$B:$J,J$11,FALSE),0)</f>
        <v>1.38E-2</v>
      </c>
      <c r="K38" s="413">
        <f t="shared" ref="K38:K39" si="41">$F$10*(1+J$63)</f>
        <v>258.29999999999995</v>
      </c>
      <c r="L38" s="394">
        <f t="shared" ref="L38:L39" si="42">K38*J38</f>
        <v>3.5645399999999992</v>
      </c>
      <c r="M38" s="138"/>
      <c r="N38" s="395">
        <f t="shared" si="5"/>
        <v>0.3080699999999994</v>
      </c>
      <c r="O38" s="396">
        <f t="shared" si="6"/>
        <v>9.4602437608821643E-2</v>
      </c>
      <c r="P38" s="53"/>
      <c r="Q38" s="408">
        <f>IFERROR(VLOOKUP($C38,'Proposed Rates'!$B:$J,Q$11,FALSE),0)</f>
        <v>1.38E-2</v>
      </c>
      <c r="R38" s="413">
        <f t="shared" ref="R38:R39" si="43">$F$10*(1+Q$63)</f>
        <v>258.29999999999995</v>
      </c>
      <c r="S38" s="394">
        <f t="shared" ref="S38:S39" si="44">R38*Q38</f>
        <v>3.5645399999999992</v>
      </c>
      <c r="T38" s="138"/>
      <c r="U38" s="395">
        <f t="shared" si="9"/>
        <v>0</v>
      </c>
      <c r="V38" s="396">
        <f t="shared" si="10"/>
        <v>0</v>
      </c>
      <c r="W38" s="53"/>
      <c r="X38" s="408">
        <f>IFERROR(VLOOKUP($C38,'Proposed Rates'!$B:$J,X$11,FALSE),0)</f>
        <v>1.38E-2</v>
      </c>
      <c r="Y38" s="413">
        <f t="shared" ref="Y38:Y39" si="45">$F$10*(1+X$63)</f>
        <v>258.29999999999995</v>
      </c>
      <c r="Z38" s="394">
        <f t="shared" ref="Z38:Z39" si="46">Y38*X38</f>
        <v>3.5645399999999992</v>
      </c>
      <c r="AA38" s="138"/>
      <c r="AB38" s="395">
        <f t="shared" si="13"/>
        <v>0</v>
      </c>
      <c r="AC38" s="396">
        <f t="shared" si="14"/>
        <v>0</v>
      </c>
      <c r="AD38" s="53"/>
      <c r="AE38" s="408">
        <f>IFERROR(VLOOKUP($C38,'Proposed Rates'!$B:$J,AE$11,FALSE),0)</f>
        <v>1.38E-2</v>
      </c>
      <c r="AF38" s="413">
        <f t="shared" ref="AF38:AF39" si="47">$F$10*(1+AE$63)</f>
        <v>258.29999999999995</v>
      </c>
      <c r="AG38" s="394">
        <f t="shared" ref="AG38:AG39" si="48">AF38*AE38</f>
        <v>3.5645399999999992</v>
      </c>
      <c r="AH38" s="138"/>
      <c r="AI38" s="395">
        <f t="shared" si="17"/>
        <v>0</v>
      </c>
      <c r="AJ38" s="396">
        <f t="shared" si="18"/>
        <v>0</v>
      </c>
      <c r="AK38" s="53"/>
      <c r="AL38" s="408">
        <f>IFERROR(VLOOKUP($C38,'Proposed Rates'!$B:$J,AL$11,FALSE),0)</f>
        <v>1.38E-2</v>
      </c>
      <c r="AM38" s="413">
        <f t="shared" ref="AM38:AM39" si="49">$F$10*(1+AL$63)</f>
        <v>258.29999999999995</v>
      </c>
      <c r="AN38" s="394">
        <f t="shared" ref="AN38:AN39" si="50">AM38*AL38</f>
        <v>3.5645399999999992</v>
      </c>
      <c r="AO38" s="138"/>
      <c r="AP38" s="395">
        <f t="shared" si="36"/>
        <v>0</v>
      </c>
      <c r="AQ38" s="396">
        <f t="shared" si="37"/>
        <v>0</v>
      </c>
      <c r="AR38" s="397"/>
    </row>
    <row r="39" spans="1:44" ht="12.75" customHeight="1">
      <c r="A39" s="53"/>
      <c r="B39" s="481" t="s">
        <v>288</v>
      </c>
      <c r="C39" s="389" t="str">
        <f t="shared" si="38"/>
        <v>Residential.RTSR - Line and Transformation Connection</v>
      </c>
      <c r="D39" s="420" t="s">
        <v>337</v>
      </c>
      <c r="E39" s="138"/>
      <c r="F39" s="408">
        <f>IFERROR(VLOOKUP($C39,'Proposed Rates'!$B:$J,F$11,FALSE),0)</f>
        <v>7.1999999999999998E-3</v>
      </c>
      <c r="G39" s="413">
        <f t="shared" si="39"/>
        <v>258.45</v>
      </c>
      <c r="H39" s="394">
        <f t="shared" si="40"/>
        <v>1.8608399999999998</v>
      </c>
      <c r="I39" s="138"/>
      <c r="J39" s="408">
        <f>IFERROR(VLOOKUP($C39,'Proposed Rates'!$B:$J,J$11,FALSE),0)</f>
        <v>7.7999999999999996E-3</v>
      </c>
      <c r="K39" s="413">
        <f t="shared" si="41"/>
        <v>258.29999999999995</v>
      </c>
      <c r="L39" s="394">
        <f t="shared" si="42"/>
        <v>2.0147399999999998</v>
      </c>
      <c r="M39" s="138"/>
      <c r="N39" s="395">
        <f t="shared" si="5"/>
        <v>0.15389999999999993</v>
      </c>
      <c r="O39" s="396">
        <f t="shared" si="6"/>
        <v>8.2704585026117203E-2</v>
      </c>
      <c r="P39" s="53"/>
      <c r="Q39" s="408">
        <f>IFERROR(VLOOKUP($C39,'Proposed Rates'!$B:$J,Q$11,FALSE),0)</f>
        <v>7.7999999999999996E-3</v>
      </c>
      <c r="R39" s="413">
        <f t="shared" si="43"/>
        <v>258.29999999999995</v>
      </c>
      <c r="S39" s="394">
        <f t="shared" si="44"/>
        <v>2.0147399999999998</v>
      </c>
      <c r="T39" s="138"/>
      <c r="U39" s="395">
        <f t="shared" si="9"/>
        <v>0</v>
      </c>
      <c r="V39" s="396">
        <f t="shared" si="10"/>
        <v>0</v>
      </c>
      <c r="W39" s="53"/>
      <c r="X39" s="408">
        <f>IFERROR(VLOOKUP($C39,'Proposed Rates'!$B:$J,X$11,FALSE),0)</f>
        <v>7.7999999999999996E-3</v>
      </c>
      <c r="Y39" s="413">
        <f t="shared" si="45"/>
        <v>258.29999999999995</v>
      </c>
      <c r="Z39" s="394">
        <f t="shared" si="46"/>
        <v>2.0147399999999998</v>
      </c>
      <c r="AA39" s="138"/>
      <c r="AB39" s="395">
        <f t="shared" si="13"/>
        <v>0</v>
      </c>
      <c r="AC39" s="396">
        <f t="shared" si="14"/>
        <v>0</v>
      </c>
      <c r="AD39" s="53"/>
      <c r="AE39" s="408">
        <f>IFERROR(VLOOKUP($C39,'Proposed Rates'!$B:$J,AE$11,FALSE),0)</f>
        <v>7.7999999999999996E-3</v>
      </c>
      <c r="AF39" s="413">
        <f t="shared" si="47"/>
        <v>258.29999999999995</v>
      </c>
      <c r="AG39" s="394">
        <f t="shared" si="48"/>
        <v>2.0147399999999998</v>
      </c>
      <c r="AH39" s="138"/>
      <c r="AI39" s="395">
        <f t="shared" si="17"/>
        <v>0</v>
      </c>
      <c r="AJ39" s="396">
        <f t="shared" si="18"/>
        <v>0</v>
      </c>
      <c r="AK39" s="53"/>
      <c r="AL39" s="408">
        <f>IFERROR(VLOOKUP($C39,'Proposed Rates'!$B:$J,AL$11,FALSE),0)</f>
        <v>7.7999999999999996E-3</v>
      </c>
      <c r="AM39" s="413">
        <f t="shared" si="49"/>
        <v>258.29999999999995</v>
      </c>
      <c r="AN39" s="394">
        <f t="shared" si="50"/>
        <v>2.0147399999999998</v>
      </c>
      <c r="AO39" s="138"/>
      <c r="AP39" s="395">
        <f t="shared" si="36"/>
        <v>0</v>
      </c>
      <c r="AQ39" s="396">
        <f t="shared" si="37"/>
        <v>0</v>
      </c>
      <c r="AR39" s="397"/>
    </row>
    <row r="40" spans="1:44" ht="12.75" customHeight="1">
      <c r="A40" s="53"/>
      <c r="B40" s="480" t="s">
        <v>343</v>
      </c>
      <c r="C40" s="421"/>
      <c r="D40" s="421"/>
      <c r="E40" s="421"/>
      <c r="F40" s="422"/>
      <c r="G40" s="423"/>
      <c r="H40" s="403">
        <f>SUM(H37:H39)</f>
        <v>41.137776500000001</v>
      </c>
      <c r="I40" s="404"/>
      <c r="J40" s="422"/>
      <c r="K40" s="423"/>
      <c r="L40" s="403">
        <f>SUM(L37:L39)</f>
        <v>46.850777000000008</v>
      </c>
      <c r="M40" s="404"/>
      <c r="N40" s="405">
        <f t="shared" si="5"/>
        <v>5.7130005000000068</v>
      </c>
      <c r="O40" s="406">
        <f t="shared" si="6"/>
        <v>0.13887480039180064</v>
      </c>
      <c r="P40" s="53"/>
      <c r="Q40" s="422"/>
      <c r="R40" s="423"/>
      <c r="S40" s="403">
        <f>SUM(S37:S39)</f>
        <v>50.015777</v>
      </c>
      <c r="T40" s="404"/>
      <c r="U40" s="405">
        <f t="shared" si="9"/>
        <v>3.164999999999992</v>
      </c>
      <c r="V40" s="406">
        <f t="shared" si="10"/>
        <v>6.7554909494883963E-2</v>
      </c>
      <c r="W40" s="53"/>
      <c r="X40" s="422"/>
      <c r="Y40" s="423"/>
      <c r="Z40" s="403">
        <f>SUM(Z37:Z39)</f>
        <v>51.018360000000001</v>
      </c>
      <c r="AA40" s="404"/>
      <c r="AB40" s="405">
        <f t="shared" si="13"/>
        <v>1.0025830000000013</v>
      </c>
      <c r="AC40" s="406">
        <f t="shared" si="14"/>
        <v>2.0045334895027248E-2</v>
      </c>
      <c r="AD40" s="53"/>
      <c r="AE40" s="422"/>
      <c r="AF40" s="423"/>
      <c r="AG40" s="403">
        <f>SUM(AG37:AG39)</f>
        <v>52.518360000000001</v>
      </c>
      <c r="AH40" s="404"/>
      <c r="AI40" s="405">
        <f t="shared" si="17"/>
        <v>1.5</v>
      </c>
      <c r="AJ40" s="406">
        <f t="shared" si="18"/>
        <v>2.9401180280981199E-2</v>
      </c>
      <c r="AK40" s="53"/>
      <c r="AL40" s="422"/>
      <c r="AM40" s="423"/>
      <c r="AN40" s="403">
        <f>SUM(AN37:AN39)</f>
        <v>53.888359999999992</v>
      </c>
      <c r="AO40" s="404"/>
      <c r="AP40" s="405">
        <f t="shared" si="36"/>
        <v>1.3699999999999903</v>
      </c>
      <c r="AQ40" s="406">
        <f t="shared" si="37"/>
        <v>2.6086115408020933E-2</v>
      </c>
      <c r="AR40" s="407"/>
    </row>
    <row r="41" spans="1:44" ht="12.75" customHeight="1">
      <c r="A41" s="53"/>
      <c r="B41" s="482" t="s">
        <v>289</v>
      </c>
      <c r="C41" s="389" t="str">
        <f t="shared" ref="C41:C48" si="51">D$6&amp;"."&amp;B41</f>
        <v>Residential.Wholesale Market Service Charge (WMSC)</v>
      </c>
      <c r="D41" s="390" t="s">
        <v>337</v>
      </c>
      <c r="E41" s="328"/>
      <c r="F41" s="408">
        <f>IFERROR(VLOOKUP($C41,'Proposed Rates'!$B:$J,F$11,FALSE),0)</f>
        <v>4.4999999999999997E-3</v>
      </c>
      <c r="G41" s="413">
        <f t="shared" ref="G41:G42" si="52">$F$10*(1+F$63)</f>
        <v>258.45</v>
      </c>
      <c r="H41" s="394">
        <f t="shared" ref="H41:H48" si="53">G41*F41</f>
        <v>1.1630249999999998</v>
      </c>
      <c r="I41" s="138"/>
      <c r="J41" s="408">
        <f>IFERROR(VLOOKUP($C41,'Proposed Rates'!$B:$J,J$11,FALSE),0)</f>
        <v>4.7000000000000002E-3</v>
      </c>
      <c r="K41" s="413">
        <f t="shared" ref="K41:K42" si="54">$F$10*(1+J$63)</f>
        <v>258.29999999999995</v>
      </c>
      <c r="L41" s="394">
        <f t="shared" ref="L41:L48" si="55">K41*J41</f>
        <v>1.2140099999999998</v>
      </c>
      <c r="M41" s="138"/>
      <c r="N41" s="395">
        <f t="shared" si="5"/>
        <v>5.0985000000000058E-2</v>
      </c>
      <c r="O41" s="396">
        <f t="shared" si="6"/>
        <v>4.3838266589282318E-2</v>
      </c>
      <c r="P41" s="53"/>
      <c r="Q41" s="408">
        <f>IFERROR(VLOOKUP($C41,'Proposed Rates'!$B:$J,Q$11,FALSE),0)</f>
        <v>4.7000000000000002E-3</v>
      </c>
      <c r="R41" s="413">
        <f t="shared" ref="R41:R42" si="56">$F$10*(1+Q$63)</f>
        <v>258.29999999999995</v>
      </c>
      <c r="S41" s="394">
        <f t="shared" ref="S41:S48" si="57">R41*Q41</f>
        <v>1.2140099999999998</v>
      </c>
      <c r="T41" s="138"/>
      <c r="U41" s="395">
        <f t="shared" si="9"/>
        <v>0</v>
      </c>
      <c r="V41" s="396">
        <f t="shared" si="10"/>
        <v>0</v>
      </c>
      <c r="W41" s="53"/>
      <c r="X41" s="408">
        <f>IFERROR(VLOOKUP($C41,'Proposed Rates'!$B:$J,X$11,FALSE),0)</f>
        <v>4.7000000000000002E-3</v>
      </c>
      <c r="Y41" s="413">
        <f t="shared" ref="Y41:Y42" si="58">$F$10*(1+X$63)</f>
        <v>258.29999999999995</v>
      </c>
      <c r="Z41" s="394">
        <f t="shared" ref="Z41:Z48" si="59">Y41*X41</f>
        <v>1.2140099999999998</v>
      </c>
      <c r="AA41" s="138"/>
      <c r="AB41" s="395">
        <f t="shared" si="13"/>
        <v>0</v>
      </c>
      <c r="AC41" s="396">
        <f t="shared" si="14"/>
        <v>0</v>
      </c>
      <c r="AD41" s="53"/>
      <c r="AE41" s="408">
        <f>IFERROR(VLOOKUP($C41,'Proposed Rates'!$B:$J,AE$11,FALSE),0)</f>
        <v>4.7000000000000002E-3</v>
      </c>
      <c r="AF41" s="413">
        <f t="shared" ref="AF41:AF42" si="60">$F$10*(1+AE$63)</f>
        <v>258.29999999999995</v>
      </c>
      <c r="AG41" s="394">
        <f t="shared" ref="AG41:AG48" si="61">AF41*AE41</f>
        <v>1.2140099999999998</v>
      </c>
      <c r="AH41" s="138"/>
      <c r="AI41" s="395">
        <f t="shared" si="17"/>
        <v>0</v>
      </c>
      <c r="AJ41" s="396">
        <f t="shared" si="18"/>
        <v>0</v>
      </c>
      <c r="AK41" s="53"/>
      <c r="AL41" s="408">
        <f>IFERROR(VLOOKUP($C41,'Proposed Rates'!$B:$J,AL$11,FALSE),0)</f>
        <v>4.7000000000000002E-3</v>
      </c>
      <c r="AM41" s="413">
        <f t="shared" ref="AM41:AM42" si="62">$F$10*(1+AL$63)</f>
        <v>258.29999999999995</v>
      </c>
      <c r="AN41" s="394">
        <f t="shared" ref="AN41:AN48" si="63">AM41*AL41</f>
        <v>1.2140099999999998</v>
      </c>
      <c r="AO41" s="138"/>
      <c r="AP41" s="395">
        <f t="shared" si="36"/>
        <v>0</v>
      </c>
      <c r="AQ41" s="396">
        <f t="shared" si="37"/>
        <v>0</v>
      </c>
      <c r="AR41" s="397"/>
    </row>
    <row r="42" spans="1:44" ht="12.75" customHeight="1">
      <c r="A42" s="53"/>
      <c r="B42" s="482" t="s">
        <v>290</v>
      </c>
      <c r="C42" s="389" t="str">
        <f t="shared" si="51"/>
        <v>Residential.Rural and Remote Rate Protection (RRRP)</v>
      </c>
      <c r="D42" s="390" t="s">
        <v>337</v>
      </c>
      <c r="E42" s="328"/>
      <c r="F42" s="408">
        <f>IFERROR(VLOOKUP($C42,'Proposed Rates'!$B:$J,F$11,FALSE),0)</f>
        <v>1.5E-3</v>
      </c>
      <c r="G42" s="413">
        <f t="shared" si="52"/>
        <v>258.45</v>
      </c>
      <c r="H42" s="394">
        <f t="shared" si="53"/>
        <v>0.38767499999999999</v>
      </c>
      <c r="I42" s="138"/>
      <c r="J42" s="408">
        <f>IFERROR(VLOOKUP($C42,'Proposed Rates'!$B:$J,J$11,FALSE),0)</f>
        <v>5.9999999999999995E-4</v>
      </c>
      <c r="K42" s="413">
        <f t="shared" si="54"/>
        <v>258.29999999999995</v>
      </c>
      <c r="L42" s="394">
        <f t="shared" si="55"/>
        <v>0.15497999999999995</v>
      </c>
      <c r="M42" s="138"/>
      <c r="N42" s="395">
        <f t="shared" si="5"/>
        <v>-0.23269500000000004</v>
      </c>
      <c r="O42" s="396">
        <f t="shared" si="6"/>
        <v>-0.60023215322112611</v>
      </c>
      <c r="P42" s="53"/>
      <c r="Q42" s="408">
        <f>IFERROR(VLOOKUP($C42,'Proposed Rates'!$B:$J,Q$11,FALSE),0)</f>
        <v>5.9999999999999995E-4</v>
      </c>
      <c r="R42" s="413">
        <f t="shared" si="56"/>
        <v>258.29999999999995</v>
      </c>
      <c r="S42" s="394">
        <f t="shared" si="57"/>
        <v>0.15497999999999995</v>
      </c>
      <c r="T42" s="138"/>
      <c r="U42" s="395">
        <f t="shared" si="9"/>
        <v>0</v>
      </c>
      <c r="V42" s="396">
        <f t="shared" si="10"/>
        <v>0</v>
      </c>
      <c r="W42" s="53"/>
      <c r="X42" s="408">
        <f>IFERROR(VLOOKUP($C42,'Proposed Rates'!$B:$J,X$11,FALSE),0)</f>
        <v>5.9999999999999995E-4</v>
      </c>
      <c r="Y42" s="413">
        <f t="shared" si="58"/>
        <v>258.29999999999995</v>
      </c>
      <c r="Z42" s="394">
        <f t="shared" si="59"/>
        <v>0.15497999999999995</v>
      </c>
      <c r="AA42" s="138"/>
      <c r="AB42" s="395">
        <f t="shared" si="13"/>
        <v>0</v>
      </c>
      <c r="AC42" s="396">
        <f t="shared" si="14"/>
        <v>0</v>
      </c>
      <c r="AD42" s="53"/>
      <c r="AE42" s="408">
        <f>IFERROR(VLOOKUP($C42,'Proposed Rates'!$B:$J,AE$11,FALSE),0)</f>
        <v>5.9999999999999995E-4</v>
      </c>
      <c r="AF42" s="413">
        <f t="shared" si="60"/>
        <v>258.29999999999995</v>
      </c>
      <c r="AG42" s="394">
        <f t="shared" si="61"/>
        <v>0.15497999999999995</v>
      </c>
      <c r="AH42" s="138"/>
      <c r="AI42" s="395">
        <f t="shared" si="17"/>
        <v>0</v>
      </c>
      <c r="AJ42" s="396">
        <f t="shared" si="18"/>
        <v>0</v>
      </c>
      <c r="AK42" s="53"/>
      <c r="AL42" s="408">
        <f>IFERROR(VLOOKUP($C42,'Proposed Rates'!$B:$J,AL$11,FALSE),0)</f>
        <v>5.9999999999999995E-4</v>
      </c>
      <c r="AM42" s="413">
        <f t="shared" si="62"/>
        <v>258.29999999999995</v>
      </c>
      <c r="AN42" s="394">
        <f t="shared" si="63"/>
        <v>0.15497999999999995</v>
      </c>
      <c r="AO42" s="138"/>
      <c r="AP42" s="395">
        <f t="shared" si="36"/>
        <v>0</v>
      </c>
      <c r="AQ42" s="396">
        <f t="shared" si="37"/>
        <v>0</v>
      </c>
      <c r="AR42" s="397"/>
    </row>
    <row r="43" spans="1:44" ht="12.75" customHeight="1">
      <c r="A43" s="53"/>
      <c r="B43" s="328" t="s">
        <v>291</v>
      </c>
      <c r="C43" s="389" t="str">
        <f t="shared" si="51"/>
        <v>Residential.Standard Supply Service Charge</v>
      </c>
      <c r="D43" s="390" t="s">
        <v>335</v>
      </c>
      <c r="E43" s="328"/>
      <c r="F43" s="408">
        <f>IFERROR(VLOOKUP($C43,'Proposed Rates'!$B:$J,F$11,FALSE),0)</f>
        <v>0.25</v>
      </c>
      <c r="G43" s="409">
        <f>IF($D43="Monthly",1,IF($D43="per KWH",$F$10,0))</f>
        <v>1</v>
      </c>
      <c r="H43" s="394">
        <f t="shared" si="53"/>
        <v>0.25</v>
      </c>
      <c r="I43" s="138"/>
      <c r="J43" s="408">
        <f>IFERROR(VLOOKUP($C43,'Proposed Rates'!$B:$J,J$11,FALSE),0)</f>
        <v>0.25</v>
      </c>
      <c r="K43" s="409">
        <f>IF($D43="Monthly",1,IF($D43="per KWH",$F$10,0))</f>
        <v>1</v>
      </c>
      <c r="L43" s="394">
        <f t="shared" si="55"/>
        <v>0.25</v>
      </c>
      <c r="M43" s="138"/>
      <c r="N43" s="395">
        <f t="shared" si="5"/>
        <v>0</v>
      </c>
      <c r="O43" s="396">
        <f t="shared" si="6"/>
        <v>0</v>
      </c>
      <c r="P43" s="53"/>
      <c r="Q43" s="408">
        <f>IFERROR(VLOOKUP($C43,'Proposed Rates'!$B:$J,Q$11,FALSE),0)</f>
        <v>0.25</v>
      </c>
      <c r="R43" s="409">
        <f>IF($D43="Monthly",1,IF($D43="per KWH",$F$10,0))</f>
        <v>1</v>
      </c>
      <c r="S43" s="394">
        <f t="shared" si="57"/>
        <v>0.25</v>
      </c>
      <c r="T43" s="138"/>
      <c r="U43" s="395">
        <f t="shared" si="9"/>
        <v>0</v>
      </c>
      <c r="V43" s="396">
        <f t="shared" si="10"/>
        <v>0</v>
      </c>
      <c r="W43" s="53"/>
      <c r="X43" s="408">
        <f>IFERROR(VLOOKUP($C43,'Proposed Rates'!$B:$J,X$11,FALSE),0)</f>
        <v>0.25</v>
      </c>
      <c r="Y43" s="409">
        <f>IF($D43="Monthly",1,IF($D43="per KWH",$F$10,0))</f>
        <v>1</v>
      </c>
      <c r="Z43" s="394">
        <f t="shared" si="59"/>
        <v>0.25</v>
      </c>
      <c r="AA43" s="138"/>
      <c r="AB43" s="395">
        <f t="shared" si="13"/>
        <v>0</v>
      </c>
      <c r="AC43" s="396">
        <f t="shared" si="14"/>
        <v>0</v>
      </c>
      <c r="AD43" s="53"/>
      <c r="AE43" s="408">
        <f>IFERROR(VLOOKUP($C43,'Proposed Rates'!$B:$J,AE$11,FALSE),0)</f>
        <v>0.25</v>
      </c>
      <c r="AF43" s="409">
        <f>IF($D43="Monthly",1,IF($D43="per KWH",$F$10,0))</f>
        <v>1</v>
      </c>
      <c r="AG43" s="394">
        <f t="shared" si="61"/>
        <v>0.25</v>
      </c>
      <c r="AH43" s="138"/>
      <c r="AI43" s="395">
        <f t="shared" si="17"/>
        <v>0</v>
      </c>
      <c r="AJ43" s="396">
        <f t="shared" si="18"/>
        <v>0</v>
      </c>
      <c r="AK43" s="53"/>
      <c r="AL43" s="408">
        <f>IFERROR(VLOOKUP($C43,'Proposed Rates'!$B:$J,AL$11,FALSE),0)</f>
        <v>0.25</v>
      </c>
      <c r="AM43" s="409">
        <f>IF($D43="Monthly",1,IF($D43="per KWH",$F$10,0))</f>
        <v>1</v>
      </c>
      <c r="AN43" s="394">
        <f t="shared" si="63"/>
        <v>0.25</v>
      </c>
      <c r="AO43" s="138"/>
      <c r="AP43" s="395">
        <f t="shared" si="36"/>
        <v>0</v>
      </c>
      <c r="AQ43" s="396">
        <f t="shared" si="37"/>
        <v>0</v>
      </c>
      <c r="AR43" s="397"/>
    </row>
    <row r="44" spans="1:44" ht="12.75" customHeight="1">
      <c r="A44" s="53"/>
      <c r="B44" s="328" t="s">
        <v>293</v>
      </c>
      <c r="C44" s="389" t="str">
        <f t="shared" si="51"/>
        <v>Residential.TOU - Off Peak</v>
      </c>
      <c r="D44" s="390" t="s">
        <v>337</v>
      </c>
      <c r="E44" s="328"/>
      <c r="F44" s="424">
        <f>VLOOKUP($B44,'Proposed Rates'!$D$255:$J$261,+F$11-2,FALSE)</f>
        <v>9.8000000000000004E-2</v>
      </c>
      <c r="G44" s="415">
        <f>$F$10*'Proposed Rates'!$K$256</f>
        <v>160</v>
      </c>
      <c r="H44" s="394">
        <f t="shared" si="53"/>
        <v>15.68</v>
      </c>
      <c r="I44" s="138"/>
      <c r="J44" s="424">
        <f>VLOOKUP($B44,'Proposed Rates'!$D$255:$J$261,+J$11-2,FALSE)</f>
        <v>9.8000000000000004E-2</v>
      </c>
      <c r="K44" s="415">
        <f>$F$10*'Proposed Rates'!$K$256</f>
        <v>160</v>
      </c>
      <c r="L44" s="394">
        <f t="shared" si="55"/>
        <v>15.68</v>
      </c>
      <c r="M44" s="138"/>
      <c r="N44" s="395">
        <f t="shared" si="5"/>
        <v>0</v>
      </c>
      <c r="O44" s="396">
        <f t="shared" si="6"/>
        <v>0</v>
      </c>
      <c r="P44" s="53"/>
      <c r="Q44" s="424">
        <f>VLOOKUP($B44,'Proposed Rates'!$D$255:$J$261,+Q$11-2,FALSE)</f>
        <v>9.8000000000000004E-2</v>
      </c>
      <c r="R44" s="415">
        <f>$F$10*'Proposed Rates'!$K$256</f>
        <v>160</v>
      </c>
      <c r="S44" s="394">
        <f t="shared" si="57"/>
        <v>15.68</v>
      </c>
      <c r="T44" s="138"/>
      <c r="U44" s="395">
        <f t="shared" si="9"/>
        <v>0</v>
      </c>
      <c r="V44" s="396">
        <f t="shared" si="10"/>
        <v>0</v>
      </c>
      <c r="W44" s="53"/>
      <c r="X44" s="424">
        <f>VLOOKUP($B44,'Proposed Rates'!$D$255:$J$261,+X$11-2,FALSE)</f>
        <v>9.8000000000000004E-2</v>
      </c>
      <c r="Y44" s="415">
        <f>$F$10*'Proposed Rates'!$K$256</f>
        <v>160</v>
      </c>
      <c r="Z44" s="394">
        <f t="shared" si="59"/>
        <v>15.68</v>
      </c>
      <c r="AA44" s="138"/>
      <c r="AB44" s="395">
        <f t="shared" si="13"/>
        <v>0</v>
      </c>
      <c r="AC44" s="396">
        <f t="shared" si="14"/>
        <v>0</v>
      </c>
      <c r="AD44" s="53"/>
      <c r="AE44" s="424">
        <f>VLOOKUP($B44,'Proposed Rates'!$D$255:$J$261,+AE$11-2,FALSE)</f>
        <v>9.8000000000000004E-2</v>
      </c>
      <c r="AF44" s="415">
        <f>$F$10*'Proposed Rates'!$K$256</f>
        <v>160</v>
      </c>
      <c r="AG44" s="394">
        <f t="shared" si="61"/>
        <v>15.68</v>
      </c>
      <c r="AH44" s="138"/>
      <c r="AI44" s="395">
        <f t="shared" si="17"/>
        <v>0</v>
      </c>
      <c r="AJ44" s="396">
        <f t="shared" si="18"/>
        <v>0</v>
      </c>
      <c r="AK44" s="53"/>
      <c r="AL44" s="424">
        <f>VLOOKUP($B44,'Proposed Rates'!$D$255:$J$261,+AL$11-2,FALSE)</f>
        <v>9.8000000000000004E-2</v>
      </c>
      <c r="AM44" s="415">
        <f>$F$10*'Proposed Rates'!$K$256</f>
        <v>160</v>
      </c>
      <c r="AN44" s="394">
        <f t="shared" si="63"/>
        <v>15.68</v>
      </c>
      <c r="AO44" s="138"/>
      <c r="AP44" s="395">
        <f t="shared" si="36"/>
        <v>0</v>
      </c>
      <c r="AQ44" s="396">
        <f t="shared" si="37"/>
        <v>0</v>
      </c>
      <c r="AR44" s="397"/>
    </row>
    <row r="45" spans="1:44" ht="12.75" customHeight="1">
      <c r="A45" s="53"/>
      <c r="B45" s="328" t="s">
        <v>294</v>
      </c>
      <c r="C45" s="389" t="str">
        <f t="shared" si="51"/>
        <v>Residential.TOU - Mid Peak</v>
      </c>
      <c r="D45" s="390" t="s">
        <v>337</v>
      </c>
      <c r="E45" s="328"/>
      <c r="F45" s="424">
        <f>VLOOKUP($B45,'Proposed Rates'!$D$255:$J$261,+F$11-2,FALSE)</f>
        <v>0.157</v>
      </c>
      <c r="G45" s="415">
        <f>$F$10*'Proposed Rates'!$K$257</f>
        <v>45</v>
      </c>
      <c r="H45" s="394">
        <f t="shared" si="53"/>
        <v>7.0650000000000004</v>
      </c>
      <c r="I45" s="138"/>
      <c r="J45" s="424">
        <f>VLOOKUP($B45,'Proposed Rates'!$D$255:$J$261,+J$11-2,FALSE)</f>
        <v>0.157</v>
      </c>
      <c r="K45" s="415">
        <f>$F$10*'Proposed Rates'!$K$257</f>
        <v>45</v>
      </c>
      <c r="L45" s="394">
        <f t="shared" si="55"/>
        <v>7.0650000000000004</v>
      </c>
      <c r="M45" s="138"/>
      <c r="N45" s="395">
        <f t="shared" si="5"/>
        <v>0</v>
      </c>
      <c r="O45" s="396">
        <f t="shared" si="6"/>
        <v>0</v>
      </c>
      <c r="P45" s="53"/>
      <c r="Q45" s="424">
        <f>VLOOKUP($B45,'Proposed Rates'!$D$255:$J$261,+Q$11-2,FALSE)</f>
        <v>0.157</v>
      </c>
      <c r="R45" s="415">
        <f>$F$10*'Proposed Rates'!$K$257</f>
        <v>45</v>
      </c>
      <c r="S45" s="394">
        <f t="shared" si="57"/>
        <v>7.0650000000000004</v>
      </c>
      <c r="T45" s="138"/>
      <c r="U45" s="395">
        <f t="shared" si="9"/>
        <v>0</v>
      </c>
      <c r="V45" s="396">
        <f t="shared" si="10"/>
        <v>0</v>
      </c>
      <c r="W45" s="53"/>
      <c r="X45" s="424">
        <f>VLOOKUP($B45,'Proposed Rates'!$D$255:$J$261,+X$11-2,FALSE)</f>
        <v>0.157</v>
      </c>
      <c r="Y45" s="415">
        <f>$F$10*'Proposed Rates'!$K$257</f>
        <v>45</v>
      </c>
      <c r="Z45" s="394">
        <f t="shared" si="59"/>
        <v>7.0650000000000004</v>
      </c>
      <c r="AA45" s="138"/>
      <c r="AB45" s="395">
        <f t="shared" si="13"/>
        <v>0</v>
      </c>
      <c r="AC45" s="396">
        <f t="shared" si="14"/>
        <v>0</v>
      </c>
      <c r="AD45" s="53"/>
      <c r="AE45" s="424">
        <f>VLOOKUP($B45,'Proposed Rates'!$D$255:$J$261,+AE$11-2,FALSE)</f>
        <v>0.157</v>
      </c>
      <c r="AF45" s="415">
        <f>$F$10*'Proposed Rates'!$K$257</f>
        <v>45</v>
      </c>
      <c r="AG45" s="394">
        <f t="shared" si="61"/>
        <v>7.0650000000000004</v>
      </c>
      <c r="AH45" s="138"/>
      <c r="AI45" s="395">
        <f t="shared" si="17"/>
        <v>0</v>
      </c>
      <c r="AJ45" s="396">
        <f t="shared" si="18"/>
        <v>0</v>
      </c>
      <c r="AK45" s="53"/>
      <c r="AL45" s="424">
        <f>VLOOKUP($B45,'Proposed Rates'!$D$255:$J$261,+AL$11-2,FALSE)</f>
        <v>0.157</v>
      </c>
      <c r="AM45" s="415">
        <f>$F$10*'Proposed Rates'!$K$257</f>
        <v>45</v>
      </c>
      <c r="AN45" s="394">
        <f t="shared" si="63"/>
        <v>7.0650000000000004</v>
      </c>
      <c r="AO45" s="138"/>
      <c r="AP45" s="395">
        <f t="shared" si="36"/>
        <v>0</v>
      </c>
      <c r="AQ45" s="396">
        <f t="shared" si="37"/>
        <v>0</v>
      </c>
      <c r="AR45" s="397"/>
    </row>
    <row r="46" spans="1:44" ht="12.75" customHeight="1">
      <c r="A46" s="53"/>
      <c r="B46" s="53" t="s">
        <v>295</v>
      </c>
      <c r="C46" s="389" t="str">
        <f t="shared" si="51"/>
        <v>Residential.TOU - On Peak</v>
      </c>
      <c r="D46" s="390" t="s">
        <v>337</v>
      </c>
      <c r="E46" s="328"/>
      <c r="F46" s="424">
        <f>VLOOKUP($B46,'Proposed Rates'!$D$255:$J$261,+F$11-2,FALSE)</f>
        <v>0.20300000000000001</v>
      </c>
      <c r="G46" s="415">
        <f>$F$10*'Proposed Rates'!$K$258</f>
        <v>45</v>
      </c>
      <c r="H46" s="394">
        <f t="shared" si="53"/>
        <v>9.1349999999999998</v>
      </c>
      <c r="I46" s="138"/>
      <c r="J46" s="424">
        <f>VLOOKUP($B46,'Proposed Rates'!$D$255:$J$261,+J$11-2,FALSE)</f>
        <v>0.20300000000000001</v>
      </c>
      <c r="K46" s="415">
        <f>$F$10*'Proposed Rates'!$K$258</f>
        <v>45</v>
      </c>
      <c r="L46" s="394">
        <f t="shared" si="55"/>
        <v>9.1349999999999998</v>
      </c>
      <c r="M46" s="138"/>
      <c r="N46" s="395">
        <f t="shared" si="5"/>
        <v>0</v>
      </c>
      <c r="O46" s="396">
        <f t="shared" si="6"/>
        <v>0</v>
      </c>
      <c r="P46" s="53"/>
      <c r="Q46" s="424">
        <f>VLOOKUP($B46,'Proposed Rates'!$D$255:$J$261,+Q$11-2,FALSE)</f>
        <v>0.20300000000000001</v>
      </c>
      <c r="R46" s="415">
        <f>$F$10*'Proposed Rates'!$K$258</f>
        <v>45</v>
      </c>
      <c r="S46" s="394">
        <f t="shared" si="57"/>
        <v>9.1349999999999998</v>
      </c>
      <c r="T46" s="138"/>
      <c r="U46" s="395">
        <f t="shared" si="9"/>
        <v>0</v>
      </c>
      <c r="V46" s="396">
        <f t="shared" si="10"/>
        <v>0</v>
      </c>
      <c r="W46" s="53"/>
      <c r="X46" s="424">
        <f>VLOOKUP($B46,'Proposed Rates'!$D$255:$J$261,+X$11-2,FALSE)</f>
        <v>0.20300000000000001</v>
      </c>
      <c r="Y46" s="415">
        <f>$F$10*'Proposed Rates'!$K$258</f>
        <v>45</v>
      </c>
      <c r="Z46" s="394">
        <f t="shared" si="59"/>
        <v>9.1349999999999998</v>
      </c>
      <c r="AA46" s="138"/>
      <c r="AB46" s="395">
        <f t="shared" si="13"/>
        <v>0</v>
      </c>
      <c r="AC46" s="396">
        <f t="shared" si="14"/>
        <v>0</v>
      </c>
      <c r="AD46" s="53"/>
      <c r="AE46" s="424">
        <f>VLOOKUP($B46,'Proposed Rates'!$D$255:$J$261,+AE$11-2,FALSE)</f>
        <v>0.20300000000000001</v>
      </c>
      <c r="AF46" s="415">
        <f>$F$10*'Proposed Rates'!$K$258</f>
        <v>45</v>
      </c>
      <c r="AG46" s="394">
        <f t="shared" si="61"/>
        <v>9.1349999999999998</v>
      </c>
      <c r="AH46" s="138"/>
      <c r="AI46" s="395">
        <f t="shared" si="17"/>
        <v>0</v>
      </c>
      <c r="AJ46" s="396">
        <f t="shared" si="18"/>
        <v>0</v>
      </c>
      <c r="AK46" s="53"/>
      <c r="AL46" s="424">
        <f>VLOOKUP($B46,'Proposed Rates'!$D$255:$J$261,+AL$11-2,FALSE)</f>
        <v>0.20300000000000001</v>
      </c>
      <c r="AM46" s="415">
        <f>$F$10*'Proposed Rates'!$K$258</f>
        <v>45</v>
      </c>
      <c r="AN46" s="394">
        <f t="shared" si="63"/>
        <v>9.1349999999999998</v>
      </c>
      <c r="AO46" s="138"/>
      <c r="AP46" s="395">
        <f t="shared" si="36"/>
        <v>0</v>
      </c>
      <c r="AQ46" s="396">
        <f t="shared" si="37"/>
        <v>0</v>
      </c>
      <c r="AR46" s="397"/>
    </row>
    <row r="47" spans="1:44" ht="12.75" customHeight="1">
      <c r="A47" s="53"/>
      <c r="B47" s="328" t="s">
        <v>296</v>
      </c>
      <c r="C47" s="389" t="str">
        <f t="shared" si="51"/>
        <v>Residential.Energy - RPP - Tier 1</v>
      </c>
      <c r="D47" s="390" t="s">
        <v>337</v>
      </c>
      <c r="E47" s="328"/>
      <c r="F47" s="424">
        <f>VLOOKUP($B47,'Proposed Rates'!$D$255:$J$261,+F$11-2,FALSE)</f>
        <v>0.12</v>
      </c>
      <c r="G47" s="425">
        <f>IF(AND($S$2=1, $F$10&gt;=600), 600, IF(AND($S$2=1, AND($F$10&lt;600, $F$10&gt;=0)), $F$10, IF(AND($S$2=2, $F$10&gt;=1000), 1000, IF(AND($S$2=2, AND($F$10&lt;1000, $F$10&gt;=0)), $F$10))))</f>
        <v>250</v>
      </c>
      <c r="H47" s="394">
        <f t="shared" si="53"/>
        <v>30</v>
      </c>
      <c r="I47" s="138"/>
      <c r="J47" s="424">
        <f>VLOOKUP($B47,'Proposed Rates'!$D$255:$J$261,+J$11-2,FALSE)</f>
        <v>0.12</v>
      </c>
      <c r="K47" s="425">
        <f>IF(AND($S$2=1, $F$10&gt;=600), 600, IF(AND($S$2=1, AND($F$10&lt;600, $F$10&gt;=0)), $F$10, IF(AND($S$2=2, $F$10&gt;=1000), 1000, IF(AND($S$2=2, AND($F$10&lt;1000, $F$10&gt;=0)), $F$10))))</f>
        <v>250</v>
      </c>
      <c r="L47" s="394">
        <f t="shared" si="55"/>
        <v>30</v>
      </c>
      <c r="M47" s="138"/>
      <c r="N47" s="395">
        <f t="shared" si="5"/>
        <v>0</v>
      </c>
      <c r="O47" s="396">
        <f t="shared" si="6"/>
        <v>0</v>
      </c>
      <c r="P47" s="53"/>
      <c r="Q47" s="424">
        <f>VLOOKUP($B47,'Proposed Rates'!$D$255:$J$261,+Q$11-2,FALSE)</f>
        <v>0.12</v>
      </c>
      <c r="R47" s="425">
        <f>IF(AND($S$2=1, $F$10&gt;=600), 600, IF(AND($S$2=1, AND($F$10&lt;600, $F$10&gt;=0)), $F$10, IF(AND($S$2=2, $F$10&gt;=1000), 1000, IF(AND($S$2=2, AND($F$10&lt;1000, $F$10&gt;=0)), $F$10))))</f>
        <v>250</v>
      </c>
      <c r="S47" s="394">
        <f t="shared" si="57"/>
        <v>30</v>
      </c>
      <c r="T47" s="138"/>
      <c r="U47" s="395">
        <f t="shared" si="9"/>
        <v>0</v>
      </c>
      <c r="V47" s="396">
        <f t="shared" si="10"/>
        <v>0</v>
      </c>
      <c r="W47" s="53"/>
      <c r="X47" s="424">
        <f>VLOOKUP($B47,'Proposed Rates'!$D$255:$J$261,+X$11-2,FALSE)</f>
        <v>0.12</v>
      </c>
      <c r="Y47" s="425">
        <f>IF(AND($S$2=1, $F$10&gt;=600), 600, IF(AND($S$2=1, AND($F$10&lt;600, $F$10&gt;=0)), $F$10, IF(AND($S$2=2, $F$10&gt;=1000), 1000, IF(AND($S$2=2, AND($F$10&lt;1000, $F$10&gt;=0)), $F$10))))</f>
        <v>250</v>
      </c>
      <c r="Z47" s="394">
        <f t="shared" si="59"/>
        <v>30</v>
      </c>
      <c r="AA47" s="138"/>
      <c r="AB47" s="395">
        <f t="shared" si="13"/>
        <v>0</v>
      </c>
      <c r="AC47" s="396">
        <f t="shared" si="14"/>
        <v>0</v>
      </c>
      <c r="AD47" s="53"/>
      <c r="AE47" s="424">
        <f>VLOOKUP($B47,'Proposed Rates'!$D$255:$J$261,+AE$11-2,FALSE)</f>
        <v>0.12</v>
      </c>
      <c r="AF47" s="425">
        <f>IF(AND($S$2=1, $F$10&gt;=600), 600, IF(AND($S$2=1, AND($F$10&lt;600, $F$10&gt;=0)), $F$10, IF(AND($S$2=2, $F$10&gt;=1000), 1000, IF(AND($S$2=2, AND($F$10&lt;1000, $F$10&gt;=0)), $F$10))))</f>
        <v>250</v>
      </c>
      <c r="AG47" s="394">
        <f t="shared" si="61"/>
        <v>30</v>
      </c>
      <c r="AH47" s="138"/>
      <c r="AI47" s="395">
        <f t="shared" si="17"/>
        <v>0</v>
      </c>
      <c r="AJ47" s="396">
        <f t="shared" si="18"/>
        <v>0</v>
      </c>
      <c r="AK47" s="53"/>
      <c r="AL47" s="424">
        <f>VLOOKUP($B47,'Proposed Rates'!$D$255:$J$261,+AL$11-2,FALSE)</f>
        <v>0.12</v>
      </c>
      <c r="AM47" s="425">
        <f>IF(AND($S$2=1, $F$10&gt;=600), 600, IF(AND($S$2=1, AND($F$10&lt;600, $F$10&gt;=0)), $F$10, IF(AND($S$2=2, $F$10&gt;=1000), 1000, IF(AND($S$2=2, AND($F$10&lt;1000, $F$10&gt;=0)), $F$10))))</f>
        <v>250</v>
      </c>
      <c r="AN47" s="394">
        <f t="shared" si="63"/>
        <v>30</v>
      </c>
      <c r="AO47" s="138"/>
      <c r="AP47" s="395">
        <f t="shared" si="36"/>
        <v>0</v>
      </c>
      <c r="AQ47" s="396">
        <f t="shared" si="37"/>
        <v>0</v>
      </c>
      <c r="AR47" s="397"/>
    </row>
    <row r="48" spans="1:44" ht="12.75" customHeight="1">
      <c r="A48" s="53"/>
      <c r="B48" s="328" t="s">
        <v>297</v>
      </c>
      <c r="C48" s="389" t="str">
        <f t="shared" si="51"/>
        <v>Residential.Energy - RPP - Tier 2</v>
      </c>
      <c r="D48" s="390" t="s">
        <v>337</v>
      </c>
      <c r="E48" s="328"/>
      <c r="F48" s="424">
        <f>VLOOKUP($B48,'Proposed Rates'!$D$255:$J$261,+F$11-2,FALSE)</f>
        <v>0.14199999999999999</v>
      </c>
      <c r="G48" s="427">
        <f>IF(AND($S$2=1, $F$10&gt;=600), $F$10-600, IF(AND($S$2=1, AND($F$10&lt;600, $F$10&gt;=0)), 0, IF(AND($S$2=2, $F$10&gt;=1000), $F$10-1000, IF(AND($S$2=2, AND($F$10&lt;1000, $F$10&gt;=0)), 0))))</f>
        <v>0</v>
      </c>
      <c r="H48" s="394">
        <f t="shared" si="53"/>
        <v>0</v>
      </c>
      <c r="I48" s="138"/>
      <c r="J48" s="424">
        <f>VLOOKUP($B48,'Proposed Rates'!$D$255:$J$261,+J$11-2,FALSE)</f>
        <v>0.14199999999999999</v>
      </c>
      <c r="K48" s="427">
        <f>IF(AND($S$2=1, $F$10&gt;=600), $F$10-600, IF(AND($S$2=1, AND($F$10&lt;600, $F$10&gt;=0)), 0, IF(AND($S$2=2, $F$10&gt;=1000), $F$10-1000, IF(AND($S$2=2, AND($F$10&lt;1000, $F$10&gt;=0)), 0))))</f>
        <v>0</v>
      </c>
      <c r="L48" s="394">
        <f t="shared" si="55"/>
        <v>0</v>
      </c>
      <c r="M48" s="138"/>
      <c r="N48" s="395">
        <f t="shared" si="5"/>
        <v>0</v>
      </c>
      <c r="O48" s="396" t="str">
        <f t="shared" si="6"/>
        <v/>
      </c>
      <c r="P48" s="53"/>
      <c r="Q48" s="424">
        <f>VLOOKUP($B48,'Proposed Rates'!$D$255:$J$261,+Q$11-2,FALSE)</f>
        <v>0.14199999999999999</v>
      </c>
      <c r="R48" s="427">
        <f>IF(AND($S$2=1, $F$10&gt;=600), $F$10-600, IF(AND($S$2=1, AND($F$10&lt;600, $F$10&gt;=0)), 0, IF(AND($S$2=2, $F$10&gt;=1000), $F$10-1000, IF(AND($S$2=2, AND($F$10&lt;1000, $F$10&gt;=0)), 0))))</f>
        <v>0</v>
      </c>
      <c r="S48" s="394">
        <f t="shared" si="57"/>
        <v>0</v>
      </c>
      <c r="T48" s="138"/>
      <c r="U48" s="395">
        <f t="shared" si="9"/>
        <v>0</v>
      </c>
      <c r="V48" s="396" t="str">
        <f t="shared" si="10"/>
        <v/>
      </c>
      <c r="W48" s="53"/>
      <c r="X48" s="424">
        <f>VLOOKUP($B48,'Proposed Rates'!$D$255:$J$261,+X$11-2,FALSE)</f>
        <v>0.14199999999999999</v>
      </c>
      <c r="Y48" s="427">
        <f>IF(AND($S$2=1, $F$10&gt;=600), $F$10-600, IF(AND($S$2=1, AND($F$10&lt;600, $F$10&gt;=0)), 0, IF(AND($S$2=2, $F$10&gt;=1000), $F$10-1000, IF(AND($S$2=2, AND($F$10&lt;1000, $F$10&gt;=0)), 0))))</f>
        <v>0</v>
      </c>
      <c r="Z48" s="394">
        <f t="shared" si="59"/>
        <v>0</v>
      </c>
      <c r="AA48" s="138"/>
      <c r="AB48" s="395">
        <f t="shared" si="13"/>
        <v>0</v>
      </c>
      <c r="AC48" s="396" t="str">
        <f t="shared" si="14"/>
        <v/>
      </c>
      <c r="AD48" s="53"/>
      <c r="AE48" s="424">
        <f>VLOOKUP($B48,'Proposed Rates'!$D$255:$J$261,+AE$11-2,FALSE)</f>
        <v>0.14199999999999999</v>
      </c>
      <c r="AF48" s="427">
        <f>IF(AND($S$2=1, $F$10&gt;=600), $F$10-600, IF(AND($S$2=1, AND($F$10&lt;600, $F$10&gt;=0)), 0, IF(AND($S$2=2, $F$10&gt;=1000), $F$10-1000, IF(AND($S$2=2, AND($F$10&lt;1000, $F$10&gt;=0)), 0))))</f>
        <v>0</v>
      </c>
      <c r="AG48" s="394">
        <f t="shared" si="61"/>
        <v>0</v>
      </c>
      <c r="AH48" s="138"/>
      <c r="AI48" s="395">
        <f t="shared" si="17"/>
        <v>0</v>
      </c>
      <c r="AJ48" s="396" t="str">
        <f t="shared" si="18"/>
        <v/>
      </c>
      <c r="AK48" s="53"/>
      <c r="AL48" s="424">
        <f>VLOOKUP($B48,'Proposed Rates'!$D$255:$J$261,+AL$11-2,FALSE)</f>
        <v>0.14199999999999999</v>
      </c>
      <c r="AM48" s="427">
        <f>IF(AND($S$2=1, $F$10&gt;=600), $F$10-600, IF(AND($S$2=1, AND($F$10&lt;600, $F$10&gt;=0)), 0, IF(AND($S$2=2, $F$10&gt;=1000), $F$10-1000, IF(AND($S$2=2, AND($F$10&lt;1000, $F$10&gt;=0)), 0))))</f>
        <v>0</v>
      </c>
      <c r="AN48" s="394">
        <f t="shared" si="63"/>
        <v>0</v>
      </c>
      <c r="AO48" s="138"/>
      <c r="AP48" s="395">
        <f t="shared" si="36"/>
        <v>0</v>
      </c>
      <c r="AQ48" s="396" t="str">
        <f t="shared" si="37"/>
        <v/>
      </c>
      <c r="AR48" s="397"/>
    </row>
    <row r="49" spans="1:44" ht="8.25"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75" customHeight="1">
      <c r="A50" s="53"/>
      <c r="B50" s="438" t="s">
        <v>344</v>
      </c>
      <c r="C50" s="328"/>
      <c r="D50" s="328"/>
      <c r="E50" s="328"/>
      <c r="F50" s="439"/>
      <c r="G50" s="483"/>
      <c r="H50" s="441">
        <f>SUM(H41:H46,H40)</f>
        <v>74.818476500000003</v>
      </c>
      <c r="I50" s="476"/>
      <c r="J50" s="439"/>
      <c r="K50" s="440"/>
      <c r="L50" s="441">
        <f>SUM(L41:L46,L40)</f>
        <v>80.349767000000014</v>
      </c>
      <c r="M50" s="443"/>
      <c r="N50" s="442">
        <f t="shared" ref="N50:N54" si="64">L50-H50</f>
        <v>5.5312905000000114</v>
      </c>
      <c r="O50" s="444">
        <f t="shared" ref="O50:O54" si="65">IF((H50)=0,"",(N50/H50))</f>
        <v>7.3929472487989131E-2</v>
      </c>
      <c r="P50" s="53"/>
      <c r="Q50" s="440"/>
      <c r="R50" s="440"/>
      <c r="S50" s="442">
        <f>SUM(S41:S46,S40)</f>
        <v>83.514767000000006</v>
      </c>
      <c r="T50" s="443"/>
      <c r="U50" s="442">
        <f t="shared" ref="U50:U54" si="66">S50-L50</f>
        <v>3.164999999999992</v>
      </c>
      <c r="V50" s="444">
        <f t="shared" ref="V50:V54" si="67">IF((L50)=0,"",(U50/L50))</f>
        <v>3.9390282239399541E-2</v>
      </c>
      <c r="W50" s="53"/>
      <c r="X50" s="440"/>
      <c r="Y50" s="440"/>
      <c r="Z50" s="442">
        <f>SUM(Z41:Z46,Z40)</f>
        <v>84.517349999999993</v>
      </c>
      <c r="AA50" s="443"/>
      <c r="AB50" s="442">
        <f t="shared" ref="AB50:AB54" si="68">Z50-S50</f>
        <v>1.0025829999999871</v>
      </c>
      <c r="AC50" s="444">
        <f t="shared" ref="AC50:AC54" si="69">IF((S50)=0,"",(AB50/S50))</f>
        <v>1.200485897302434E-2</v>
      </c>
      <c r="AD50" s="53"/>
      <c r="AE50" s="440"/>
      <c r="AF50" s="440"/>
      <c r="AG50" s="442">
        <f>SUM(AG41:AG46,AG40)</f>
        <v>86.017349999999993</v>
      </c>
      <c r="AH50" s="443"/>
      <c r="AI50" s="442">
        <f t="shared" ref="AI50:AI54" si="70">AG50-Z50</f>
        <v>1.5</v>
      </c>
      <c r="AJ50" s="444">
        <f t="shared" ref="AJ50:AJ54" si="71">IF((Z50)=0,"",(AI50/Z50))</f>
        <v>1.774783520780053E-2</v>
      </c>
      <c r="AK50" s="53"/>
      <c r="AL50" s="440"/>
      <c r="AM50" s="440"/>
      <c r="AN50" s="442">
        <f>SUM(AN41:AN46,AN40)</f>
        <v>87.387349999999998</v>
      </c>
      <c r="AO50" s="443"/>
      <c r="AP50" s="442">
        <f t="shared" ref="AP50:AP54" si="72">AN50-AG50</f>
        <v>1.3700000000000045</v>
      </c>
      <c r="AQ50" s="444">
        <f t="shared" ref="AQ50:AQ54" si="73">IF((AG50)=0,"",(AP50/AG50))</f>
        <v>1.5927019374579719E-2</v>
      </c>
      <c r="AR50" s="445"/>
    </row>
    <row r="51" spans="1:44" ht="12.75" customHeight="1">
      <c r="A51" s="53"/>
      <c r="B51" s="446" t="s">
        <v>345</v>
      </c>
      <c r="C51" s="328"/>
      <c r="D51" s="328"/>
      <c r="E51" s="328"/>
      <c r="F51" s="439">
        <v>0.13</v>
      </c>
      <c r="G51" s="138"/>
      <c r="H51" s="484">
        <f>H50*F51</f>
        <v>9.726401945000001</v>
      </c>
      <c r="I51" s="411"/>
      <c r="J51" s="439">
        <v>0.13</v>
      </c>
      <c r="K51" s="411"/>
      <c r="L51" s="394">
        <f>L50*J51</f>
        <v>10.445469710000003</v>
      </c>
      <c r="M51" s="138"/>
      <c r="N51" s="395">
        <f t="shared" si="64"/>
        <v>0.71906776500000191</v>
      </c>
      <c r="O51" s="396">
        <f t="shared" si="65"/>
        <v>7.3929472487989173E-2</v>
      </c>
      <c r="P51" s="53"/>
      <c r="Q51" s="447">
        <v>0.13</v>
      </c>
      <c r="R51" s="411"/>
      <c r="S51" s="394">
        <f>S50*Q51</f>
        <v>10.856919710000001</v>
      </c>
      <c r="T51" s="138"/>
      <c r="U51" s="395">
        <f t="shared" si="66"/>
        <v>0.41144999999999854</v>
      </c>
      <c r="V51" s="396">
        <f t="shared" si="67"/>
        <v>3.9390282239399499E-2</v>
      </c>
      <c r="W51" s="53"/>
      <c r="X51" s="447">
        <v>0.13</v>
      </c>
      <c r="Y51" s="411"/>
      <c r="Z51" s="394">
        <f>Z50*X51</f>
        <v>10.9872555</v>
      </c>
      <c r="AA51" s="138"/>
      <c r="AB51" s="395">
        <f t="shared" si="68"/>
        <v>0.1303357899999984</v>
      </c>
      <c r="AC51" s="396">
        <f t="shared" si="69"/>
        <v>1.2004858973024345E-2</v>
      </c>
      <c r="AD51" s="53"/>
      <c r="AE51" s="447">
        <v>0.13</v>
      </c>
      <c r="AF51" s="411"/>
      <c r="AG51" s="394">
        <f>AG50*AE51</f>
        <v>11.1822555</v>
      </c>
      <c r="AH51" s="138"/>
      <c r="AI51" s="395">
        <f t="shared" si="70"/>
        <v>0.19500000000000028</v>
      </c>
      <c r="AJ51" s="396">
        <f t="shared" si="71"/>
        <v>1.7747835207800555E-2</v>
      </c>
      <c r="AK51" s="53"/>
      <c r="AL51" s="447">
        <v>0.13</v>
      </c>
      <c r="AM51" s="411"/>
      <c r="AN51" s="394">
        <f>AN50*AL51</f>
        <v>11.360355500000001</v>
      </c>
      <c r="AO51" s="138"/>
      <c r="AP51" s="395">
        <f t="shared" si="72"/>
        <v>0.17810000000000059</v>
      </c>
      <c r="AQ51" s="396">
        <f t="shared" si="73"/>
        <v>1.5927019374579715E-2</v>
      </c>
      <c r="AR51" s="397"/>
    </row>
    <row r="52" spans="1:44" ht="12.75" customHeight="1">
      <c r="A52" s="53"/>
      <c r="B52" s="485" t="s">
        <v>367</v>
      </c>
      <c r="C52" s="328"/>
      <c r="D52" s="328"/>
      <c r="E52" s="328"/>
      <c r="F52" s="449"/>
      <c r="G52" s="138"/>
      <c r="H52" s="484">
        <f>H50+H51</f>
        <v>84.544878445000009</v>
      </c>
      <c r="I52" s="411"/>
      <c r="J52" s="449"/>
      <c r="K52" s="411"/>
      <c r="L52" s="394">
        <f>L50+L51</f>
        <v>90.795236710000012</v>
      </c>
      <c r="M52" s="138"/>
      <c r="N52" s="395">
        <f t="shared" si="64"/>
        <v>6.2503582650000027</v>
      </c>
      <c r="O52" s="396">
        <f t="shared" si="65"/>
        <v>7.3929472487989006E-2</v>
      </c>
      <c r="P52" s="53"/>
      <c r="Q52" s="411"/>
      <c r="R52" s="411"/>
      <c r="S52" s="394">
        <f>S50+S51</f>
        <v>94.371686710000006</v>
      </c>
      <c r="T52" s="138"/>
      <c r="U52" s="395">
        <f t="shared" si="66"/>
        <v>3.5764499999999941</v>
      </c>
      <c r="V52" s="396">
        <f t="shared" si="67"/>
        <v>3.9390282239399582E-2</v>
      </c>
      <c r="W52" s="53"/>
      <c r="X52" s="411"/>
      <c r="Y52" s="411"/>
      <c r="Z52" s="394">
        <f>Z50+Z51</f>
        <v>95.504605499999997</v>
      </c>
      <c r="AA52" s="138"/>
      <c r="AB52" s="395">
        <f t="shared" si="68"/>
        <v>1.1329187899999908</v>
      </c>
      <c r="AC52" s="396">
        <f t="shared" si="69"/>
        <v>1.2004858973024397E-2</v>
      </c>
      <c r="AD52" s="53"/>
      <c r="AE52" s="411"/>
      <c r="AF52" s="411"/>
      <c r="AG52" s="394">
        <f>AG50+AG51</f>
        <v>97.19960549999999</v>
      </c>
      <c r="AH52" s="138"/>
      <c r="AI52" s="395">
        <f t="shared" si="70"/>
        <v>1.6949999999999932</v>
      </c>
      <c r="AJ52" s="396">
        <f t="shared" si="71"/>
        <v>1.7747835207800457E-2</v>
      </c>
      <c r="AK52" s="53"/>
      <c r="AL52" s="411"/>
      <c r="AM52" s="411"/>
      <c r="AN52" s="394">
        <f>AN50+AN51</f>
        <v>98.747705499999995</v>
      </c>
      <c r="AO52" s="138"/>
      <c r="AP52" s="395">
        <f t="shared" si="72"/>
        <v>1.5481000000000051</v>
      </c>
      <c r="AQ52" s="396">
        <f t="shared" si="73"/>
        <v>1.5927019374579719E-2</v>
      </c>
      <c r="AR52" s="397"/>
    </row>
    <row r="53" spans="1:44" ht="15.75" customHeight="1">
      <c r="A53" s="53"/>
      <c r="B53" s="626" t="s">
        <v>304</v>
      </c>
      <c r="C53" s="616"/>
      <c r="D53" s="616"/>
      <c r="E53" s="328"/>
      <c r="F53" s="450">
        <f>'Proposed Rates'!E293</f>
        <v>0.23499999999999999</v>
      </c>
      <c r="G53" s="138"/>
      <c r="H53" s="486">
        <f>F53*H50</f>
        <v>17.5823419775</v>
      </c>
      <c r="I53" s="411"/>
      <c r="J53" s="450">
        <f>'Proposed Rates'!F293</f>
        <v>0.23499999999999999</v>
      </c>
      <c r="K53" s="411"/>
      <c r="L53" s="451">
        <f>J53*L50</f>
        <v>18.882195245000002</v>
      </c>
      <c r="M53" s="138"/>
      <c r="N53" s="451">
        <f t="shared" si="64"/>
        <v>1.2998532675000014</v>
      </c>
      <c r="O53" s="453">
        <f t="shared" si="65"/>
        <v>7.3929472487989062E-2</v>
      </c>
      <c r="P53" s="53"/>
      <c r="Q53" s="452">
        <f>'Proposed Rates'!G293</f>
        <v>0.23499999999999999</v>
      </c>
      <c r="R53" s="411"/>
      <c r="S53" s="451">
        <f>Q53*S50</f>
        <v>19.625970245000001</v>
      </c>
      <c r="T53" s="138"/>
      <c r="U53" s="451">
        <f t="shared" si="66"/>
        <v>0.74377499999999941</v>
      </c>
      <c r="V53" s="453">
        <f t="shared" si="67"/>
        <v>3.9390282239399617E-2</v>
      </c>
      <c r="W53" s="53"/>
      <c r="X53" s="452">
        <f>'Proposed Rates'!H293</f>
        <v>0.23499999999999999</v>
      </c>
      <c r="Y53" s="411"/>
      <c r="Z53" s="451">
        <f>X53*Z50</f>
        <v>19.861577249999996</v>
      </c>
      <c r="AA53" s="138"/>
      <c r="AB53" s="451">
        <f t="shared" si="68"/>
        <v>0.23560700499999498</v>
      </c>
      <c r="AC53" s="453">
        <f t="shared" si="69"/>
        <v>1.200485897302424E-2</v>
      </c>
      <c r="AD53" s="53"/>
      <c r="AE53" s="452">
        <f>'Proposed Rates'!I293</f>
        <v>0.23499999999999999</v>
      </c>
      <c r="AF53" s="411"/>
      <c r="AG53" s="451">
        <f>AE53*AG50</f>
        <v>20.214077249999999</v>
      </c>
      <c r="AH53" s="138"/>
      <c r="AI53" s="451">
        <f t="shared" si="70"/>
        <v>0.3525000000000027</v>
      </c>
      <c r="AJ53" s="453">
        <f t="shared" si="71"/>
        <v>1.7747835207800669E-2</v>
      </c>
      <c r="AK53" s="53"/>
      <c r="AL53" s="452">
        <f>'Proposed Rates'!J293</f>
        <v>0.23499999999999999</v>
      </c>
      <c r="AM53" s="411"/>
      <c r="AN53" s="451">
        <f>AL53*AN50</f>
        <v>20.53602725</v>
      </c>
      <c r="AO53" s="138"/>
      <c r="AP53" s="451">
        <f t="shared" si="72"/>
        <v>0.32195000000000107</v>
      </c>
      <c r="AQ53" s="453">
        <f t="shared" si="73"/>
        <v>1.5927019374579719E-2</v>
      </c>
      <c r="AR53" s="454"/>
    </row>
    <row r="54" spans="1:44" ht="12.75" customHeight="1">
      <c r="A54" s="53"/>
      <c r="B54" s="627" t="s">
        <v>347</v>
      </c>
      <c r="C54" s="608"/>
      <c r="D54" s="600"/>
      <c r="E54" s="455"/>
      <c r="F54" s="456"/>
      <c r="G54" s="487"/>
      <c r="H54" s="488">
        <f>H52-H53</f>
        <v>66.962536467500001</v>
      </c>
      <c r="I54" s="457"/>
      <c r="J54" s="456"/>
      <c r="K54" s="457"/>
      <c r="L54" s="458">
        <f>L52-L53</f>
        <v>71.913041465000006</v>
      </c>
      <c r="M54" s="459"/>
      <c r="N54" s="460">
        <f t="shared" si="64"/>
        <v>4.9505049975000048</v>
      </c>
      <c r="O54" s="461">
        <f t="shared" si="65"/>
        <v>7.3929472487989048E-2</v>
      </c>
      <c r="P54" s="53"/>
      <c r="Q54" s="457"/>
      <c r="R54" s="457"/>
      <c r="S54" s="458">
        <f>S52-S53</f>
        <v>74.745716465000001</v>
      </c>
      <c r="T54" s="459"/>
      <c r="U54" s="460">
        <f t="shared" si="66"/>
        <v>2.8326749999999947</v>
      </c>
      <c r="V54" s="461">
        <f t="shared" si="67"/>
        <v>3.9390282239399575E-2</v>
      </c>
      <c r="W54" s="53"/>
      <c r="X54" s="457"/>
      <c r="Y54" s="457"/>
      <c r="Z54" s="458">
        <f>Z52-Z53</f>
        <v>75.64302825</v>
      </c>
      <c r="AA54" s="459"/>
      <c r="AB54" s="460">
        <f t="shared" si="68"/>
        <v>0.89731178499999942</v>
      </c>
      <c r="AC54" s="461">
        <f t="shared" si="69"/>
        <v>1.2004858973024488E-2</v>
      </c>
      <c r="AD54" s="53"/>
      <c r="AE54" s="457"/>
      <c r="AF54" s="457"/>
      <c r="AG54" s="458">
        <f>AG52-AG53</f>
        <v>76.985528249999987</v>
      </c>
      <c r="AH54" s="459"/>
      <c r="AI54" s="460">
        <f t="shared" si="70"/>
        <v>1.3424999999999869</v>
      </c>
      <c r="AJ54" s="461">
        <f t="shared" si="71"/>
        <v>1.7747835207800357E-2</v>
      </c>
      <c r="AK54" s="53"/>
      <c r="AL54" s="457"/>
      <c r="AM54" s="457"/>
      <c r="AN54" s="458">
        <f>AN52-AN53</f>
        <v>78.211678249999991</v>
      </c>
      <c r="AO54" s="459"/>
      <c r="AP54" s="460">
        <f t="shared" si="72"/>
        <v>1.2261500000000041</v>
      </c>
      <c r="AQ54" s="461">
        <f t="shared" si="73"/>
        <v>1.5927019374579719E-2</v>
      </c>
      <c r="AR54" s="462"/>
    </row>
    <row r="55" spans="1:44" ht="8.25"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75" customHeight="1">
      <c r="A56" s="53"/>
      <c r="B56" s="438" t="s">
        <v>348</v>
      </c>
      <c r="C56" s="328"/>
      <c r="D56" s="328"/>
      <c r="E56" s="328"/>
      <c r="F56" s="439"/>
      <c r="G56" s="483"/>
      <c r="H56" s="441">
        <f>SUM(H47:H48,H40,H41:H43)</f>
        <v>72.938476500000007</v>
      </c>
      <c r="I56" s="476"/>
      <c r="J56" s="439"/>
      <c r="K56" s="440"/>
      <c r="L56" s="441">
        <f>SUM(L47:L48,L40,L41:L43)</f>
        <v>78.469767000000004</v>
      </c>
      <c r="M56" s="443"/>
      <c r="N56" s="442">
        <f t="shared" ref="N56:N60" si="74">L56-H56</f>
        <v>5.5312904999999972</v>
      </c>
      <c r="O56" s="444">
        <f t="shared" ref="O56:O60" si="75">IF((H56)=0,"",(N56/H56))</f>
        <v>7.5835015555884233E-2</v>
      </c>
      <c r="P56" s="53"/>
      <c r="Q56" s="440"/>
      <c r="R56" s="440"/>
      <c r="S56" s="442">
        <f>SUM(S47:S48,S40,S41:S43)</f>
        <v>81.634766999999997</v>
      </c>
      <c r="T56" s="443"/>
      <c r="U56" s="442">
        <f t="shared" ref="U56:U60" si="76">S56-L56</f>
        <v>3.164999999999992</v>
      </c>
      <c r="V56" s="444">
        <f t="shared" ref="V56:V60" si="77">IF((L56)=0,"",(U56/L56))</f>
        <v>4.0334005324623834E-2</v>
      </c>
      <c r="W56" s="53"/>
      <c r="X56" s="440"/>
      <c r="Y56" s="440"/>
      <c r="Z56" s="442">
        <f>SUM(Z47:Z48,Z40,Z41:Z43)</f>
        <v>82.637349999999998</v>
      </c>
      <c r="AA56" s="443"/>
      <c r="AB56" s="442">
        <f t="shared" ref="AB56:AB60" si="78">Z56-S56</f>
        <v>1.0025830000000013</v>
      </c>
      <c r="AC56" s="444">
        <f t="shared" ref="AC56:AC60" si="79">IF((S56)=0,"",(AB56/S56))</f>
        <v>1.22813237159114E-2</v>
      </c>
      <c r="AD56" s="53"/>
      <c r="AE56" s="440"/>
      <c r="AF56" s="440"/>
      <c r="AG56" s="442">
        <f>SUM(AG47:AG48,AG40,AG41:AG43)</f>
        <v>84.137349999999998</v>
      </c>
      <c r="AH56" s="443"/>
      <c r="AI56" s="442">
        <f t="shared" ref="AI56:AI60" si="80">AG56-Z56</f>
        <v>1.5</v>
      </c>
      <c r="AJ56" s="444">
        <f t="shared" ref="AJ56:AJ60" si="81">IF((Z56)=0,"",(AI56/Z56))</f>
        <v>1.8151598520523709E-2</v>
      </c>
      <c r="AK56" s="53"/>
      <c r="AL56" s="440"/>
      <c r="AM56" s="440"/>
      <c r="AN56" s="442">
        <f>SUM(AN47:AN48,AN40,AN41:AN43)</f>
        <v>85.507349999999988</v>
      </c>
      <c r="AO56" s="443"/>
      <c r="AP56" s="442">
        <f t="shared" ref="AP56:AP60" si="82">AN56-AG56</f>
        <v>1.3699999999999903</v>
      </c>
      <c r="AQ56" s="444">
        <f t="shared" ref="AQ56:AQ60" si="83">IF((AG56)=0,"",(AP56/AG56))</f>
        <v>1.6282899330677642E-2</v>
      </c>
      <c r="AR56" s="445"/>
    </row>
    <row r="57" spans="1:44" ht="12.75" customHeight="1">
      <c r="A57" s="53"/>
      <c r="B57" s="446" t="s">
        <v>345</v>
      </c>
      <c r="C57" s="328"/>
      <c r="D57" s="328"/>
      <c r="E57" s="328"/>
      <c r="F57" s="439">
        <v>0.13</v>
      </c>
      <c r="G57" s="483"/>
      <c r="H57" s="484">
        <f>H56*F57</f>
        <v>9.4820019450000022</v>
      </c>
      <c r="I57" s="411"/>
      <c r="J57" s="439">
        <v>0.13</v>
      </c>
      <c r="K57" s="447"/>
      <c r="L57" s="394">
        <f>L56*J57</f>
        <v>10.201069710000001</v>
      </c>
      <c r="M57" s="138"/>
      <c r="N57" s="395">
        <f t="shared" si="74"/>
        <v>0.71906776499999836</v>
      </c>
      <c r="O57" s="396">
        <f t="shared" si="75"/>
        <v>7.5835015555884094E-2</v>
      </c>
      <c r="P57" s="53"/>
      <c r="Q57" s="439">
        <v>0.13</v>
      </c>
      <c r="R57" s="447"/>
      <c r="S57" s="394">
        <f>S56*Q57</f>
        <v>10.612519709999999</v>
      </c>
      <c r="T57" s="138"/>
      <c r="U57" s="395">
        <f t="shared" si="76"/>
        <v>0.41144999999999854</v>
      </c>
      <c r="V57" s="396">
        <f t="shared" si="77"/>
        <v>4.0334005324623792E-2</v>
      </c>
      <c r="W57" s="53"/>
      <c r="X57" s="439">
        <v>0.13</v>
      </c>
      <c r="Y57" s="447"/>
      <c r="Z57" s="394">
        <f>Z56*X57</f>
        <v>10.742855499999999</v>
      </c>
      <c r="AA57" s="138"/>
      <c r="AB57" s="395">
        <f t="shared" si="78"/>
        <v>0.13033579000000017</v>
      </c>
      <c r="AC57" s="396">
        <f t="shared" si="79"/>
        <v>1.2281323715911402E-2</v>
      </c>
      <c r="AD57" s="53"/>
      <c r="AE57" s="439">
        <v>0.13</v>
      </c>
      <c r="AF57" s="447"/>
      <c r="AG57" s="394">
        <f>AG56*AE57</f>
        <v>10.9378555</v>
      </c>
      <c r="AH57" s="138"/>
      <c r="AI57" s="395">
        <f t="shared" si="80"/>
        <v>0.19500000000000028</v>
      </c>
      <c r="AJ57" s="396">
        <f t="shared" si="81"/>
        <v>1.8151598520523737E-2</v>
      </c>
      <c r="AK57" s="53"/>
      <c r="AL57" s="439">
        <v>0.13</v>
      </c>
      <c r="AM57" s="447"/>
      <c r="AN57" s="394">
        <f>AN56*AL57</f>
        <v>11.115955499999998</v>
      </c>
      <c r="AO57" s="138"/>
      <c r="AP57" s="395">
        <f t="shared" si="82"/>
        <v>0.17809999999999881</v>
      </c>
      <c r="AQ57" s="396">
        <f t="shared" si="83"/>
        <v>1.6282899330677648E-2</v>
      </c>
      <c r="AR57" s="397"/>
    </row>
    <row r="58" spans="1:44" ht="12.75" customHeight="1">
      <c r="A58" s="53"/>
      <c r="B58" s="485" t="s">
        <v>368</v>
      </c>
      <c r="C58" s="328"/>
      <c r="D58" s="328"/>
      <c r="E58" s="328"/>
      <c r="F58" s="449"/>
      <c r="G58" s="138"/>
      <c r="H58" s="484">
        <f>H56+H57</f>
        <v>82.420478445000015</v>
      </c>
      <c r="I58" s="411"/>
      <c r="J58" s="449"/>
      <c r="K58" s="411"/>
      <c r="L58" s="394">
        <f>L56+L57</f>
        <v>88.670836710000003</v>
      </c>
      <c r="M58" s="138"/>
      <c r="N58" s="395">
        <f t="shared" si="74"/>
        <v>6.2503582649999885</v>
      </c>
      <c r="O58" s="396">
        <f t="shared" si="75"/>
        <v>7.5835015555884122E-2</v>
      </c>
      <c r="P58" s="53"/>
      <c r="Q58" s="411"/>
      <c r="R58" s="411"/>
      <c r="S58" s="394">
        <f>S56+S57</f>
        <v>92.247286709999997</v>
      </c>
      <c r="T58" s="138"/>
      <c r="U58" s="395">
        <f t="shared" si="76"/>
        <v>3.5764499999999941</v>
      </c>
      <c r="V58" s="396">
        <f t="shared" si="77"/>
        <v>4.0334005324623876E-2</v>
      </c>
      <c r="W58" s="53"/>
      <c r="X58" s="411"/>
      <c r="Y58" s="411"/>
      <c r="Z58" s="394">
        <f>Z56+Z57</f>
        <v>93.380205500000002</v>
      </c>
      <c r="AA58" s="138"/>
      <c r="AB58" s="395">
        <f t="shared" si="78"/>
        <v>1.1329187900000051</v>
      </c>
      <c r="AC58" s="396">
        <f t="shared" si="79"/>
        <v>1.228132371591144E-2</v>
      </c>
      <c r="AD58" s="53"/>
      <c r="AE58" s="411"/>
      <c r="AF58" s="411"/>
      <c r="AG58" s="394">
        <f>AG56+AG57</f>
        <v>95.075205499999996</v>
      </c>
      <c r="AH58" s="138"/>
      <c r="AI58" s="395">
        <f t="shared" si="80"/>
        <v>1.6949999999999932</v>
      </c>
      <c r="AJ58" s="396">
        <f t="shared" si="81"/>
        <v>1.8151598520523636E-2</v>
      </c>
      <c r="AK58" s="53"/>
      <c r="AL58" s="411"/>
      <c r="AM58" s="411"/>
      <c r="AN58" s="394">
        <f>AN56+AN57</f>
        <v>96.623305499999987</v>
      </c>
      <c r="AO58" s="138"/>
      <c r="AP58" s="395">
        <f t="shared" si="82"/>
        <v>1.5480999999999909</v>
      </c>
      <c r="AQ58" s="396">
        <f t="shared" si="83"/>
        <v>1.6282899330677659E-2</v>
      </c>
      <c r="AR58" s="397"/>
    </row>
    <row r="59" spans="1:44" ht="15.75" customHeight="1">
      <c r="A59" s="53"/>
      <c r="B59" s="626" t="s">
        <v>304</v>
      </c>
      <c r="C59" s="616"/>
      <c r="D59" s="616"/>
      <c r="E59" s="328"/>
      <c r="F59" s="450">
        <f>F53</f>
        <v>0.23499999999999999</v>
      </c>
      <c r="G59" s="138"/>
      <c r="H59" s="486">
        <f>F59*H56</f>
        <v>17.1405419775</v>
      </c>
      <c r="I59" s="411"/>
      <c r="J59" s="450">
        <f>J53</f>
        <v>0.23499999999999999</v>
      </c>
      <c r="K59" s="411"/>
      <c r="L59" s="451">
        <f>J59*L56</f>
        <v>18.440395245000001</v>
      </c>
      <c r="M59" s="138"/>
      <c r="N59" s="451">
        <f t="shared" si="74"/>
        <v>1.2998532675000014</v>
      </c>
      <c r="O59" s="453">
        <f t="shared" si="75"/>
        <v>7.5835015555884358E-2</v>
      </c>
      <c r="P59" s="53"/>
      <c r="Q59" s="452">
        <f>Q53</f>
        <v>0.23499999999999999</v>
      </c>
      <c r="R59" s="411"/>
      <c r="S59" s="451">
        <f>Q59*S56</f>
        <v>19.184170244999997</v>
      </c>
      <c r="T59" s="138"/>
      <c r="U59" s="451">
        <f t="shared" si="76"/>
        <v>0.74377499999999586</v>
      </c>
      <c r="V59" s="453">
        <f t="shared" si="77"/>
        <v>4.0334005324623716E-2</v>
      </c>
      <c r="W59" s="53"/>
      <c r="X59" s="452">
        <f>X53</f>
        <v>0.23499999999999999</v>
      </c>
      <c r="Y59" s="411"/>
      <c r="Z59" s="451">
        <f>X59*Z56</f>
        <v>19.419777249999999</v>
      </c>
      <c r="AA59" s="138"/>
      <c r="AB59" s="451">
        <f t="shared" si="78"/>
        <v>0.23560700500000209</v>
      </c>
      <c r="AC59" s="453">
        <f t="shared" si="79"/>
        <v>1.2281323715911495E-2</v>
      </c>
      <c r="AD59" s="53"/>
      <c r="AE59" s="452">
        <f>AE53</f>
        <v>0.23499999999999999</v>
      </c>
      <c r="AF59" s="411"/>
      <c r="AG59" s="451">
        <f>AE59*AG56</f>
        <v>19.772277249999998</v>
      </c>
      <c r="AH59" s="138"/>
      <c r="AI59" s="451">
        <f t="shared" si="80"/>
        <v>0.35249999999999915</v>
      </c>
      <c r="AJ59" s="453">
        <f t="shared" si="81"/>
        <v>1.8151598520523667E-2</v>
      </c>
      <c r="AK59" s="53"/>
      <c r="AL59" s="452">
        <f>AL53</f>
        <v>0.23499999999999999</v>
      </c>
      <c r="AM59" s="411"/>
      <c r="AN59" s="451">
        <f>AL59*AN56</f>
        <v>20.094227249999996</v>
      </c>
      <c r="AO59" s="138"/>
      <c r="AP59" s="451">
        <f t="shared" si="82"/>
        <v>0.32194999999999752</v>
      </c>
      <c r="AQ59" s="453">
        <f t="shared" si="83"/>
        <v>1.6282899330677631E-2</v>
      </c>
      <c r="AR59" s="454"/>
    </row>
    <row r="60" spans="1:44" ht="12.75" customHeight="1">
      <c r="A60" s="53"/>
      <c r="B60" s="627" t="s">
        <v>350</v>
      </c>
      <c r="C60" s="608"/>
      <c r="D60" s="600"/>
      <c r="E60" s="455"/>
      <c r="F60" s="463"/>
      <c r="G60" s="489"/>
      <c r="H60" s="490">
        <f>H58-H59</f>
        <v>65.279936467500022</v>
      </c>
      <c r="I60" s="464"/>
      <c r="J60" s="463"/>
      <c r="K60" s="464"/>
      <c r="L60" s="465">
        <f>L58-L59</f>
        <v>70.230441464999998</v>
      </c>
      <c r="M60" s="466"/>
      <c r="N60" s="467">
        <f t="shared" si="74"/>
        <v>4.9505049974999764</v>
      </c>
      <c r="O60" s="468">
        <f t="shared" si="75"/>
        <v>7.58350155558839E-2</v>
      </c>
      <c r="P60" s="53"/>
      <c r="Q60" s="464"/>
      <c r="R60" s="464"/>
      <c r="S60" s="465">
        <f>S58-S59</f>
        <v>73.063116465000007</v>
      </c>
      <c r="T60" s="466"/>
      <c r="U60" s="467">
        <f t="shared" si="76"/>
        <v>2.8326750000000089</v>
      </c>
      <c r="V60" s="468">
        <f t="shared" si="77"/>
        <v>4.033400532462407E-2</v>
      </c>
      <c r="W60" s="53"/>
      <c r="X60" s="464"/>
      <c r="Y60" s="464"/>
      <c r="Z60" s="465">
        <f>Z58-Z59</f>
        <v>73.960428250000007</v>
      </c>
      <c r="AA60" s="466"/>
      <c r="AB60" s="467">
        <f t="shared" si="78"/>
        <v>0.89731178499999942</v>
      </c>
      <c r="AC60" s="468">
        <f t="shared" si="79"/>
        <v>1.2281323715911374E-2</v>
      </c>
      <c r="AD60" s="53"/>
      <c r="AE60" s="464"/>
      <c r="AF60" s="464"/>
      <c r="AG60" s="465">
        <f>AG58-AG59</f>
        <v>75.302928249999994</v>
      </c>
      <c r="AH60" s="466"/>
      <c r="AI60" s="467">
        <f t="shared" si="80"/>
        <v>1.3424999999999869</v>
      </c>
      <c r="AJ60" s="468">
        <f t="shared" si="81"/>
        <v>1.8151598520523532E-2</v>
      </c>
      <c r="AK60" s="53"/>
      <c r="AL60" s="464"/>
      <c r="AM60" s="464"/>
      <c r="AN60" s="465">
        <f>AN58-AN59</f>
        <v>76.529078249999998</v>
      </c>
      <c r="AO60" s="466"/>
      <c r="AP60" s="467">
        <f t="shared" si="82"/>
        <v>1.2261500000000041</v>
      </c>
      <c r="AQ60" s="468">
        <f t="shared" si="83"/>
        <v>1.6282899330677812E-2</v>
      </c>
      <c r="AR60" s="462"/>
    </row>
    <row r="61" spans="1:44" ht="8.25"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75"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5.75" customHeight="1">
      <c r="A65" s="473" t="s">
        <v>369</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474"/>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A00-000000000000}">
      <formula1>"TOU,non-TOU"</formula1>
    </dataValidation>
    <dataValidation type="list" allowBlank="1" showErrorMessage="1" sqref="E15:E28 E30:E36 E38:E39 E41:E49 E55 E61" xr:uid="{00000000-0002-0000-0A00-000001000000}">
      <formula1>#REF!</formula1>
    </dataValidation>
    <dataValidation type="list" allowBlank="1" showInputMessage="1" showErrorMessage="1" prompt="Select Charge Unit - monthly, per kWh, per kW" sqref="D15:D28 D30:D36 D38:D39 D41:D49 D55 D61" xr:uid="{00000000-0002-0000-0A00-000002000000}">
      <formula1>"Monthly,per kWh,per kW"</formula1>
    </dataValidation>
  </dataValidations>
  <pageMargins left="0.74803149606299213" right="0.74803149606299213" top="0.98425196850393704" bottom="0.98425196850393704"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5" customHeight="1">
      <c r="A1" s="3"/>
      <c r="B1" s="3"/>
      <c r="C1" s="3"/>
      <c r="D1" s="3"/>
      <c r="E1" s="3"/>
      <c r="F1" s="3"/>
      <c r="G1" s="3"/>
      <c r="H1" s="3"/>
      <c r="I1" s="3"/>
      <c r="J1" s="3"/>
      <c r="K1" s="3"/>
      <c r="L1" s="3"/>
      <c r="M1" s="3"/>
      <c r="N1" s="3"/>
      <c r="O1" s="3"/>
      <c r="P1" s="3"/>
      <c r="Q1" s="3"/>
      <c r="R1" s="3"/>
      <c r="S1" s="628" t="s">
        <v>319</v>
      </c>
      <c r="T1" s="629"/>
      <c r="U1" s="629"/>
      <c r="V1" s="629"/>
      <c r="W1" s="629"/>
      <c r="X1" s="629"/>
      <c r="Y1" s="630"/>
      <c r="Z1" s="3"/>
      <c r="AA1" s="3"/>
      <c r="AB1" s="3"/>
      <c r="AC1" s="3"/>
      <c r="AD1" s="3"/>
      <c r="AE1" s="3"/>
      <c r="AF1" s="3"/>
      <c r="AG1" s="3"/>
      <c r="AH1" s="3"/>
      <c r="AI1" s="3"/>
      <c r="AJ1" s="3"/>
      <c r="AK1" s="3"/>
      <c r="AL1" s="3"/>
      <c r="AM1" s="3"/>
      <c r="AN1" s="3"/>
      <c r="AO1" s="3"/>
      <c r="AP1" s="3"/>
      <c r="AQ1" s="3"/>
      <c r="AR1" s="3"/>
    </row>
    <row r="2" spans="1:44" ht="18.75"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4" ht="18.75"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75" customHeight="1">
      <c r="A6" s="53"/>
      <c r="B6" s="327" t="s">
        <v>323</v>
      </c>
      <c r="C6" s="53"/>
      <c r="D6" s="375" t="s">
        <v>247</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7.5"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75"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75"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75" customHeight="1">
      <c r="A10" s="53"/>
      <c r="B10" s="53"/>
      <c r="C10" s="53"/>
      <c r="D10" s="314" t="s">
        <v>326</v>
      </c>
      <c r="E10" s="314"/>
      <c r="F10" s="380">
        <v>500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75"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4" ht="12.75"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4" ht="12.75"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4" ht="12.75"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4" ht="12.75" customHeight="1">
      <c r="A15" s="53"/>
      <c r="B15" s="328" t="s">
        <v>246</v>
      </c>
      <c r="C15" s="389" t="str">
        <f t="shared" ref="C15:C28" si="0">D$6&amp;"."&amp;B15</f>
        <v>Residential.Monthly Service Charge</v>
      </c>
      <c r="D15" s="390" t="s">
        <v>335</v>
      </c>
      <c r="E15" s="328"/>
      <c r="F15" s="391">
        <f>IFERROR(VLOOKUP($C15,'Proposed Rates'!$B:$J,F$11,FALSE),0)</f>
        <v>34.26</v>
      </c>
      <c r="G15" s="392">
        <f t="shared" ref="G15:G28" si="1">IF($D15="Monthly",1,IF($D15="per KWH",$F$10,0))</f>
        <v>1</v>
      </c>
      <c r="H15" s="394">
        <f t="shared" ref="H15:H28" si="2">G15*F15</f>
        <v>34.26</v>
      </c>
      <c r="I15" s="138"/>
      <c r="J15" s="391">
        <f>IFERROR(VLOOKUP($C15,'Proposed Rates'!$B:$J,J$11,FALSE),0)</f>
        <v>39.200000000000003</v>
      </c>
      <c r="K15" s="392">
        <f t="shared" ref="K15:K28" si="3">IF($D15="Monthly",1,IF($D15="per KWH",$F$10,0))</f>
        <v>1</v>
      </c>
      <c r="L15" s="394">
        <f t="shared" ref="L15:L28" si="4">K15*J15</f>
        <v>39.200000000000003</v>
      </c>
      <c r="M15" s="138"/>
      <c r="N15" s="395">
        <f t="shared" ref="N15:N48" si="5">L15-H15</f>
        <v>4.9400000000000048</v>
      </c>
      <c r="O15" s="396">
        <f t="shared" ref="O15:O48" si="6">IF((H15)=0,"",(N15/H15))</f>
        <v>0.14419147694103926</v>
      </c>
      <c r="P15" s="53"/>
      <c r="Q15" s="391">
        <f>IFERROR(VLOOKUP($C15,'Proposed Rates'!$B:$J,Q$11,FALSE),0)</f>
        <v>41.1</v>
      </c>
      <c r="R15" s="392">
        <f t="shared" ref="R15:R28" si="7">IF($D15="Monthly",1,IF($D15="per KWH",$F$10,0))</f>
        <v>1</v>
      </c>
      <c r="S15" s="394">
        <f t="shared" ref="S15:S28" si="8">R15*Q15</f>
        <v>41.1</v>
      </c>
      <c r="T15" s="138"/>
      <c r="U15" s="395">
        <f t="shared" ref="U15:U48" si="9">S15-L15</f>
        <v>1.8999999999999986</v>
      </c>
      <c r="V15" s="396">
        <f t="shared" ref="V15:V48" si="10">IF((L15)=0,"",(U15/L15))</f>
        <v>4.8469387755102004E-2</v>
      </c>
      <c r="W15" s="53"/>
      <c r="X15" s="391">
        <f>IFERROR(VLOOKUP($C15,'Proposed Rates'!$B:$J,X$11,FALSE),0)</f>
        <v>43.93</v>
      </c>
      <c r="Y15" s="392">
        <f t="shared" ref="Y15:Y28" si="11">IF($D15="Monthly",1,IF($D15="per KWH",$F$10,0))</f>
        <v>1</v>
      </c>
      <c r="Z15" s="394">
        <f t="shared" ref="Z15:Z28" si="12">Y15*X15</f>
        <v>43.93</v>
      </c>
      <c r="AA15" s="138"/>
      <c r="AB15" s="395">
        <f t="shared" ref="AB15:AB48" si="13">Z15-S15</f>
        <v>2.8299999999999983</v>
      </c>
      <c r="AC15" s="396">
        <f t="shared" ref="AC15:AC48" si="14">IF((S15)=0,"",(AB15/S15))</f>
        <v>6.8856447688564429E-2</v>
      </c>
      <c r="AD15" s="53"/>
      <c r="AE15" s="391">
        <f>IFERROR(VLOOKUP($C15,'Proposed Rates'!$B:$J,AE$11,FALSE),0)</f>
        <v>45.42</v>
      </c>
      <c r="AF15" s="392">
        <f t="shared" ref="AF15:AF28" si="15">IF($D15="Monthly",1,IF($D15="per KWH",$F$10,0))</f>
        <v>1</v>
      </c>
      <c r="AG15" s="394">
        <f t="shared" ref="AG15:AG28" si="16">AF15*AE15</f>
        <v>45.42</v>
      </c>
      <c r="AH15" s="138"/>
      <c r="AI15" s="395">
        <f t="shared" ref="AI15:AI48" si="17">AG15-Z15</f>
        <v>1.490000000000002</v>
      </c>
      <c r="AJ15" s="396">
        <f t="shared" ref="AJ15:AJ48" si="18">IF((Z15)=0,"",(AI15/Z15))</f>
        <v>3.3917596175734165E-2</v>
      </c>
      <c r="AK15" s="53"/>
      <c r="AL15" s="391">
        <f>IFERROR(VLOOKUP($C15,'Proposed Rates'!$B:$J,AL$11,FALSE),0)</f>
        <v>46.78</v>
      </c>
      <c r="AM15" s="392">
        <f t="shared" ref="AM15:AM28" si="19">IF($D15="Monthly",1,IF($D15="per KWH",$F$10,0))</f>
        <v>1</v>
      </c>
      <c r="AN15" s="394">
        <f t="shared" ref="AN15:AN28" si="20">AM15*AL15</f>
        <v>46.78</v>
      </c>
      <c r="AO15" s="138"/>
      <c r="AP15" s="395">
        <f t="shared" ref="AP15:AP48" si="21">AN15-AG15</f>
        <v>1.3599999999999994</v>
      </c>
      <c r="AQ15" s="396">
        <f t="shared" ref="AQ15:AQ48" si="22">IF((AG15)=0,"",(AP15/AG15))</f>
        <v>2.9942756494936138E-2</v>
      </c>
      <c r="AR15" s="397"/>
    </row>
    <row r="16" spans="1:44" ht="12.75" customHeight="1">
      <c r="A16" s="53"/>
      <c r="B16" s="328" t="s">
        <v>336</v>
      </c>
      <c r="C16" s="389" t="str">
        <f t="shared" si="0"/>
        <v>Residential.Smart Meter Rate Adder</v>
      </c>
      <c r="D16" s="390" t="s">
        <v>335</v>
      </c>
      <c r="E16" s="328"/>
      <c r="F16" s="391">
        <f>IFERROR(VLOOKUP($C16,'Proposed Rates'!$B:$J,F$11,FALSE),0)</f>
        <v>0</v>
      </c>
      <c r="G16" s="392">
        <f t="shared" si="1"/>
        <v>1</v>
      </c>
      <c r="H16" s="394">
        <f t="shared" si="2"/>
        <v>0</v>
      </c>
      <c r="I16" s="138"/>
      <c r="J16" s="391">
        <f>IFERROR(VLOOKUP($C16,'Proposed Rates'!$B:$J,J$11,FALSE),0)</f>
        <v>0</v>
      </c>
      <c r="K16" s="392">
        <f t="shared" si="3"/>
        <v>1</v>
      </c>
      <c r="L16" s="394">
        <f t="shared" si="4"/>
        <v>0</v>
      </c>
      <c r="M16" s="138"/>
      <c r="N16" s="395">
        <f t="shared" si="5"/>
        <v>0</v>
      </c>
      <c r="O16" s="396" t="str">
        <f t="shared" si="6"/>
        <v/>
      </c>
      <c r="P16" s="53"/>
      <c r="Q16" s="391">
        <f>IFERROR(VLOOKUP($C16,'Proposed Rates'!$B:$J,Q$11,FALSE),0)</f>
        <v>0</v>
      </c>
      <c r="R16" s="392">
        <f t="shared" si="7"/>
        <v>1</v>
      </c>
      <c r="S16" s="394">
        <f t="shared" si="8"/>
        <v>0</v>
      </c>
      <c r="T16" s="138"/>
      <c r="U16" s="395">
        <f t="shared" si="9"/>
        <v>0</v>
      </c>
      <c r="V16" s="396" t="str">
        <f t="shared" si="10"/>
        <v/>
      </c>
      <c r="W16" s="53"/>
      <c r="X16" s="391">
        <f>IFERROR(VLOOKUP($C16,'Proposed Rates'!$B:$J,X$11,FALSE),0)</f>
        <v>0</v>
      </c>
      <c r="Y16" s="392">
        <f t="shared" si="11"/>
        <v>1</v>
      </c>
      <c r="Z16" s="394">
        <f t="shared" si="12"/>
        <v>0</v>
      </c>
      <c r="AA16" s="138"/>
      <c r="AB16" s="395">
        <f t="shared" si="13"/>
        <v>0</v>
      </c>
      <c r="AC16" s="396" t="str">
        <f t="shared" si="14"/>
        <v/>
      </c>
      <c r="AD16" s="53"/>
      <c r="AE16" s="391">
        <f>IFERROR(VLOOKUP($C16,'Proposed Rates'!$B:$J,AE$11,FALSE),0)</f>
        <v>0</v>
      </c>
      <c r="AF16" s="392">
        <f t="shared" si="15"/>
        <v>1</v>
      </c>
      <c r="AG16" s="394">
        <f t="shared" si="16"/>
        <v>0</v>
      </c>
      <c r="AH16" s="138"/>
      <c r="AI16" s="395">
        <f t="shared" si="17"/>
        <v>0</v>
      </c>
      <c r="AJ16" s="396" t="str">
        <f t="shared" si="18"/>
        <v/>
      </c>
      <c r="AK16" s="53"/>
      <c r="AL16" s="391">
        <f>IFERROR(VLOOKUP($C16,'Proposed Rates'!$B:$J,AL$11,FALSE),0)</f>
        <v>0</v>
      </c>
      <c r="AM16" s="392">
        <f t="shared" si="19"/>
        <v>1</v>
      </c>
      <c r="AN16" s="394">
        <f t="shared" si="20"/>
        <v>0</v>
      </c>
      <c r="AO16" s="138"/>
      <c r="AP16" s="395">
        <f t="shared" si="21"/>
        <v>0</v>
      </c>
      <c r="AQ16" s="396" t="str">
        <f t="shared" si="22"/>
        <v/>
      </c>
      <c r="AR16" s="397"/>
    </row>
    <row r="17" spans="1:44" ht="12.75" customHeight="1">
      <c r="A17" s="53"/>
      <c r="B17" s="398" t="str">
        <f>'Proposed Rates'!C115</f>
        <v>Rate Rider Calculation for Forgone Revenue - variable</v>
      </c>
      <c r="C17" s="389" t="str">
        <f t="shared" si="0"/>
        <v>Residential.Rate Rider Calculation for Forgone Revenue - variable</v>
      </c>
      <c r="D17" s="390" t="s">
        <v>337</v>
      </c>
      <c r="E17" s="328"/>
      <c r="F17" s="391">
        <f>IFERROR(VLOOKUP($C17,'Proposed Rates'!$B:$J,F$11,FALSE),0)</f>
        <v>0</v>
      </c>
      <c r="G17" s="392">
        <f t="shared" si="1"/>
        <v>500</v>
      </c>
      <c r="H17" s="394">
        <f t="shared" si="2"/>
        <v>0</v>
      </c>
      <c r="I17" s="138"/>
      <c r="J17" s="391">
        <f>IFERROR(VLOOKUP($C17,'Proposed Rates'!$B:$J,J$11,FALSE),0)</f>
        <v>0</v>
      </c>
      <c r="K17" s="392">
        <f t="shared" si="3"/>
        <v>500</v>
      </c>
      <c r="L17" s="394">
        <f t="shared" si="4"/>
        <v>0</v>
      </c>
      <c r="M17" s="138"/>
      <c r="N17" s="395">
        <f t="shared" si="5"/>
        <v>0</v>
      </c>
      <c r="O17" s="396" t="str">
        <f t="shared" si="6"/>
        <v/>
      </c>
      <c r="P17" s="53"/>
      <c r="Q17" s="391">
        <f>IFERROR(VLOOKUP($C17,'Proposed Rates'!$B:$J,Q$11,FALSE),0)</f>
        <v>0</v>
      </c>
      <c r="R17" s="392">
        <f t="shared" si="7"/>
        <v>500</v>
      </c>
      <c r="S17" s="394">
        <f t="shared" si="8"/>
        <v>0</v>
      </c>
      <c r="T17" s="138"/>
      <c r="U17" s="395">
        <f t="shared" si="9"/>
        <v>0</v>
      </c>
      <c r="V17" s="396" t="str">
        <f t="shared" si="10"/>
        <v/>
      </c>
      <c r="W17" s="53"/>
      <c r="X17" s="391">
        <f>IFERROR(VLOOKUP($C17,'Proposed Rates'!$B:$J,X$11,FALSE),0)</f>
        <v>0</v>
      </c>
      <c r="Y17" s="392">
        <f t="shared" si="11"/>
        <v>500</v>
      </c>
      <c r="Z17" s="394">
        <f t="shared" si="12"/>
        <v>0</v>
      </c>
      <c r="AA17" s="138"/>
      <c r="AB17" s="395">
        <f t="shared" si="13"/>
        <v>0</v>
      </c>
      <c r="AC17" s="396" t="str">
        <f t="shared" si="14"/>
        <v/>
      </c>
      <c r="AD17" s="53"/>
      <c r="AE17" s="391">
        <f>IFERROR(VLOOKUP($C17,'Proposed Rates'!$B:$J,AE$11,FALSE),0)</f>
        <v>0</v>
      </c>
      <c r="AF17" s="392">
        <f t="shared" si="15"/>
        <v>500</v>
      </c>
      <c r="AG17" s="394">
        <f t="shared" si="16"/>
        <v>0</v>
      </c>
      <c r="AH17" s="138"/>
      <c r="AI17" s="395">
        <f t="shared" si="17"/>
        <v>0</v>
      </c>
      <c r="AJ17" s="396" t="str">
        <f t="shared" si="18"/>
        <v/>
      </c>
      <c r="AK17" s="53"/>
      <c r="AL17" s="391">
        <f>IFERROR(VLOOKUP($C17,'Proposed Rates'!$B:$J,AL$11,FALSE),0)</f>
        <v>0</v>
      </c>
      <c r="AM17" s="392">
        <f t="shared" si="19"/>
        <v>500</v>
      </c>
      <c r="AN17" s="394">
        <f t="shared" si="20"/>
        <v>0</v>
      </c>
      <c r="AO17" s="138"/>
      <c r="AP17" s="395">
        <f t="shared" si="21"/>
        <v>0</v>
      </c>
      <c r="AQ17" s="396" t="str">
        <f t="shared" si="22"/>
        <v/>
      </c>
      <c r="AR17" s="397"/>
    </row>
    <row r="18" spans="1:44" ht="12.75" customHeight="1">
      <c r="A18" s="53"/>
      <c r="B18" s="398" t="str">
        <f>'Proposed Rates'!C128</f>
        <v>Rate Rider Calculation for Forgone Revenue - fixed</v>
      </c>
      <c r="C18" s="389" t="str">
        <f t="shared" si="0"/>
        <v>Residential.Rate Rider Calculation for Forgone Revenue - fixed</v>
      </c>
      <c r="D18" s="390" t="s">
        <v>335</v>
      </c>
      <c r="E18" s="328"/>
      <c r="F18" s="391">
        <f>IFERROR(VLOOKUP($C18,'Proposed Rates'!$B:$J,F$11,FALSE),0)</f>
        <v>0</v>
      </c>
      <c r="G18" s="392">
        <f t="shared" si="1"/>
        <v>1</v>
      </c>
      <c r="H18" s="394">
        <f t="shared" si="2"/>
        <v>0</v>
      </c>
      <c r="I18" s="138"/>
      <c r="J18" s="391">
        <f>IFERROR(VLOOKUP($C18,'Proposed Rates'!$B:$J,J$11,FALSE),0)</f>
        <v>1.84</v>
      </c>
      <c r="K18" s="392">
        <f t="shared" si="3"/>
        <v>1</v>
      </c>
      <c r="L18" s="394">
        <f t="shared" si="4"/>
        <v>1.84</v>
      </c>
      <c r="M18" s="138"/>
      <c r="N18" s="395">
        <f t="shared" si="5"/>
        <v>1.84</v>
      </c>
      <c r="O18" s="396" t="str">
        <f t="shared" si="6"/>
        <v/>
      </c>
      <c r="P18" s="53"/>
      <c r="Q18" s="391">
        <f>IFERROR(VLOOKUP($C18,'Proposed Rates'!$B:$J,Q$11,FALSE),0)</f>
        <v>1.84</v>
      </c>
      <c r="R18" s="392">
        <f t="shared" si="7"/>
        <v>1</v>
      </c>
      <c r="S18" s="394">
        <f t="shared" si="8"/>
        <v>1.84</v>
      </c>
      <c r="T18" s="138"/>
      <c r="U18" s="395">
        <f t="shared" si="9"/>
        <v>0</v>
      </c>
      <c r="V18" s="396">
        <f t="shared" si="10"/>
        <v>0</v>
      </c>
      <c r="W18" s="53"/>
      <c r="X18" s="391">
        <f>IFERROR(VLOOKUP($C18,'Proposed Rates'!$B:$J,X$11,FALSE),0)</f>
        <v>0</v>
      </c>
      <c r="Y18" s="392">
        <f t="shared" si="11"/>
        <v>1</v>
      </c>
      <c r="Z18" s="394">
        <f t="shared" si="12"/>
        <v>0</v>
      </c>
      <c r="AA18" s="138"/>
      <c r="AB18" s="395">
        <f t="shared" si="13"/>
        <v>-1.84</v>
      </c>
      <c r="AC18" s="396">
        <f t="shared" si="14"/>
        <v>-1</v>
      </c>
      <c r="AD18" s="53"/>
      <c r="AE18" s="391">
        <f>IFERROR(VLOOKUP($C18,'Proposed Rates'!$B:$J,AE$11,FALSE),0)</f>
        <v>0</v>
      </c>
      <c r="AF18" s="392">
        <f t="shared" si="15"/>
        <v>1</v>
      </c>
      <c r="AG18" s="394">
        <f t="shared" si="16"/>
        <v>0</v>
      </c>
      <c r="AH18" s="138"/>
      <c r="AI18" s="395">
        <f t="shared" si="17"/>
        <v>0</v>
      </c>
      <c r="AJ18" s="396" t="str">
        <f t="shared" si="18"/>
        <v/>
      </c>
      <c r="AK18" s="53"/>
      <c r="AL18" s="391">
        <f>IFERROR(VLOOKUP($C18,'Proposed Rates'!$B:$J,AL$11,FALSE),0)</f>
        <v>0</v>
      </c>
      <c r="AM18" s="392">
        <f t="shared" si="19"/>
        <v>1</v>
      </c>
      <c r="AN18" s="394">
        <f t="shared" si="20"/>
        <v>0</v>
      </c>
      <c r="AO18" s="138"/>
      <c r="AP18" s="395">
        <f t="shared" si="21"/>
        <v>0</v>
      </c>
      <c r="AQ18" s="396" t="str">
        <f t="shared" si="22"/>
        <v/>
      </c>
      <c r="AR18" s="397"/>
    </row>
    <row r="19" spans="1:44" ht="12.75" customHeight="1">
      <c r="A19" s="53"/>
      <c r="B19" s="328" t="s">
        <v>62</v>
      </c>
      <c r="C19" s="389" t="str">
        <f t="shared" si="0"/>
        <v>Residential.Distribution Volumetric Rate</v>
      </c>
      <c r="D19" s="390" t="s">
        <v>337</v>
      </c>
      <c r="E19" s="328"/>
      <c r="F19" s="391">
        <f>IFERROR(VLOOKUP($C19,'Proposed Rates'!$B:$J,F$11,FALSE),0)</f>
        <v>0</v>
      </c>
      <c r="G19" s="392">
        <f t="shared" si="1"/>
        <v>500</v>
      </c>
      <c r="H19" s="394">
        <f t="shared" si="2"/>
        <v>0</v>
      </c>
      <c r="I19" s="138"/>
      <c r="J19" s="391">
        <f>IFERROR(VLOOKUP($C19,'Proposed Rates'!$B:$J,J$11,FALSE),0)</f>
        <v>0</v>
      </c>
      <c r="K19" s="392">
        <f t="shared" si="3"/>
        <v>500</v>
      </c>
      <c r="L19" s="394">
        <f t="shared" si="4"/>
        <v>0</v>
      </c>
      <c r="M19" s="138"/>
      <c r="N19" s="395">
        <f t="shared" si="5"/>
        <v>0</v>
      </c>
      <c r="O19" s="396" t="str">
        <f t="shared" si="6"/>
        <v/>
      </c>
      <c r="P19" s="53"/>
      <c r="Q19" s="391">
        <f>IFERROR(VLOOKUP($C19,'Proposed Rates'!$B:$J,Q$11,FALSE),0)</f>
        <v>0</v>
      </c>
      <c r="R19" s="392">
        <f t="shared" si="7"/>
        <v>500</v>
      </c>
      <c r="S19" s="394">
        <f t="shared" si="8"/>
        <v>0</v>
      </c>
      <c r="T19" s="138"/>
      <c r="U19" s="395">
        <f t="shared" si="9"/>
        <v>0</v>
      </c>
      <c r="V19" s="396" t="str">
        <f t="shared" si="10"/>
        <v/>
      </c>
      <c r="W19" s="53"/>
      <c r="X19" s="391">
        <f>IFERROR(VLOOKUP($C19,'Proposed Rates'!$B:$J,X$11,FALSE),0)</f>
        <v>0</v>
      </c>
      <c r="Y19" s="392">
        <f t="shared" si="11"/>
        <v>500</v>
      </c>
      <c r="Z19" s="394">
        <f t="shared" si="12"/>
        <v>0</v>
      </c>
      <c r="AA19" s="138"/>
      <c r="AB19" s="395">
        <f t="shared" si="13"/>
        <v>0</v>
      </c>
      <c r="AC19" s="396" t="str">
        <f t="shared" si="14"/>
        <v/>
      </c>
      <c r="AD19" s="53"/>
      <c r="AE19" s="391">
        <f>IFERROR(VLOOKUP($C19,'Proposed Rates'!$B:$J,AE$11,FALSE),0)</f>
        <v>0</v>
      </c>
      <c r="AF19" s="392">
        <f t="shared" si="15"/>
        <v>500</v>
      </c>
      <c r="AG19" s="394">
        <f t="shared" si="16"/>
        <v>0</v>
      </c>
      <c r="AH19" s="138"/>
      <c r="AI19" s="395">
        <f t="shared" si="17"/>
        <v>0</v>
      </c>
      <c r="AJ19" s="396" t="str">
        <f t="shared" si="18"/>
        <v/>
      </c>
      <c r="AK19" s="53"/>
      <c r="AL19" s="391">
        <f>IFERROR(VLOOKUP($C19,'Proposed Rates'!$B:$J,AL$11,FALSE),0)</f>
        <v>0</v>
      </c>
      <c r="AM19" s="392">
        <f t="shared" si="19"/>
        <v>500</v>
      </c>
      <c r="AN19" s="394">
        <f t="shared" si="20"/>
        <v>0</v>
      </c>
      <c r="AO19" s="138"/>
      <c r="AP19" s="395">
        <f t="shared" si="21"/>
        <v>0</v>
      </c>
      <c r="AQ19" s="396" t="str">
        <f t="shared" si="22"/>
        <v/>
      </c>
      <c r="AR19" s="397"/>
    </row>
    <row r="20" spans="1:44" ht="12.75" customHeight="1">
      <c r="A20" s="53"/>
      <c r="B20" s="328" t="s">
        <v>338</v>
      </c>
      <c r="C20" s="389" t="str">
        <f t="shared" si="0"/>
        <v>Residential.Smart Meter Disposition Rider</v>
      </c>
      <c r="D20" s="390" t="s">
        <v>337</v>
      </c>
      <c r="E20" s="328"/>
      <c r="F20" s="391">
        <f>IFERROR(VLOOKUP($C20,'Proposed Rates'!$B:$J,F$11,FALSE),0)</f>
        <v>0</v>
      </c>
      <c r="G20" s="392">
        <f t="shared" si="1"/>
        <v>500</v>
      </c>
      <c r="H20" s="394">
        <f t="shared" si="2"/>
        <v>0</v>
      </c>
      <c r="I20" s="138"/>
      <c r="J20" s="391">
        <f>IFERROR(VLOOKUP($C20,'Proposed Rates'!$B:$J,J$11,FALSE),0)</f>
        <v>0</v>
      </c>
      <c r="K20" s="392">
        <f t="shared" si="3"/>
        <v>500</v>
      </c>
      <c r="L20" s="394">
        <f t="shared" si="4"/>
        <v>0</v>
      </c>
      <c r="M20" s="138"/>
      <c r="N20" s="395">
        <f t="shared" si="5"/>
        <v>0</v>
      </c>
      <c r="O20" s="396" t="str">
        <f t="shared" si="6"/>
        <v/>
      </c>
      <c r="P20" s="53"/>
      <c r="Q20" s="391">
        <f>IFERROR(VLOOKUP($C20,'Proposed Rates'!$B:$J,Q$11,FALSE),0)</f>
        <v>0</v>
      </c>
      <c r="R20" s="392">
        <f t="shared" si="7"/>
        <v>500</v>
      </c>
      <c r="S20" s="394">
        <f t="shared" si="8"/>
        <v>0</v>
      </c>
      <c r="T20" s="138"/>
      <c r="U20" s="395">
        <f t="shared" si="9"/>
        <v>0</v>
      </c>
      <c r="V20" s="396" t="str">
        <f t="shared" si="10"/>
        <v/>
      </c>
      <c r="W20" s="53"/>
      <c r="X20" s="391">
        <f>IFERROR(VLOOKUP($C20,'Proposed Rates'!$B:$J,X$11,FALSE),0)</f>
        <v>0</v>
      </c>
      <c r="Y20" s="392">
        <f t="shared" si="11"/>
        <v>500</v>
      </c>
      <c r="Z20" s="394">
        <f t="shared" si="12"/>
        <v>0</v>
      </c>
      <c r="AA20" s="138"/>
      <c r="AB20" s="395">
        <f t="shared" si="13"/>
        <v>0</v>
      </c>
      <c r="AC20" s="396" t="str">
        <f t="shared" si="14"/>
        <v/>
      </c>
      <c r="AD20" s="53"/>
      <c r="AE20" s="391">
        <f>IFERROR(VLOOKUP($C20,'Proposed Rates'!$B:$J,AE$11,FALSE),0)</f>
        <v>0</v>
      </c>
      <c r="AF20" s="392">
        <f t="shared" si="15"/>
        <v>500</v>
      </c>
      <c r="AG20" s="394">
        <f t="shared" si="16"/>
        <v>0</v>
      </c>
      <c r="AH20" s="138"/>
      <c r="AI20" s="395">
        <f t="shared" si="17"/>
        <v>0</v>
      </c>
      <c r="AJ20" s="396" t="str">
        <f t="shared" si="18"/>
        <v/>
      </c>
      <c r="AK20" s="53"/>
      <c r="AL20" s="391">
        <f>IFERROR(VLOOKUP($C20,'Proposed Rates'!$B:$J,AL$11,FALSE),0)</f>
        <v>0</v>
      </c>
      <c r="AM20" s="392">
        <f t="shared" si="19"/>
        <v>500</v>
      </c>
      <c r="AN20" s="394">
        <f t="shared" si="20"/>
        <v>0</v>
      </c>
      <c r="AO20" s="138"/>
      <c r="AP20" s="395">
        <f t="shared" si="21"/>
        <v>0</v>
      </c>
      <c r="AQ20" s="396" t="str">
        <f t="shared" si="22"/>
        <v/>
      </c>
      <c r="AR20" s="397"/>
    </row>
    <row r="21" spans="1:44" ht="12.75" customHeight="1">
      <c r="A21" s="53"/>
      <c r="B21" s="328" t="s">
        <v>269</v>
      </c>
      <c r="C21" s="389" t="str">
        <f t="shared" si="0"/>
        <v>Residential.LRAM Rate Rider</v>
      </c>
      <c r="D21" s="390" t="s">
        <v>335</v>
      </c>
      <c r="E21" s="328"/>
      <c r="F21" s="391">
        <f>'Proposed Rates'!E77+'Proposed Rates'!E90</f>
        <v>0.25</v>
      </c>
      <c r="G21" s="392">
        <f t="shared" si="1"/>
        <v>1</v>
      </c>
      <c r="H21" s="393">
        <f t="shared" si="2"/>
        <v>0.25</v>
      </c>
      <c r="I21" s="53"/>
      <c r="J21" s="391">
        <f>'Proposed Rates'!F77+'Proposed Rates'!F90</f>
        <v>0</v>
      </c>
      <c r="K21" s="392">
        <f t="shared" si="3"/>
        <v>1</v>
      </c>
      <c r="L21" s="394">
        <f t="shared" si="4"/>
        <v>0</v>
      </c>
      <c r="M21" s="138"/>
      <c r="N21" s="395">
        <f t="shared" si="5"/>
        <v>-0.25</v>
      </c>
      <c r="O21" s="396">
        <f t="shared" si="6"/>
        <v>-1</v>
      </c>
      <c r="P21" s="53"/>
      <c r="Q21" s="391">
        <f>'Proposed Rates'!G77+'Proposed Rates'!G90</f>
        <v>0</v>
      </c>
      <c r="R21" s="392">
        <f t="shared" si="7"/>
        <v>1</v>
      </c>
      <c r="S21" s="394">
        <f t="shared" si="8"/>
        <v>0</v>
      </c>
      <c r="T21" s="138"/>
      <c r="U21" s="395">
        <f t="shared" si="9"/>
        <v>0</v>
      </c>
      <c r="V21" s="396" t="str">
        <f t="shared" si="10"/>
        <v/>
      </c>
      <c r="W21" s="53"/>
      <c r="X21" s="391">
        <f>IFERROR(VLOOKUP($C21,'Proposed Rates'!$B:$J,X$11,FALSE),0)</f>
        <v>0</v>
      </c>
      <c r="Y21" s="392">
        <f t="shared" si="11"/>
        <v>1</v>
      </c>
      <c r="Z21" s="394">
        <f t="shared" si="12"/>
        <v>0</v>
      </c>
      <c r="AA21" s="138"/>
      <c r="AB21" s="395">
        <f t="shared" si="13"/>
        <v>0</v>
      </c>
      <c r="AC21" s="396" t="str">
        <f t="shared" si="14"/>
        <v/>
      </c>
      <c r="AD21" s="53"/>
      <c r="AE21" s="391">
        <f>IFERROR(VLOOKUP($C21,'Proposed Rates'!$B:$J,AE$11,FALSE),0)</f>
        <v>0</v>
      </c>
      <c r="AF21" s="392">
        <f t="shared" si="15"/>
        <v>1</v>
      </c>
      <c r="AG21" s="394">
        <f t="shared" si="16"/>
        <v>0</v>
      </c>
      <c r="AH21" s="138"/>
      <c r="AI21" s="395">
        <f t="shared" si="17"/>
        <v>0</v>
      </c>
      <c r="AJ21" s="396" t="str">
        <f t="shared" si="18"/>
        <v/>
      </c>
      <c r="AK21" s="53"/>
      <c r="AL21" s="391">
        <f>IFERROR(VLOOKUP($C21,'Proposed Rates'!$B:$J,AL$11,FALSE),0)</f>
        <v>0</v>
      </c>
      <c r="AM21" s="392">
        <f t="shared" si="19"/>
        <v>1</v>
      </c>
      <c r="AN21" s="394">
        <f t="shared" si="20"/>
        <v>0</v>
      </c>
      <c r="AO21" s="138"/>
      <c r="AP21" s="395">
        <f t="shared" si="21"/>
        <v>0</v>
      </c>
      <c r="AQ21" s="396" t="str">
        <f t="shared" si="22"/>
        <v/>
      </c>
      <c r="AR21" s="397"/>
    </row>
    <row r="22" spans="1:44" ht="12.75" customHeight="1">
      <c r="A22" s="53"/>
      <c r="B22" s="478" t="s">
        <v>265</v>
      </c>
      <c r="C22" s="389" t="str">
        <f t="shared" si="0"/>
        <v>Residential.Deferral/Variance Account Disposition Rate Rider Group 2</v>
      </c>
      <c r="D22" s="390" t="s">
        <v>335</v>
      </c>
      <c r="E22" s="328"/>
      <c r="F22" s="391">
        <f>IFERROR(VLOOKUP($C22,'Proposed Rates'!$B:$J,F$11,FALSE),0)</f>
        <v>0</v>
      </c>
      <c r="G22" s="392">
        <f t="shared" si="1"/>
        <v>1</v>
      </c>
      <c r="H22" s="394">
        <f t="shared" si="2"/>
        <v>0</v>
      </c>
      <c r="I22" s="138"/>
      <c r="J22" s="391">
        <f>IFERROR(VLOOKUP($C22,'Proposed Rates'!$B:$J,J$11,FALSE),0)</f>
        <v>-1.19</v>
      </c>
      <c r="K22" s="392">
        <f t="shared" si="3"/>
        <v>1</v>
      </c>
      <c r="L22" s="394">
        <f t="shared" si="4"/>
        <v>-1.19</v>
      </c>
      <c r="M22" s="138"/>
      <c r="N22" s="395">
        <f t="shared" si="5"/>
        <v>-1.19</v>
      </c>
      <c r="O22" s="396" t="str">
        <f t="shared" si="6"/>
        <v/>
      </c>
      <c r="P22" s="53"/>
      <c r="Q22" s="391">
        <f>IFERROR(VLOOKUP($C22,'Proposed Rates'!$B:$J,Q$11,FALSE),0)</f>
        <v>0</v>
      </c>
      <c r="R22" s="392">
        <f t="shared" si="7"/>
        <v>1</v>
      </c>
      <c r="S22" s="394">
        <f t="shared" si="8"/>
        <v>0</v>
      </c>
      <c r="T22" s="138"/>
      <c r="U22" s="395">
        <f t="shared" si="9"/>
        <v>1.19</v>
      </c>
      <c r="V22" s="396">
        <f t="shared" si="10"/>
        <v>-1</v>
      </c>
      <c r="W22" s="53"/>
      <c r="X22" s="391">
        <f>IFERROR(VLOOKUP($C22,'Proposed Rates'!$B:$J,X$11,FALSE),0)</f>
        <v>0</v>
      </c>
      <c r="Y22" s="392">
        <f t="shared" si="11"/>
        <v>1</v>
      </c>
      <c r="Z22" s="394">
        <f t="shared" si="12"/>
        <v>0</v>
      </c>
      <c r="AA22" s="138"/>
      <c r="AB22" s="395">
        <f t="shared" si="13"/>
        <v>0</v>
      </c>
      <c r="AC22" s="396" t="str">
        <f t="shared" si="14"/>
        <v/>
      </c>
      <c r="AD22" s="53"/>
      <c r="AE22" s="391">
        <f>IFERROR(VLOOKUP($C22,'Proposed Rates'!$B:$J,AE$11,FALSE),0)</f>
        <v>0</v>
      </c>
      <c r="AF22" s="392">
        <f t="shared" si="15"/>
        <v>1</v>
      </c>
      <c r="AG22" s="394">
        <f t="shared" si="16"/>
        <v>0</v>
      </c>
      <c r="AH22" s="138"/>
      <c r="AI22" s="395">
        <f t="shared" si="17"/>
        <v>0</v>
      </c>
      <c r="AJ22" s="396" t="str">
        <f t="shared" si="18"/>
        <v/>
      </c>
      <c r="AK22" s="53"/>
      <c r="AL22" s="391">
        <f>IFERROR(VLOOKUP($C22,'Proposed Rates'!$B:$J,AL$11,FALSE),0)</f>
        <v>0</v>
      </c>
      <c r="AM22" s="392">
        <f t="shared" si="19"/>
        <v>1</v>
      </c>
      <c r="AN22" s="394">
        <f t="shared" si="20"/>
        <v>0</v>
      </c>
      <c r="AO22" s="138"/>
      <c r="AP22" s="395">
        <f t="shared" si="21"/>
        <v>0</v>
      </c>
      <c r="AQ22" s="396" t="str">
        <f t="shared" si="22"/>
        <v/>
      </c>
      <c r="AR22" s="397"/>
    </row>
    <row r="23" spans="1:44" ht="12.75" customHeight="1">
      <c r="A23" s="53"/>
      <c r="B23" s="398"/>
      <c r="C23" s="389" t="str">
        <f t="shared" si="0"/>
        <v>Residential.</v>
      </c>
      <c r="D23" s="390"/>
      <c r="E23" s="328"/>
      <c r="F23" s="391">
        <f>IFERROR(VLOOKUP($C23,'Proposed Rates'!$B:$J,F$11,FALSE),0)</f>
        <v>0</v>
      </c>
      <c r="G23" s="392">
        <f t="shared" si="1"/>
        <v>0</v>
      </c>
      <c r="H23" s="394">
        <f t="shared" si="2"/>
        <v>0</v>
      </c>
      <c r="I23" s="138"/>
      <c r="J23" s="391">
        <f>IFERROR(VLOOKUP($C23,'Proposed Rates'!$B:$J,J$11,FALSE),0)</f>
        <v>0</v>
      </c>
      <c r="K23" s="392">
        <f t="shared" si="3"/>
        <v>0</v>
      </c>
      <c r="L23" s="394">
        <f t="shared" si="4"/>
        <v>0</v>
      </c>
      <c r="M23" s="138"/>
      <c r="N23" s="395">
        <f t="shared" si="5"/>
        <v>0</v>
      </c>
      <c r="O23" s="396" t="str">
        <f t="shared" si="6"/>
        <v/>
      </c>
      <c r="P23" s="53"/>
      <c r="Q23" s="391">
        <f>IFERROR(VLOOKUP($C23,'Proposed Rates'!$B:$J,Q$11,FALSE),0)</f>
        <v>0</v>
      </c>
      <c r="R23" s="392">
        <f t="shared" si="7"/>
        <v>0</v>
      </c>
      <c r="S23" s="394">
        <f t="shared" si="8"/>
        <v>0</v>
      </c>
      <c r="T23" s="138"/>
      <c r="U23" s="395">
        <f t="shared" si="9"/>
        <v>0</v>
      </c>
      <c r="V23" s="396" t="str">
        <f t="shared" si="10"/>
        <v/>
      </c>
      <c r="W23" s="53"/>
      <c r="X23" s="391">
        <f>IFERROR(VLOOKUP($C23,'Proposed Rates'!$B:$J,X$11,FALSE),0)</f>
        <v>0</v>
      </c>
      <c r="Y23" s="392">
        <f t="shared" si="11"/>
        <v>0</v>
      </c>
      <c r="Z23" s="394">
        <f t="shared" si="12"/>
        <v>0</v>
      </c>
      <c r="AA23" s="138"/>
      <c r="AB23" s="395">
        <f t="shared" si="13"/>
        <v>0</v>
      </c>
      <c r="AC23" s="396" t="str">
        <f t="shared" si="14"/>
        <v/>
      </c>
      <c r="AD23" s="53"/>
      <c r="AE23" s="391">
        <f>IFERROR(VLOOKUP($C23,'Proposed Rates'!$B:$J,AE$11,FALSE),0)</f>
        <v>0</v>
      </c>
      <c r="AF23" s="392">
        <f t="shared" si="15"/>
        <v>0</v>
      </c>
      <c r="AG23" s="394">
        <f t="shared" si="16"/>
        <v>0</v>
      </c>
      <c r="AH23" s="138"/>
      <c r="AI23" s="395">
        <f t="shared" si="17"/>
        <v>0</v>
      </c>
      <c r="AJ23" s="396" t="str">
        <f t="shared" si="18"/>
        <v/>
      </c>
      <c r="AK23" s="53"/>
      <c r="AL23" s="391">
        <f>IFERROR(VLOOKUP($C23,'Proposed Rates'!$B:$J,AL$11,FALSE),0)</f>
        <v>0</v>
      </c>
      <c r="AM23" s="392">
        <f t="shared" si="19"/>
        <v>0</v>
      </c>
      <c r="AN23" s="394">
        <f t="shared" si="20"/>
        <v>0</v>
      </c>
      <c r="AO23" s="138"/>
      <c r="AP23" s="395">
        <f t="shared" si="21"/>
        <v>0</v>
      </c>
      <c r="AQ23" s="396" t="str">
        <f t="shared" si="22"/>
        <v/>
      </c>
      <c r="AR23" s="397"/>
    </row>
    <row r="24" spans="1:44" ht="12.75" customHeight="1">
      <c r="A24" s="53"/>
      <c r="B24" s="398"/>
      <c r="C24" s="389" t="str">
        <f t="shared" si="0"/>
        <v>Residential.</v>
      </c>
      <c r="D24" s="390"/>
      <c r="E24" s="328"/>
      <c r="F24" s="391">
        <f>IFERROR(VLOOKUP($C24,'Proposed Rates'!$B:$J,F$11,FALSE),0)</f>
        <v>0</v>
      </c>
      <c r="G24" s="392">
        <f t="shared" si="1"/>
        <v>0</v>
      </c>
      <c r="H24" s="394">
        <f t="shared" si="2"/>
        <v>0</v>
      </c>
      <c r="I24" s="138"/>
      <c r="J24" s="391">
        <f>IFERROR(VLOOKUP($C24,'Proposed Rates'!$B:$J,J$11,FALSE),0)</f>
        <v>0</v>
      </c>
      <c r="K24" s="392">
        <f t="shared" si="3"/>
        <v>0</v>
      </c>
      <c r="L24" s="394">
        <f t="shared" si="4"/>
        <v>0</v>
      </c>
      <c r="M24" s="138"/>
      <c r="N24" s="395">
        <f t="shared" si="5"/>
        <v>0</v>
      </c>
      <c r="O24" s="396" t="str">
        <f t="shared" si="6"/>
        <v/>
      </c>
      <c r="P24" s="53"/>
      <c r="Q24" s="391">
        <f>IFERROR(VLOOKUP($C24,'Proposed Rates'!$B:$J,Q$11,FALSE),0)</f>
        <v>0</v>
      </c>
      <c r="R24" s="392">
        <f t="shared" si="7"/>
        <v>0</v>
      </c>
      <c r="S24" s="394">
        <f t="shared" si="8"/>
        <v>0</v>
      </c>
      <c r="T24" s="138"/>
      <c r="U24" s="395">
        <f t="shared" si="9"/>
        <v>0</v>
      </c>
      <c r="V24" s="396" t="str">
        <f t="shared" si="10"/>
        <v/>
      </c>
      <c r="W24" s="53"/>
      <c r="X24" s="391">
        <f>IFERROR(VLOOKUP($C24,'Proposed Rates'!$B:$J,X$11,FALSE),0)</f>
        <v>0</v>
      </c>
      <c r="Y24" s="392">
        <f t="shared" si="11"/>
        <v>0</v>
      </c>
      <c r="Z24" s="394">
        <f t="shared" si="12"/>
        <v>0</v>
      </c>
      <c r="AA24" s="138"/>
      <c r="AB24" s="395">
        <f t="shared" si="13"/>
        <v>0</v>
      </c>
      <c r="AC24" s="396" t="str">
        <f t="shared" si="14"/>
        <v/>
      </c>
      <c r="AD24" s="53"/>
      <c r="AE24" s="391">
        <f>IFERROR(VLOOKUP($C24,'Proposed Rates'!$B:$J,AE$11,FALSE),0)</f>
        <v>0</v>
      </c>
      <c r="AF24" s="392">
        <f t="shared" si="15"/>
        <v>0</v>
      </c>
      <c r="AG24" s="394">
        <f t="shared" si="16"/>
        <v>0</v>
      </c>
      <c r="AH24" s="138"/>
      <c r="AI24" s="395">
        <f t="shared" si="17"/>
        <v>0</v>
      </c>
      <c r="AJ24" s="396" t="str">
        <f t="shared" si="18"/>
        <v/>
      </c>
      <c r="AK24" s="53"/>
      <c r="AL24" s="391">
        <f>IFERROR(VLOOKUP($C24,'Proposed Rates'!$B:$J,AL$11,FALSE),0)</f>
        <v>0</v>
      </c>
      <c r="AM24" s="392">
        <f t="shared" si="19"/>
        <v>0</v>
      </c>
      <c r="AN24" s="394">
        <f t="shared" si="20"/>
        <v>0</v>
      </c>
      <c r="AO24" s="138"/>
      <c r="AP24" s="395">
        <f t="shared" si="21"/>
        <v>0</v>
      </c>
      <c r="AQ24" s="396" t="str">
        <f t="shared" si="22"/>
        <v/>
      </c>
      <c r="AR24" s="397"/>
    </row>
    <row r="25" spans="1:44" ht="12.75" customHeight="1">
      <c r="A25" s="53"/>
      <c r="B25" s="398"/>
      <c r="C25" s="389" t="str">
        <f t="shared" si="0"/>
        <v>Residential.</v>
      </c>
      <c r="D25" s="390"/>
      <c r="E25" s="328"/>
      <c r="F25" s="391">
        <f>IFERROR(VLOOKUP($C25,'Proposed Rates'!$B:$J,F$11,FALSE),0)</f>
        <v>0</v>
      </c>
      <c r="G25" s="392">
        <f t="shared" si="1"/>
        <v>0</v>
      </c>
      <c r="H25" s="394">
        <f t="shared" si="2"/>
        <v>0</v>
      </c>
      <c r="I25" s="138"/>
      <c r="J25" s="391">
        <f>IFERROR(VLOOKUP($C25,'Proposed Rates'!$B:$J,J$11,FALSE),0)</f>
        <v>0</v>
      </c>
      <c r="K25" s="392">
        <f t="shared" si="3"/>
        <v>0</v>
      </c>
      <c r="L25" s="394">
        <f t="shared" si="4"/>
        <v>0</v>
      </c>
      <c r="M25" s="138"/>
      <c r="N25" s="395">
        <f t="shared" si="5"/>
        <v>0</v>
      </c>
      <c r="O25" s="396" t="str">
        <f t="shared" si="6"/>
        <v/>
      </c>
      <c r="P25" s="53"/>
      <c r="Q25" s="391">
        <f>IFERROR(VLOOKUP($C25,'Proposed Rates'!$B:$J,Q$11,FALSE),0)</f>
        <v>0</v>
      </c>
      <c r="R25" s="392">
        <f t="shared" si="7"/>
        <v>0</v>
      </c>
      <c r="S25" s="394">
        <f t="shared" si="8"/>
        <v>0</v>
      </c>
      <c r="T25" s="138"/>
      <c r="U25" s="395">
        <f t="shared" si="9"/>
        <v>0</v>
      </c>
      <c r="V25" s="396" t="str">
        <f t="shared" si="10"/>
        <v/>
      </c>
      <c r="W25" s="53"/>
      <c r="X25" s="391">
        <f>IFERROR(VLOOKUP($C25,'Proposed Rates'!$B:$J,X$11,FALSE),0)</f>
        <v>0</v>
      </c>
      <c r="Y25" s="392">
        <f t="shared" si="11"/>
        <v>0</v>
      </c>
      <c r="Z25" s="394">
        <f t="shared" si="12"/>
        <v>0</v>
      </c>
      <c r="AA25" s="138"/>
      <c r="AB25" s="395">
        <f t="shared" si="13"/>
        <v>0</v>
      </c>
      <c r="AC25" s="396" t="str">
        <f t="shared" si="14"/>
        <v/>
      </c>
      <c r="AD25" s="53"/>
      <c r="AE25" s="391">
        <f>IFERROR(VLOOKUP($C25,'Proposed Rates'!$B:$J,AE$11,FALSE),0)</f>
        <v>0</v>
      </c>
      <c r="AF25" s="392">
        <f t="shared" si="15"/>
        <v>0</v>
      </c>
      <c r="AG25" s="394">
        <f t="shared" si="16"/>
        <v>0</v>
      </c>
      <c r="AH25" s="138"/>
      <c r="AI25" s="395">
        <f t="shared" si="17"/>
        <v>0</v>
      </c>
      <c r="AJ25" s="396" t="str">
        <f t="shared" si="18"/>
        <v/>
      </c>
      <c r="AK25" s="53"/>
      <c r="AL25" s="391">
        <f>IFERROR(VLOOKUP($C25,'Proposed Rates'!$B:$J,AL$11,FALSE),0)</f>
        <v>0</v>
      </c>
      <c r="AM25" s="392">
        <f t="shared" si="19"/>
        <v>0</v>
      </c>
      <c r="AN25" s="394">
        <f t="shared" si="20"/>
        <v>0</v>
      </c>
      <c r="AO25" s="138"/>
      <c r="AP25" s="395">
        <f t="shared" si="21"/>
        <v>0</v>
      </c>
      <c r="AQ25" s="396" t="str">
        <f t="shared" si="22"/>
        <v/>
      </c>
      <c r="AR25" s="397"/>
    </row>
    <row r="26" spans="1:44" ht="12.75" customHeight="1">
      <c r="A26" s="53"/>
      <c r="B26" s="478"/>
      <c r="C26" s="389" t="str">
        <f t="shared" si="0"/>
        <v>Residential.</v>
      </c>
      <c r="D26" s="390"/>
      <c r="E26" s="328"/>
      <c r="F26" s="391">
        <f>IFERROR(VLOOKUP($C26,'Proposed Rates'!$B:$J,F$11,FALSE),0)</f>
        <v>0</v>
      </c>
      <c r="G26" s="392">
        <f t="shared" si="1"/>
        <v>0</v>
      </c>
      <c r="H26" s="394">
        <f t="shared" si="2"/>
        <v>0</v>
      </c>
      <c r="I26" s="138"/>
      <c r="J26" s="391">
        <f>IFERROR(VLOOKUP($C26,'Proposed Rates'!$B:$J,J$11,FALSE),0)</f>
        <v>0</v>
      </c>
      <c r="K26" s="392">
        <f t="shared" si="3"/>
        <v>0</v>
      </c>
      <c r="L26" s="394">
        <f t="shared" si="4"/>
        <v>0</v>
      </c>
      <c r="M26" s="138"/>
      <c r="N26" s="395">
        <f t="shared" si="5"/>
        <v>0</v>
      </c>
      <c r="O26" s="396" t="str">
        <f t="shared" si="6"/>
        <v/>
      </c>
      <c r="P26" s="53"/>
      <c r="Q26" s="391">
        <f>IFERROR(VLOOKUP($C26,'Proposed Rates'!$B:$J,Q$11,FALSE),0)</f>
        <v>0</v>
      </c>
      <c r="R26" s="392">
        <f t="shared" si="7"/>
        <v>0</v>
      </c>
      <c r="S26" s="394">
        <f t="shared" si="8"/>
        <v>0</v>
      </c>
      <c r="T26" s="138"/>
      <c r="U26" s="395">
        <f t="shared" si="9"/>
        <v>0</v>
      </c>
      <c r="V26" s="396" t="str">
        <f t="shared" si="10"/>
        <v/>
      </c>
      <c r="W26" s="53"/>
      <c r="X26" s="391">
        <f>IFERROR(VLOOKUP($C26,'Proposed Rates'!$B:$J,X$11,FALSE),0)</f>
        <v>0</v>
      </c>
      <c r="Y26" s="392">
        <f t="shared" si="11"/>
        <v>0</v>
      </c>
      <c r="Z26" s="394">
        <f t="shared" si="12"/>
        <v>0</v>
      </c>
      <c r="AA26" s="138"/>
      <c r="AB26" s="395">
        <f t="shared" si="13"/>
        <v>0</v>
      </c>
      <c r="AC26" s="396" t="str">
        <f t="shared" si="14"/>
        <v/>
      </c>
      <c r="AD26" s="53"/>
      <c r="AE26" s="391">
        <f>IFERROR(VLOOKUP($C26,'Proposed Rates'!$B:$J,AE$11,FALSE),0)</f>
        <v>0</v>
      </c>
      <c r="AF26" s="392">
        <f t="shared" si="15"/>
        <v>0</v>
      </c>
      <c r="AG26" s="394">
        <f t="shared" si="16"/>
        <v>0</v>
      </c>
      <c r="AH26" s="138"/>
      <c r="AI26" s="395">
        <f t="shared" si="17"/>
        <v>0</v>
      </c>
      <c r="AJ26" s="396" t="str">
        <f t="shared" si="18"/>
        <v/>
      </c>
      <c r="AK26" s="53"/>
      <c r="AL26" s="391">
        <f>IFERROR(VLOOKUP($C26,'Proposed Rates'!$B:$J,AL$11,FALSE),0)</f>
        <v>0</v>
      </c>
      <c r="AM26" s="392">
        <f t="shared" si="19"/>
        <v>0</v>
      </c>
      <c r="AN26" s="394">
        <f t="shared" si="20"/>
        <v>0</v>
      </c>
      <c r="AO26" s="138"/>
      <c r="AP26" s="395">
        <f t="shared" si="21"/>
        <v>0</v>
      </c>
      <c r="AQ26" s="396" t="str">
        <f t="shared" si="22"/>
        <v/>
      </c>
      <c r="AR26" s="397"/>
    </row>
    <row r="27" spans="1:44" ht="12.75" customHeight="1">
      <c r="A27" s="53"/>
      <c r="B27" s="398"/>
      <c r="C27" s="389" t="str">
        <f t="shared" si="0"/>
        <v>Residential.</v>
      </c>
      <c r="D27" s="390"/>
      <c r="E27" s="328"/>
      <c r="F27" s="391">
        <f>IFERROR(VLOOKUP($C27,'Proposed Rates'!$B:$J,F$11,FALSE),0)</f>
        <v>0</v>
      </c>
      <c r="G27" s="392">
        <f t="shared" si="1"/>
        <v>0</v>
      </c>
      <c r="H27" s="394">
        <f t="shared" si="2"/>
        <v>0</v>
      </c>
      <c r="I27" s="138"/>
      <c r="J27" s="391">
        <f>IFERROR(VLOOKUP($C27,'Proposed Rates'!$B:$J,J$11,FALSE),0)</f>
        <v>0</v>
      </c>
      <c r="K27" s="392">
        <f t="shared" si="3"/>
        <v>0</v>
      </c>
      <c r="L27" s="394">
        <f t="shared" si="4"/>
        <v>0</v>
      </c>
      <c r="M27" s="138"/>
      <c r="N27" s="395">
        <f t="shared" si="5"/>
        <v>0</v>
      </c>
      <c r="O27" s="396" t="str">
        <f t="shared" si="6"/>
        <v/>
      </c>
      <c r="P27" s="53"/>
      <c r="Q27" s="391">
        <f>IFERROR(VLOOKUP($C27,'Proposed Rates'!$B:$J,Q$11,FALSE),0)</f>
        <v>0</v>
      </c>
      <c r="R27" s="392">
        <f t="shared" si="7"/>
        <v>0</v>
      </c>
      <c r="S27" s="394">
        <f t="shared" si="8"/>
        <v>0</v>
      </c>
      <c r="T27" s="138"/>
      <c r="U27" s="395">
        <f t="shared" si="9"/>
        <v>0</v>
      </c>
      <c r="V27" s="396" t="str">
        <f t="shared" si="10"/>
        <v/>
      </c>
      <c r="W27" s="53"/>
      <c r="X27" s="391">
        <f>IFERROR(VLOOKUP($C27,'Proposed Rates'!$B:$J,X$11,FALSE),0)</f>
        <v>0</v>
      </c>
      <c r="Y27" s="392">
        <f t="shared" si="11"/>
        <v>0</v>
      </c>
      <c r="Z27" s="394">
        <f t="shared" si="12"/>
        <v>0</v>
      </c>
      <c r="AA27" s="138"/>
      <c r="AB27" s="395">
        <f t="shared" si="13"/>
        <v>0</v>
      </c>
      <c r="AC27" s="396" t="str">
        <f t="shared" si="14"/>
        <v/>
      </c>
      <c r="AD27" s="53"/>
      <c r="AE27" s="391">
        <f>IFERROR(VLOOKUP($C27,'Proposed Rates'!$B:$J,AE$11,FALSE),0)</f>
        <v>0</v>
      </c>
      <c r="AF27" s="392">
        <f t="shared" si="15"/>
        <v>0</v>
      </c>
      <c r="AG27" s="394">
        <f t="shared" si="16"/>
        <v>0</v>
      </c>
      <c r="AH27" s="138"/>
      <c r="AI27" s="395">
        <f t="shared" si="17"/>
        <v>0</v>
      </c>
      <c r="AJ27" s="396" t="str">
        <f t="shared" si="18"/>
        <v/>
      </c>
      <c r="AK27" s="53"/>
      <c r="AL27" s="391">
        <f>IFERROR(VLOOKUP($C27,'Proposed Rates'!$B:$J,AL$11,FALSE),0)</f>
        <v>0</v>
      </c>
      <c r="AM27" s="392">
        <f t="shared" si="19"/>
        <v>0</v>
      </c>
      <c r="AN27" s="394">
        <f t="shared" si="20"/>
        <v>0</v>
      </c>
      <c r="AO27" s="138"/>
      <c r="AP27" s="395">
        <f t="shared" si="21"/>
        <v>0</v>
      </c>
      <c r="AQ27" s="396" t="str">
        <f t="shared" si="22"/>
        <v/>
      </c>
      <c r="AR27" s="397"/>
    </row>
    <row r="28" spans="1:44" ht="12.75" customHeight="1">
      <c r="A28" s="53"/>
      <c r="B28" s="398"/>
      <c r="C28" s="389" t="str">
        <f t="shared" si="0"/>
        <v>Residential.</v>
      </c>
      <c r="D28" s="390"/>
      <c r="E28" s="328"/>
      <c r="F28" s="391">
        <f>IFERROR(VLOOKUP($C28,'Proposed Rates'!$B:$J,F$11,FALSE),0)</f>
        <v>0</v>
      </c>
      <c r="G28" s="392">
        <f t="shared" si="1"/>
        <v>0</v>
      </c>
      <c r="H28" s="394">
        <f t="shared" si="2"/>
        <v>0</v>
      </c>
      <c r="I28" s="138"/>
      <c r="J28" s="391">
        <f>IFERROR(VLOOKUP($C28,'Proposed Rates'!$B:$J,J$11,FALSE),0)</f>
        <v>0</v>
      </c>
      <c r="K28" s="392">
        <f t="shared" si="3"/>
        <v>0</v>
      </c>
      <c r="L28" s="394">
        <f t="shared" si="4"/>
        <v>0</v>
      </c>
      <c r="M28" s="138"/>
      <c r="N28" s="395">
        <f t="shared" si="5"/>
        <v>0</v>
      </c>
      <c r="O28" s="396" t="str">
        <f t="shared" si="6"/>
        <v/>
      </c>
      <c r="P28" s="53"/>
      <c r="Q28" s="391">
        <f>IFERROR(VLOOKUP($C28,'Proposed Rates'!$B:$J,Q$11,FALSE),0)</f>
        <v>0</v>
      </c>
      <c r="R28" s="392">
        <f t="shared" si="7"/>
        <v>0</v>
      </c>
      <c r="S28" s="394">
        <f t="shared" si="8"/>
        <v>0</v>
      </c>
      <c r="T28" s="138"/>
      <c r="U28" s="395">
        <f t="shared" si="9"/>
        <v>0</v>
      </c>
      <c r="V28" s="396" t="str">
        <f t="shared" si="10"/>
        <v/>
      </c>
      <c r="W28" s="53"/>
      <c r="X28" s="391">
        <f>IFERROR(VLOOKUP($C28,'Proposed Rates'!$B:$J,X$11,FALSE),0)</f>
        <v>0</v>
      </c>
      <c r="Y28" s="392">
        <f t="shared" si="11"/>
        <v>0</v>
      </c>
      <c r="Z28" s="394">
        <f t="shared" si="12"/>
        <v>0</v>
      </c>
      <c r="AA28" s="138"/>
      <c r="AB28" s="395">
        <f t="shared" si="13"/>
        <v>0</v>
      </c>
      <c r="AC28" s="396" t="str">
        <f t="shared" si="14"/>
        <v/>
      </c>
      <c r="AD28" s="53"/>
      <c r="AE28" s="391">
        <f>IFERROR(VLOOKUP($C28,'Proposed Rates'!$B:$J,AE$11,FALSE),0)</f>
        <v>0</v>
      </c>
      <c r="AF28" s="392">
        <f t="shared" si="15"/>
        <v>0</v>
      </c>
      <c r="AG28" s="394">
        <f t="shared" si="16"/>
        <v>0</v>
      </c>
      <c r="AH28" s="138"/>
      <c r="AI28" s="395">
        <f t="shared" si="17"/>
        <v>0</v>
      </c>
      <c r="AJ28" s="396" t="str">
        <f t="shared" si="18"/>
        <v/>
      </c>
      <c r="AK28" s="53"/>
      <c r="AL28" s="391">
        <f>IFERROR(VLOOKUP($C28,'Proposed Rates'!$B:$J,AL$11,FALSE),0)</f>
        <v>0</v>
      </c>
      <c r="AM28" s="392">
        <f t="shared" si="19"/>
        <v>0</v>
      </c>
      <c r="AN28" s="394">
        <f t="shared" si="20"/>
        <v>0</v>
      </c>
      <c r="AO28" s="138"/>
      <c r="AP28" s="395">
        <f t="shared" si="21"/>
        <v>0</v>
      </c>
      <c r="AQ28" s="396" t="str">
        <f t="shared" si="22"/>
        <v/>
      </c>
      <c r="AR28" s="397"/>
    </row>
    <row r="29" spans="1:44" ht="12.75" customHeight="1">
      <c r="A29" s="314"/>
      <c r="B29" s="399" t="s">
        <v>339</v>
      </c>
      <c r="C29" s="400"/>
      <c r="D29" s="400"/>
      <c r="E29" s="400"/>
      <c r="F29" s="401"/>
      <c r="G29" s="402"/>
      <c r="H29" s="403">
        <f>SUM(H15:H28)</f>
        <v>34.51</v>
      </c>
      <c r="I29" s="404"/>
      <c r="J29" s="401"/>
      <c r="K29" s="402"/>
      <c r="L29" s="403">
        <f>SUM(L15:L28)</f>
        <v>39.850000000000009</v>
      </c>
      <c r="M29" s="404"/>
      <c r="N29" s="405">
        <f t="shared" si="5"/>
        <v>5.3400000000000105</v>
      </c>
      <c r="O29" s="406">
        <f t="shared" si="6"/>
        <v>0.15473775717183458</v>
      </c>
      <c r="P29" s="314"/>
      <c r="Q29" s="401"/>
      <c r="R29" s="402"/>
      <c r="S29" s="403">
        <f>SUM(S15:S28)</f>
        <v>42.940000000000005</v>
      </c>
      <c r="T29" s="404"/>
      <c r="U29" s="405">
        <f t="shared" si="9"/>
        <v>3.0899999999999963</v>
      </c>
      <c r="V29" s="406">
        <f t="shared" si="10"/>
        <v>7.7540777917189357E-2</v>
      </c>
      <c r="W29" s="314"/>
      <c r="X29" s="401"/>
      <c r="Y29" s="402"/>
      <c r="Z29" s="403">
        <f>SUM(Z15:Z28)</f>
        <v>43.93</v>
      </c>
      <c r="AA29" s="404"/>
      <c r="AB29" s="405">
        <f t="shared" si="13"/>
        <v>0.98999999999999488</v>
      </c>
      <c r="AC29" s="406">
        <f t="shared" si="14"/>
        <v>2.3055426176059497E-2</v>
      </c>
      <c r="AD29" s="314"/>
      <c r="AE29" s="401"/>
      <c r="AF29" s="402"/>
      <c r="AG29" s="403">
        <f>SUM(AG15:AG28)</f>
        <v>45.42</v>
      </c>
      <c r="AH29" s="404"/>
      <c r="AI29" s="405">
        <f t="shared" si="17"/>
        <v>1.490000000000002</v>
      </c>
      <c r="AJ29" s="406">
        <f t="shared" si="18"/>
        <v>3.3917596175734165E-2</v>
      </c>
      <c r="AK29" s="314"/>
      <c r="AL29" s="401"/>
      <c r="AM29" s="402"/>
      <c r="AN29" s="403">
        <f>SUM(AN15:AN28)</f>
        <v>46.78</v>
      </c>
      <c r="AO29" s="404"/>
      <c r="AP29" s="405">
        <f t="shared" si="21"/>
        <v>1.3599999999999994</v>
      </c>
      <c r="AQ29" s="406">
        <f t="shared" si="22"/>
        <v>2.9942756494936138E-2</v>
      </c>
      <c r="AR29" s="407"/>
    </row>
    <row r="30" spans="1:44" ht="12.75" customHeight="1">
      <c r="A30" s="53"/>
      <c r="B30" s="398" t="s">
        <v>262</v>
      </c>
      <c r="C30" s="389" t="str">
        <f t="shared" ref="C30:C36" si="23">D$6&amp;"."&amp;B30</f>
        <v>Residential.DVA Disposition Rate Rider Group 1 -2025</v>
      </c>
      <c r="D30" s="390" t="s">
        <v>337</v>
      </c>
      <c r="E30" s="328"/>
      <c r="F30" s="408">
        <f>IFERROR(VLOOKUP($C30,'Proposed Rates'!$B:$J,F$11,FALSE),0)</f>
        <v>-2.0000000000000001E-4</v>
      </c>
      <c r="G30" s="409">
        <f t="shared" ref="G30:G33" si="24">IF($D30="Monthly",1,IF($D30="per KWH",$F$10,0))</f>
        <v>500</v>
      </c>
      <c r="H30" s="394">
        <f t="shared" ref="H30:H36" si="25">G30*F30</f>
        <v>-0.1</v>
      </c>
      <c r="I30" s="138"/>
      <c r="J30" s="408">
        <f>IFERROR(VLOOKUP($C30,'Proposed Rates'!$B:$J,J$11,FALSE),0)</f>
        <v>-1E-3</v>
      </c>
      <c r="K30" s="409">
        <f t="shared" ref="K30:K33" si="26">IF($D30="Monthly",1,IF($D30="per KWH",$F$10,0))</f>
        <v>500</v>
      </c>
      <c r="L30" s="410">
        <f t="shared" ref="L30:L36" si="27">K30*J30</f>
        <v>-0.5</v>
      </c>
      <c r="M30" s="138"/>
      <c r="N30" s="395">
        <f t="shared" si="5"/>
        <v>-0.4</v>
      </c>
      <c r="O30" s="396">
        <f t="shared" si="6"/>
        <v>4</v>
      </c>
      <c r="P30" s="53"/>
      <c r="Q30" s="408">
        <f>IFERROR(VLOOKUP($C30,'Proposed Rates'!$B:$J,Q$11,FALSE),0)</f>
        <v>0</v>
      </c>
      <c r="R30" s="409">
        <f t="shared" ref="R30:R33" si="28">IF($D30="Monthly",1,IF($D30="per KWH",$F$10,0))</f>
        <v>500</v>
      </c>
      <c r="S30" s="394">
        <f t="shared" ref="S30:S36" si="29">R30*Q30</f>
        <v>0</v>
      </c>
      <c r="T30" s="138"/>
      <c r="U30" s="395">
        <f t="shared" si="9"/>
        <v>0.5</v>
      </c>
      <c r="V30" s="396">
        <f t="shared" si="10"/>
        <v>-1</v>
      </c>
      <c r="W30" s="53"/>
      <c r="X30" s="408">
        <f>IFERROR(VLOOKUP($C30,'Proposed Rates'!$B:$J,X$11,FALSE),0)</f>
        <v>0</v>
      </c>
      <c r="Y30" s="409">
        <f t="shared" ref="Y30:Y33" si="30">IF($D30="Monthly",1,IF($D30="per KWH",$F$10,0))</f>
        <v>500</v>
      </c>
      <c r="Z30" s="394">
        <f t="shared" ref="Z30:Z36" si="31">Y30*X30</f>
        <v>0</v>
      </c>
      <c r="AA30" s="138"/>
      <c r="AB30" s="395">
        <f t="shared" si="13"/>
        <v>0</v>
      </c>
      <c r="AC30" s="396" t="str">
        <f t="shared" si="14"/>
        <v/>
      </c>
      <c r="AD30" s="53"/>
      <c r="AE30" s="408">
        <f>IFERROR(VLOOKUP($C30,'Proposed Rates'!$B:$J,AE$11,FALSE),0)</f>
        <v>0</v>
      </c>
      <c r="AF30" s="409">
        <f t="shared" ref="AF30:AF33" si="32">IF($D30="Monthly",1,IF($D30="per KWH",$F$10,0))</f>
        <v>500</v>
      </c>
      <c r="AG30" s="394">
        <f t="shared" ref="AG30:AG36" si="33">AF30*AE30</f>
        <v>0</v>
      </c>
      <c r="AH30" s="138"/>
      <c r="AI30" s="395">
        <f t="shared" si="17"/>
        <v>0</v>
      </c>
      <c r="AJ30" s="396" t="str">
        <f t="shared" si="18"/>
        <v/>
      </c>
      <c r="AK30" s="53"/>
      <c r="AL30" s="408">
        <f>IFERROR(VLOOKUP($C30,'Proposed Rates'!$B:$J,AL$11,FALSE),0)</f>
        <v>0</v>
      </c>
      <c r="AM30" s="409">
        <f t="shared" ref="AM30:AM33" si="34">IF($D30="Monthly",1,IF($D30="per KWH",$F$10,0))</f>
        <v>500</v>
      </c>
      <c r="AN30" s="394">
        <f t="shared" ref="AN30:AN36" si="35">AM30*AL30</f>
        <v>0</v>
      </c>
      <c r="AO30" s="138"/>
      <c r="AP30" s="395">
        <f t="shared" si="21"/>
        <v>0</v>
      </c>
      <c r="AQ30" s="396" t="str">
        <f t="shared" si="22"/>
        <v/>
      </c>
      <c r="AR30" s="397"/>
    </row>
    <row r="31" spans="1:44" ht="12.75" customHeight="1">
      <c r="A31" s="53"/>
      <c r="B31" s="478" t="s">
        <v>264</v>
      </c>
      <c r="C31" s="389" t="str">
        <f t="shared" si="23"/>
        <v>Residential.DVA Disposition Rate Rider Group 1 - 2024</v>
      </c>
      <c r="D31" s="390" t="s">
        <v>337</v>
      </c>
      <c r="E31" s="328"/>
      <c r="F31" s="408">
        <f>IFERROR(VLOOKUP($C31,'Proposed Rates'!$B:$J,F$11,FALSE),0)</f>
        <v>0</v>
      </c>
      <c r="G31" s="409">
        <f t="shared" si="24"/>
        <v>500</v>
      </c>
      <c r="H31" s="492">
        <f t="shared" si="25"/>
        <v>0</v>
      </c>
      <c r="I31" s="479"/>
      <c r="J31" s="408">
        <f>IFERROR(VLOOKUP($C31,'Proposed Rates'!$B:$J,J$11,FALSE),0)</f>
        <v>0</v>
      </c>
      <c r="K31" s="409">
        <f t="shared" si="26"/>
        <v>500</v>
      </c>
      <c r="L31" s="492">
        <f t="shared" si="27"/>
        <v>0</v>
      </c>
      <c r="M31" s="411"/>
      <c r="N31" s="395">
        <f t="shared" si="5"/>
        <v>0</v>
      </c>
      <c r="O31" s="396" t="str">
        <f t="shared" si="6"/>
        <v/>
      </c>
      <c r="P31" s="53"/>
      <c r="Q31" s="408">
        <f>IFERROR(VLOOKUP($C31,'Proposed Rates'!$B:$J,Q$11,FALSE),0)</f>
        <v>0</v>
      </c>
      <c r="R31" s="409">
        <f t="shared" si="28"/>
        <v>500</v>
      </c>
      <c r="S31" s="492">
        <f t="shared" si="29"/>
        <v>0</v>
      </c>
      <c r="T31" s="411"/>
      <c r="U31" s="395">
        <f t="shared" si="9"/>
        <v>0</v>
      </c>
      <c r="V31" s="396" t="str">
        <f t="shared" si="10"/>
        <v/>
      </c>
      <c r="W31" s="53"/>
      <c r="X31" s="408">
        <f>IFERROR(VLOOKUP($C31,'Proposed Rates'!$B:$J,X$11,FALSE),0)</f>
        <v>0</v>
      </c>
      <c r="Y31" s="409">
        <f t="shared" si="30"/>
        <v>500</v>
      </c>
      <c r="Z31" s="492">
        <f t="shared" si="31"/>
        <v>0</v>
      </c>
      <c r="AA31" s="411"/>
      <c r="AB31" s="395">
        <f t="shared" si="13"/>
        <v>0</v>
      </c>
      <c r="AC31" s="396" t="str">
        <f t="shared" si="14"/>
        <v/>
      </c>
      <c r="AD31" s="53"/>
      <c r="AE31" s="408">
        <f>IFERROR(VLOOKUP($C31,'Proposed Rates'!$B:$J,AE$11,FALSE),0)</f>
        <v>0</v>
      </c>
      <c r="AF31" s="409">
        <f t="shared" si="32"/>
        <v>500</v>
      </c>
      <c r="AG31" s="492">
        <f t="shared" si="33"/>
        <v>0</v>
      </c>
      <c r="AH31" s="411"/>
      <c r="AI31" s="395">
        <f t="shared" si="17"/>
        <v>0</v>
      </c>
      <c r="AJ31" s="396" t="str">
        <f t="shared" si="18"/>
        <v/>
      </c>
      <c r="AK31" s="53"/>
      <c r="AL31" s="408">
        <f>IFERROR(VLOOKUP($C31,'Proposed Rates'!$B:$J,AL$11,FALSE),0)</f>
        <v>0</v>
      </c>
      <c r="AM31" s="409">
        <f t="shared" si="34"/>
        <v>500</v>
      </c>
      <c r="AN31" s="492">
        <f t="shared" si="35"/>
        <v>0</v>
      </c>
      <c r="AO31" s="411"/>
      <c r="AP31" s="395">
        <f t="shared" si="21"/>
        <v>0</v>
      </c>
      <c r="AQ31" s="396" t="str">
        <f t="shared" si="22"/>
        <v/>
      </c>
      <c r="AR31" s="397"/>
    </row>
    <row r="32" spans="1:44" ht="12.75" customHeight="1">
      <c r="A32" s="53"/>
      <c r="B32" s="478" t="s">
        <v>272</v>
      </c>
      <c r="C32" s="389" t="str">
        <f t="shared" si="23"/>
        <v>Residential.CBR Class B Rate Riders</v>
      </c>
      <c r="D32" s="390" t="s">
        <v>337</v>
      </c>
      <c r="E32" s="328"/>
      <c r="F32" s="408">
        <f>IFERROR(VLOOKUP($C32,'Proposed Rates'!$B:$J,F$11,FALSE),0)</f>
        <v>2.0000000000000001E-4</v>
      </c>
      <c r="G32" s="409">
        <f t="shared" si="24"/>
        <v>500</v>
      </c>
      <c r="H32" s="394">
        <f t="shared" si="25"/>
        <v>0.1</v>
      </c>
      <c r="I32" s="479"/>
      <c r="J32" s="408">
        <f>IFERROR(VLOOKUP($C32,'Proposed Rates'!$B:$J,J$11,FALSE),0)</f>
        <v>6.9999999999999999E-4</v>
      </c>
      <c r="K32" s="409">
        <f t="shared" si="26"/>
        <v>500</v>
      </c>
      <c r="L32" s="394">
        <f t="shared" si="27"/>
        <v>0.35</v>
      </c>
      <c r="M32" s="411"/>
      <c r="N32" s="395">
        <f t="shared" si="5"/>
        <v>0.24999999999999997</v>
      </c>
      <c r="O32" s="396">
        <f t="shared" si="6"/>
        <v>2.4999999999999996</v>
      </c>
      <c r="P32" s="53"/>
      <c r="Q32" s="408">
        <f>IFERROR(VLOOKUP($C32,'Proposed Rates'!$B:$J,Q$11,FALSE),0)</f>
        <v>0</v>
      </c>
      <c r="R32" s="409">
        <f t="shared" si="28"/>
        <v>500</v>
      </c>
      <c r="S32" s="394">
        <f t="shared" si="29"/>
        <v>0</v>
      </c>
      <c r="T32" s="411"/>
      <c r="U32" s="395">
        <f t="shared" si="9"/>
        <v>-0.35</v>
      </c>
      <c r="V32" s="396">
        <f t="shared" si="10"/>
        <v>-1</v>
      </c>
      <c r="W32" s="53"/>
      <c r="X32" s="408">
        <f>IFERROR(VLOOKUP($C32,'Proposed Rates'!$B:$J,X$11,FALSE),0)</f>
        <v>0</v>
      </c>
      <c r="Y32" s="409">
        <f t="shared" si="30"/>
        <v>500</v>
      </c>
      <c r="Z32" s="394">
        <f t="shared" si="31"/>
        <v>0</v>
      </c>
      <c r="AA32" s="411"/>
      <c r="AB32" s="395">
        <f t="shared" si="13"/>
        <v>0</v>
      </c>
      <c r="AC32" s="396" t="str">
        <f t="shared" si="14"/>
        <v/>
      </c>
      <c r="AD32" s="53"/>
      <c r="AE32" s="408">
        <f>IFERROR(VLOOKUP($C32,'Proposed Rates'!$B:$J,AE$11,FALSE),0)</f>
        <v>0</v>
      </c>
      <c r="AF32" s="409">
        <f t="shared" si="32"/>
        <v>500</v>
      </c>
      <c r="AG32" s="394">
        <f t="shared" si="33"/>
        <v>0</v>
      </c>
      <c r="AH32" s="411"/>
      <c r="AI32" s="395">
        <f t="shared" si="17"/>
        <v>0</v>
      </c>
      <c r="AJ32" s="396" t="str">
        <f t="shared" si="18"/>
        <v/>
      </c>
      <c r="AK32" s="53"/>
      <c r="AL32" s="408">
        <f>IFERROR(VLOOKUP($C32,'Proposed Rates'!$B:$J,AL$11,FALSE),0)</f>
        <v>0</v>
      </c>
      <c r="AM32" s="409">
        <f t="shared" si="34"/>
        <v>500</v>
      </c>
      <c r="AN32" s="394">
        <f t="shared" si="35"/>
        <v>0</v>
      </c>
      <c r="AO32" s="411"/>
      <c r="AP32" s="395">
        <f t="shared" si="21"/>
        <v>0</v>
      </c>
      <c r="AQ32" s="396" t="str">
        <f t="shared" si="22"/>
        <v/>
      </c>
      <c r="AR32" s="397"/>
    </row>
    <row r="33" spans="1:44" ht="12.75" customHeight="1">
      <c r="A33" s="53"/>
      <c r="B33" s="478" t="s">
        <v>340</v>
      </c>
      <c r="C33" s="389" t="str">
        <f t="shared" si="23"/>
        <v>Residential.GA Disposition Rate Rider-NonRPP</v>
      </c>
      <c r="D33" s="390" t="s">
        <v>337</v>
      </c>
      <c r="E33" s="328"/>
      <c r="F33" s="408">
        <f>IFERROR(VLOOKUP($C33,'Proposed Rates'!$B:$J,F$11,FALSE),0)</f>
        <v>0</v>
      </c>
      <c r="G33" s="409">
        <f t="shared" si="24"/>
        <v>500</v>
      </c>
      <c r="H33" s="394">
        <f t="shared" si="25"/>
        <v>0</v>
      </c>
      <c r="I33" s="479"/>
      <c r="J33" s="408">
        <f>IFERROR(VLOOKUP($C33,'Proposed Rates'!$B:$J,J$11,FALSE),0)</f>
        <v>0</v>
      </c>
      <c r="K33" s="409">
        <f t="shared" si="26"/>
        <v>500</v>
      </c>
      <c r="L33" s="394">
        <f t="shared" si="27"/>
        <v>0</v>
      </c>
      <c r="M33" s="411"/>
      <c r="N33" s="395">
        <f t="shared" si="5"/>
        <v>0</v>
      </c>
      <c r="O33" s="396" t="str">
        <f t="shared" si="6"/>
        <v/>
      </c>
      <c r="P33" s="53"/>
      <c r="Q33" s="408">
        <f>IFERROR(VLOOKUP($C33,'Proposed Rates'!$B:$J,Q$11,FALSE),0)</f>
        <v>0</v>
      </c>
      <c r="R33" s="409">
        <f t="shared" si="28"/>
        <v>500</v>
      </c>
      <c r="S33" s="394">
        <f t="shared" si="29"/>
        <v>0</v>
      </c>
      <c r="T33" s="411"/>
      <c r="U33" s="395">
        <f t="shared" si="9"/>
        <v>0</v>
      </c>
      <c r="V33" s="396" t="str">
        <f t="shared" si="10"/>
        <v/>
      </c>
      <c r="W33" s="53"/>
      <c r="X33" s="408">
        <f>IFERROR(VLOOKUP($C33,'Proposed Rates'!$B:$J,X$11,FALSE),0)</f>
        <v>0</v>
      </c>
      <c r="Y33" s="409">
        <f t="shared" si="30"/>
        <v>500</v>
      </c>
      <c r="Z33" s="394">
        <f t="shared" si="31"/>
        <v>0</v>
      </c>
      <c r="AA33" s="411"/>
      <c r="AB33" s="395">
        <f t="shared" si="13"/>
        <v>0</v>
      </c>
      <c r="AC33" s="396" t="str">
        <f t="shared" si="14"/>
        <v/>
      </c>
      <c r="AD33" s="53"/>
      <c r="AE33" s="408">
        <f>IFERROR(VLOOKUP($C33,'Proposed Rates'!$B:$J,AE$11,FALSE),0)</f>
        <v>0</v>
      </c>
      <c r="AF33" s="409">
        <f t="shared" si="32"/>
        <v>500</v>
      </c>
      <c r="AG33" s="394">
        <f t="shared" si="33"/>
        <v>0</v>
      </c>
      <c r="AH33" s="411"/>
      <c r="AI33" s="395">
        <f t="shared" si="17"/>
        <v>0</v>
      </c>
      <c r="AJ33" s="396" t="str">
        <f t="shared" si="18"/>
        <v/>
      </c>
      <c r="AK33" s="53"/>
      <c r="AL33" s="408">
        <f>IFERROR(VLOOKUP($C33,'Proposed Rates'!$B:$J,AL$11,FALSE),0)</f>
        <v>0</v>
      </c>
      <c r="AM33" s="409">
        <f t="shared" si="34"/>
        <v>500</v>
      </c>
      <c r="AN33" s="394">
        <f t="shared" si="35"/>
        <v>0</v>
      </c>
      <c r="AO33" s="411"/>
      <c r="AP33" s="395">
        <f t="shared" si="21"/>
        <v>0</v>
      </c>
      <c r="AQ33" s="396" t="str">
        <f t="shared" si="22"/>
        <v/>
      </c>
      <c r="AR33" s="397"/>
    </row>
    <row r="34" spans="1:44" ht="12.75" customHeight="1">
      <c r="A34" s="53"/>
      <c r="B34" s="328" t="s">
        <v>300</v>
      </c>
      <c r="C34" s="389" t="str">
        <f t="shared" si="23"/>
        <v>Residential.Low Voltage Service Charge</v>
      </c>
      <c r="D34" s="390" t="s">
        <v>337</v>
      </c>
      <c r="E34" s="328"/>
      <c r="F34" s="412">
        <f>IFERROR(VLOOKUP($C34,'Proposed Rates'!$B:$J,F$11,FALSE),0)</f>
        <v>5.0000000000000002E-5</v>
      </c>
      <c r="G34" s="413">
        <f>$F$10*(1+F$63)</f>
        <v>516.9</v>
      </c>
      <c r="H34" s="394">
        <f t="shared" si="25"/>
        <v>2.5845E-2</v>
      </c>
      <c r="I34" s="138"/>
      <c r="J34" s="412">
        <f>IFERROR(VLOOKUP($C34,'Proposed Rates'!$B:$J,J$11,FALSE),0)</f>
        <v>6.9999999999999994E-5</v>
      </c>
      <c r="K34" s="413">
        <f>$F$10*(1+J$63)</f>
        <v>516.59999999999991</v>
      </c>
      <c r="L34" s="394">
        <f t="shared" si="27"/>
        <v>3.6161999999999993E-2</v>
      </c>
      <c r="M34" s="138"/>
      <c r="N34" s="395">
        <f t="shared" si="5"/>
        <v>1.0316999999999993E-2</v>
      </c>
      <c r="O34" s="396">
        <f t="shared" si="6"/>
        <v>0.3991874637260589</v>
      </c>
      <c r="P34" s="53"/>
      <c r="Q34" s="412">
        <f>IFERROR(VLOOKUP($C34,'Proposed Rates'!$B:$J,Q$11,FALSE),0)</f>
        <v>6.9999999999999994E-5</v>
      </c>
      <c r="R34" s="413">
        <f>$F$10*(1+Q$63)</f>
        <v>516.59999999999991</v>
      </c>
      <c r="S34" s="394">
        <f t="shared" si="29"/>
        <v>3.6161999999999993E-2</v>
      </c>
      <c r="T34" s="138"/>
      <c r="U34" s="395">
        <f t="shared" si="9"/>
        <v>0</v>
      </c>
      <c r="V34" s="396">
        <f t="shared" si="10"/>
        <v>0</v>
      </c>
      <c r="W34" s="53"/>
      <c r="X34" s="412">
        <f>IFERROR(VLOOKUP($C34,'Proposed Rates'!$B:$J,X$11,FALSE),0)</f>
        <v>8.0000000000000007E-5</v>
      </c>
      <c r="Y34" s="413">
        <f>$F$10*(1+X$63)</f>
        <v>516.59999999999991</v>
      </c>
      <c r="Z34" s="394">
        <f t="shared" si="31"/>
        <v>4.1327999999999997E-2</v>
      </c>
      <c r="AA34" s="138"/>
      <c r="AB34" s="395">
        <f t="shared" si="13"/>
        <v>5.1660000000000039E-3</v>
      </c>
      <c r="AC34" s="396">
        <f t="shared" si="14"/>
        <v>0.14285714285714299</v>
      </c>
      <c r="AD34" s="53"/>
      <c r="AE34" s="412">
        <f>IFERROR(VLOOKUP($C34,'Proposed Rates'!$B:$J,AE$11,FALSE),0)</f>
        <v>8.0000000000000007E-5</v>
      </c>
      <c r="AF34" s="413">
        <f>$F$10*(1+AE$63)</f>
        <v>516.59999999999991</v>
      </c>
      <c r="AG34" s="394">
        <f t="shared" si="33"/>
        <v>4.1327999999999997E-2</v>
      </c>
      <c r="AH34" s="138"/>
      <c r="AI34" s="395">
        <f t="shared" si="17"/>
        <v>0</v>
      </c>
      <c r="AJ34" s="396">
        <f t="shared" si="18"/>
        <v>0</v>
      </c>
      <c r="AK34" s="53"/>
      <c r="AL34" s="412">
        <f>IFERROR(VLOOKUP($C34,'Proposed Rates'!$B:$J,AL$11,FALSE),0)</f>
        <v>8.0000000000000007E-5</v>
      </c>
      <c r="AM34" s="413">
        <f>$F$10*(1+AL$63)</f>
        <v>516.59999999999991</v>
      </c>
      <c r="AN34" s="394">
        <f t="shared" si="35"/>
        <v>4.1327999999999997E-2</v>
      </c>
      <c r="AO34" s="138"/>
      <c r="AP34" s="395">
        <f t="shared" si="21"/>
        <v>0</v>
      </c>
      <c r="AQ34" s="396">
        <f t="shared" si="22"/>
        <v>0</v>
      </c>
      <c r="AR34" s="397"/>
    </row>
    <row r="35" spans="1:44" ht="12.75" customHeight="1">
      <c r="A35" s="53"/>
      <c r="B35" s="328" t="s">
        <v>341</v>
      </c>
      <c r="C35" s="389" t="str">
        <f t="shared" si="23"/>
        <v>Residential.Line Losses on Cost of Power</v>
      </c>
      <c r="D35" s="390" t="s">
        <v>337</v>
      </c>
      <c r="E35" s="328"/>
      <c r="F35" s="414">
        <f>'Proposed Rates'!$K$256*F$44+'Proposed Rates'!$K$257*F$45+'Proposed Rates'!$K$258*F$46</f>
        <v>0.12752000000000002</v>
      </c>
      <c r="G35" s="415">
        <f>$F$10*(1+F$63)-$F$10</f>
        <v>16.899999999999977</v>
      </c>
      <c r="H35" s="394">
        <f t="shared" si="25"/>
        <v>2.1550879999999975</v>
      </c>
      <c r="I35" s="138"/>
      <c r="J35" s="414">
        <f>'Proposed Rates'!$K$256*J$44+'Proposed Rates'!$K$257*J$45+'Proposed Rates'!$K$258*J$46</f>
        <v>0.12752000000000002</v>
      </c>
      <c r="K35" s="415">
        <f>$F$10*(1+J$63)-$F$10</f>
        <v>16.599999999999909</v>
      </c>
      <c r="L35" s="394">
        <f t="shared" si="27"/>
        <v>2.1168319999999889</v>
      </c>
      <c r="M35" s="138"/>
      <c r="N35" s="395">
        <f t="shared" si="5"/>
        <v>-3.8256000000008505E-2</v>
      </c>
      <c r="O35" s="396">
        <f t="shared" si="6"/>
        <v>-1.7751479289944794E-2</v>
      </c>
      <c r="P35" s="53"/>
      <c r="Q35" s="414">
        <f>'Proposed Rates'!$K$256*Q$44+'Proposed Rates'!$K$257*Q$45+'Proposed Rates'!$K$258*Q$46</f>
        <v>0.12752000000000002</v>
      </c>
      <c r="R35" s="415">
        <f>$F$10*(1+Q$63)-$F$10</f>
        <v>16.599999999999909</v>
      </c>
      <c r="S35" s="394">
        <f t="shared" si="29"/>
        <v>2.1168319999999889</v>
      </c>
      <c r="T35" s="138"/>
      <c r="U35" s="395">
        <f t="shared" si="9"/>
        <v>0</v>
      </c>
      <c r="V35" s="396">
        <f t="shared" si="10"/>
        <v>0</v>
      </c>
      <c r="W35" s="53"/>
      <c r="X35" s="414">
        <f>'Proposed Rates'!$K$256*X$44+'Proposed Rates'!$K$257*X$45+'Proposed Rates'!$K$258*X$46</f>
        <v>0.12752000000000002</v>
      </c>
      <c r="Y35" s="415">
        <f>$F$10*(1+X$63)-$F$10</f>
        <v>16.599999999999909</v>
      </c>
      <c r="Z35" s="394">
        <f t="shared" si="31"/>
        <v>2.1168319999999889</v>
      </c>
      <c r="AA35" s="138"/>
      <c r="AB35" s="395">
        <f t="shared" si="13"/>
        <v>0</v>
      </c>
      <c r="AC35" s="396">
        <f t="shared" si="14"/>
        <v>0</v>
      </c>
      <c r="AD35" s="53"/>
      <c r="AE35" s="414">
        <f>'Proposed Rates'!$K$256*AE$44+'Proposed Rates'!$K$257*AE$45+'Proposed Rates'!$K$258*AE$46</f>
        <v>0.12752000000000002</v>
      </c>
      <c r="AF35" s="415">
        <f>$F$10*(1+AE$63)-$F$10</f>
        <v>16.599999999999909</v>
      </c>
      <c r="AG35" s="394">
        <f t="shared" si="33"/>
        <v>2.1168319999999889</v>
      </c>
      <c r="AH35" s="138"/>
      <c r="AI35" s="395">
        <f t="shared" si="17"/>
        <v>0</v>
      </c>
      <c r="AJ35" s="396">
        <f t="shared" si="18"/>
        <v>0</v>
      </c>
      <c r="AK35" s="53"/>
      <c r="AL35" s="414">
        <f>'Proposed Rates'!$K$256*AL$44+'Proposed Rates'!$K$257*AL$45+'Proposed Rates'!$K$258*AL$46</f>
        <v>0.12752000000000002</v>
      </c>
      <c r="AM35" s="415">
        <f>$F$10*(1+AL$63)-$F$10</f>
        <v>16.599999999999909</v>
      </c>
      <c r="AN35" s="394">
        <f t="shared" si="35"/>
        <v>2.1168319999999889</v>
      </c>
      <c r="AO35" s="138"/>
      <c r="AP35" s="395">
        <f t="shared" si="21"/>
        <v>0</v>
      </c>
      <c r="AQ35" s="396">
        <f t="shared" si="22"/>
        <v>0</v>
      </c>
      <c r="AR35" s="397"/>
    </row>
    <row r="36" spans="1:44" ht="12.75" customHeight="1">
      <c r="A36" s="53"/>
      <c r="B36" s="328" t="s">
        <v>302</v>
      </c>
      <c r="C36" s="389" t="str">
        <f t="shared" si="23"/>
        <v>Residential.Smart Meter Entity Charge</v>
      </c>
      <c r="D36" s="390" t="s">
        <v>335</v>
      </c>
      <c r="E36" s="328"/>
      <c r="F36" s="391">
        <f>IFERROR(VLOOKUP($C36,'Proposed Rates'!$B:$J,F$11,FALSE),0)</f>
        <v>0.42</v>
      </c>
      <c r="G36" s="409">
        <f>IF($D36="Monthly",1,IF($D36="per KWH",$F$10,0))</f>
        <v>1</v>
      </c>
      <c r="H36" s="394">
        <f t="shared" si="25"/>
        <v>0.42</v>
      </c>
      <c r="I36" s="138"/>
      <c r="J36" s="391">
        <f>IFERROR(VLOOKUP($C36,'Proposed Rates'!$B:$J,J$11,FALSE),0)</f>
        <v>0.42</v>
      </c>
      <c r="K36" s="409">
        <f>IF($D36="Monthly",1,IF($D36="per KWH",$F$10,0))</f>
        <v>1</v>
      </c>
      <c r="L36" s="394">
        <f t="shared" si="27"/>
        <v>0.42</v>
      </c>
      <c r="M36" s="138"/>
      <c r="N36" s="395">
        <f t="shared" si="5"/>
        <v>0</v>
      </c>
      <c r="O36" s="396">
        <f t="shared" si="6"/>
        <v>0</v>
      </c>
      <c r="P36" s="53"/>
      <c r="Q36" s="391">
        <f>IFERROR(VLOOKUP($C36,'Proposed Rates'!$B:$J,Q$11,FALSE),0)</f>
        <v>0.42</v>
      </c>
      <c r="R36" s="409">
        <f>IF($D36="Monthly",1,IF($D36="per KWH",$F$10,0))</f>
        <v>1</v>
      </c>
      <c r="S36" s="394">
        <f t="shared" si="29"/>
        <v>0.42</v>
      </c>
      <c r="T36" s="138"/>
      <c r="U36" s="395">
        <f t="shared" si="9"/>
        <v>0</v>
      </c>
      <c r="V36" s="396">
        <f t="shared" si="10"/>
        <v>0</v>
      </c>
      <c r="W36" s="53"/>
      <c r="X36" s="391">
        <f>IFERROR(VLOOKUP($C36,'Proposed Rates'!$B:$J,X$11,FALSE),0)</f>
        <v>0.43</v>
      </c>
      <c r="Y36" s="409">
        <f>IF($D36="Monthly",1,IF($D36="per KWH",$F$10,0))</f>
        <v>1</v>
      </c>
      <c r="Z36" s="394">
        <f t="shared" si="31"/>
        <v>0.43</v>
      </c>
      <c r="AA36" s="138"/>
      <c r="AB36" s="395">
        <f t="shared" si="13"/>
        <v>1.0000000000000009E-2</v>
      </c>
      <c r="AC36" s="396">
        <f t="shared" si="14"/>
        <v>2.3809523809523832E-2</v>
      </c>
      <c r="AD36" s="53"/>
      <c r="AE36" s="391">
        <f>IFERROR(VLOOKUP($C36,'Proposed Rates'!$B:$J,AE$11,FALSE),0)</f>
        <v>0.44</v>
      </c>
      <c r="AF36" s="409">
        <f>IF($D36="Monthly",1,IF($D36="per KWH",$F$10,0))</f>
        <v>1</v>
      </c>
      <c r="AG36" s="394">
        <f t="shared" si="33"/>
        <v>0.44</v>
      </c>
      <c r="AH36" s="138"/>
      <c r="AI36" s="395">
        <f t="shared" si="17"/>
        <v>1.0000000000000009E-2</v>
      </c>
      <c r="AJ36" s="396">
        <f t="shared" si="18"/>
        <v>2.3255813953488393E-2</v>
      </c>
      <c r="AK36" s="53"/>
      <c r="AL36" s="391">
        <f>IFERROR(VLOOKUP($C36,'Proposed Rates'!$B:$J,AL$11,FALSE),0)</f>
        <v>0.45</v>
      </c>
      <c r="AM36" s="409">
        <f>IF($D36="Monthly",1,IF($D36="per KWH",$F$10,0))</f>
        <v>1</v>
      </c>
      <c r="AN36" s="394">
        <f t="shared" si="35"/>
        <v>0.45</v>
      </c>
      <c r="AO36" s="138"/>
      <c r="AP36" s="395">
        <f t="shared" si="21"/>
        <v>1.0000000000000009E-2</v>
      </c>
      <c r="AQ36" s="396">
        <f t="shared" si="22"/>
        <v>2.2727272727272749E-2</v>
      </c>
      <c r="AR36" s="397"/>
    </row>
    <row r="37" spans="1:44" ht="12.75" customHeight="1">
      <c r="A37" s="53"/>
      <c r="B37" s="480" t="s">
        <v>342</v>
      </c>
      <c r="C37" s="416"/>
      <c r="D37" s="416"/>
      <c r="E37" s="416"/>
      <c r="F37" s="417"/>
      <c r="G37" s="418"/>
      <c r="H37" s="403">
        <f>SUM(H30:H36)+H29</f>
        <v>37.110932999999996</v>
      </c>
      <c r="I37" s="419"/>
      <c r="J37" s="417"/>
      <c r="K37" s="418"/>
      <c r="L37" s="403">
        <f>SUM(L30:L36)+L29</f>
        <v>42.272993999999997</v>
      </c>
      <c r="M37" s="419"/>
      <c r="N37" s="405">
        <f t="shared" si="5"/>
        <v>5.1620610000000013</v>
      </c>
      <c r="O37" s="406">
        <f t="shared" si="6"/>
        <v>0.13909811968349062</v>
      </c>
      <c r="P37" s="53"/>
      <c r="Q37" s="417"/>
      <c r="R37" s="418"/>
      <c r="S37" s="403">
        <f>SUM(S30:S36)+S29</f>
        <v>45.512993999999992</v>
      </c>
      <c r="T37" s="419"/>
      <c r="U37" s="405">
        <f t="shared" si="9"/>
        <v>3.2399999999999949</v>
      </c>
      <c r="V37" s="406">
        <f t="shared" si="10"/>
        <v>7.6644677687130347E-2</v>
      </c>
      <c r="W37" s="53"/>
      <c r="X37" s="417"/>
      <c r="Y37" s="418"/>
      <c r="Z37" s="403">
        <f>SUM(Z30:Z36)+Z29</f>
        <v>46.518159999999988</v>
      </c>
      <c r="AA37" s="419"/>
      <c r="AB37" s="405">
        <f t="shared" si="13"/>
        <v>1.0051659999999956</v>
      </c>
      <c r="AC37" s="406">
        <f t="shared" si="14"/>
        <v>2.2085253279535855E-2</v>
      </c>
      <c r="AD37" s="53"/>
      <c r="AE37" s="417"/>
      <c r="AF37" s="418"/>
      <c r="AG37" s="403">
        <f>SUM(AG30:AG36)+AG29</f>
        <v>48.018159999999988</v>
      </c>
      <c r="AH37" s="419"/>
      <c r="AI37" s="405">
        <f t="shared" si="17"/>
        <v>1.5</v>
      </c>
      <c r="AJ37" s="406">
        <f t="shared" si="18"/>
        <v>3.2245471445990131E-2</v>
      </c>
      <c r="AK37" s="53"/>
      <c r="AL37" s="417"/>
      <c r="AM37" s="418"/>
      <c r="AN37" s="403">
        <f>SUM(AN30:AN36)+AN29</f>
        <v>49.388159999999992</v>
      </c>
      <c r="AO37" s="419"/>
      <c r="AP37" s="405">
        <f t="shared" si="21"/>
        <v>1.3700000000000045</v>
      </c>
      <c r="AQ37" s="406">
        <f t="shared" si="22"/>
        <v>2.8530872486576014E-2</v>
      </c>
      <c r="AR37" s="407"/>
    </row>
    <row r="38" spans="1:44" ht="12.75" customHeight="1">
      <c r="A38" s="53"/>
      <c r="B38" s="138" t="s">
        <v>285</v>
      </c>
      <c r="C38" s="389" t="str">
        <f t="shared" ref="C38:C39" si="36">D$6&amp;"."&amp;B38</f>
        <v>Residential.RTSR - Network</v>
      </c>
      <c r="D38" s="420" t="s">
        <v>337</v>
      </c>
      <c r="E38" s="138"/>
      <c r="F38" s="408">
        <f>IFERROR(VLOOKUP($C38,'Proposed Rates'!$B:$J,F$11,FALSE),0)</f>
        <v>1.26E-2</v>
      </c>
      <c r="G38" s="413">
        <f t="shared" ref="G38:G39" si="37">$F$10*(1+F$63)</f>
        <v>516.9</v>
      </c>
      <c r="H38" s="394">
        <f t="shared" ref="H38:H39" si="38">G38*F38</f>
        <v>6.5129399999999995</v>
      </c>
      <c r="I38" s="138"/>
      <c r="J38" s="408">
        <f>IFERROR(VLOOKUP($C38,'Proposed Rates'!$B:$J,J$11,FALSE),0)</f>
        <v>1.38E-2</v>
      </c>
      <c r="K38" s="413">
        <f t="shared" ref="K38:K39" si="39">$F$10*(1+J$63)</f>
        <v>516.59999999999991</v>
      </c>
      <c r="L38" s="394">
        <f t="shared" ref="L38:L39" si="40">K38*J38</f>
        <v>7.1290799999999983</v>
      </c>
      <c r="M38" s="138"/>
      <c r="N38" s="395">
        <f t="shared" si="5"/>
        <v>0.6161399999999988</v>
      </c>
      <c r="O38" s="396">
        <f t="shared" si="6"/>
        <v>9.4602437608821643E-2</v>
      </c>
      <c r="P38" s="53"/>
      <c r="Q38" s="408">
        <f>IFERROR(VLOOKUP($C38,'Proposed Rates'!$B:$J,Q$11,FALSE),0)</f>
        <v>1.38E-2</v>
      </c>
      <c r="R38" s="413">
        <f t="shared" ref="R38:R39" si="41">$F$10*(1+Q$63)</f>
        <v>516.59999999999991</v>
      </c>
      <c r="S38" s="394">
        <f t="shared" ref="S38:S39" si="42">R38*Q38</f>
        <v>7.1290799999999983</v>
      </c>
      <c r="T38" s="138"/>
      <c r="U38" s="395">
        <f t="shared" si="9"/>
        <v>0</v>
      </c>
      <c r="V38" s="396">
        <f t="shared" si="10"/>
        <v>0</v>
      </c>
      <c r="W38" s="53"/>
      <c r="X38" s="408">
        <f>IFERROR(VLOOKUP($C38,'Proposed Rates'!$B:$J,X$11,FALSE),0)</f>
        <v>1.38E-2</v>
      </c>
      <c r="Y38" s="413">
        <f t="shared" ref="Y38:Y39" si="43">$F$10*(1+X$63)</f>
        <v>516.59999999999991</v>
      </c>
      <c r="Z38" s="394">
        <f t="shared" ref="Z38:Z39" si="44">Y38*X38</f>
        <v>7.1290799999999983</v>
      </c>
      <c r="AA38" s="138"/>
      <c r="AB38" s="395">
        <f t="shared" si="13"/>
        <v>0</v>
      </c>
      <c r="AC38" s="396">
        <f t="shared" si="14"/>
        <v>0</v>
      </c>
      <c r="AD38" s="53"/>
      <c r="AE38" s="408">
        <f>IFERROR(VLOOKUP($C38,'Proposed Rates'!$B:$J,AE$11,FALSE),0)</f>
        <v>1.38E-2</v>
      </c>
      <c r="AF38" s="413">
        <f t="shared" ref="AF38:AF39" si="45">$F$10*(1+AE$63)</f>
        <v>516.59999999999991</v>
      </c>
      <c r="AG38" s="394">
        <f t="shared" ref="AG38:AG39" si="46">AF38*AE38</f>
        <v>7.1290799999999983</v>
      </c>
      <c r="AH38" s="138"/>
      <c r="AI38" s="395">
        <f t="shared" si="17"/>
        <v>0</v>
      </c>
      <c r="AJ38" s="396">
        <f t="shared" si="18"/>
        <v>0</v>
      </c>
      <c r="AK38" s="53"/>
      <c r="AL38" s="408">
        <f>IFERROR(VLOOKUP($C38,'Proposed Rates'!$B:$J,AL$11,FALSE),0)</f>
        <v>1.38E-2</v>
      </c>
      <c r="AM38" s="413">
        <f t="shared" ref="AM38:AM39" si="47">$F$10*(1+AL$63)</f>
        <v>516.59999999999991</v>
      </c>
      <c r="AN38" s="394">
        <f t="shared" ref="AN38:AN39" si="48">AM38*AL38</f>
        <v>7.1290799999999983</v>
      </c>
      <c r="AO38" s="138"/>
      <c r="AP38" s="395">
        <f t="shared" si="21"/>
        <v>0</v>
      </c>
      <c r="AQ38" s="396">
        <f t="shared" si="22"/>
        <v>0</v>
      </c>
      <c r="AR38" s="397"/>
    </row>
    <row r="39" spans="1:44" ht="12.75" customHeight="1">
      <c r="A39" s="53"/>
      <c r="B39" s="481" t="s">
        <v>288</v>
      </c>
      <c r="C39" s="389" t="str">
        <f t="shared" si="36"/>
        <v>Residential.RTSR - Line and Transformation Connection</v>
      </c>
      <c r="D39" s="420" t="s">
        <v>337</v>
      </c>
      <c r="E39" s="138"/>
      <c r="F39" s="408">
        <f>IFERROR(VLOOKUP($C39,'Proposed Rates'!$B:$J,F$11,FALSE),0)</f>
        <v>7.1999999999999998E-3</v>
      </c>
      <c r="G39" s="413">
        <f t="shared" si="37"/>
        <v>516.9</v>
      </c>
      <c r="H39" s="394">
        <f t="shared" si="38"/>
        <v>3.7216799999999997</v>
      </c>
      <c r="I39" s="138"/>
      <c r="J39" s="408">
        <f>IFERROR(VLOOKUP($C39,'Proposed Rates'!$B:$J,J$11,FALSE),0)</f>
        <v>7.7999999999999996E-3</v>
      </c>
      <c r="K39" s="413">
        <f t="shared" si="39"/>
        <v>516.59999999999991</v>
      </c>
      <c r="L39" s="394">
        <f t="shared" si="40"/>
        <v>4.0294799999999995</v>
      </c>
      <c r="M39" s="138"/>
      <c r="N39" s="395">
        <f t="shared" si="5"/>
        <v>0.30779999999999985</v>
      </c>
      <c r="O39" s="396">
        <f t="shared" si="6"/>
        <v>8.2704585026117203E-2</v>
      </c>
      <c r="P39" s="53"/>
      <c r="Q39" s="408">
        <f>IFERROR(VLOOKUP($C39,'Proposed Rates'!$B:$J,Q$11,FALSE),0)</f>
        <v>7.7999999999999996E-3</v>
      </c>
      <c r="R39" s="413">
        <f t="shared" si="41"/>
        <v>516.59999999999991</v>
      </c>
      <c r="S39" s="394">
        <f t="shared" si="42"/>
        <v>4.0294799999999995</v>
      </c>
      <c r="T39" s="138"/>
      <c r="U39" s="395">
        <f t="shared" si="9"/>
        <v>0</v>
      </c>
      <c r="V39" s="396">
        <f t="shared" si="10"/>
        <v>0</v>
      </c>
      <c r="W39" s="53"/>
      <c r="X39" s="408">
        <f>IFERROR(VLOOKUP($C39,'Proposed Rates'!$B:$J,X$11,FALSE),0)</f>
        <v>7.7999999999999996E-3</v>
      </c>
      <c r="Y39" s="413">
        <f t="shared" si="43"/>
        <v>516.59999999999991</v>
      </c>
      <c r="Z39" s="394">
        <f t="shared" si="44"/>
        <v>4.0294799999999995</v>
      </c>
      <c r="AA39" s="138"/>
      <c r="AB39" s="395">
        <f t="shared" si="13"/>
        <v>0</v>
      </c>
      <c r="AC39" s="396">
        <f t="shared" si="14"/>
        <v>0</v>
      </c>
      <c r="AD39" s="53"/>
      <c r="AE39" s="408">
        <f>IFERROR(VLOOKUP($C39,'Proposed Rates'!$B:$J,AE$11,FALSE),0)</f>
        <v>7.7999999999999996E-3</v>
      </c>
      <c r="AF39" s="413">
        <f t="shared" si="45"/>
        <v>516.59999999999991</v>
      </c>
      <c r="AG39" s="394">
        <f t="shared" si="46"/>
        <v>4.0294799999999995</v>
      </c>
      <c r="AH39" s="138"/>
      <c r="AI39" s="395">
        <f t="shared" si="17"/>
        <v>0</v>
      </c>
      <c r="AJ39" s="396">
        <f t="shared" si="18"/>
        <v>0</v>
      </c>
      <c r="AK39" s="53"/>
      <c r="AL39" s="408">
        <f>IFERROR(VLOOKUP($C39,'Proposed Rates'!$B:$J,AL$11,FALSE),0)</f>
        <v>7.7999999999999996E-3</v>
      </c>
      <c r="AM39" s="413">
        <f t="shared" si="47"/>
        <v>516.59999999999991</v>
      </c>
      <c r="AN39" s="394">
        <f t="shared" si="48"/>
        <v>4.0294799999999995</v>
      </c>
      <c r="AO39" s="138"/>
      <c r="AP39" s="395">
        <f t="shared" si="21"/>
        <v>0</v>
      </c>
      <c r="AQ39" s="396">
        <f t="shared" si="22"/>
        <v>0</v>
      </c>
      <c r="AR39" s="397"/>
    </row>
    <row r="40" spans="1:44" ht="12.75" customHeight="1">
      <c r="A40" s="53"/>
      <c r="B40" s="480" t="s">
        <v>343</v>
      </c>
      <c r="C40" s="421"/>
      <c r="D40" s="421"/>
      <c r="E40" s="421"/>
      <c r="F40" s="422"/>
      <c r="G40" s="423"/>
      <c r="H40" s="403">
        <f>SUM(H37:H39)</f>
        <v>47.345552999999995</v>
      </c>
      <c r="I40" s="404"/>
      <c r="J40" s="422"/>
      <c r="K40" s="423"/>
      <c r="L40" s="403">
        <f>SUM(L37:L39)</f>
        <v>53.431553999999998</v>
      </c>
      <c r="M40" s="404"/>
      <c r="N40" s="405">
        <f t="shared" si="5"/>
        <v>6.0860010000000031</v>
      </c>
      <c r="O40" s="406">
        <f t="shared" si="6"/>
        <v>0.12854430066536562</v>
      </c>
      <c r="P40" s="53"/>
      <c r="Q40" s="422"/>
      <c r="R40" s="423"/>
      <c r="S40" s="403">
        <f>SUM(S37:S39)</f>
        <v>56.671553999999993</v>
      </c>
      <c r="T40" s="404"/>
      <c r="U40" s="405">
        <f t="shared" si="9"/>
        <v>3.2399999999999949</v>
      </c>
      <c r="V40" s="406">
        <f t="shared" si="10"/>
        <v>6.0638326184561185E-2</v>
      </c>
      <c r="W40" s="53"/>
      <c r="X40" s="422"/>
      <c r="Y40" s="423"/>
      <c r="Z40" s="403">
        <f>SUM(Z37:Z39)</f>
        <v>57.676719999999982</v>
      </c>
      <c r="AA40" s="404"/>
      <c r="AB40" s="405">
        <f t="shared" si="13"/>
        <v>1.0051659999999885</v>
      </c>
      <c r="AC40" s="406">
        <f t="shared" si="14"/>
        <v>1.7736693791738773E-2</v>
      </c>
      <c r="AD40" s="53"/>
      <c r="AE40" s="422"/>
      <c r="AF40" s="423"/>
      <c r="AG40" s="403">
        <f>SUM(AG37:AG39)</f>
        <v>59.176719999999982</v>
      </c>
      <c r="AH40" s="404"/>
      <c r="AI40" s="405">
        <f t="shared" si="17"/>
        <v>1.5</v>
      </c>
      <c r="AJ40" s="406">
        <f t="shared" si="18"/>
        <v>2.6007026751868008E-2</v>
      </c>
      <c r="AK40" s="53"/>
      <c r="AL40" s="422"/>
      <c r="AM40" s="423"/>
      <c r="AN40" s="403">
        <f>SUM(AN37:AN39)</f>
        <v>60.546719999999986</v>
      </c>
      <c r="AO40" s="404"/>
      <c r="AP40" s="405">
        <f t="shared" si="21"/>
        <v>1.3700000000000045</v>
      </c>
      <c r="AQ40" s="406">
        <f t="shared" si="22"/>
        <v>2.3150995864590077E-2</v>
      </c>
      <c r="AR40" s="407"/>
    </row>
    <row r="41" spans="1:44" ht="12.75" customHeight="1">
      <c r="A41" s="53"/>
      <c r="B41" s="482" t="s">
        <v>289</v>
      </c>
      <c r="C41" s="389" t="str">
        <f t="shared" ref="C41:C48" si="49">D$6&amp;"."&amp;B41</f>
        <v>Residential.Wholesale Market Service Charge (WMSC)</v>
      </c>
      <c r="D41" s="390" t="s">
        <v>337</v>
      </c>
      <c r="E41" s="328"/>
      <c r="F41" s="408">
        <f>IFERROR(VLOOKUP($C41,'Proposed Rates'!$B:$J,F$11,FALSE),0)</f>
        <v>4.4999999999999997E-3</v>
      </c>
      <c r="G41" s="413">
        <f t="shared" ref="G41:G42" si="50">$F$10*(1+F$63)</f>
        <v>516.9</v>
      </c>
      <c r="H41" s="394">
        <f t="shared" ref="H41:H48" si="51">G41*F41</f>
        <v>2.3260499999999995</v>
      </c>
      <c r="I41" s="138"/>
      <c r="J41" s="408">
        <f>IFERROR(VLOOKUP($C41,'Proposed Rates'!$B:$J,J$11,FALSE),0)</f>
        <v>4.7000000000000002E-3</v>
      </c>
      <c r="K41" s="413">
        <f t="shared" ref="K41:K42" si="52">$F$10*(1+J$63)</f>
        <v>516.59999999999991</v>
      </c>
      <c r="L41" s="394">
        <f t="shared" ref="L41:L48" si="53">K41*J41</f>
        <v>2.4280199999999996</v>
      </c>
      <c r="M41" s="138"/>
      <c r="N41" s="395">
        <f t="shared" si="5"/>
        <v>0.10197000000000012</v>
      </c>
      <c r="O41" s="396">
        <f t="shared" si="6"/>
        <v>4.3838266589282318E-2</v>
      </c>
      <c r="P41" s="53"/>
      <c r="Q41" s="408">
        <f>IFERROR(VLOOKUP($C41,'Proposed Rates'!$B:$J,Q$11,FALSE),0)</f>
        <v>4.7000000000000002E-3</v>
      </c>
      <c r="R41" s="413">
        <f t="shared" ref="R41:R42" si="54">$F$10*(1+Q$63)</f>
        <v>516.59999999999991</v>
      </c>
      <c r="S41" s="394">
        <f t="shared" ref="S41:S48" si="55">R41*Q41</f>
        <v>2.4280199999999996</v>
      </c>
      <c r="T41" s="138"/>
      <c r="U41" s="395">
        <f t="shared" si="9"/>
        <v>0</v>
      </c>
      <c r="V41" s="396">
        <f t="shared" si="10"/>
        <v>0</v>
      </c>
      <c r="W41" s="53"/>
      <c r="X41" s="408">
        <f>IFERROR(VLOOKUP($C41,'Proposed Rates'!$B:$J,X$11,FALSE),0)</f>
        <v>4.7000000000000002E-3</v>
      </c>
      <c r="Y41" s="413">
        <f t="shared" ref="Y41:Y42" si="56">$F$10*(1+X$63)</f>
        <v>516.59999999999991</v>
      </c>
      <c r="Z41" s="394">
        <f t="shared" ref="Z41:Z48" si="57">Y41*X41</f>
        <v>2.4280199999999996</v>
      </c>
      <c r="AA41" s="138"/>
      <c r="AB41" s="395">
        <f t="shared" si="13"/>
        <v>0</v>
      </c>
      <c r="AC41" s="396">
        <f t="shared" si="14"/>
        <v>0</v>
      </c>
      <c r="AD41" s="53"/>
      <c r="AE41" s="408">
        <f>IFERROR(VLOOKUP($C41,'Proposed Rates'!$B:$J,AE$11,FALSE),0)</f>
        <v>4.7000000000000002E-3</v>
      </c>
      <c r="AF41" s="413">
        <f t="shared" ref="AF41:AF42" si="58">$F$10*(1+AE$63)</f>
        <v>516.59999999999991</v>
      </c>
      <c r="AG41" s="394">
        <f t="shared" ref="AG41:AG48" si="59">AF41*AE41</f>
        <v>2.4280199999999996</v>
      </c>
      <c r="AH41" s="138"/>
      <c r="AI41" s="395">
        <f t="shared" si="17"/>
        <v>0</v>
      </c>
      <c r="AJ41" s="396">
        <f t="shared" si="18"/>
        <v>0</v>
      </c>
      <c r="AK41" s="53"/>
      <c r="AL41" s="408">
        <f>IFERROR(VLOOKUP($C41,'Proposed Rates'!$B:$J,AL$11,FALSE),0)</f>
        <v>4.7000000000000002E-3</v>
      </c>
      <c r="AM41" s="413">
        <f t="shared" ref="AM41:AM42" si="60">$F$10*(1+AL$63)</f>
        <v>516.59999999999991</v>
      </c>
      <c r="AN41" s="394">
        <f t="shared" ref="AN41:AN48" si="61">AM41*AL41</f>
        <v>2.4280199999999996</v>
      </c>
      <c r="AO41" s="138"/>
      <c r="AP41" s="395">
        <f t="shared" si="21"/>
        <v>0</v>
      </c>
      <c r="AQ41" s="396">
        <f t="shared" si="22"/>
        <v>0</v>
      </c>
      <c r="AR41" s="397"/>
    </row>
    <row r="42" spans="1:44" ht="12.75" customHeight="1">
      <c r="A42" s="53"/>
      <c r="B42" s="482" t="s">
        <v>290</v>
      </c>
      <c r="C42" s="389" t="str">
        <f t="shared" si="49"/>
        <v>Residential.Rural and Remote Rate Protection (RRRP)</v>
      </c>
      <c r="D42" s="390" t="s">
        <v>337</v>
      </c>
      <c r="E42" s="328"/>
      <c r="F42" s="408">
        <f>IFERROR(VLOOKUP($C42,'Proposed Rates'!$B:$J,F$11,FALSE),0)</f>
        <v>1.5E-3</v>
      </c>
      <c r="G42" s="413">
        <f t="shared" si="50"/>
        <v>516.9</v>
      </c>
      <c r="H42" s="394">
        <f t="shared" si="51"/>
        <v>0.77534999999999998</v>
      </c>
      <c r="I42" s="138"/>
      <c r="J42" s="408">
        <f>IFERROR(VLOOKUP($C42,'Proposed Rates'!$B:$J,J$11,FALSE),0)</f>
        <v>5.9999999999999995E-4</v>
      </c>
      <c r="K42" s="413">
        <f t="shared" si="52"/>
        <v>516.59999999999991</v>
      </c>
      <c r="L42" s="394">
        <f t="shared" si="53"/>
        <v>0.3099599999999999</v>
      </c>
      <c r="M42" s="138"/>
      <c r="N42" s="395">
        <f t="shared" si="5"/>
        <v>-0.46539000000000008</v>
      </c>
      <c r="O42" s="396">
        <f t="shared" si="6"/>
        <v>-0.60023215322112611</v>
      </c>
      <c r="P42" s="53"/>
      <c r="Q42" s="408">
        <f>IFERROR(VLOOKUP($C42,'Proposed Rates'!$B:$J,Q$11,FALSE),0)</f>
        <v>5.9999999999999995E-4</v>
      </c>
      <c r="R42" s="413">
        <f t="shared" si="54"/>
        <v>516.59999999999991</v>
      </c>
      <c r="S42" s="394">
        <f t="shared" si="55"/>
        <v>0.3099599999999999</v>
      </c>
      <c r="T42" s="138"/>
      <c r="U42" s="395">
        <f t="shared" si="9"/>
        <v>0</v>
      </c>
      <c r="V42" s="396">
        <f t="shared" si="10"/>
        <v>0</v>
      </c>
      <c r="W42" s="53"/>
      <c r="X42" s="408">
        <f>IFERROR(VLOOKUP($C42,'Proposed Rates'!$B:$J,X$11,FALSE),0)</f>
        <v>5.9999999999999995E-4</v>
      </c>
      <c r="Y42" s="413">
        <f t="shared" si="56"/>
        <v>516.59999999999991</v>
      </c>
      <c r="Z42" s="394">
        <f t="shared" si="57"/>
        <v>0.3099599999999999</v>
      </c>
      <c r="AA42" s="138"/>
      <c r="AB42" s="395">
        <f t="shared" si="13"/>
        <v>0</v>
      </c>
      <c r="AC42" s="396">
        <f t="shared" si="14"/>
        <v>0</v>
      </c>
      <c r="AD42" s="53"/>
      <c r="AE42" s="408">
        <f>IFERROR(VLOOKUP($C42,'Proposed Rates'!$B:$J,AE$11,FALSE),0)</f>
        <v>5.9999999999999995E-4</v>
      </c>
      <c r="AF42" s="413">
        <f t="shared" si="58"/>
        <v>516.59999999999991</v>
      </c>
      <c r="AG42" s="394">
        <f t="shared" si="59"/>
        <v>0.3099599999999999</v>
      </c>
      <c r="AH42" s="138"/>
      <c r="AI42" s="395">
        <f t="shared" si="17"/>
        <v>0</v>
      </c>
      <c r="AJ42" s="396">
        <f t="shared" si="18"/>
        <v>0</v>
      </c>
      <c r="AK42" s="53"/>
      <c r="AL42" s="408">
        <f>IFERROR(VLOOKUP($C42,'Proposed Rates'!$B:$J,AL$11,FALSE),0)</f>
        <v>5.9999999999999995E-4</v>
      </c>
      <c r="AM42" s="413">
        <f t="shared" si="60"/>
        <v>516.59999999999991</v>
      </c>
      <c r="AN42" s="394">
        <f t="shared" si="61"/>
        <v>0.3099599999999999</v>
      </c>
      <c r="AO42" s="138"/>
      <c r="AP42" s="395">
        <f t="shared" si="21"/>
        <v>0</v>
      </c>
      <c r="AQ42" s="396">
        <f t="shared" si="22"/>
        <v>0</v>
      </c>
      <c r="AR42" s="397"/>
    </row>
    <row r="43" spans="1:44" ht="12.75" customHeight="1">
      <c r="A43" s="53"/>
      <c r="B43" s="328" t="s">
        <v>291</v>
      </c>
      <c r="C43" s="389" t="str">
        <f t="shared" si="49"/>
        <v>Residential.Standard Supply Service Charge</v>
      </c>
      <c r="D43" s="390" t="s">
        <v>335</v>
      </c>
      <c r="E43" s="328"/>
      <c r="F43" s="408">
        <f>IFERROR(VLOOKUP($C43,'Proposed Rates'!$B:$J,F$11,FALSE),0)</f>
        <v>0.25</v>
      </c>
      <c r="G43" s="409">
        <f>IF($D43="Monthly",1,IF($D43="per KWH",$F$10,0))</f>
        <v>1</v>
      </c>
      <c r="H43" s="394">
        <f t="shared" si="51"/>
        <v>0.25</v>
      </c>
      <c r="I43" s="138"/>
      <c r="J43" s="408">
        <f>IFERROR(VLOOKUP($C43,'Proposed Rates'!$B:$J,J$11,FALSE),0)</f>
        <v>0.25</v>
      </c>
      <c r="K43" s="409">
        <f>IF($D43="Monthly",1,IF($D43="per KWH",$F$10,0))</f>
        <v>1</v>
      </c>
      <c r="L43" s="394">
        <f t="shared" si="53"/>
        <v>0.25</v>
      </c>
      <c r="M43" s="138"/>
      <c r="N43" s="395">
        <f t="shared" si="5"/>
        <v>0</v>
      </c>
      <c r="O43" s="396">
        <f t="shared" si="6"/>
        <v>0</v>
      </c>
      <c r="P43" s="53"/>
      <c r="Q43" s="408">
        <f>IFERROR(VLOOKUP($C43,'Proposed Rates'!$B:$J,Q$11,FALSE),0)</f>
        <v>0.25</v>
      </c>
      <c r="R43" s="409">
        <f>IF($D43="Monthly",1,IF($D43="per KWH",$F$10,0))</f>
        <v>1</v>
      </c>
      <c r="S43" s="394">
        <f t="shared" si="55"/>
        <v>0.25</v>
      </c>
      <c r="T43" s="138"/>
      <c r="U43" s="395">
        <f t="shared" si="9"/>
        <v>0</v>
      </c>
      <c r="V43" s="396">
        <f t="shared" si="10"/>
        <v>0</v>
      </c>
      <c r="W43" s="53"/>
      <c r="X43" s="408">
        <f>IFERROR(VLOOKUP($C43,'Proposed Rates'!$B:$J,X$11,FALSE),0)</f>
        <v>0.25</v>
      </c>
      <c r="Y43" s="409">
        <f>IF($D43="Monthly",1,IF($D43="per KWH",$F$10,0))</f>
        <v>1</v>
      </c>
      <c r="Z43" s="394">
        <f t="shared" si="57"/>
        <v>0.25</v>
      </c>
      <c r="AA43" s="138"/>
      <c r="AB43" s="395">
        <f t="shared" si="13"/>
        <v>0</v>
      </c>
      <c r="AC43" s="396">
        <f t="shared" si="14"/>
        <v>0</v>
      </c>
      <c r="AD43" s="53"/>
      <c r="AE43" s="408">
        <f>IFERROR(VLOOKUP($C43,'Proposed Rates'!$B:$J,AE$11,FALSE),0)</f>
        <v>0.25</v>
      </c>
      <c r="AF43" s="409">
        <f>IF($D43="Monthly",1,IF($D43="per KWH",$F$10,0))</f>
        <v>1</v>
      </c>
      <c r="AG43" s="394">
        <f t="shared" si="59"/>
        <v>0.25</v>
      </c>
      <c r="AH43" s="138"/>
      <c r="AI43" s="395">
        <f t="shared" si="17"/>
        <v>0</v>
      </c>
      <c r="AJ43" s="396">
        <f t="shared" si="18"/>
        <v>0</v>
      </c>
      <c r="AK43" s="53"/>
      <c r="AL43" s="408">
        <f>IFERROR(VLOOKUP($C43,'Proposed Rates'!$B:$J,AL$11,FALSE),0)</f>
        <v>0.25</v>
      </c>
      <c r="AM43" s="409">
        <f>IF($D43="Monthly",1,IF($D43="per KWH",$F$10,0))</f>
        <v>1</v>
      </c>
      <c r="AN43" s="394">
        <f t="shared" si="61"/>
        <v>0.25</v>
      </c>
      <c r="AO43" s="138"/>
      <c r="AP43" s="395">
        <f t="shared" si="21"/>
        <v>0</v>
      </c>
      <c r="AQ43" s="396">
        <f t="shared" si="22"/>
        <v>0</v>
      </c>
      <c r="AR43" s="397"/>
    </row>
    <row r="44" spans="1:44" ht="12.75" customHeight="1">
      <c r="A44" s="53"/>
      <c r="B44" s="328" t="s">
        <v>293</v>
      </c>
      <c r="C44" s="389" t="str">
        <f t="shared" si="49"/>
        <v>Residential.TOU - Off Peak</v>
      </c>
      <c r="D44" s="390" t="s">
        <v>337</v>
      </c>
      <c r="E44" s="328"/>
      <c r="F44" s="424">
        <f>VLOOKUP($B44,'Proposed Rates'!$D$255:$J$261,+F$11-2,FALSE)</f>
        <v>9.8000000000000004E-2</v>
      </c>
      <c r="G44" s="415">
        <f>$F$10*'Proposed Rates'!$K$256</f>
        <v>320</v>
      </c>
      <c r="H44" s="394">
        <f t="shared" si="51"/>
        <v>31.36</v>
      </c>
      <c r="I44" s="138"/>
      <c r="J44" s="424">
        <f>VLOOKUP($B44,'Proposed Rates'!$D$255:$J$261,+J$11-2,FALSE)</f>
        <v>9.8000000000000004E-2</v>
      </c>
      <c r="K44" s="415">
        <f>$F$10*'Proposed Rates'!$K$256</f>
        <v>320</v>
      </c>
      <c r="L44" s="394">
        <f t="shared" si="53"/>
        <v>31.36</v>
      </c>
      <c r="M44" s="138"/>
      <c r="N44" s="395">
        <f t="shared" si="5"/>
        <v>0</v>
      </c>
      <c r="O44" s="396">
        <f t="shared" si="6"/>
        <v>0</v>
      </c>
      <c r="P44" s="53"/>
      <c r="Q44" s="424">
        <f>VLOOKUP($B44,'Proposed Rates'!$D$255:$J$261,+Q$11-2,FALSE)</f>
        <v>9.8000000000000004E-2</v>
      </c>
      <c r="R44" s="415">
        <f>$F$10*'Proposed Rates'!$K$256</f>
        <v>320</v>
      </c>
      <c r="S44" s="394">
        <f t="shared" si="55"/>
        <v>31.36</v>
      </c>
      <c r="T44" s="138"/>
      <c r="U44" s="395">
        <f t="shared" si="9"/>
        <v>0</v>
      </c>
      <c r="V44" s="396">
        <f t="shared" si="10"/>
        <v>0</v>
      </c>
      <c r="W44" s="53"/>
      <c r="X44" s="424">
        <f>VLOOKUP($B44,'Proposed Rates'!$D$255:$J$261,+X$11-2,FALSE)</f>
        <v>9.8000000000000004E-2</v>
      </c>
      <c r="Y44" s="415">
        <f>$F$10*'Proposed Rates'!$K$256</f>
        <v>320</v>
      </c>
      <c r="Z44" s="394">
        <f t="shared" si="57"/>
        <v>31.36</v>
      </c>
      <c r="AA44" s="138"/>
      <c r="AB44" s="395">
        <f t="shared" si="13"/>
        <v>0</v>
      </c>
      <c r="AC44" s="396">
        <f t="shared" si="14"/>
        <v>0</v>
      </c>
      <c r="AD44" s="53"/>
      <c r="AE44" s="424">
        <f>VLOOKUP($B44,'Proposed Rates'!$D$255:$J$261,+AE$11-2,FALSE)</f>
        <v>9.8000000000000004E-2</v>
      </c>
      <c r="AF44" s="415">
        <f>$F$10*'Proposed Rates'!$K$256</f>
        <v>320</v>
      </c>
      <c r="AG44" s="394">
        <f t="shared" si="59"/>
        <v>31.36</v>
      </c>
      <c r="AH44" s="138"/>
      <c r="AI44" s="395">
        <f t="shared" si="17"/>
        <v>0</v>
      </c>
      <c r="AJ44" s="396">
        <f t="shared" si="18"/>
        <v>0</v>
      </c>
      <c r="AK44" s="53"/>
      <c r="AL44" s="424">
        <f>VLOOKUP($B44,'Proposed Rates'!$D$255:$J$261,+AL$11-2,FALSE)</f>
        <v>9.8000000000000004E-2</v>
      </c>
      <c r="AM44" s="415">
        <f>$F$10*'Proposed Rates'!$K$256</f>
        <v>320</v>
      </c>
      <c r="AN44" s="394">
        <f t="shared" si="61"/>
        <v>31.36</v>
      </c>
      <c r="AO44" s="138"/>
      <c r="AP44" s="395">
        <f t="shared" si="21"/>
        <v>0</v>
      </c>
      <c r="AQ44" s="396">
        <f t="shared" si="22"/>
        <v>0</v>
      </c>
      <c r="AR44" s="397"/>
    </row>
    <row r="45" spans="1:44" ht="12.75" customHeight="1">
      <c r="A45" s="53"/>
      <c r="B45" s="328" t="s">
        <v>294</v>
      </c>
      <c r="C45" s="389" t="str">
        <f t="shared" si="49"/>
        <v>Residential.TOU - Mid Peak</v>
      </c>
      <c r="D45" s="390" t="s">
        <v>337</v>
      </c>
      <c r="E45" s="328"/>
      <c r="F45" s="424">
        <f>VLOOKUP($B45,'Proposed Rates'!$D$255:$J$261,+F$11-2,FALSE)</f>
        <v>0.157</v>
      </c>
      <c r="G45" s="415">
        <f>$F$10*'Proposed Rates'!$K$257</f>
        <v>90</v>
      </c>
      <c r="H45" s="394">
        <f t="shared" si="51"/>
        <v>14.13</v>
      </c>
      <c r="I45" s="138"/>
      <c r="J45" s="424">
        <f>VLOOKUP($B45,'Proposed Rates'!$D$255:$J$261,+J$11-2,FALSE)</f>
        <v>0.157</v>
      </c>
      <c r="K45" s="415">
        <f>$F$10*'Proposed Rates'!$K$257</f>
        <v>90</v>
      </c>
      <c r="L45" s="394">
        <f t="shared" si="53"/>
        <v>14.13</v>
      </c>
      <c r="M45" s="138"/>
      <c r="N45" s="395">
        <f t="shared" si="5"/>
        <v>0</v>
      </c>
      <c r="O45" s="396">
        <f t="shared" si="6"/>
        <v>0</v>
      </c>
      <c r="P45" s="53"/>
      <c r="Q45" s="424">
        <f>VLOOKUP($B45,'Proposed Rates'!$D$255:$J$261,+Q$11-2,FALSE)</f>
        <v>0.157</v>
      </c>
      <c r="R45" s="415">
        <f>$F$10*'Proposed Rates'!$K$257</f>
        <v>90</v>
      </c>
      <c r="S45" s="394">
        <f t="shared" si="55"/>
        <v>14.13</v>
      </c>
      <c r="T45" s="138"/>
      <c r="U45" s="395">
        <f t="shared" si="9"/>
        <v>0</v>
      </c>
      <c r="V45" s="396">
        <f t="shared" si="10"/>
        <v>0</v>
      </c>
      <c r="W45" s="53"/>
      <c r="X45" s="424">
        <f>VLOOKUP($B45,'Proposed Rates'!$D$255:$J$261,+X$11-2,FALSE)</f>
        <v>0.157</v>
      </c>
      <c r="Y45" s="415">
        <f>$F$10*'Proposed Rates'!$K$257</f>
        <v>90</v>
      </c>
      <c r="Z45" s="394">
        <f t="shared" si="57"/>
        <v>14.13</v>
      </c>
      <c r="AA45" s="138"/>
      <c r="AB45" s="395">
        <f t="shared" si="13"/>
        <v>0</v>
      </c>
      <c r="AC45" s="396">
        <f t="shared" si="14"/>
        <v>0</v>
      </c>
      <c r="AD45" s="53"/>
      <c r="AE45" s="424">
        <f>VLOOKUP($B45,'Proposed Rates'!$D$255:$J$261,+AE$11-2,FALSE)</f>
        <v>0.157</v>
      </c>
      <c r="AF45" s="415">
        <f>$F$10*'Proposed Rates'!$K$257</f>
        <v>90</v>
      </c>
      <c r="AG45" s="394">
        <f t="shared" si="59"/>
        <v>14.13</v>
      </c>
      <c r="AH45" s="138"/>
      <c r="AI45" s="395">
        <f t="shared" si="17"/>
        <v>0</v>
      </c>
      <c r="AJ45" s="396">
        <f t="shared" si="18"/>
        <v>0</v>
      </c>
      <c r="AK45" s="53"/>
      <c r="AL45" s="424">
        <f>VLOOKUP($B45,'Proposed Rates'!$D$255:$J$261,+AL$11-2,FALSE)</f>
        <v>0.157</v>
      </c>
      <c r="AM45" s="415">
        <f>$F$10*'Proposed Rates'!$K$257</f>
        <v>90</v>
      </c>
      <c r="AN45" s="394">
        <f t="shared" si="61"/>
        <v>14.13</v>
      </c>
      <c r="AO45" s="138"/>
      <c r="AP45" s="395">
        <f t="shared" si="21"/>
        <v>0</v>
      </c>
      <c r="AQ45" s="396">
        <f t="shared" si="22"/>
        <v>0</v>
      </c>
      <c r="AR45" s="397"/>
    </row>
    <row r="46" spans="1:44" ht="12.75" customHeight="1">
      <c r="A46" s="53"/>
      <c r="B46" s="53" t="s">
        <v>295</v>
      </c>
      <c r="C46" s="389" t="str">
        <f t="shared" si="49"/>
        <v>Residential.TOU - On Peak</v>
      </c>
      <c r="D46" s="390" t="s">
        <v>337</v>
      </c>
      <c r="E46" s="328"/>
      <c r="F46" s="424">
        <f>VLOOKUP($B46,'Proposed Rates'!$D$255:$J$261,+F$11-2,FALSE)</f>
        <v>0.20300000000000001</v>
      </c>
      <c r="G46" s="415">
        <f>$F$10*'Proposed Rates'!$K$258</f>
        <v>90</v>
      </c>
      <c r="H46" s="394">
        <f t="shared" si="51"/>
        <v>18.27</v>
      </c>
      <c r="I46" s="138"/>
      <c r="J46" s="424">
        <f>VLOOKUP($B46,'Proposed Rates'!$D$255:$J$261,+J$11-2,FALSE)</f>
        <v>0.20300000000000001</v>
      </c>
      <c r="K46" s="415">
        <f>$F$10*'Proposed Rates'!$K$258</f>
        <v>90</v>
      </c>
      <c r="L46" s="394">
        <f t="shared" si="53"/>
        <v>18.27</v>
      </c>
      <c r="M46" s="138"/>
      <c r="N46" s="395">
        <f t="shared" si="5"/>
        <v>0</v>
      </c>
      <c r="O46" s="396">
        <f t="shared" si="6"/>
        <v>0</v>
      </c>
      <c r="P46" s="53"/>
      <c r="Q46" s="424">
        <f>VLOOKUP($B46,'Proposed Rates'!$D$255:$J$261,+Q$11-2,FALSE)</f>
        <v>0.20300000000000001</v>
      </c>
      <c r="R46" s="415">
        <f>$F$10*'Proposed Rates'!$K$258</f>
        <v>90</v>
      </c>
      <c r="S46" s="394">
        <f t="shared" si="55"/>
        <v>18.27</v>
      </c>
      <c r="T46" s="138"/>
      <c r="U46" s="395">
        <f t="shared" si="9"/>
        <v>0</v>
      </c>
      <c r="V46" s="396">
        <f t="shared" si="10"/>
        <v>0</v>
      </c>
      <c r="W46" s="53"/>
      <c r="X46" s="424">
        <f>VLOOKUP($B46,'Proposed Rates'!$D$255:$J$261,+X$11-2,FALSE)</f>
        <v>0.20300000000000001</v>
      </c>
      <c r="Y46" s="415">
        <f>$F$10*'Proposed Rates'!$K$258</f>
        <v>90</v>
      </c>
      <c r="Z46" s="394">
        <f t="shared" si="57"/>
        <v>18.27</v>
      </c>
      <c r="AA46" s="138"/>
      <c r="AB46" s="395">
        <f t="shared" si="13"/>
        <v>0</v>
      </c>
      <c r="AC46" s="396">
        <f t="shared" si="14"/>
        <v>0</v>
      </c>
      <c r="AD46" s="53"/>
      <c r="AE46" s="424">
        <f>VLOOKUP($B46,'Proposed Rates'!$D$255:$J$261,+AE$11-2,FALSE)</f>
        <v>0.20300000000000001</v>
      </c>
      <c r="AF46" s="415">
        <f>$F$10*'Proposed Rates'!$K$258</f>
        <v>90</v>
      </c>
      <c r="AG46" s="394">
        <f t="shared" si="59"/>
        <v>18.27</v>
      </c>
      <c r="AH46" s="138"/>
      <c r="AI46" s="395">
        <f t="shared" si="17"/>
        <v>0</v>
      </c>
      <c r="AJ46" s="396">
        <f t="shared" si="18"/>
        <v>0</v>
      </c>
      <c r="AK46" s="53"/>
      <c r="AL46" s="424">
        <f>VLOOKUP($B46,'Proposed Rates'!$D$255:$J$261,+AL$11-2,FALSE)</f>
        <v>0.20300000000000001</v>
      </c>
      <c r="AM46" s="415">
        <f>$F$10*'Proposed Rates'!$K$258</f>
        <v>90</v>
      </c>
      <c r="AN46" s="394">
        <f t="shared" si="61"/>
        <v>18.27</v>
      </c>
      <c r="AO46" s="138"/>
      <c r="AP46" s="395">
        <f t="shared" si="21"/>
        <v>0</v>
      </c>
      <c r="AQ46" s="396">
        <f t="shared" si="22"/>
        <v>0</v>
      </c>
      <c r="AR46" s="397"/>
    </row>
    <row r="47" spans="1:44" ht="12.75" customHeight="1">
      <c r="A47" s="53"/>
      <c r="B47" s="328" t="s">
        <v>296</v>
      </c>
      <c r="C47" s="389" t="str">
        <f t="shared" si="49"/>
        <v>Residential.Energy - RPP - Tier 1</v>
      </c>
      <c r="D47" s="390" t="s">
        <v>337</v>
      </c>
      <c r="E47" s="328"/>
      <c r="F47" s="424">
        <f>VLOOKUP($B47,'Proposed Rates'!$D$255:$J$261,+F$11-2,FALSE)</f>
        <v>0.12</v>
      </c>
      <c r="G47" s="425">
        <f>IF(AND($S$2=1, $F$10&gt;=600), 600, IF(AND($S$2=1, AND($F$10&lt;600, $F$10&gt;=0)), $F$10, IF(AND($S$2=2, $F$10&gt;=1000), 1000, IF(AND($S$2=2, AND($F$10&lt;1000, $F$10&gt;=0)), $F$10))))</f>
        <v>500</v>
      </c>
      <c r="H47" s="394">
        <f t="shared" si="51"/>
        <v>60</v>
      </c>
      <c r="I47" s="138"/>
      <c r="J47" s="424">
        <f>VLOOKUP($B47,'Proposed Rates'!$D$255:$J$261,+J$11-2,FALSE)</f>
        <v>0.12</v>
      </c>
      <c r="K47" s="425">
        <f>IF(AND($S$2=1, $F$10&gt;=600), 600, IF(AND($S$2=1, AND($F$10&lt;600, $F$10&gt;=0)), $F$10, IF(AND($S$2=2, $F$10&gt;=1000), 1000, IF(AND($S$2=2, AND($F$10&lt;1000, $F$10&gt;=0)), $F$10))))</f>
        <v>500</v>
      </c>
      <c r="L47" s="394">
        <f t="shared" si="53"/>
        <v>60</v>
      </c>
      <c r="M47" s="138"/>
      <c r="N47" s="395">
        <f t="shared" si="5"/>
        <v>0</v>
      </c>
      <c r="O47" s="396">
        <f t="shared" si="6"/>
        <v>0</v>
      </c>
      <c r="P47" s="53"/>
      <c r="Q47" s="424">
        <f>VLOOKUP($B47,'Proposed Rates'!$D$255:$J$261,+Q$11-2,FALSE)</f>
        <v>0.12</v>
      </c>
      <c r="R47" s="425">
        <f>IF(AND($S$2=1, $F$10&gt;=600), 600, IF(AND($S$2=1, AND($F$10&lt;600, $F$10&gt;=0)), $F$10, IF(AND($S$2=2, $F$10&gt;=1000), 1000, IF(AND($S$2=2, AND($F$10&lt;1000, $F$10&gt;=0)), $F$10))))</f>
        <v>500</v>
      </c>
      <c r="S47" s="394">
        <f t="shared" si="55"/>
        <v>60</v>
      </c>
      <c r="T47" s="138"/>
      <c r="U47" s="395">
        <f t="shared" si="9"/>
        <v>0</v>
      </c>
      <c r="V47" s="396">
        <f t="shared" si="10"/>
        <v>0</v>
      </c>
      <c r="W47" s="53"/>
      <c r="X47" s="424">
        <f>VLOOKUP($B47,'Proposed Rates'!$D$255:$J$261,+X$11-2,FALSE)</f>
        <v>0.12</v>
      </c>
      <c r="Y47" s="425">
        <f>IF(AND($S$2=1, $F$10&gt;=600), 600, IF(AND($S$2=1, AND($F$10&lt;600, $F$10&gt;=0)), $F$10, IF(AND($S$2=2, $F$10&gt;=1000), 1000, IF(AND($S$2=2, AND($F$10&lt;1000, $F$10&gt;=0)), $F$10))))</f>
        <v>500</v>
      </c>
      <c r="Z47" s="394">
        <f t="shared" si="57"/>
        <v>60</v>
      </c>
      <c r="AA47" s="138"/>
      <c r="AB47" s="395">
        <f t="shared" si="13"/>
        <v>0</v>
      </c>
      <c r="AC47" s="396">
        <f t="shared" si="14"/>
        <v>0</v>
      </c>
      <c r="AD47" s="53"/>
      <c r="AE47" s="424">
        <f>VLOOKUP($B47,'Proposed Rates'!$D$255:$J$261,+AE$11-2,FALSE)</f>
        <v>0.12</v>
      </c>
      <c r="AF47" s="425">
        <f>IF(AND($S$2=1, $F$10&gt;=600), 600, IF(AND($S$2=1, AND($F$10&lt;600, $F$10&gt;=0)), $F$10, IF(AND($S$2=2, $F$10&gt;=1000), 1000, IF(AND($S$2=2, AND($F$10&lt;1000, $F$10&gt;=0)), $F$10))))</f>
        <v>500</v>
      </c>
      <c r="AG47" s="394">
        <f t="shared" si="59"/>
        <v>60</v>
      </c>
      <c r="AH47" s="138"/>
      <c r="AI47" s="395">
        <f t="shared" si="17"/>
        <v>0</v>
      </c>
      <c r="AJ47" s="396">
        <f t="shared" si="18"/>
        <v>0</v>
      </c>
      <c r="AK47" s="53"/>
      <c r="AL47" s="424">
        <f>VLOOKUP($B47,'Proposed Rates'!$D$255:$J$261,+AL$11-2,FALSE)</f>
        <v>0.12</v>
      </c>
      <c r="AM47" s="425">
        <f>IF(AND($S$2=1, $F$10&gt;=600), 600, IF(AND($S$2=1, AND($F$10&lt;600, $F$10&gt;=0)), $F$10, IF(AND($S$2=2, $F$10&gt;=1000), 1000, IF(AND($S$2=2, AND($F$10&lt;1000, $F$10&gt;=0)), $F$10))))</f>
        <v>500</v>
      </c>
      <c r="AN47" s="394">
        <f t="shared" si="61"/>
        <v>60</v>
      </c>
      <c r="AO47" s="138"/>
      <c r="AP47" s="395">
        <f t="shared" si="21"/>
        <v>0</v>
      </c>
      <c r="AQ47" s="396">
        <f t="shared" si="22"/>
        <v>0</v>
      </c>
      <c r="AR47" s="397"/>
    </row>
    <row r="48" spans="1:44" ht="12.75" customHeight="1">
      <c r="A48" s="53"/>
      <c r="B48" s="328" t="s">
        <v>297</v>
      </c>
      <c r="C48" s="389" t="str">
        <f t="shared" si="49"/>
        <v>Residential.Energy - RPP - Tier 2</v>
      </c>
      <c r="D48" s="390" t="s">
        <v>337</v>
      </c>
      <c r="E48" s="328"/>
      <c r="F48" s="424">
        <f>VLOOKUP($B48,'Proposed Rates'!$D$255:$J$261,+F$11-2,FALSE)</f>
        <v>0.14199999999999999</v>
      </c>
      <c r="G48" s="427">
        <f>IF(AND($S$2=1, $F$10&gt;=600), $F$10-600, IF(AND($S$2=1, AND($F$10&lt;600, $F$10&gt;=0)), 0, IF(AND($S$2=2, $F$10&gt;=1000), $F$10-1000, IF(AND($S$2=2, AND($F$10&lt;1000, $F$10&gt;=0)), 0))))</f>
        <v>0</v>
      </c>
      <c r="H48" s="394">
        <f t="shared" si="51"/>
        <v>0</v>
      </c>
      <c r="I48" s="138"/>
      <c r="J48" s="424">
        <f>VLOOKUP($B48,'Proposed Rates'!$D$255:$J$261,+J$11-2,FALSE)</f>
        <v>0.14199999999999999</v>
      </c>
      <c r="K48" s="427">
        <f>IF(AND($S$2=1, $F$10&gt;=600), $F$10-600, IF(AND($S$2=1, AND($F$10&lt;600, $F$10&gt;=0)), 0, IF(AND($S$2=2, $F$10&gt;=1000), $F$10-1000, IF(AND($S$2=2, AND($F$10&lt;1000, $F$10&gt;=0)), 0))))</f>
        <v>0</v>
      </c>
      <c r="L48" s="394">
        <f t="shared" si="53"/>
        <v>0</v>
      </c>
      <c r="M48" s="138"/>
      <c r="N48" s="395">
        <f t="shared" si="5"/>
        <v>0</v>
      </c>
      <c r="O48" s="396" t="str">
        <f t="shared" si="6"/>
        <v/>
      </c>
      <c r="P48" s="53"/>
      <c r="Q48" s="424">
        <f>VLOOKUP($B48,'Proposed Rates'!$D$255:$J$261,+Q$11-2,FALSE)</f>
        <v>0.14199999999999999</v>
      </c>
      <c r="R48" s="427">
        <f>IF(AND($S$2=1, $F$10&gt;=600), $F$10-600, IF(AND($S$2=1, AND($F$10&lt;600, $F$10&gt;=0)), 0, IF(AND($S$2=2, $F$10&gt;=1000), $F$10-1000, IF(AND($S$2=2, AND($F$10&lt;1000, $F$10&gt;=0)), 0))))</f>
        <v>0</v>
      </c>
      <c r="S48" s="394">
        <f t="shared" si="55"/>
        <v>0</v>
      </c>
      <c r="T48" s="138"/>
      <c r="U48" s="395">
        <f t="shared" si="9"/>
        <v>0</v>
      </c>
      <c r="V48" s="396" t="str">
        <f t="shared" si="10"/>
        <v/>
      </c>
      <c r="W48" s="53"/>
      <c r="X48" s="424">
        <f>VLOOKUP($B48,'Proposed Rates'!$D$255:$J$261,+X$11-2,FALSE)</f>
        <v>0.14199999999999999</v>
      </c>
      <c r="Y48" s="427">
        <f>IF(AND($S$2=1, $F$10&gt;=600), $F$10-600, IF(AND($S$2=1, AND($F$10&lt;600, $F$10&gt;=0)), 0, IF(AND($S$2=2, $F$10&gt;=1000), $F$10-1000, IF(AND($S$2=2, AND($F$10&lt;1000, $F$10&gt;=0)), 0))))</f>
        <v>0</v>
      </c>
      <c r="Z48" s="394">
        <f t="shared" si="57"/>
        <v>0</v>
      </c>
      <c r="AA48" s="138"/>
      <c r="AB48" s="395">
        <f t="shared" si="13"/>
        <v>0</v>
      </c>
      <c r="AC48" s="396" t="str">
        <f t="shared" si="14"/>
        <v/>
      </c>
      <c r="AD48" s="53"/>
      <c r="AE48" s="424">
        <f>VLOOKUP($B48,'Proposed Rates'!$D$255:$J$261,+AE$11-2,FALSE)</f>
        <v>0.14199999999999999</v>
      </c>
      <c r="AF48" s="427">
        <f>IF(AND($S$2=1, $F$10&gt;=600), $F$10-600, IF(AND($S$2=1, AND($F$10&lt;600, $F$10&gt;=0)), 0, IF(AND($S$2=2, $F$10&gt;=1000), $F$10-1000, IF(AND($S$2=2, AND($F$10&lt;1000, $F$10&gt;=0)), 0))))</f>
        <v>0</v>
      </c>
      <c r="AG48" s="394">
        <f t="shared" si="59"/>
        <v>0</v>
      </c>
      <c r="AH48" s="138"/>
      <c r="AI48" s="395">
        <f t="shared" si="17"/>
        <v>0</v>
      </c>
      <c r="AJ48" s="396" t="str">
        <f t="shared" si="18"/>
        <v/>
      </c>
      <c r="AK48" s="53"/>
      <c r="AL48" s="424">
        <f>VLOOKUP($B48,'Proposed Rates'!$D$255:$J$261,+AL$11-2,FALSE)</f>
        <v>0.14199999999999999</v>
      </c>
      <c r="AM48" s="427">
        <f>IF(AND($S$2=1, $F$10&gt;=600), $F$10-600, IF(AND($S$2=1, AND($F$10&lt;600, $F$10&gt;=0)), 0, IF(AND($S$2=2, $F$10&gt;=1000), $F$10-1000, IF(AND($S$2=2, AND($F$10&lt;1000, $F$10&gt;=0)), 0))))</f>
        <v>0</v>
      </c>
      <c r="AN48" s="394">
        <f t="shared" si="61"/>
        <v>0</v>
      </c>
      <c r="AO48" s="138"/>
      <c r="AP48" s="395">
        <f t="shared" si="21"/>
        <v>0</v>
      </c>
      <c r="AQ48" s="396" t="str">
        <f t="shared" si="22"/>
        <v/>
      </c>
      <c r="AR48" s="397"/>
    </row>
    <row r="49" spans="1:44" ht="8.25"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75" customHeight="1">
      <c r="A50" s="53"/>
      <c r="B50" s="438" t="s">
        <v>344</v>
      </c>
      <c r="C50" s="328"/>
      <c r="D50" s="328"/>
      <c r="E50" s="328"/>
      <c r="F50" s="439"/>
      <c r="G50" s="483"/>
      <c r="H50" s="441">
        <f>SUM(H41:H46,H40)</f>
        <v>114.456953</v>
      </c>
      <c r="I50" s="476"/>
      <c r="J50" s="439"/>
      <c r="K50" s="440"/>
      <c r="L50" s="441">
        <f>SUM(L41:L46,L40)</f>
        <v>120.17953399999999</v>
      </c>
      <c r="M50" s="443"/>
      <c r="N50" s="442">
        <f t="shared" ref="N50:N54" si="62">L50-H50</f>
        <v>5.722580999999991</v>
      </c>
      <c r="O50" s="444">
        <f t="shared" ref="O50:O54" si="63">IF((H50)=0,"",(N50/H50))</f>
        <v>4.9997670303174951E-2</v>
      </c>
      <c r="P50" s="53"/>
      <c r="Q50" s="440"/>
      <c r="R50" s="440"/>
      <c r="S50" s="442">
        <f>SUM(S41:S46,S40)</f>
        <v>123.419534</v>
      </c>
      <c r="T50" s="443"/>
      <c r="U50" s="442">
        <f t="shared" ref="U50:U54" si="64">S50-L50</f>
        <v>3.2400000000000091</v>
      </c>
      <c r="V50" s="444">
        <f t="shared" ref="V50:V54" si="65">IF((L50)=0,"",(U50/L50))</f>
        <v>2.6959665195573228E-2</v>
      </c>
      <c r="W50" s="53"/>
      <c r="X50" s="440"/>
      <c r="Y50" s="440"/>
      <c r="Z50" s="442">
        <f>SUM(Z41:Z46,Z40)</f>
        <v>124.42469999999997</v>
      </c>
      <c r="AA50" s="443"/>
      <c r="AB50" s="442">
        <f t="shared" ref="AB50:AB54" si="66">Z50-S50</f>
        <v>1.0051659999999742</v>
      </c>
      <c r="AC50" s="444">
        <f t="shared" ref="AC50:AC54" si="67">IF((S50)=0,"",(AB50/S50))</f>
        <v>8.1443023435818045E-3</v>
      </c>
      <c r="AD50" s="53"/>
      <c r="AE50" s="440"/>
      <c r="AF50" s="440"/>
      <c r="AG50" s="442">
        <f>SUM(AG41:AG46,AG40)</f>
        <v>125.92469999999997</v>
      </c>
      <c r="AH50" s="443"/>
      <c r="AI50" s="442">
        <f t="shared" ref="AI50:AI54" si="68">AG50-Z50</f>
        <v>1.5</v>
      </c>
      <c r="AJ50" s="444">
        <f t="shared" ref="AJ50:AJ54" si="69">IF((Z50)=0,"",(AI50/Z50))</f>
        <v>1.2055484160299364E-2</v>
      </c>
      <c r="AK50" s="53"/>
      <c r="AL50" s="440"/>
      <c r="AM50" s="440"/>
      <c r="AN50" s="442">
        <f>SUM(AN41:AN46,AN40)</f>
        <v>127.29469999999998</v>
      </c>
      <c r="AO50" s="443"/>
      <c r="AP50" s="442">
        <f t="shared" ref="AP50:AP54" si="70">AN50-AG50</f>
        <v>1.3700000000000045</v>
      </c>
      <c r="AQ50" s="444">
        <f t="shared" ref="AQ50:AQ54" si="71">IF((AG50)=0,"",(AP50/AG50))</f>
        <v>1.0879517680010393E-2</v>
      </c>
      <c r="AR50" s="445"/>
    </row>
    <row r="51" spans="1:44" ht="12.75" customHeight="1">
      <c r="A51" s="53"/>
      <c r="B51" s="446" t="s">
        <v>345</v>
      </c>
      <c r="C51" s="328"/>
      <c r="D51" s="328"/>
      <c r="E51" s="328"/>
      <c r="F51" s="439">
        <v>0.13</v>
      </c>
      <c r="G51" s="138"/>
      <c r="H51" s="484">
        <f>H50*F51</f>
        <v>14.879403890000001</v>
      </c>
      <c r="I51" s="411"/>
      <c r="J51" s="439">
        <v>0.13</v>
      </c>
      <c r="K51" s="411"/>
      <c r="L51" s="394">
        <f>L50*J51</f>
        <v>15.623339419999999</v>
      </c>
      <c r="M51" s="138"/>
      <c r="N51" s="395">
        <f t="shared" si="62"/>
        <v>0.74393552999999812</v>
      </c>
      <c r="O51" s="396">
        <f t="shared" si="63"/>
        <v>4.9997670303174903E-2</v>
      </c>
      <c r="P51" s="53"/>
      <c r="Q51" s="447">
        <v>0.13</v>
      </c>
      <c r="R51" s="411"/>
      <c r="S51" s="394">
        <f>S50*Q51</f>
        <v>16.04453942</v>
      </c>
      <c r="T51" s="138"/>
      <c r="U51" s="395">
        <f t="shared" si="64"/>
        <v>0.42120000000000068</v>
      </c>
      <c r="V51" s="396">
        <f t="shared" si="65"/>
        <v>2.6959665195573197E-2</v>
      </c>
      <c r="W51" s="53"/>
      <c r="X51" s="447">
        <v>0.13</v>
      </c>
      <c r="Y51" s="411"/>
      <c r="Z51" s="394">
        <f>Z50*X51</f>
        <v>16.175210999999997</v>
      </c>
      <c r="AA51" s="138"/>
      <c r="AB51" s="395">
        <f t="shared" si="66"/>
        <v>0.13067157999999779</v>
      </c>
      <c r="AC51" s="396">
        <f t="shared" si="67"/>
        <v>8.1443023435818756E-3</v>
      </c>
      <c r="AD51" s="53"/>
      <c r="AE51" s="447">
        <v>0.13</v>
      </c>
      <c r="AF51" s="411"/>
      <c r="AG51" s="394">
        <f>AG50*AE51</f>
        <v>16.370210999999998</v>
      </c>
      <c r="AH51" s="138"/>
      <c r="AI51" s="395">
        <f t="shared" si="68"/>
        <v>0.19500000000000028</v>
      </c>
      <c r="AJ51" s="396">
        <f t="shared" si="69"/>
        <v>1.2055484160299381E-2</v>
      </c>
      <c r="AK51" s="53"/>
      <c r="AL51" s="447">
        <v>0.13</v>
      </c>
      <c r="AM51" s="411"/>
      <c r="AN51" s="394">
        <f>AN50*AL51</f>
        <v>16.548310999999998</v>
      </c>
      <c r="AO51" s="138"/>
      <c r="AP51" s="395">
        <f t="shared" si="70"/>
        <v>0.17810000000000059</v>
      </c>
      <c r="AQ51" s="396">
        <f t="shared" si="71"/>
        <v>1.0879517680010393E-2</v>
      </c>
      <c r="AR51" s="397"/>
    </row>
    <row r="52" spans="1:44" ht="12.75" customHeight="1">
      <c r="A52" s="53"/>
      <c r="B52" s="485" t="s">
        <v>370</v>
      </c>
      <c r="C52" s="328"/>
      <c r="D52" s="328"/>
      <c r="E52" s="328"/>
      <c r="F52" s="449"/>
      <c r="G52" s="138"/>
      <c r="H52" s="484">
        <f>H50+H51</f>
        <v>129.33635688999999</v>
      </c>
      <c r="I52" s="411"/>
      <c r="J52" s="449"/>
      <c r="K52" s="411"/>
      <c r="L52" s="394">
        <f>L50+L51</f>
        <v>135.80287342</v>
      </c>
      <c r="M52" s="138"/>
      <c r="N52" s="395">
        <f t="shared" si="62"/>
        <v>6.4665165300000069</v>
      </c>
      <c r="O52" s="396">
        <f t="shared" si="63"/>
        <v>4.9997670303175083E-2</v>
      </c>
      <c r="P52" s="53"/>
      <c r="Q52" s="411"/>
      <c r="R52" s="411"/>
      <c r="S52" s="394">
        <f>S50+S51</f>
        <v>139.46407342000001</v>
      </c>
      <c r="T52" s="138"/>
      <c r="U52" s="395">
        <f t="shared" si="64"/>
        <v>3.661200000000008</v>
      </c>
      <c r="V52" s="396">
        <f t="shared" si="65"/>
        <v>2.6959665195573208E-2</v>
      </c>
      <c r="W52" s="53"/>
      <c r="X52" s="411"/>
      <c r="Y52" s="411"/>
      <c r="Z52" s="394">
        <f>Z50+Z51</f>
        <v>140.59991099999996</v>
      </c>
      <c r="AA52" s="138"/>
      <c r="AB52" s="395">
        <f t="shared" si="66"/>
        <v>1.1358375799999578</v>
      </c>
      <c r="AC52" s="396">
        <f t="shared" si="67"/>
        <v>8.1443023435817108E-3</v>
      </c>
      <c r="AD52" s="53"/>
      <c r="AE52" s="411"/>
      <c r="AF52" s="411"/>
      <c r="AG52" s="394">
        <f>AG50+AG51</f>
        <v>142.29491099999996</v>
      </c>
      <c r="AH52" s="138"/>
      <c r="AI52" s="395">
        <f t="shared" si="68"/>
        <v>1.6949999999999932</v>
      </c>
      <c r="AJ52" s="396">
        <f t="shared" si="69"/>
        <v>1.2055484160299317E-2</v>
      </c>
      <c r="AK52" s="53"/>
      <c r="AL52" s="411"/>
      <c r="AM52" s="411"/>
      <c r="AN52" s="394">
        <f>AN50+AN51</f>
        <v>143.84301099999999</v>
      </c>
      <c r="AO52" s="138"/>
      <c r="AP52" s="395">
        <f t="shared" si="70"/>
        <v>1.5481000000000336</v>
      </c>
      <c r="AQ52" s="396">
        <f t="shared" si="71"/>
        <v>1.0879517680010595E-2</v>
      </c>
      <c r="AR52" s="397"/>
    </row>
    <row r="53" spans="1:44" ht="15.75" customHeight="1">
      <c r="A53" s="53"/>
      <c r="B53" s="626" t="s">
        <v>304</v>
      </c>
      <c r="C53" s="616"/>
      <c r="D53" s="616"/>
      <c r="E53" s="328"/>
      <c r="F53" s="450">
        <f>'Proposed Rates'!E293</f>
        <v>0.23499999999999999</v>
      </c>
      <c r="G53" s="138"/>
      <c r="H53" s="486">
        <f>F53*H50</f>
        <v>26.897383954999999</v>
      </c>
      <c r="I53" s="411"/>
      <c r="J53" s="450">
        <f>'Proposed Rates'!F293</f>
        <v>0.23499999999999999</v>
      </c>
      <c r="K53" s="411"/>
      <c r="L53" s="451">
        <f>J53*L50</f>
        <v>28.242190489999995</v>
      </c>
      <c r="M53" s="138"/>
      <c r="N53" s="451">
        <f t="shared" si="62"/>
        <v>1.3448065349999965</v>
      </c>
      <c r="O53" s="453">
        <f t="shared" si="63"/>
        <v>4.9997670303174903E-2</v>
      </c>
      <c r="P53" s="53"/>
      <c r="Q53" s="452">
        <f>'Proposed Rates'!G293</f>
        <v>0.23499999999999999</v>
      </c>
      <c r="R53" s="411"/>
      <c r="S53" s="451">
        <f>Q53*S50</f>
        <v>29.003590489999997</v>
      </c>
      <c r="T53" s="138"/>
      <c r="U53" s="451">
        <f t="shared" si="64"/>
        <v>0.76140000000000185</v>
      </c>
      <c r="V53" s="453">
        <f t="shared" si="65"/>
        <v>2.6959665195573222E-2</v>
      </c>
      <c r="W53" s="53"/>
      <c r="X53" s="452">
        <f>'Proposed Rates'!H293</f>
        <v>0.23499999999999999</v>
      </c>
      <c r="Y53" s="411"/>
      <c r="Z53" s="451">
        <f>X53*Z50</f>
        <v>29.239804499999991</v>
      </c>
      <c r="AA53" s="138"/>
      <c r="AB53" s="451">
        <f t="shared" si="66"/>
        <v>0.23621400999999409</v>
      </c>
      <c r="AC53" s="453">
        <f t="shared" si="67"/>
        <v>8.1443023435818114E-3</v>
      </c>
      <c r="AD53" s="53"/>
      <c r="AE53" s="452">
        <f>'Proposed Rates'!I293</f>
        <v>0.23499999999999999</v>
      </c>
      <c r="AF53" s="411"/>
      <c r="AG53" s="451">
        <f>AE53*AG50</f>
        <v>29.59230449999999</v>
      </c>
      <c r="AH53" s="138"/>
      <c r="AI53" s="451">
        <f t="shared" si="68"/>
        <v>0.35249999999999915</v>
      </c>
      <c r="AJ53" s="453">
        <f t="shared" si="69"/>
        <v>1.2055484160299336E-2</v>
      </c>
      <c r="AK53" s="53"/>
      <c r="AL53" s="452">
        <f>'Proposed Rates'!J293</f>
        <v>0.23499999999999999</v>
      </c>
      <c r="AM53" s="411"/>
      <c r="AN53" s="451">
        <f>AL53*AN50</f>
        <v>29.914254499999991</v>
      </c>
      <c r="AO53" s="138"/>
      <c r="AP53" s="451">
        <f t="shared" si="70"/>
        <v>0.32195000000000107</v>
      </c>
      <c r="AQ53" s="453">
        <f t="shared" si="71"/>
        <v>1.0879517680010395E-2</v>
      </c>
      <c r="AR53" s="454"/>
    </row>
    <row r="54" spans="1:44" ht="12.75" customHeight="1">
      <c r="A54" s="53"/>
      <c r="B54" s="627" t="s">
        <v>347</v>
      </c>
      <c r="C54" s="608"/>
      <c r="D54" s="600"/>
      <c r="E54" s="455"/>
      <c r="F54" s="456"/>
      <c r="G54" s="487"/>
      <c r="H54" s="488">
        <f>H52-H53</f>
        <v>102.438972935</v>
      </c>
      <c r="I54" s="457"/>
      <c r="J54" s="456"/>
      <c r="K54" s="457"/>
      <c r="L54" s="458">
        <f>L52-L53</f>
        <v>107.56068293</v>
      </c>
      <c r="M54" s="459"/>
      <c r="N54" s="460">
        <f t="shared" si="62"/>
        <v>5.1217099950000033</v>
      </c>
      <c r="O54" s="461">
        <f t="shared" si="63"/>
        <v>4.9997670303175062E-2</v>
      </c>
      <c r="P54" s="53"/>
      <c r="Q54" s="457"/>
      <c r="R54" s="457"/>
      <c r="S54" s="458">
        <f>S52-S53</f>
        <v>110.46048293000001</v>
      </c>
      <c r="T54" s="459"/>
      <c r="U54" s="460">
        <f t="shared" si="64"/>
        <v>2.8998000000000133</v>
      </c>
      <c r="V54" s="461">
        <f t="shared" si="65"/>
        <v>2.6959665195573274E-2</v>
      </c>
      <c r="W54" s="53"/>
      <c r="X54" s="457"/>
      <c r="Y54" s="457"/>
      <c r="Z54" s="458">
        <f>Z52-Z53</f>
        <v>111.36010649999997</v>
      </c>
      <c r="AA54" s="459"/>
      <c r="AB54" s="460">
        <f t="shared" si="66"/>
        <v>0.89962356999996018</v>
      </c>
      <c r="AC54" s="461">
        <f t="shared" si="67"/>
        <v>8.1443023435816518E-3</v>
      </c>
      <c r="AD54" s="53"/>
      <c r="AE54" s="457"/>
      <c r="AF54" s="457"/>
      <c r="AG54" s="458">
        <f>AG52-AG53</f>
        <v>112.70260649999997</v>
      </c>
      <c r="AH54" s="459"/>
      <c r="AI54" s="460">
        <f t="shared" si="68"/>
        <v>1.3425000000000011</v>
      </c>
      <c r="AJ54" s="461">
        <f t="shared" si="69"/>
        <v>1.2055484160299374E-2</v>
      </c>
      <c r="AK54" s="53"/>
      <c r="AL54" s="457"/>
      <c r="AM54" s="457"/>
      <c r="AN54" s="458">
        <f>AN52-AN53</f>
        <v>113.92875649999999</v>
      </c>
      <c r="AO54" s="459"/>
      <c r="AP54" s="460">
        <f t="shared" si="70"/>
        <v>1.2261500000000183</v>
      </c>
      <c r="AQ54" s="461">
        <f t="shared" si="71"/>
        <v>1.087951768001052E-2</v>
      </c>
      <c r="AR54" s="462"/>
    </row>
    <row r="55" spans="1:44" ht="8.25"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75" customHeight="1">
      <c r="A56" s="53"/>
      <c r="B56" s="438" t="s">
        <v>348</v>
      </c>
      <c r="C56" s="328"/>
      <c r="D56" s="328"/>
      <c r="E56" s="328"/>
      <c r="F56" s="439"/>
      <c r="G56" s="483"/>
      <c r="H56" s="441">
        <f>SUM(H47:H48,H40,H41:H43)</f>
        <v>110.69695299999999</v>
      </c>
      <c r="I56" s="476"/>
      <c r="J56" s="439"/>
      <c r="K56" s="440"/>
      <c r="L56" s="441">
        <f>SUM(L47:L48,L40,L41:L43)</f>
        <v>116.41953400000001</v>
      </c>
      <c r="M56" s="443"/>
      <c r="N56" s="442">
        <f t="shared" ref="N56:N60" si="72">L56-H56</f>
        <v>5.7225810000000195</v>
      </c>
      <c r="O56" s="444">
        <f t="shared" ref="O56:O60" si="73">IF((H56)=0,"",(N56/H56))</f>
        <v>5.1695921567055415E-2</v>
      </c>
      <c r="P56" s="53"/>
      <c r="Q56" s="440"/>
      <c r="R56" s="440"/>
      <c r="S56" s="442">
        <f>SUM(S47:S48,S40,S41:S43)</f>
        <v>119.65953399999999</v>
      </c>
      <c r="T56" s="443"/>
      <c r="U56" s="442">
        <f t="shared" ref="U56:U60" si="74">S56-L56</f>
        <v>3.2399999999999807</v>
      </c>
      <c r="V56" s="444">
        <f t="shared" ref="V56:V60" si="75">IF((L56)=0,"",(U56/L56))</f>
        <v>2.7830381111128483E-2</v>
      </c>
      <c r="W56" s="53"/>
      <c r="X56" s="440"/>
      <c r="Y56" s="440"/>
      <c r="Z56" s="442">
        <f>SUM(Z47:Z48,Z40,Z41:Z43)</f>
        <v>120.6647</v>
      </c>
      <c r="AA56" s="443"/>
      <c r="AB56" s="442">
        <f t="shared" ref="AB56:AB60" si="76">Z56-S56</f>
        <v>1.0051660000000027</v>
      </c>
      <c r="AC56" s="444">
        <f t="shared" ref="AC56:AC60" si="77">IF((S56)=0,"",(AB56/S56))</f>
        <v>8.4002165677830795E-3</v>
      </c>
      <c r="AD56" s="53"/>
      <c r="AE56" s="440"/>
      <c r="AF56" s="440"/>
      <c r="AG56" s="442">
        <f>SUM(AG47:AG48,AG40,AG41:AG43)</f>
        <v>122.1647</v>
      </c>
      <c r="AH56" s="443"/>
      <c r="AI56" s="442">
        <f t="shared" ref="AI56:AI60" si="78">AG56-Z56</f>
        <v>1.5</v>
      </c>
      <c r="AJ56" s="444">
        <f t="shared" ref="AJ56:AJ60" si="79">IF((Z56)=0,"",(AI56/Z56))</f>
        <v>1.2431141833527122E-2</v>
      </c>
      <c r="AK56" s="53"/>
      <c r="AL56" s="440"/>
      <c r="AM56" s="440"/>
      <c r="AN56" s="442">
        <f>SUM(AN47:AN48,AN40,AN41:AN43)</f>
        <v>123.5347</v>
      </c>
      <c r="AO56" s="443"/>
      <c r="AP56" s="442">
        <f t="shared" ref="AP56:AP60" si="80">AN56-AG56</f>
        <v>1.3700000000000045</v>
      </c>
      <c r="AQ56" s="444">
        <f t="shared" ref="AQ56:AQ60" si="81">IF((AG56)=0,"",(AP56/AG56))</f>
        <v>1.1214368798842911E-2</v>
      </c>
      <c r="AR56" s="445"/>
    </row>
    <row r="57" spans="1:44" ht="12.75" customHeight="1">
      <c r="A57" s="53"/>
      <c r="B57" s="446" t="s">
        <v>345</v>
      </c>
      <c r="C57" s="328"/>
      <c r="D57" s="328"/>
      <c r="E57" s="328"/>
      <c r="F57" s="439">
        <v>0.13</v>
      </c>
      <c r="G57" s="483"/>
      <c r="H57" s="484">
        <f>H56*F57</f>
        <v>14.39060389</v>
      </c>
      <c r="I57" s="411"/>
      <c r="J57" s="439">
        <v>0.13</v>
      </c>
      <c r="K57" s="447"/>
      <c r="L57" s="394">
        <f>L56*J57</f>
        <v>15.134539420000003</v>
      </c>
      <c r="M57" s="138"/>
      <c r="N57" s="395">
        <f t="shared" si="72"/>
        <v>0.74393553000000345</v>
      </c>
      <c r="O57" s="396">
        <f t="shared" si="73"/>
        <v>5.1695921567055478E-2</v>
      </c>
      <c r="P57" s="53"/>
      <c r="Q57" s="439">
        <v>0.13</v>
      </c>
      <c r="R57" s="447"/>
      <c r="S57" s="394">
        <f>S56*Q57</f>
        <v>15.55573942</v>
      </c>
      <c r="T57" s="138"/>
      <c r="U57" s="395">
        <f t="shared" si="74"/>
        <v>0.42119999999999713</v>
      </c>
      <c r="V57" s="396">
        <f t="shared" si="75"/>
        <v>2.7830381111128458E-2</v>
      </c>
      <c r="W57" s="53"/>
      <c r="X57" s="439">
        <v>0.13</v>
      </c>
      <c r="Y57" s="447"/>
      <c r="Z57" s="394">
        <f>Z56*X57</f>
        <v>15.686411</v>
      </c>
      <c r="AA57" s="138"/>
      <c r="AB57" s="395">
        <f t="shared" si="76"/>
        <v>0.13067157999999957</v>
      </c>
      <c r="AC57" s="396">
        <f t="shared" si="77"/>
        <v>8.4002165677830292E-3</v>
      </c>
      <c r="AD57" s="53"/>
      <c r="AE57" s="439">
        <v>0.13</v>
      </c>
      <c r="AF57" s="447"/>
      <c r="AG57" s="394">
        <f>AG56*AE57</f>
        <v>15.881411</v>
      </c>
      <c r="AH57" s="138"/>
      <c r="AI57" s="395">
        <f t="shared" si="78"/>
        <v>0.19500000000000028</v>
      </c>
      <c r="AJ57" s="396">
        <f t="shared" si="79"/>
        <v>1.2431141833527139E-2</v>
      </c>
      <c r="AK57" s="53"/>
      <c r="AL57" s="439">
        <v>0.13</v>
      </c>
      <c r="AM57" s="447"/>
      <c r="AN57" s="394">
        <f>AN56*AL57</f>
        <v>16.059511000000001</v>
      </c>
      <c r="AO57" s="138"/>
      <c r="AP57" s="395">
        <f t="shared" si="80"/>
        <v>0.17810000000000059</v>
      </c>
      <c r="AQ57" s="396">
        <f t="shared" si="81"/>
        <v>1.1214368798842911E-2</v>
      </c>
      <c r="AR57" s="397"/>
    </row>
    <row r="58" spans="1:44" ht="12.75" customHeight="1">
      <c r="A58" s="53"/>
      <c r="B58" s="485" t="s">
        <v>371</v>
      </c>
      <c r="C58" s="328"/>
      <c r="D58" s="328"/>
      <c r="E58" s="328"/>
      <c r="F58" s="449"/>
      <c r="G58" s="138"/>
      <c r="H58" s="484">
        <f>H56+H57</f>
        <v>125.08755688999999</v>
      </c>
      <c r="I58" s="411"/>
      <c r="J58" s="449"/>
      <c r="K58" s="411"/>
      <c r="L58" s="394">
        <f>L56+L57</f>
        <v>131.55407342000001</v>
      </c>
      <c r="M58" s="138"/>
      <c r="N58" s="395">
        <f t="shared" si="72"/>
        <v>6.4665165300000211</v>
      </c>
      <c r="O58" s="396">
        <f t="shared" si="73"/>
        <v>5.1695921567055408E-2</v>
      </c>
      <c r="P58" s="53"/>
      <c r="Q58" s="411"/>
      <c r="R58" s="411"/>
      <c r="S58" s="394">
        <f>S56+S57</f>
        <v>135.21527341999999</v>
      </c>
      <c r="T58" s="138"/>
      <c r="U58" s="395">
        <f t="shared" si="74"/>
        <v>3.6611999999999796</v>
      </c>
      <c r="V58" s="396">
        <f t="shared" si="75"/>
        <v>2.7830381111128497E-2</v>
      </c>
      <c r="W58" s="53"/>
      <c r="X58" s="411"/>
      <c r="Y58" s="411"/>
      <c r="Z58" s="394">
        <f>Z56+Z57</f>
        <v>136.351111</v>
      </c>
      <c r="AA58" s="138"/>
      <c r="AB58" s="395">
        <f t="shared" si="76"/>
        <v>1.1358375800000147</v>
      </c>
      <c r="AC58" s="396">
        <f t="shared" si="77"/>
        <v>8.4002165677831662E-3</v>
      </c>
      <c r="AD58" s="53"/>
      <c r="AE58" s="411"/>
      <c r="AF58" s="411"/>
      <c r="AG58" s="394">
        <f>AG56+AG57</f>
        <v>138.046111</v>
      </c>
      <c r="AH58" s="138"/>
      <c r="AI58" s="395">
        <f t="shared" si="78"/>
        <v>1.6949999999999932</v>
      </c>
      <c r="AJ58" s="396">
        <f t="shared" si="79"/>
        <v>1.243114183352707E-2</v>
      </c>
      <c r="AK58" s="53"/>
      <c r="AL58" s="411"/>
      <c r="AM58" s="411"/>
      <c r="AN58" s="394">
        <f>AN56+AN57</f>
        <v>139.594211</v>
      </c>
      <c r="AO58" s="138"/>
      <c r="AP58" s="395">
        <f t="shared" si="80"/>
        <v>1.5481000000000051</v>
      </c>
      <c r="AQ58" s="396">
        <f t="shared" si="81"/>
        <v>1.1214368798842911E-2</v>
      </c>
      <c r="AR58" s="397"/>
    </row>
    <row r="59" spans="1:44" ht="15.75" customHeight="1">
      <c r="A59" s="53"/>
      <c r="B59" s="626" t="s">
        <v>304</v>
      </c>
      <c r="C59" s="616"/>
      <c r="D59" s="616"/>
      <c r="E59" s="328"/>
      <c r="F59" s="450">
        <f>F53</f>
        <v>0.23499999999999999</v>
      </c>
      <c r="G59" s="138"/>
      <c r="H59" s="486">
        <f>F59*H56</f>
        <v>26.013783954999997</v>
      </c>
      <c r="I59" s="411"/>
      <c r="J59" s="450">
        <f>J53</f>
        <v>0.23499999999999999</v>
      </c>
      <c r="K59" s="411"/>
      <c r="L59" s="451">
        <f>J59*L56</f>
        <v>27.358590490000001</v>
      </c>
      <c r="M59" s="138"/>
      <c r="N59" s="451">
        <f t="shared" si="72"/>
        <v>1.3448065350000036</v>
      </c>
      <c r="O59" s="453">
        <f t="shared" si="73"/>
        <v>5.1695921567055381E-2</v>
      </c>
      <c r="P59" s="53"/>
      <c r="Q59" s="452">
        <f>Q53</f>
        <v>0.23499999999999999</v>
      </c>
      <c r="R59" s="411"/>
      <c r="S59" s="451">
        <f>Q59*S56</f>
        <v>28.119990489999996</v>
      </c>
      <c r="T59" s="138"/>
      <c r="U59" s="451">
        <f t="shared" si="74"/>
        <v>0.76139999999999475</v>
      </c>
      <c r="V59" s="453">
        <f t="shared" si="75"/>
        <v>2.7830381111128458E-2</v>
      </c>
      <c r="W59" s="53"/>
      <c r="X59" s="452">
        <f>X53</f>
        <v>0.23499999999999999</v>
      </c>
      <c r="Y59" s="411"/>
      <c r="Z59" s="451">
        <f>X59*Z56</f>
        <v>28.356204499999997</v>
      </c>
      <c r="AA59" s="138"/>
      <c r="AB59" s="451">
        <f t="shared" si="76"/>
        <v>0.2362140100000012</v>
      </c>
      <c r="AC59" s="453">
        <f t="shared" si="77"/>
        <v>8.4002165677831003E-3</v>
      </c>
      <c r="AD59" s="53"/>
      <c r="AE59" s="452">
        <f>AE53</f>
        <v>0.23499999999999999</v>
      </c>
      <c r="AF59" s="411"/>
      <c r="AG59" s="451">
        <f>AE59*AG56</f>
        <v>28.708704499999996</v>
      </c>
      <c r="AH59" s="138"/>
      <c r="AI59" s="451">
        <f t="shared" si="78"/>
        <v>0.35249999999999915</v>
      </c>
      <c r="AJ59" s="453">
        <f t="shared" si="79"/>
        <v>1.2431141833527093E-2</v>
      </c>
      <c r="AK59" s="53"/>
      <c r="AL59" s="452">
        <f>AL53</f>
        <v>0.23499999999999999</v>
      </c>
      <c r="AM59" s="411"/>
      <c r="AN59" s="451">
        <f>AL59*AN56</f>
        <v>29.030654499999997</v>
      </c>
      <c r="AO59" s="138"/>
      <c r="AP59" s="451">
        <f t="shared" si="80"/>
        <v>0.32195000000000107</v>
      </c>
      <c r="AQ59" s="453">
        <f t="shared" si="81"/>
        <v>1.1214368798842913E-2</v>
      </c>
      <c r="AR59" s="454"/>
    </row>
    <row r="60" spans="1:44" ht="12.75" customHeight="1">
      <c r="A60" s="53"/>
      <c r="B60" s="627" t="s">
        <v>350</v>
      </c>
      <c r="C60" s="608"/>
      <c r="D60" s="600"/>
      <c r="E60" s="455"/>
      <c r="F60" s="463"/>
      <c r="G60" s="489"/>
      <c r="H60" s="490">
        <f>H58-H59</f>
        <v>99.073772934999994</v>
      </c>
      <c r="I60" s="464"/>
      <c r="J60" s="463"/>
      <c r="K60" s="464"/>
      <c r="L60" s="465">
        <f>L58-L59</f>
        <v>104.19548293000001</v>
      </c>
      <c r="M60" s="466"/>
      <c r="N60" s="467">
        <f t="shared" si="72"/>
        <v>5.1217099950000176</v>
      </c>
      <c r="O60" s="468">
        <f t="shared" si="73"/>
        <v>5.1695921567055415E-2</v>
      </c>
      <c r="P60" s="53"/>
      <c r="Q60" s="464"/>
      <c r="R60" s="464"/>
      <c r="S60" s="465">
        <f>S58-S59</f>
        <v>107.09528293</v>
      </c>
      <c r="T60" s="466"/>
      <c r="U60" s="467">
        <f t="shared" si="74"/>
        <v>2.8997999999999848</v>
      </c>
      <c r="V60" s="468">
        <f t="shared" si="75"/>
        <v>2.7830381111128503E-2</v>
      </c>
      <c r="W60" s="53"/>
      <c r="X60" s="464"/>
      <c r="Y60" s="464"/>
      <c r="Z60" s="465">
        <f>Z58-Z59</f>
        <v>107.99490650000001</v>
      </c>
      <c r="AA60" s="466"/>
      <c r="AB60" s="467">
        <f t="shared" si="76"/>
        <v>0.89962357000001703</v>
      </c>
      <c r="AC60" s="468">
        <f t="shared" si="77"/>
        <v>8.4002165677832166E-3</v>
      </c>
      <c r="AD60" s="53"/>
      <c r="AE60" s="464"/>
      <c r="AF60" s="464"/>
      <c r="AG60" s="465">
        <f>AG58-AG59</f>
        <v>109.3374065</v>
      </c>
      <c r="AH60" s="466"/>
      <c r="AI60" s="467">
        <f t="shared" si="78"/>
        <v>1.3424999999999869</v>
      </c>
      <c r="AJ60" s="468">
        <f t="shared" si="79"/>
        <v>1.2431141833526999E-2</v>
      </c>
      <c r="AK60" s="53"/>
      <c r="AL60" s="464"/>
      <c r="AM60" s="464"/>
      <c r="AN60" s="465">
        <f>AN58-AN59</f>
        <v>110.5635565</v>
      </c>
      <c r="AO60" s="466"/>
      <c r="AP60" s="467">
        <f t="shared" si="80"/>
        <v>1.2261500000000041</v>
      </c>
      <c r="AQ60" s="468">
        <f t="shared" si="81"/>
        <v>1.1214368798842911E-2</v>
      </c>
      <c r="AR60" s="462"/>
    </row>
    <row r="61" spans="1:44" ht="8.25"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75"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5.75" customHeight="1">
      <c r="A65" s="473" t="s">
        <v>372</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474"/>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B00-000000000000}">
      <formula1>"TOU,non-TOU"</formula1>
    </dataValidation>
    <dataValidation type="list" allowBlank="1" showErrorMessage="1" sqref="E15:E28 E30:E36 E38:E39 E41:E49 E55 E61" xr:uid="{00000000-0002-0000-0B00-000001000000}">
      <formula1>#REF!</formula1>
    </dataValidation>
    <dataValidation type="list" allowBlank="1" showInputMessage="1" showErrorMessage="1" prompt="Select Charge Unit - monthly, per kWh, per kW" sqref="D15:D28 D30:D36 D38:D39 D41:D49 D55 D61" xr:uid="{00000000-0002-0000-0B00-000002000000}">
      <formula1>"Monthly,per kWh,per kW"</formula1>
    </dataValidation>
  </dataValidations>
  <pageMargins left="0.74803149606299213" right="0.74803149606299213" top="0.98425196850393704" bottom="0.98425196850393704"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B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85546875" customWidth="1"/>
    <col min="7" max="7" width="7.5703125" customWidth="1"/>
    <col min="8" max="8" width="9.28515625" customWidth="1"/>
    <col min="9" max="9" width="1.42578125" customWidth="1"/>
    <col min="10" max="10" width="10.42578125" customWidth="1"/>
    <col min="11" max="11" width="7.5703125" customWidth="1"/>
    <col min="12" max="12" width="9.28515625" customWidth="1"/>
    <col min="13" max="13" width="1" customWidth="1"/>
    <col min="14" max="14" width="9.140625" customWidth="1"/>
    <col min="15" max="15" width="9.42578125" customWidth="1"/>
    <col min="16" max="16" width="1.28515625" customWidth="1"/>
    <col min="17" max="17" width="10.42578125" customWidth="1"/>
    <col min="18" max="18" width="7.5703125" customWidth="1"/>
    <col min="19" max="19" width="9.28515625" customWidth="1"/>
    <col min="20" max="20" width="1.28515625" customWidth="1"/>
    <col min="21" max="21" width="9.140625" customWidth="1"/>
    <col min="22" max="22" width="9.42578125" customWidth="1"/>
    <col min="23" max="23" width="0.7109375" customWidth="1"/>
    <col min="24" max="24" width="10.42578125" customWidth="1"/>
    <col min="25" max="25" width="7.5703125" customWidth="1"/>
    <col min="26" max="26" width="9.28515625" customWidth="1"/>
    <col min="27" max="27" width="1.42578125" customWidth="1"/>
    <col min="28" max="28" width="9.140625" customWidth="1"/>
    <col min="29" max="29" width="9.42578125" customWidth="1"/>
    <col min="30" max="30" width="0.85546875" customWidth="1"/>
    <col min="31" max="31" width="10.42578125" customWidth="1"/>
    <col min="32" max="32" width="7.5703125" customWidth="1"/>
    <col min="33" max="33" width="9.28515625" customWidth="1"/>
    <col min="34" max="34" width="2.85546875" customWidth="1"/>
    <col min="35" max="35" width="9.140625" customWidth="1"/>
    <col min="36" max="36" width="9.42578125" customWidth="1"/>
    <col min="37" max="37" width="0.42578125" customWidth="1"/>
    <col min="38" max="38" width="10.42578125" customWidth="1"/>
    <col min="39" max="39" width="7.5703125" customWidth="1"/>
    <col min="40" max="40" width="9.28515625" customWidth="1"/>
    <col min="41" max="41" width="2.85546875" customWidth="1"/>
    <col min="42" max="42" width="9.140625" customWidth="1"/>
    <col min="43" max="43" width="9.42578125" customWidth="1"/>
    <col min="44" max="44" width="1.140625" customWidth="1"/>
    <col min="45" max="46" width="10.85546875" customWidth="1"/>
    <col min="47" max="54" width="12.42578125" customWidth="1"/>
  </cols>
  <sheetData>
    <row r="1" spans="1:54" ht="6" customHeight="1">
      <c r="A1" s="3"/>
      <c r="B1" s="3"/>
      <c r="C1" s="3"/>
      <c r="D1" s="3"/>
      <c r="E1" s="3"/>
      <c r="F1" s="3"/>
      <c r="G1" s="3"/>
      <c r="H1" s="3"/>
      <c r="I1" s="3"/>
      <c r="J1" s="3"/>
      <c r="K1" s="3"/>
      <c r="L1" s="3"/>
      <c r="M1" s="3"/>
      <c r="N1" s="3"/>
      <c r="O1" s="3"/>
      <c r="P1" s="3"/>
      <c r="Q1" s="3"/>
      <c r="R1" s="3"/>
      <c r="S1" s="628" t="s">
        <v>319</v>
      </c>
      <c r="T1" s="629"/>
      <c r="U1" s="629"/>
      <c r="V1" s="629"/>
      <c r="W1" s="629"/>
      <c r="X1" s="629"/>
      <c r="Y1" s="630"/>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18.75" customHeight="1">
      <c r="A2" s="53"/>
      <c r="B2" s="53"/>
      <c r="C2" s="373"/>
      <c r="D2" s="373"/>
      <c r="E2" s="373"/>
      <c r="F2" s="373" t="s">
        <v>320</v>
      </c>
      <c r="G2" s="373"/>
      <c r="H2" s="373"/>
      <c r="I2" s="373"/>
      <c r="J2" s="373"/>
      <c r="K2" s="373"/>
      <c r="L2" s="373"/>
      <c r="M2" s="373"/>
      <c r="N2" s="373"/>
      <c r="O2" s="373"/>
      <c r="P2" s="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c r="AS2" s="53"/>
      <c r="AT2" s="53"/>
      <c r="AU2" s="3"/>
      <c r="AV2" s="3"/>
      <c r="AW2" s="3"/>
      <c r="AX2" s="3"/>
      <c r="AY2" s="3"/>
      <c r="AZ2" s="3"/>
      <c r="BA2" s="3"/>
      <c r="BB2" s="3"/>
    </row>
    <row r="3" spans="1:54" ht="18.75" customHeight="1">
      <c r="A3" s="53"/>
      <c r="B3" s="53"/>
      <c r="C3" s="373"/>
      <c r="D3" s="373"/>
      <c r="E3" s="373"/>
      <c r="F3" s="373" t="s">
        <v>322</v>
      </c>
      <c r="G3" s="373"/>
      <c r="H3" s="373"/>
      <c r="I3" s="373"/>
      <c r="J3" s="373"/>
      <c r="K3" s="373"/>
      <c r="L3" s="373"/>
      <c r="M3" s="373"/>
      <c r="N3" s="373"/>
      <c r="O3" s="373"/>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3"/>
      <c r="AV3" s="3"/>
      <c r="AW3" s="3"/>
      <c r="AX3" s="3"/>
      <c r="AY3" s="3"/>
      <c r="AZ3" s="3"/>
      <c r="BA3" s="3"/>
      <c r="BB3" s="3"/>
    </row>
    <row r="4" spans="1:54" ht="7.5" customHeight="1">
      <c r="A4" s="53"/>
      <c r="B4" s="53"/>
      <c r="C4" s="53"/>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3"/>
      <c r="AV4" s="3"/>
      <c r="AW4" s="3"/>
      <c r="AX4" s="3"/>
      <c r="AY4" s="3"/>
      <c r="AZ4" s="3"/>
      <c r="BA4" s="3"/>
      <c r="BB4" s="3"/>
    </row>
    <row r="5" spans="1:54" ht="7.5" customHeight="1">
      <c r="A5" s="53"/>
      <c r="B5" s="53"/>
      <c r="C5" s="53"/>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3"/>
      <c r="AV5" s="3"/>
      <c r="AW5" s="3"/>
      <c r="AX5" s="3"/>
      <c r="AY5" s="3"/>
      <c r="AZ5" s="3"/>
      <c r="BA5" s="3"/>
      <c r="BB5" s="3"/>
    </row>
    <row r="6" spans="1:54" ht="12.75" customHeight="1">
      <c r="A6" s="53"/>
      <c r="B6" s="327" t="s">
        <v>323</v>
      </c>
      <c r="C6" s="53"/>
      <c r="D6" s="493" t="s">
        <v>247</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3"/>
      <c r="AV6" s="3"/>
      <c r="AW6" s="3"/>
      <c r="AX6" s="3"/>
      <c r="AY6" s="3"/>
      <c r="AZ6" s="3"/>
      <c r="BA6" s="3"/>
      <c r="BB6" s="3"/>
    </row>
    <row r="7" spans="1:54" ht="7.5"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3"/>
      <c r="AV7" s="3"/>
      <c r="AW7" s="3"/>
      <c r="AX7" s="3"/>
      <c r="AY7" s="3"/>
      <c r="AZ7" s="3"/>
      <c r="BA7" s="3"/>
      <c r="BB7" s="3"/>
    </row>
    <row r="8" spans="1:54" ht="12.75"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3"/>
      <c r="AV8" s="3"/>
      <c r="AW8" s="3"/>
      <c r="AX8" s="3"/>
      <c r="AY8" s="3"/>
      <c r="AZ8" s="3"/>
      <c r="BA8" s="3"/>
      <c r="BB8" s="3"/>
    </row>
    <row r="9" spans="1:54" ht="12.75"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3"/>
      <c r="AV9" s="3"/>
      <c r="AW9" s="3"/>
      <c r="AX9" s="3"/>
      <c r="AY9" s="3"/>
      <c r="AZ9" s="3"/>
      <c r="BA9" s="3"/>
      <c r="BB9" s="3"/>
    </row>
    <row r="10" spans="1:54" ht="12.75" customHeight="1">
      <c r="A10" s="53"/>
      <c r="B10" s="53"/>
      <c r="C10" s="53"/>
      <c r="D10" s="314" t="s">
        <v>326</v>
      </c>
      <c r="E10" s="314"/>
      <c r="F10" s="380">
        <v>620</v>
      </c>
      <c r="G10" s="314" t="s">
        <v>373</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3"/>
      <c r="AV10" s="3"/>
      <c r="AW10" s="3"/>
      <c r="AX10" s="3"/>
      <c r="AY10" s="3"/>
      <c r="AZ10" s="3"/>
      <c r="BA10" s="3"/>
      <c r="BB10" s="3"/>
    </row>
    <row r="11" spans="1:54" ht="12.75"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c r="AS11" s="53"/>
      <c r="AT11" s="53"/>
      <c r="AU11" s="3"/>
      <c r="AV11" s="3"/>
      <c r="AW11" s="3"/>
      <c r="AX11" s="3"/>
      <c r="AY11" s="3"/>
      <c r="AZ11" s="3"/>
      <c r="BA11" s="3"/>
      <c r="BB11" s="3"/>
    </row>
    <row r="12" spans="1:54" ht="12.75"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c r="AS12" s="317"/>
      <c r="AT12" s="317"/>
      <c r="AU12" s="3"/>
      <c r="AV12" s="3"/>
      <c r="AW12" s="3"/>
      <c r="AX12" s="3"/>
      <c r="AY12" s="3"/>
      <c r="AZ12" s="3"/>
      <c r="BA12" s="3"/>
      <c r="BB12" s="3"/>
    </row>
    <row r="13" spans="1:54" ht="12.75"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c r="AS13" s="382"/>
      <c r="AT13" s="382"/>
      <c r="AU13" s="3"/>
      <c r="AV13" s="3"/>
      <c r="AW13" s="3"/>
      <c r="AX13" s="3"/>
      <c r="AY13" s="3"/>
      <c r="AZ13" s="3"/>
      <c r="BA13" s="3"/>
      <c r="BB13" s="3"/>
    </row>
    <row r="14" spans="1:54" ht="12.75"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c r="AS14" s="382"/>
      <c r="AT14" s="382"/>
      <c r="AU14" s="3"/>
      <c r="AV14" s="3"/>
      <c r="AW14" s="3"/>
      <c r="AX14" s="3"/>
      <c r="AY14" s="3"/>
      <c r="AZ14" s="3"/>
      <c r="BA14" s="3"/>
      <c r="BB14" s="3"/>
    </row>
    <row r="15" spans="1:54" ht="12.75" customHeight="1">
      <c r="A15" s="53"/>
      <c r="B15" s="328" t="s">
        <v>246</v>
      </c>
      <c r="C15" s="389" t="str">
        <f t="shared" ref="C15:C28" si="0">D$6&amp;"."&amp;B15</f>
        <v>Residential.Monthly Service Charge</v>
      </c>
      <c r="D15" s="390" t="s">
        <v>335</v>
      </c>
      <c r="E15" s="328"/>
      <c r="F15" s="391">
        <f>IFERROR(VLOOKUP($C15,'Proposed Rates'!$B:$J,F$11,FALSE),0)</f>
        <v>34.26</v>
      </c>
      <c r="G15" s="392">
        <f t="shared" ref="G15:G28" si="1">IF($D15="Monthly",1,IF($D15="per KWH",$F$10,0))</f>
        <v>1</v>
      </c>
      <c r="H15" s="394">
        <f t="shared" ref="H15:H28" si="2">G15*F15</f>
        <v>34.26</v>
      </c>
      <c r="I15" s="138"/>
      <c r="J15" s="391">
        <f>IFERROR(VLOOKUP($C15,'Proposed Rates'!$B:$J,J$11,FALSE),0)</f>
        <v>39.200000000000003</v>
      </c>
      <c r="K15" s="392">
        <f t="shared" ref="K15:K28" si="3">IF($D15="Monthly",1,IF($D15="per KWH",$F$10,0))</f>
        <v>1</v>
      </c>
      <c r="L15" s="394">
        <f t="shared" ref="L15:L28" si="4">K15*J15</f>
        <v>39.200000000000003</v>
      </c>
      <c r="M15" s="138"/>
      <c r="N15" s="395">
        <f t="shared" ref="N15:N30" si="5">L15-H15</f>
        <v>4.9400000000000048</v>
      </c>
      <c r="O15" s="396">
        <f t="shared" ref="O15:O30" si="6">IF((H15)=0,"",(N15/H15))</f>
        <v>0.14419147694103926</v>
      </c>
      <c r="P15" s="53"/>
      <c r="Q15" s="391">
        <f>IFERROR(VLOOKUP($C15,'Proposed Rates'!$B:$J,Q$11,FALSE),0)</f>
        <v>41.1</v>
      </c>
      <c r="R15" s="392">
        <f t="shared" ref="R15:R28" si="7">IF($D15="Monthly",1,IF($D15="per KWH",$F$10,0))</f>
        <v>1</v>
      </c>
      <c r="S15" s="394">
        <f t="shared" ref="S15:S28" si="8">R15*Q15</f>
        <v>41.1</v>
      </c>
      <c r="T15" s="138"/>
      <c r="U15" s="395">
        <f t="shared" ref="U15:U48" si="9">S15-L15</f>
        <v>1.8999999999999986</v>
      </c>
      <c r="V15" s="396">
        <f t="shared" ref="V15:V48" si="10">IF((L15)=0,"",(U15/L15))</f>
        <v>4.8469387755102004E-2</v>
      </c>
      <c r="W15" s="53"/>
      <c r="X15" s="391">
        <f>IFERROR(VLOOKUP($C15,'Proposed Rates'!$B:$J,X$11,FALSE),0)</f>
        <v>43.93</v>
      </c>
      <c r="Y15" s="392">
        <f t="shared" ref="Y15:Y28" si="11">IF($D15="Monthly",1,IF($D15="per KWH",$F$10,0))</f>
        <v>1</v>
      </c>
      <c r="Z15" s="394">
        <f t="shared" ref="Z15:Z28" si="12">Y15*X15</f>
        <v>43.93</v>
      </c>
      <c r="AA15" s="138"/>
      <c r="AB15" s="395">
        <f t="shared" ref="AB15:AB48" si="13">Z15-S15</f>
        <v>2.8299999999999983</v>
      </c>
      <c r="AC15" s="396">
        <f t="shared" ref="AC15:AC48" si="14">IF((S15)=0,"",(AB15/S15))</f>
        <v>6.8856447688564429E-2</v>
      </c>
      <c r="AD15" s="53"/>
      <c r="AE15" s="391">
        <f>IFERROR(VLOOKUP($C15,'Proposed Rates'!$B:$J,AE$11,FALSE),0)</f>
        <v>45.42</v>
      </c>
      <c r="AF15" s="392">
        <f t="shared" ref="AF15:AF28" si="15">IF($D15="Monthly",1,IF($D15="per KWH",$F$10,0))</f>
        <v>1</v>
      </c>
      <c r="AG15" s="394">
        <f t="shared" ref="AG15:AG28" si="16">AF15*AE15</f>
        <v>45.42</v>
      </c>
      <c r="AH15" s="138"/>
      <c r="AI15" s="395">
        <f t="shared" ref="AI15:AI48" si="17">AG15-Z15</f>
        <v>1.490000000000002</v>
      </c>
      <c r="AJ15" s="396">
        <f t="shared" ref="AJ15:AJ48" si="18">IF((Z15)=0,"",(AI15/Z15))</f>
        <v>3.3917596175734165E-2</v>
      </c>
      <c r="AK15" s="53"/>
      <c r="AL15" s="391">
        <f>IFERROR(VLOOKUP($C15,'Proposed Rates'!$B:$J,AL$11,FALSE),0)</f>
        <v>46.78</v>
      </c>
      <c r="AM15" s="392">
        <f t="shared" ref="AM15:AM28" si="19">IF($D15="Monthly",1,IF($D15="per KWH",$F$10,0))</f>
        <v>1</v>
      </c>
      <c r="AN15" s="394">
        <f t="shared" ref="AN15:AN28" si="20">AM15*AL15</f>
        <v>46.78</v>
      </c>
      <c r="AO15" s="138"/>
      <c r="AP15" s="395">
        <f t="shared" ref="AP15:AP48" si="21">AN15-AG15</f>
        <v>1.3599999999999994</v>
      </c>
      <c r="AQ15" s="396">
        <f t="shared" ref="AQ15:AQ48" si="22">IF((AG15)=0,"",(AP15/AG15))</f>
        <v>2.9942756494936138E-2</v>
      </c>
      <c r="AR15" s="397"/>
      <c r="AS15" s="397"/>
      <c r="AT15" s="397"/>
      <c r="AU15" s="3"/>
      <c r="AV15" s="3"/>
      <c r="AW15" s="3"/>
      <c r="AX15" s="3"/>
      <c r="AY15" s="3"/>
      <c r="AZ15" s="3"/>
      <c r="BA15" s="3"/>
      <c r="BB15" s="3"/>
    </row>
    <row r="16" spans="1:54" ht="12.75" customHeight="1">
      <c r="A16" s="53"/>
      <c r="B16" s="328" t="s">
        <v>336</v>
      </c>
      <c r="C16" s="389" t="str">
        <f t="shared" si="0"/>
        <v>Residential.Smart Meter Rate Adder</v>
      </c>
      <c r="D16" s="390" t="s">
        <v>335</v>
      </c>
      <c r="E16" s="328"/>
      <c r="F16" s="391">
        <f>IFERROR(VLOOKUP($C16,'Proposed Rates'!$B:$J,F$11,FALSE),0)</f>
        <v>0</v>
      </c>
      <c r="G16" s="392">
        <f t="shared" si="1"/>
        <v>1</v>
      </c>
      <c r="H16" s="394">
        <f t="shared" si="2"/>
        <v>0</v>
      </c>
      <c r="I16" s="138"/>
      <c r="J16" s="391">
        <f>IFERROR(VLOOKUP($C16,'Proposed Rates'!$B:$J,J$11,FALSE),0)</f>
        <v>0</v>
      </c>
      <c r="K16" s="392">
        <f t="shared" si="3"/>
        <v>1</v>
      </c>
      <c r="L16" s="394">
        <f t="shared" si="4"/>
        <v>0</v>
      </c>
      <c r="M16" s="138"/>
      <c r="N16" s="395">
        <f t="shared" si="5"/>
        <v>0</v>
      </c>
      <c r="O16" s="396" t="str">
        <f t="shared" si="6"/>
        <v/>
      </c>
      <c r="P16" s="53"/>
      <c r="Q16" s="391">
        <f>IFERROR(VLOOKUP($C16,'Proposed Rates'!$B:$J,Q$11,FALSE),0)</f>
        <v>0</v>
      </c>
      <c r="R16" s="392">
        <f t="shared" si="7"/>
        <v>1</v>
      </c>
      <c r="S16" s="394">
        <f t="shared" si="8"/>
        <v>0</v>
      </c>
      <c r="T16" s="138"/>
      <c r="U16" s="395">
        <f t="shared" si="9"/>
        <v>0</v>
      </c>
      <c r="V16" s="396" t="str">
        <f t="shared" si="10"/>
        <v/>
      </c>
      <c r="W16" s="53"/>
      <c r="X16" s="391">
        <f>IFERROR(VLOOKUP($C16,'Proposed Rates'!$B:$J,X$11,FALSE),0)</f>
        <v>0</v>
      </c>
      <c r="Y16" s="392">
        <f t="shared" si="11"/>
        <v>1</v>
      </c>
      <c r="Z16" s="394">
        <f t="shared" si="12"/>
        <v>0</v>
      </c>
      <c r="AA16" s="138"/>
      <c r="AB16" s="395">
        <f t="shared" si="13"/>
        <v>0</v>
      </c>
      <c r="AC16" s="396" t="str">
        <f t="shared" si="14"/>
        <v/>
      </c>
      <c r="AD16" s="53"/>
      <c r="AE16" s="391">
        <f>IFERROR(VLOOKUP($C16,'Proposed Rates'!$B:$J,AE$11,FALSE),0)</f>
        <v>0</v>
      </c>
      <c r="AF16" s="392">
        <f t="shared" si="15"/>
        <v>1</v>
      </c>
      <c r="AG16" s="394">
        <f t="shared" si="16"/>
        <v>0</v>
      </c>
      <c r="AH16" s="138"/>
      <c r="AI16" s="395">
        <f t="shared" si="17"/>
        <v>0</v>
      </c>
      <c r="AJ16" s="396" t="str">
        <f t="shared" si="18"/>
        <v/>
      </c>
      <c r="AK16" s="53"/>
      <c r="AL16" s="391">
        <f>IFERROR(VLOOKUP($C16,'Proposed Rates'!$B:$J,AL$11,FALSE),0)</f>
        <v>0</v>
      </c>
      <c r="AM16" s="392">
        <f t="shared" si="19"/>
        <v>1</v>
      </c>
      <c r="AN16" s="394">
        <f t="shared" si="20"/>
        <v>0</v>
      </c>
      <c r="AO16" s="138"/>
      <c r="AP16" s="395">
        <f t="shared" si="21"/>
        <v>0</v>
      </c>
      <c r="AQ16" s="396" t="str">
        <f t="shared" si="22"/>
        <v/>
      </c>
      <c r="AR16" s="397"/>
      <c r="AS16" s="397"/>
      <c r="AT16" s="397"/>
      <c r="AU16" s="3"/>
      <c r="AV16" s="3"/>
      <c r="AW16" s="3"/>
      <c r="AX16" s="3"/>
      <c r="AY16" s="3"/>
      <c r="AZ16" s="3"/>
      <c r="BA16" s="3"/>
      <c r="BB16" s="3"/>
    </row>
    <row r="17" spans="1:54" ht="12.75" customHeight="1">
      <c r="A17" s="53"/>
      <c r="B17" s="398" t="str">
        <f>'Proposed Rates'!C115</f>
        <v>Rate Rider Calculation for Forgone Revenue - variable</v>
      </c>
      <c r="C17" s="389" t="str">
        <f t="shared" si="0"/>
        <v>Residential.Rate Rider Calculation for Forgone Revenue - variable</v>
      </c>
      <c r="D17" s="390" t="s">
        <v>337</v>
      </c>
      <c r="E17" s="328"/>
      <c r="F17" s="391">
        <f>IFERROR(VLOOKUP($C17,'Proposed Rates'!$B:$J,F$11,FALSE),0)</f>
        <v>0</v>
      </c>
      <c r="G17" s="392">
        <f t="shared" si="1"/>
        <v>620</v>
      </c>
      <c r="H17" s="394">
        <f t="shared" si="2"/>
        <v>0</v>
      </c>
      <c r="I17" s="138"/>
      <c r="J17" s="391">
        <f>IFERROR(VLOOKUP($C17,'Proposed Rates'!$B:$J,J$11,FALSE),0)</f>
        <v>0</v>
      </c>
      <c r="K17" s="392">
        <f t="shared" si="3"/>
        <v>620</v>
      </c>
      <c r="L17" s="394">
        <f t="shared" si="4"/>
        <v>0</v>
      </c>
      <c r="M17" s="138"/>
      <c r="N17" s="395">
        <f t="shared" si="5"/>
        <v>0</v>
      </c>
      <c r="O17" s="396" t="str">
        <f t="shared" si="6"/>
        <v/>
      </c>
      <c r="P17" s="53"/>
      <c r="Q17" s="391">
        <f>IFERROR(VLOOKUP($C17,'Proposed Rates'!$B:$J,Q$11,FALSE),0)</f>
        <v>0</v>
      </c>
      <c r="R17" s="392">
        <f t="shared" si="7"/>
        <v>620</v>
      </c>
      <c r="S17" s="394">
        <f t="shared" si="8"/>
        <v>0</v>
      </c>
      <c r="T17" s="138"/>
      <c r="U17" s="395">
        <f t="shared" si="9"/>
        <v>0</v>
      </c>
      <c r="V17" s="396" t="str">
        <f t="shared" si="10"/>
        <v/>
      </c>
      <c r="W17" s="53"/>
      <c r="X17" s="391">
        <f>IFERROR(VLOOKUP($C17,'Proposed Rates'!$B:$J,X$11,FALSE),0)</f>
        <v>0</v>
      </c>
      <c r="Y17" s="392">
        <f t="shared" si="11"/>
        <v>620</v>
      </c>
      <c r="Z17" s="394">
        <f t="shared" si="12"/>
        <v>0</v>
      </c>
      <c r="AA17" s="138"/>
      <c r="AB17" s="395">
        <f t="shared" si="13"/>
        <v>0</v>
      </c>
      <c r="AC17" s="396" t="str">
        <f t="shared" si="14"/>
        <v/>
      </c>
      <c r="AD17" s="53"/>
      <c r="AE17" s="391">
        <f>IFERROR(VLOOKUP($C17,'Proposed Rates'!$B:$J,AE$11,FALSE),0)</f>
        <v>0</v>
      </c>
      <c r="AF17" s="392">
        <f t="shared" si="15"/>
        <v>620</v>
      </c>
      <c r="AG17" s="394">
        <f t="shared" si="16"/>
        <v>0</v>
      </c>
      <c r="AH17" s="138"/>
      <c r="AI17" s="395">
        <f t="shared" si="17"/>
        <v>0</v>
      </c>
      <c r="AJ17" s="396" t="str">
        <f t="shared" si="18"/>
        <v/>
      </c>
      <c r="AK17" s="53"/>
      <c r="AL17" s="391">
        <f>IFERROR(VLOOKUP($C17,'Proposed Rates'!$B:$J,AL$11,FALSE),0)</f>
        <v>0</v>
      </c>
      <c r="AM17" s="392">
        <f t="shared" si="19"/>
        <v>620</v>
      </c>
      <c r="AN17" s="394">
        <f t="shared" si="20"/>
        <v>0</v>
      </c>
      <c r="AO17" s="138"/>
      <c r="AP17" s="395">
        <f t="shared" si="21"/>
        <v>0</v>
      </c>
      <c r="AQ17" s="396" t="str">
        <f t="shared" si="22"/>
        <v/>
      </c>
      <c r="AR17" s="397"/>
      <c r="AS17" s="397"/>
      <c r="AT17" s="397"/>
      <c r="AU17" s="3"/>
      <c r="AV17" s="3"/>
      <c r="AW17" s="3"/>
      <c r="AX17" s="3"/>
      <c r="AY17" s="3"/>
      <c r="AZ17" s="3"/>
      <c r="BA17" s="3"/>
      <c r="BB17" s="3"/>
    </row>
    <row r="18" spans="1:54" ht="12.75" customHeight="1">
      <c r="A18" s="53"/>
      <c r="B18" s="398" t="str">
        <f>'Proposed Rates'!C128</f>
        <v>Rate Rider Calculation for Forgone Revenue - fixed</v>
      </c>
      <c r="C18" s="389" t="str">
        <f t="shared" si="0"/>
        <v>Residential.Rate Rider Calculation for Forgone Revenue - fixed</v>
      </c>
      <c r="D18" s="390" t="s">
        <v>335</v>
      </c>
      <c r="E18" s="328"/>
      <c r="F18" s="391">
        <f>IFERROR(VLOOKUP($C18,'Proposed Rates'!$B:$J,F$11,FALSE),0)</f>
        <v>0</v>
      </c>
      <c r="G18" s="392">
        <f t="shared" si="1"/>
        <v>1</v>
      </c>
      <c r="H18" s="394">
        <f t="shared" si="2"/>
        <v>0</v>
      </c>
      <c r="I18" s="138"/>
      <c r="J18" s="391">
        <f>IFERROR(VLOOKUP($C18,'Proposed Rates'!$B:$J,J$11,FALSE),0)</f>
        <v>1.84</v>
      </c>
      <c r="K18" s="392">
        <f t="shared" si="3"/>
        <v>1</v>
      </c>
      <c r="L18" s="394">
        <f t="shared" si="4"/>
        <v>1.84</v>
      </c>
      <c r="M18" s="138"/>
      <c r="N18" s="395">
        <f t="shared" si="5"/>
        <v>1.84</v>
      </c>
      <c r="O18" s="396" t="str">
        <f t="shared" si="6"/>
        <v/>
      </c>
      <c r="P18" s="53"/>
      <c r="Q18" s="391">
        <f>IFERROR(VLOOKUP($C18,'Proposed Rates'!$B:$J,Q$11,FALSE),0)</f>
        <v>1.84</v>
      </c>
      <c r="R18" s="392">
        <f t="shared" si="7"/>
        <v>1</v>
      </c>
      <c r="S18" s="394">
        <f t="shared" si="8"/>
        <v>1.84</v>
      </c>
      <c r="T18" s="138"/>
      <c r="U18" s="395">
        <f t="shared" si="9"/>
        <v>0</v>
      </c>
      <c r="V18" s="396">
        <f t="shared" si="10"/>
        <v>0</v>
      </c>
      <c r="W18" s="53"/>
      <c r="X18" s="391">
        <f>IFERROR(VLOOKUP($C18,'Proposed Rates'!$B:$J,X$11,FALSE),0)</f>
        <v>0</v>
      </c>
      <c r="Y18" s="392">
        <f t="shared" si="11"/>
        <v>1</v>
      </c>
      <c r="Z18" s="394">
        <f t="shared" si="12"/>
        <v>0</v>
      </c>
      <c r="AA18" s="138"/>
      <c r="AB18" s="395">
        <f t="shared" si="13"/>
        <v>-1.84</v>
      </c>
      <c r="AC18" s="396">
        <f t="shared" si="14"/>
        <v>-1</v>
      </c>
      <c r="AD18" s="53"/>
      <c r="AE18" s="391">
        <f>IFERROR(VLOOKUP($C18,'Proposed Rates'!$B:$J,AE$11,FALSE),0)</f>
        <v>0</v>
      </c>
      <c r="AF18" s="392">
        <f t="shared" si="15"/>
        <v>1</v>
      </c>
      <c r="AG18" s="394">
        <f t="shared" si="16"/>
        <v>0</v>
      </c>
      <c r="AH18" s="138"/>
      <c r="AI18" s="395">
        <f t="shared" si="17"/>
        <v>0</v>
      </c>
      <c r="AJ18" s="396" t="str">
        <f t="shared" si="18"/>
        <v/>
      </c>
      <c r="AK18" s="53"/>
      <c r="AL18" s="391">
        <f>IFERROR(VLOOKUP($C18,'Proposed Rates'!$B:$J,AL$11,FALSE),0)</f>
        <v>0</v>
      </c>
      <c r="AM18" s="392">
        <f t="shared" si="19"/>
        <v>1</v>
      </c>
      <c r="AN18" s="394">
        <f t="shared" si="20"/>
        <v>0</v>
      </c>
      <c r="AO18" s="138"/>
      <c r="AP18" s="395">
        <f t="shared" si="21"/>
        <v>0</v>
      </c>
      <c r="AQ18" s="396" t="str">
        <f t="shared" si="22"/>
        <v/>
      </c>
      <c r="AR18" s="397"/>
      <c r="AS18" s="397"/>
      <c r="AT18" s="397"/>
      <c r="AU18" s="3"/>
      <c r="AV18" s="3"/>
      <c r="AW18" s="3"/>
      <c r="AX18" s="3"/>
      <c r="AY18" s="3"/>
      <c r="AZ18" s="3"/>
      <c r="BA18" s="3"/>
      <c r="BB18" s="3"/>
    </row>
    <row r="19" spans="1:54" ht="12.75" customHeight="1">
      <c r="A19" s="53"/>
      <c r="B19" s="328" t="s">
        <v>62</v>
      </c>
      <c r="C19" s="389" t="str">
        <f t="shared" si="0"/>
        <v>Residential.Distribution Volumetric Rate</v>
      </c>
      <c r="D19" s="390" t="s">
        <v>337</v>
      </c>
      <c r="E19" s="328"/>
      <c r="F19" s="391">
        <f>IFERROR(VLOOKUP($C19,'Proposed Rates'!$B:$J,F$11,FALSE),0)</f>
        <v>0</v>
      </c>
      <c r="G19" s="392">
        <f t="shared" si="1"/>
        <v>620</v>
      </c>
      <c r="H19" s="394">
        <f t="shared" si="2"/>
        <v>0</v>
      </c>
      <c r="I19" s="138"/>
      <c r="J19" s="391">
        <f>IFERROR(VLOOKUP($C19,'Proposed Rates'!$B:$J,J$11,FALSE),0)</f>
        <v>0</v>
      </c>
      <c r="K19" s="392">
        <f t="shared" si="3"/>
        <v>620</v>
      </c>
      <c r="L19" s="394">
        <f t="shared" si="4"/>
        <v>0</v>
      </c>
      <c r="M19" s="138"/>
      <c r="N19" s="395">
        <f t="shared" si="5"/>
        <v>0</v>
      </c>
      <c r="O19" s="396" t="str">
        <f t="shared" si="6"/>
        <v/>
      </c>
      <c r="P19" s="53"/>
      <c r="Q19" s="391">
        <f>IFERROR(VLOOKUP($C19,'Proposed Rates'!$B:$J,Q$11,FALSE),0)</f>
        <v>0</v>
      </c>
      <c r="R19" s="392">
        <f t="shared" si="7"/>
        <v>620</v>
      </c>
      <c r="S19" s="394">
        <f t="shared" si="8"/>
        <v>0</v>
      </c>
      <c r="T19" s="138"/>
      <c r="U19" s="395">
        <f t="shared" si="9"/>
        <v>0</v>
      </c>
      <c r="V19" s="396" t="str">
        <f t="shared" si="10"/>
        <v/>
      </c>
      <c r="W19" s="53"/>
      <c r="X19" s="391">
        <f>IFERROR(VLOOKUP($C19,'Proposed Rates'!$B:$J,X$11,FALSE),0)</f>
        <v>0</v>
      </c>
      <c r="Y19" s="392">
        <f t="shared" si="11"/>
        <v>620</v>
      </c>
      <c r="Z19" s="394">
        <f t="shared" si="12"/>
        <v>0</v>
      </c>
      <c r="AA19" s="138"/>
      <c r="AB19" s="395">
        <f t="shared" si="13"/>
        <v>0</v>
      </c>
      <c r="AC19" s="396" t="str">
        <f t="shared" si="14"/>
        <v/>
      </c>
      <c r="AD19" s="53"/>
      <c r="AE19" s="391">
        <f>IFERROR(VLOOKUP($C19,'Proposed Rates'!$B:$J,AE$11,FALSE),0)</f>
        <v>0</v>
      </c>
      <c r="AF19" s="392">
        <f t="shared" si="15"/>
        <v>620</v>
      </c>
      <c r="AG19" s="394">
        <f t="shared" si="16"/>
        <v>0</v>
      </c>
      <c r="AH19" s="138"/>
      <c r="AI19" s="395">
        <f t="shared" si="17"/>
        <v>0</v>
      </c>
      <c r="AJ19" s="396" t="str">
        <f t="shared" si="18"/>
        <v/>
      </c>
      <c r="AK19" s="53"/>
      <c r="AL19" s="391">
        <f>IFERROR(VLOOKUP($C19,'Proposed Rates'!$B:$J,AL$11,FALSE),0)</f>
        <v>0</v>
      </c>
      <c r="AM19" s="392">
        <f t="shared" si="19"/>
        <v>620</v>
      </c>
      <c r="AN19" s="394">
        <f t="shared" si="20"/>
        <v>0</v>
      </c>
      <c r="AO19" s="138"/>
      <c r="AP19" s="395">
        <f t="shared" si="21"/>
        <v>0</v>
      </c>
      <c r="AQ19" s="396" t="str">
        <f t="shared" si="22"/>
        <v/>
      </c>
      <c r="AR19" s="397"/>
      <c r="AS19" s="397"/>
      <c r="AT19" s="397"/>
      <c r="AU19" s="3"/>
      <c r="AV19" s="3"/>
      <c r="AW19" s="3"/>
      <c r="AX19" s="3"/>
      <c r="AY19" s="3"/>
      <c r="AZ19" s="3"/>
      <c r="BA19" s="3"/>
      <c r="BB19" s="3"/>
    </row>
    <row r="20" spans="1:54" ht="12.75" customHeight="1">
      <c r="A20" s="53"/>
      <c r="B20" s="328" t="s">
        <v>338</v>
      </c>
      <c r="C20" s="389" t="str">
        <f t="shared" si="0"/>
        <v>Residential.Smart Meter Disposition Rider</v>
      </c>
      <c r="D20" s="390" t="s">
        <v>337</v>
      </c>
      <c r="E20" s="328"/>
      <c r="F20" s="391">
        <f>IFERROR(VLOOKUP($C20,'Proposed Rates'!$B:$J,F$11,FALSE),0)</f>
        <v>0</v>
      </c>
      <c r="G20" s="392">
        <f t="shared" si="1"/>
        <v>620</v>
      </c>
      <c r="H20" s="394">
        <f t="shared" si="2"/>
        <v>0</v>
      </c>
      <c r="I20" s="138"/>
      <c r="J20" s="391">
        <f>IFERROR(VLOOKUP($C20,'Proposed Rates'!$B:$J,J$11,FALSE),0)</f>
        <v>0</v>
      </c>
      <c r="K20" s="392">
        <f t="shared" si="3"/>
        <v>620</v>
      </c>
      <c r="L20" s="394">
        <f t="shared" si="4"/>
        <v>0</v>
      </c>
      <c r="M20" s="138"/>
      <c r="N20" s="395">
        <f t="shared" si="5"/>
        <v>0</v>
      </c>
      <c r="O20" s="396" t="str">
        <f t="shared" si="6"/>
        <v/>
      </c>
      <c r="P20" s="53"/>
      <c r="Q20" s="391">
        <f>IFERROR(VLOOKUP($C20,'Proposed Rates'!$B:$J,Q$11,FALSE),0)</f>
        <v>0</v>
      </c>
      <c r="R20" s="392">
        <f t="shared" si="7"/>
        <v>620</v>
      </c>
      <c r="S20" s="394">
        <f t="shared" si="8"/>
        <v>0</v>
      </c>
      <c r="T20" s="138"/>
      <c r="U20" s="395">
        <f t="shared" si="9"/>
        <v>0</v>
      </c>
      <c r="V20" s="396" t="str">
        <f t="shared" si="10"/>
        <v/>
      </c>
      <c r="W20" s="53"/>
      <c r="X20" s="391">
        <f>IFERROR(VLOOKUP($C20,'Proposed Rates'!$B:$J,X$11,FALSE),0)</f>
        <v>0</v>
      </c>
      <c r="Y20" s="392">
        <f t="shared" si="11"/>
        <v>620</v>
      </c>
      <c r="Z20" s="394">
        <f t="shared" si="12"/>
        <v>0</v>
      </c>
      <c r="AA20" s="138"/>
      <c r="AB20" s="395">
        <f t="shared" si="13"/>
        <v>0</v>
      </c>
      <c r="AC20" s="396" t="str">
        <f t="shared" si="14"/>
        <v/>
      </c>
      <c r="AD20" s="53"/>
      <c r="AE20" s="391">
        <f>IFERROR(VLOOKUP($C20,'Proposed Rates'!$B:$J,AE$11,FALSE),0)</f>
        <v>0</v>
      </c>
      <c r="AF20" s="392">
        <f t="shared" si="15"/>
        <v>620</v>
      </c>
      <c r="AG20" s="394">
        <f t="shared" si="16"/>
        <v>0</v>
      </c>
      <c r="AH20" s="138"/>
      <c r="AI20" s="395">
        <f t="shared" si="17"/>
        <v>0</v>
      </c>
      <c r="AJ20" s="396" t="str">
        <f t="shared" si="18"/>
        <v/>
      </c>
      <c r="AK20" s="53"/>
      <c r="AL20" s="391">
        <f>IFERROR(VLOOKUP($C20,'Proposed Rates'!$B:$J,AL$11,FALSE),0)</f>
        <v>0</v>
      </c>
      <c r="AM20" s="392">
        <f t="shared" si="19"/>
        <v>620</v>
      </c>
      <c r="AN20" s="394">
        <f t="shared" si="20"/>
        <v>0</v>
      </c>
      <c r="AO20" s="138"/>
      <c r="AP20" s="395">
        <f t="shared" si="21"/>
        <v>0</v>
      </c>
      <c r="AQ20" s="396" t="str">
        <f t="shared" si="22"/>
        <v/>
      </c>
      <c r="AR20" s="397"/>
      <c r="AS20" s="397"/>
      <c r="AT20" s="397"/>
      <c r="AU20" s="3"/>
      <c r="AV20" s="3"/>
      <c r="AW20" s="3"/>
      <c r="AX20" s="3"/>
      <c r="AY20" s="3"/>
      <c r="AZ20" s="3"/>
      <c r="BA20" s="3"/>
      <c r="BB20" s="3"/>
    </row>
    <row r="21" spans="1:54" ht="12.75" customHeight="1">
      <c r="A21" s="53"/>
      <c r="B21" s="328" t="s">
        <v>269</v>
      </c>
      <c r="C21" s="389" t="str">
        <f t="shared" si="0"/>
        <v>Residential.LRAM Rate Rider</v>
      </c>
      <c r="D21" s="390" t="s">
        <v>335</v>
      </c>
      <c r="E21" s="328"/>
      <c r="F21" s="391">
        <f>'Proposed Rates'!E77+'Proposed Rates'!E90</f>
        <v>0.25</v>
      </c>
      <c r="G21" s="392">
        <f t="shared" si="1"/>
        <v>1</v>
      </c>
      <c r="H21" s="393">
        <f t="shared" si="2"/>
        <v>0.25</v>
      </c>
      <c r="I21" s="53"/>
      <c r="J21" s="391">
        <f>'Proposed Rates'!F77+'Proposed Rates'!F90</f>
        <v>0</v>
      </c>
      <c r="K21" s="392">
        <f t="shared" si="3"/>
        <v>1</v>
      </c>
      <c r="L21" s="394">
        <f t="shared" si="4"/>
        <v>0</v>
      </c>
      <c r="M21" s="138"/>
      <c r="N21" s="395">
        <f t="shared" si="5"/>
        <v>-0.25</v>
      </c>
      <c r="O21" s="396">
        <f t="shared" si="6"/>
        <v>-1</v>
      </c>
      <c r="P21" s="53"/>
      <c r="Q21" s="391">
        <f>'Proposed Rates'!G77+'Proposed Rates'!G90</f>
        <v>0</v>
      </c>
      <c r="R21" s="392">
        <f t="shared" si="7"/>
        <v>1</v>
      </c>
      <c r="S21" s="394">
        <f t="shared" si="8"/>
        <v>0</v>
      </c>
      <c r="T21" s="138"/>
      <c r="U21" s="395">
        <f t="shared" si="9"/>
        <v>0</v>
      </c>
      <c r="V21" s="396" t="str">
        <f t="shared" si="10"/>
        <v/>
      </c>
      <c r="W21" s="53"/>
      <c r="X21" s="391">
        <f>IFERROR(VLOOKUP($C21,'Proposed Rates'!$B:$J,X$11,FALSE),0)</f>
        <v>0</v>
      </c>
      <c r="Y21" s="392">
        <f t="shared" si="11"/>
        <v>1</v>
      </c>
      <c r="Z21" s="394">
        <f t="shared" si="12"/>
        <v>0</v>
      </c>
      <c r="AA21" s="138"/>
      <c r="AB21" s="395">
        <f t="shared" si="13"/>
        <v>0</v>
      </c>
      <c r="AC21" s="396" t="str">
        <f t="shared" si="14"/>
        <v/>
      </c>
      <c r="AD21" s="53"/>
      <c r="AE21" s="391">
        <f>IFERROR(VLOOKUP($C21,'Proposed Rates'!$B:$J,AE$11,FALSE),0)</f>
        <v>0</v>
      </c>
      <c r="AF21" s="392">
        <f t="shared" si="15"/>
        <v>1</v>
      </c>
      <c r="AG21" s="394">
        <f t="shared" si="16"/>
        <v>0</v>
      </c>
      <c r="AH21" s="138"/>
      <c r="AI21" s="395">
        <f t="shared" si="17"/>
        <v>0</v>
      </c>
      <c r="AJ21" s="396" t="str">
        <f t="shared" si="18"/>
        <v/>
      </c>
      <c r="AK21" s="53"/>
      <c r="AL21" s="391">
        <f>IFERROR(VLOOKUP($C21,'Proposed Rates'!$B:$J,AL$11,FALSE),0)</f>
        <v>0</v>
      </c>
      <c r="AM21" s="392">
        <f t="shared" si="19"/>
        <v>1</v>
      </c>
      <c r="AN21" s="394">
        <f t="shared" si="20"/>
        <v>0</v>
      </c>
      <c r="AO21" s="138"/>
      <c r="AP21" s="395">
        <f t="shared" si="21"/>
        <v>0</v>
      </c>
      <c r="AQ21" s="396" t="str">
        <f t="shared" si="22"/>
        <v/>
      </c>
      <c r="AR21" s="397"/>
      <c r="AS21" s="397"/>
      <c r="AT21" s="397"/>
      <c r="AU21" s="3"/>
      <c r="AV21" s="3"/>
      <c r="AW21" s="3"/>
      <c r="AX21" s="3"/>
      <c r="AY21" s="3"/>
      <c r="AZ21" s="3"/>
      <c r="BA21" s="3"/>
      <c r="BB21" s="3"/>
    </row>
    <row r="22" spans="1:54" ht="12.75" customHeight="1">
      <c r="A22" s="53"/>
      <c r="B22" s="478" t="s">
        <v>265</v>
      </c>
      <c r="C22" s="389" t="str">
        <f t="shared" si="0"/>
        <v>Residential.Deferral/Variance Account Disposition Rate Rider Group 2</v>
      </c>
      <c r="D22" s="390" t="s">
        <v>335</v>
      </c>
      <c r="E22" s="328"/>
      <c r="F22" s="391">
        <f>IFERROR(VLOOKUP($C22,'Proposed Rates'!$B:$J,F$11,FALSE),0)</f>
        <v>0</v>
      </c>
      <c r="G22" s="392">
        <f t="shared" si="1"/>
        <v>1</v>
      </c>
      <c r="H22" s="394">
        <f t="shared" si="2"/>
        <v>0</v>
      </c>
      <c r="I22" s="138"/>
      <c r="J22" s="391">
        <f>IFERROR(VLOOKUP($C22,'Proposed Rates'!$B:$J,J$11,FALSE),0)</f>
        <v>-1.19</v>
      </c>
      <c r="K22" s="392">
        <f t="shared" si="3"/>
        <v>1</v>
      </c>
      <c r="L22" s="394">
        <f t="shared" si="4"/>
        <v>-1.19</v>
      </c>
      <c r="M22" s="138"/>
      <c r="N22" s="395">
        <f t="shared" si="5"/>
        <v>-1.19</v>
      </c>
      <c r="O22" s="396" t="str">
        <f t="shared" si="6"/>
        <v/>
      </c>
      <c r="P22" s="53"/>
      <c r="Q22" s="391">
        <f>IFERROR(VLOOKUP($C22,'Proposed Rates'!$B:$J,Q$11,FALSE),0)</f>
        <v>0</v>
      </c>
      <c r="R22" s="392">
        <f t="shared" si="7"/>
        <v>1</v>
      </c>
      <c r="S22" s="394">
        <f t="shared" si="8"/>
        <v>0</v>
      </c>
      <c r="T22" s="138"/>
      <c r="U22" s="395">
        <f t="shared" si="9"/>
        <v>1.19</v>
      </c>
      <c r="V22" s="396">
        <f t="shared" si="10"/>
        <v>-1</v>
      </c>
      <c r="W22" s="53"/>
      <c r="X22" s="391">
        <f>IFERROR(VLOOKUP($C22,'Proposed Rates'!$B:$J,X$11,FALSE),0)</f>
        <v>0</v>
      </c>
      <c r="Y22" s="392">
        <f t="shared" si="11"/>
        <v>1</v>
      </c>
      <c r="Z22" s="394">
        <f t="shared" si="12"/>
        <v>0</v>
      </c>
      <c r="AA22" s="138"/>
      <c r="AB22" s="395">
        <f t="shared" si="13"/>
        <v>0</v>
      </c>
      <c r="AC22" s="396" t="str">
        <f t="shared" si="14"/>
        <v/>
      </c>
      <c r="AD22" s="53"/>
      <c r="AE22" s="391">
        <f>IFERROR(VLOOKUP($C22,'Proposed Rates'!$B:$J,AE$11,FALSE),0)</f>
        <v>0</v>
      </c>
      <c r="AF22" s="392">
        <f t="shared" si="15"/>
        <v>1</v>
      </c>
      <c r="AG22" s="394">
        <f t="shared" si="16"/>
        <v>0</v>
      </c>
      <c r="AH22" s="138"/>
      <c r="AI22" s="395">
        <f t="shared" si="17"/>
        <v>0</v>
      </c>
      <c r="AJ22" s="396" t="str">
        <f t="shared" si="18"/>
        <v/>
      </c>
      <c r="AK22" s="53"/>
      <c r="AL22" s="391">
        <f>IFERROR(VLOOKUP($C22,'Proposed Rates'!$B:$J,AL$11,FALSE),0)</f>
        <v>0</v>
      </c>
      <c r="AM22" s="392">
        <f t="shared" si="19"/>
        <v>1</v>
      </c>
      <c r="AN22" s="394">
        <f t="shared" si="20"/>
        <v>0</v>
      </c>
      <c r="AO22" s="138"/>
      <c r="AP22" s="395">
        <f t="shared" si="21"/>
        <v>0</v>
      </c>
      <c r="AQ22" s="396" t="str">
        <f t="shared" si="22"/>
        <v/>
      </c>
      <c r="AR22" s="397"/>
      <c r="AS22" s="397"/>
      <c r="AT22" s="397"/>
      <c r="AU22" s="3"/>
      <c r="AV22" s="3"/>
      <c r="AW22" s="3"/>
      <c r="AX22" s="3"/>
      <c r="AY22" s="3"/>
      <c r="AZ22" s="3"/>
      <c r="BA22" s="3"/>
      <c r="BB22" s="3"/>
    </row>
    <row r="23" spans="1:54" ht="12.75" customHeight="1">
      <c r="A23" s="53"/>
      <c r="B23" s="398"/>
      <c r="C23" s="389" t="str">
        <f t="shared" si="0"/>
        <v>Residential.</v>
      </c>
      <c r="D23" s="390"/>
      <c r="E23" s="328"/>
      <c r="F23" s="391">
        <f>IFERROR(VLOOKUP($C23,'Proposed Rates'!$B:$J,F$11,FALSE),0)</f>
        <v>0</v>
      </c>
      <c r="G23" s="392">
        <f t="shared" si="1"/>
        <v>0</v>
      </c>
      <c r="H23" s="394">
        <f t="shared" si="2"/>
        <v>0</v>
      </c>
      <c r="I23" s="138"/>
      <c r="J23" s="391">
        <f>IFERROR(VLOOKUP($C23,'Proposed Rates'!$B:$J,J$11,FALSE),0)</f>
        <v>0</v>
      </c>
      <c r="K23" s="392">
        <f t="shared" si="3"/>
        <v>0</v>
      </c>
      <c r="L23" s="394">
        <f t="shared" si="4"/>
        <v>0</v>
      </c>
      <c r="M23" s="138"/>
      <c r="N23" s="395">
        <f t="shared" si="5"/>
        <v>0</v>
      </c>
      <c r="O23" s="396" t="str">
        <f t="shared" si="6"/>
        <v/>
      </c>
      <c r="P23" s="53"/>
      <c r="Q23" s="391">
        <f>IFERROR(VLOOKUP($C23,'Proposed Rates'!$B:$J,Q$11,FALSE),0)</f>
        <v>0</v>
      </c>
      <c r="R23" s="392">
        <f t="shared" si="7"/>
        <v>0</v>
      </c>
      <c r="S23" s="394">
        <f t="shared" si="8"/>
        <v>0</v>
      </c>
      <c r="T23" s="138"/>
      <c r="U23" s="395">
        <f t="shared" si="9"/>
        <v>0</v>
      </c>
      <c r="V23" s="396" t="str">
        <f t="shared" si="10"/>
        <v/>
      </c>
      <c r="W23" s="53"/>
      <c r="X23" s="391">
        <f>IFERROR(VLOOKUP($C23,'Proposed Rates'!$B:$J,X$11,FALSE),0)</f>
        <v>0</v>
      </c>
      <c r="Y23" s="392">
        <f t="shared" si="11"/>
        <v>0</v>
      </c>
      <c r="Z23" s="394">
        <f t="shared" si="12"/>
        <v>0</v>
      </c>
      <c r="AA23" s="138"/>
      <c r="AB23" s="395">
        <f t="shared" si="13"/>
        <v>0</v>
      </c>
      <c r="AC23" s="396" t="str">
        <f t="shared" si="14"/>
        <v/>
      </c>
      <c r="AD23" s="53"/>
      <c r="AE23" s="391">
        <f>IFERROR(VLOOKUP($C23,'Proposed Rates'!$B:$J,AE$11,FALSE),0)</f>
        <v>0</v>
      </c>
      <c r="AF23" s="392">
        <f t="shared" si="15"/>
        <v>0</v>
      </c>
      <c r="AG23" s="394">
        <f t="shared" si="16"/>
        <v>0</v>
      </c>
      <c r="AH23" s="138"/>
      <c r="AI23" s="395">
        <f t="shared" si="17"/>
        <v>0</v>
      </c>
      <c r="AJ23" s="396" t="str">
        <f t="shared" si="18"/>
        <v/>
      </c>
      <c r="AK23" s="53"/>
      <c r="AL23" s="391">
        <f>IFERROR(VLOOKUP($C23,'Proposed Rates'!$B:$J,AL$11,FALSE),0)</f>
        <v>0</v>
      </c>
      <c r="AM23" s="392">
        <f t="shared" si="19"/>
        <v>0</v>
      </c>
      <c r="AN23" s="394">
        <f t="shared" si="20"/>
        <v>0</v>
      </c>
      <c r="AO23" s="138"/>
      <c r="AP23" s="395">
        <f t="shared" si="21"/>
        <v>0</v>
      </c>
      <c r="AQ23" s="396" t="str">
        <f t="shared" si="22"/>
        <v/>
      </c>
      <c r="AR23" s="397"/>
      <c r="AS23" s="397"/>
      <c r="AT23" s="397"/>
      <c r="AU23" s="3"/>
      <c r="AV23" s="3"/>
      <c r="AW23" s="3"/>
      <c r="AX23" s="3"/>
      <c r="AY23" s="3"/>
      <c r="AZ23" s="3"/>
      <c r="BA23" s="3"/>
      <c r="BB23" s="3"/>
    </row>
    <row r="24" spans="1:54" ht="12.75" customHeight="1">
      <c r="A24" s="53"/>
      <c r="B24" s="398"/>
      <c r="C24" s="389" t="str">
        <f t="shared" si="0"/>
        <v>Residential.</v>
      </c>
      <c r="D24" s="390"/>
      <c r="E24" s="328"/>
      <c r="F24" s="391">
        <f>IFERROR(VLOOKUP($C24,'Proposed Rates'!$B:$J,F$11,FALSE),0)</f>
        <v>0</v>
      </c>
      <c r="G24" s="392">
        <f t="shared" si="1"/>
        <v>0</v>
      </c>
      <c r="H24" s="394">
        <f t="shared" si="2"/>
        <v>0</v>
      </c>
      <c r="I24" s="138"/>
      <c r="J24" s="391">
        <f>IFERROR(VLOOKUP($C24,'Proposed Rates'!$B:$J,J$11,FALSE),0)</f>
        <v>0</v>
      </c>
      <c r="K24" s="392">
        <f t="shared" si="3"/>
        <v>0</v>
      </c>
      <c r="L24" s="394">
        <f t="shared" si="4"/>
        <v>0</v>
      </c>
      <c r="M24" s="138"/>
      <c r="N24" s="395">
        <f t="shared" si="5"/>
        <v>0</v>
      </c>
      <c r="O24" s="396" t="str">
        <f t="shared" si="6"/>
        <v/>
      </c>
      <c r="P24" s="53"/>
      <c r="Q24" s="391">
        <f>IFERROR(VLOOKUP($C24,'Proposed Rates'!$B:$J,Q$11,FALSE),0)</f>
        <v>0</v>
      </c>
      <c r="R24" s="392">
        <f t="shared" si="7"/>
        <v>0</v>
      </c>
      <c r="S24" s="394">
        <f t="shared" si="8"/>
        <v>0</v>
      </c>
      <c r="T24" s="138"/>
      <c r="U24" s="395">
        <f t="shared" si="9"/>
        <v>0</v>
      </c>
      <c r="V24" s="396" t="str">
        <f t="shared" si="10"/>
        <v/>
      </c>
      <c r="W24" s="53"/>
      <c r="X24" s="391">
        <f>IFERROR(VLOOKUP($C24,'Proposed Rates'!$B:$J,X$11,FALSE),0)</f>
        <v>0</v>
      </c>
      <c r="Y24" s="392">
        <f t="shared" si="11"/>
        <v>0</v>
      </c>
      <c r="Z24" s="394">
        <f t="shared" si="12"/>
        <v>0</v>
      </c>
      <c r="AA24" s="138"/>
      <c r="AB24" s="395">
        <f t="shared" si="13"/>
        <v>0</v>
      </c>
      <c r="AC24" s="396" t="str">
        <f t="shared" si="14"/>
        <v/>
      </c>
      <c r="AD24" s="53"/>
      <c r="AE24" s="391">
        <f>IFERROR(VLOOKUP($C24,'Proposed Rates'!$B:$J,AE$11,FALSE),0)</f>
        <v>0</v>
      </c>
      <c r="AF24" s="392">
        <f t="shared" si="15"/>
        <v>0</v>
      </c>
      <c r="AG24" s="394">
        <f t="shared" si="16"/>
        <v>0</v>
      </c>
      <c r="AH24" s="138"/>
      <c r="AI24" s="395">
        <f t="shared" si="17"/>
        <v>0</v>
      </c>
      <c r="AJ24" s="396" t="str">
        <f t="shared" si="18"/>
        <v/>
      </c>
      <c r="AK24" s="53"/>
      <c r="AL24" s="391">
        <f>IFERROR(VLOOKUP($C24,'Proposed Rates'!$B:$J,AL$11,FALSE),0)</f>
        <v>0</v>
      </c>
      <c r="AM24" s="392">
        <f t="shared" si="19"/>
        <v>0</v>
      </c>
      <c r="AN24" s="394">
        <f t="shared" si="20"/>
        <v>0</v>
      </c>
      <c r="AO24" s="138"/>
      <c r="AP24" s="395">
        <f t="shared" si="21"/>
        <v>0</v>
      </c>
      <c r="AQ24" s="396" t="str">
        <f t="shared" si="22"/>
        <v/>
      </c>
      <c r="AR24" s="397"/>
      <c r="AS24" s="397"/>
      <c r="AT24" s="397"/>
      <c r="AU24" s="3"/>
      <c r="AV24" s="3"/>
      <c r="AW24" s="3"/>
      <c r="AX24" s="3"/>
      <c r="AY24" s="3"/>
      <c r="AZ24" s="3"/>
      <c r="BA24" s="3"/>
      <c r="BB24" s="3"/>
    </row>
    <row r="25" spans="1:54" ht="12.75" customHeight="1">
      <c r="A25" s="53"/>
      <c r="B25" s="398"/>
      <c r="C25" s="389" t="str">
        <f t="shared" si="0"/>
        <v>Residential.</v>
      </c>
      <c r="D25" s="390"/>
      <c r="E25" s="328"/>
      <c r="F25" s="391">
        <f>IFERROR(VLOOKUP($C25,'Proposed Rates'!$B:$J,F$11,FALSE),0)</f>
        <v>0</v>
      </c>
      <c r="G25" s="392">
        <f t="shared" si="1"/>
        <v>0</v>
      </c>
      <c r="H25" s="394">
        <f t="shared" si="2"/>
        <v>0</v>
      </c>
      <c r="I25" s="138"/>
      <c r="J25" s="391">
        <f>IFERROR(VLOOKUP($C25,'Proposed Rates'!$B:$J,J$11,FALSE),0)</f>
        <v>0</v>
      </c>
      <c r="K25" s="392">
        <f t="shared" si="3"/>
        <v>0</v>
      </c>
      <c r="L25" s="394">
        <f t="shared" si="4"/>
        <v>0</v>
      </c>
      <c r="M25" s="138"/>
      <c r="N25" s="395">
        <f t="shared" si="5"/>
        <v>0</v>
      </c>
      <c r="O25" s="396" t="str">
        <f t="shared" si="6"/>
        <v/>
      </c>
      <c r="P25" s="53"/>
      <c r="Q25" s="391">
        <f>IFERROR(VLOOKUP($C25,'Proposed Rates'!$B:$J,Q$11,FALSE),0)</f>
        <v>0</v>
      </c>
      <c r="R25" s="392">
        <f t="shared" si="7"/>
        <v>0</v>
      </c>
      <c r="S25" s="394">
        <f t="shared" si="8"/>
        <v>0</v>
      </c>
      <c r="T25" s="138"/>
      <c r="U25" s="395">
        <f t="shared" si="9"/>
        <v>0</v>
      </c>
      <c r="V25" s="396" t="str">
        <f t="shared" si="10"/>
        <v/>
      </c>
      <c r="W25" s="53"/>
      <c r="X25" s="391">
        <f>IFERROR(VLOOKUP($C25,'Proposed Rates'!$B:$J,X$11,FALSE),0)</f>
        <v>0</v>
      </c>
      <c r="Y25" s="392">
        <f t="shared" si="11"/>
        <v>0</v>
      </c>
      <c r="Z25" s="394">
        <f t="shared" si="12"/>
        <v>0</v>
      </c>
      <c r="AA25" s="138"/>
      <c r="AB25" s="395">
        <f t="shared" si="13"/>
        <v>0</v>
      </c>
      <c r="AC25" s="396" t="str">
        <f t="shared" si="14"/>
        <v/>
      </c>
      <c r="AD25" s="53"/>
      <c r="AE25" s="391">
        <f>IFERROR(VLOOKUP($C25,'Proposed Rates'!$B:$J,AE$11,FALSE),0)</f>
        <v>0</v>
      </c>
      <c r="AF25" s="392">
        <f t="shared" si="15"/>
        <v>0</v>
      </c>
      <c r="AG25" s="394">
        <f t="shared" si="16"/>
        <v>0</v>
      </c>
      <c r="AH25" s="138"/>
      <c r="AI25" s="395">
        <f t="shared" si="17"/>
        <v>0</v>
      </c>
      <c r="AJ25" s="396" t="str">
        <f t="shared" si="18"/>
        <v/>
      </c>
      <c r="AK25" s="53"/>
      <c r="AL25" s="391">
        <f>IFERROR(VLOOKUP($C25,'Proposed Rates'!$B:$J,AL$11,FALSE),0)</f>
        <v>0</v>
      </c>
      <c r="AM25" s="392">
        <f t="shared" si="19"/>
        <v>0</v>
      </c>
      <c r="AN25" s="394">
        <f t="shared" si="20"/>
        <v>0</v>
      </c>
      <c r="AO25" s="138"/>
      <c r="AP25" s="395">
        <f t="shared" si="21"/>
        <v>0</v>
      </c>
      <c r="AQ25" s="396" t="str">
        <f t="shared" si="22"/>
        <v/>
      </c>
      <c r="AR25" s="397"/>
      <c r="AS25" s="397"/>
      <c r="AT25" s="397"/>
      <c r="AU25" s="3"/>
      <c r="AV25" s="3"/>
      <c r="AW25" s="3"/>
      <c r="AX25" s="3"/>
      <c r="AY25" s="3"/>
      <c r="AZ25" s="3"/>
      <c r="BA25" s="3"/>
      <c r="BB25" s="3"/>
    </row>
    <row r="26" spans="1:54" ht="12.75" customHeight="1">
      <c r="A26" s="53"/>
      <c r="B26" s="478"/>
      <c r="C26" s="389" t="str">
        <f t="shared" si="0"/>
        <v>Residential.</v>
      </c>
      <c r="D26" s="390"/>
      <c r="E26" s="328"/>
      <c r="F26" s="391">
        <f>IFERROR(VLOOKUP($C26,'Proposed Rates'!$B:$J,F$11,FALSE),0)</f>
        <v>0</v>
      </c>
      <c r="G26" s="392">
        <f t="shared" si="1"/>
        <v>0</v>
      </c>
      <c r="H26" s="394">
        <f t="shared" si="2"/>
        <v>0</v>
      </c>
      <c r="I26" s="138"/>
      <c r="J26" s="391">
        <f>IFERROR(VLOOKUP($C26,'Proposed Rates'!$B:$J,J$11,FALSE),0)</f>
        <v>0</v>
      </c>
      <c r="K26" s="392">
        <f t="shared" si="3"/>
        <v>0</v>
      </c>
      <c r="L26" s="394">
        <f t="shared" si="4"/>
        <v>0</v>
      </c>
      <c r="M26" s="138"/>
      <c r="N26" s="395">
        <f t="shared" si="5"/>
        <v>0</v>
      </c>
      <c r="O26" s="396" t="str">
        <f t="shared" si="6"/>
        <v/>
      </c>
      <c r="P26" s="53"/>
      <c r="Q26" s="391">
        <f>IFERROR(VLOOKUP($C26,'Proposed Rates'!$B:$J,Q$11,FALSE),0)</f>
        <v>0</v>
      </c>
      <c r="R26" s="392">
        <f t="shared" si="7"/>
        <v>0</v>
      </c>
      <c r="S26" s="394">
        <f t="shared" si="8"/>
        <v>0</v>
      </c>
      <c r="T26" s="138"/>
      <c r="U26" s="395">
        <f t="shared" si="9"/>
        <v>0</v>
      </c>
      <c r="V26" s="396" t="str">
        <f t="shared" si="10"/>
        <v/>
      </c>
      <c r="W26" s="53"/>
      <c r="X26" s="391">
        <f>IFERROR(VLOOKUP($C26,'Proposed Rates'!$B:$J,X$11,FALSE),0)</f>
        <v>0</v>
      </c>
      <c r="Y26" s="392">
        <f t="shared" si="11"/>
        <v>0</v>
      </c>
      <c r="Z26" s="394">
        <f t="shared" si="12"/>
        <v>0</v>
      </c>
      <c r="AA26" s="138"/>
      <c r="AB26" s="395">
        <f t="shared" si="13"/>
        <v>0</v>
      </c>
      <c r="AC26" s="396" t="str">
        <f t="shared" si="14"/>
        <v/>
      </c>
      <c r="AD26" s="53"/>
      <c r="AE26" s="391">
        <f>IFERROR(VLOOKUP($C26,'Proposed Rates'!$B:$J,AE$11,FALSE),0)</f>
        <v>0</v>
      </c>
      <c r="AF26" s="392">
        <f t="shared" si="15"/>
        <v>0</v>
      </c>
      <c r="AG26" s="394">
        <f t="shared" si="16"/>
        <v>0</v>
      </c>
      <c r="AH26" s="138"/>
      <c r="AI26" s="395">
        <f t="shared" si="17"/>
        <v>0</v>
      </c>
      <c r="AJ26" s="396" t="str">
        <f t="shared" si="18"/>
        <v/>
      </c>
      <c r="AK26" s="53"/>
      <c r="AL26" s="391">
        <f>IFERROR(VLOOKUP($C26,'Proposed Rates'!$B:$J,AL$11,FALSE),0)</f>
        <v>0</v>
      </c>
      <c r="AM26" s="392">
        <f t="shared" si="19"/>
        <v>0</v>
      </c>
      <c r="AN26" s="394">
        <f t="shared" si="20"/>
        <v>0</v>
      </c>
      <c r="AO26" s="138"/>
      <c r="AP26" s="395">
        <f t="shared" si="21"/>
        <v>0</v>
      </c>
      <c r="AQ26" s="396" t="str">
        <f t="shared" si="22"/>
        <v/>
      </c>
      <c r="AR26" s="397"/>
      <c r="AS26" s="397"/>
      <c r="AT26" s="397"/>
      <c r="AU26" s="3"/>
      <c r="AV26" s="3"/>
      <c r="AW26" s="3"/>
      <c r="AX26" s="3"/>
      <c r="AY26" s="3"/>
      <c r="AZ26" s="3"/>
      <c r="BA26" s="3"/>
      <c r="BB26" s="3"/>
    </row>
    <row r="27" spans="1:54" ht="12.75" customHeight="1">
      <c r="A27" s="53"/>
      <c r="B27" s="398"/>
      <c r="C27" s="389" t="str">
        <f t="shared" si="0"/>
        <v>Residential.</v>
      </c>
      <c r="D27" s="390"/>
      <c r="E27" s="328"/>
      <c r="F27" s="391">
        <f>IFERROR(VLOOKUP($C27,'Proposed Rates'!$B:$J,F$11,FALSE),0)</f>
        <v>0</v>
      </c>
      <c r="G27" s="392">
        <f t="shared" si="1"/>
        <v>0</v>
      </c>
      <c r="H27" s="394">
        <f t="shared" si="2"/>
        <v>0</v>
      </c>
      <c r="I27" s="138"/>
      <c r="J27" s="391">
        <f>IFERROR(VLOOKUP($C27,'Proposed Rates'!$B:$J,J$11,FALSE),0)</f>
        <v>0</v>
      </c>
      <c r="K27" s="392">
        <f t="shared" si="3"/>
        <v>0</v>
      </c>
      <c r="L27" s="394">
        <f t="shared" si="4"/>
        <v>0</v>
      </c>
      <c r="M27" s="138"/>
      <c r="N27" s="395">
        <f t="shared" si="5"/>
        <v>0</v>
      </c>
      <c r="O27" s="396" t="str">
        <f t="shared" si="6"/>
        <v/>
      </c>
      <c r="P27" s="53"/>
      <c r="Q27" s="391">
        <f>IFERROR(VLOOKUP($C27,'Proposed Rates'!$B:$J,Q$11,FALSE),0)</f>
        <v>0</v>
      </c>
      <c r="R27" s="392">
        <f t="shared" si="7"/>
        <v>0</v>
      </c>
      <c r="S27" s="394">
        <f t="shared" si="8"/>
        <v>0</v>
      </c>
      <c r="T27" s="138"/>
      <c r="U27" s="395">
        <f t="shared" si="9"/>
        <v>0</v>
      </c>
      <c r="V27" s="396" t="str">
        <f t="shared" si="10"/>
        <v/>
      </c>
      <c r="W27" s="53"/>
      <c r="X27" s="391">
        <f>IFERROR(VLOOKUP($C27,'Proposed Rates'!$B:$J,X$11,FALSE),0)</f>
        <v>0</v>
      </c>
      <c r="Y27" s="392">
        <f t="shared" si="11"/>
        <v>0</v>
      </c>
      <c r="Z27" s="394">
        <f t="shared" si="12"/>
        <v>0</v>
      </c>
      <c r="AA27" s="138"/>
      <c r="AB27" s="395">
        <f t="shared" si="13"/>
        <v>0</v>
      </c>
      <c r="AC27" s="396" t="str">
        <f t="shared" si="14"/>
        <v/>
      </c>
      <c r="AD27" s="53"/>
      <c r="AE27" s="391">
        <f>IFERROR(VLOOKUP($C27,'Proposed Rates'!$B:$J,AE$11,FALSE),0)</f>
        <v>0</v>
      </c>
      <c r="AF27" s="392">
        <f t="shared" si="15"/>
        <v>0</v>
      </c>
      <c r="AG27" s="394">
        <f t="shared" si="16"/>
        <v>0</v>
      </c>
      <c r="AH27" s="138"/>
      <c r="AI27" s="395">
        <f t="shared" si="17"/>
        <v>0</v>
      </c>
      <c r="AJ27" s="396" t="str">
        <f t="shared" si="18"/>
        <v/>
      </c>
      <c r="AK27" s="53"/>
      <c r="AL27" s="391">
        <f>IFERROR(VLOOKUP($C27,'Proposed Rates'!$B:$J,AL$11,FALSE),0)</f>
        <v>0</v>
      </c>
      <c r="AM27" s="392">
        <f t="shared" si="19"/>
        <v>0</v>
      </c>
      <c r="AN27" s="394">
        <f t="shared" si="20"/>
        <v>0</v>
      </c>
      <c r="AO27" s="138"/>
      <c r="AP27" s="395">
        <f t="shared" si="21"/>
        <v>0</v>
      </c>
      <c r="AQ27" s="396" t="str">
        <f t="shared" si="22"/>
        <v/>
      </c>
      <c r="AR27" s="397"/>
      <c r="AS27" s="397"/>
      <c r="AT27" s="397"/>
      <c r="AU27" s="3"/>
      <c r="AV27" s="3"/>
      <c r="AW27" s="3"/>
      <c r="AX27" s="3"/>
      <c r="AY27" s="3"/>
      <c r="AZ27" s="3"/>
      <c r="BA27" s="3"/>
      <c r="BB27" s="3"/>
    </row>
    <row r="28" spans="1:54" ht="12.75" customHeight="1">
      <c r="A28" s="53"/>
      <c r="B28" s="398"/>
      <c r="C28" s="389" t="str">
        <f t="shared" si="0"/>
        <v>Residential.</v>
      </c>
      <c r="D28" s="390"/>
      <c r="E28" s="328"/>
      <c r="F28" s="391">
        <f>IFERROR(VLOOKUP($C28,'Proposed Rates'!$B:$J,F$11,FALSE),0)</f>
        <v>0</v>
      </c>
      <c r="G28" s="392">
        <f t="shared" si="1"/>
        <v>0</v>
      </c>
      <c r="H28" s="394">
        <f t="shared" si="2"/>
        <v>0</v>
      </c>
      <c r="I28" s="138"/>
      <c r="J28" s="391">
        <f>IFERROR(VLOOKUP($C28,'Proposed Rates'!$B:$J,J$11,FALSE),0)</f>
        <v>0</v>
      </c>
      <c r="K28" s="392">
        <f t="shared" si="3"/>
        <v>0</v>
      </c>
      <c r="L28" s="394">
        <f t="shared" si="4"/>
        <v>0</v>
      </c>
      <c r="M28" s="138"/>
      <c r="N28" s="395">
        <f t="shared" si="5"/>
        <v>0</v>
      </c>
      <c r="O28" s="396" t="str">
        <f t="shared" si="6"/>
        <v/>
      </c>
      <c r="P28" s="53"/>
      <c r="Q28" s="391">
        <f>IFERROR(VLOOKUP($C28,'Proposed Rates'!$B:$J,Q$11,FALSE),0)</f>
        <v>0</v>
      </c>
      <c r="R28" s="392">
        <f t="shared" si="7"/>
        <v>0</v>
      </c>
      <c r="S28" s="394">
        <f t="shared" si="8"/>
        <v>0</v>
      </c>
      <c r="T28" s="138"/>
      <c r="U28" s="395">
        <f t="shared" si="9"/>
        <v>0</v>
      </c>
      <c r="V28" s="396" t="str">
        <f t="shared" si="10"/>
        <v/>
      </c>
      <c r="W28" s="53"/>
      <c r="X28" s="391">
        <f>IFERROR(VLOOKUP($C28,'Proposed Rates'!$B:$J,X$11,FALSE),0)</f>
        <v>0</v>
      </c>
      <c r="Y28" s="392">
        <f t="shared" si="11"/>
        <v>0</v>
      </c>
      <c r="Z28" s="394">
        <f t="shared" si="12"/>
        <v>0</v>
      </c>
      <c r="AA28" s="138"/>
      <c r="AB28" s="395">
        <f t="shared" si="13"/>
        <v>0</v>
      </c>
      <c r="AC28" s="396" t="str">
        <f t="shared" si="14"/>
        <v/>
      </c>
      <c r="AD28" s="53"/>
      <c r="AE28" s="391">
        <f>IFERROR(VLOOKUP($C28,'Proposed Rates'!$B:$J,AE$11,FALSE),0)</f>
        <v>0</v>
      </c>
      <c r="AF28" s="392">
        <f t="shared" si="15"/>
        <v>0</v>
      </c>
      <c r="AG28" s="394">
        <f t="shared" si="16"/>
        <v>0</v>
      </c>
      <c r="AH28" s="138"/>
      <c r="AI28" s="395">
        <f t="shared" si="17"/>
        <v>0</v>
      </c>
      <c r="AJ28" s="396" t="str">
        <f t="shared" si="18"/>
        <v/>
      </c>
      <c r="AK28" s="53"/>
      <c r="AL28" s="391">
        <f>IFERROR(VLOOKUP($C28,'Proposed Rates'!$B:$J,AL$11,FALSE),0)</f>
        <v>0</v>
      </c>
      <c r="AM28" s="392">
        <f t="shared" si="19"/>
        <v>0</v>
      </c>
      <c r="AN28" s="394">
        <f t="shared" si="20"/>
        <v>0</v>
      </c>
      <c r="AO28" s="138"/>
      <c r="AP28" s="395">
        <f t="shared" si="21"/>
        <v>0</v>
      </c>
      <c r="AQ28" s="396" t="str">
        <f t="shared" si="22"/>
        <v/>
      </c>
      <c r="AR28" s="397"/>
      <c r="AS28" s="397"/>
      <c r="AT28" s="397"/>
      <c r="AU28" s="3"/>
      <c r="AV28" s="3"/>
      <c r="AW28" s="3"/>
      <c r="AX28" s="3"/>
      <c r="AY28" s="3"/>
      <c r="AZ28" s="3"/>
      <c r="BA28" s="3"/>
      <c r="BB28" s="3"/>
    </row>
    <row r="29" spans="1:54" ht="12.75" customHeight="1">
      <c r="A29" s="314"/>
      <c r="B29" s="399" t="s">
        <v>339</v>
      </c>
      <c r="C29" s="400"/>
      <c r="D29" s="400"/>
      <c r="E29" s="400"/>
      <c r="F29" s="401"/>
      <c r="G29" s="494"/>
      <c r="H29" s="403">
        <f>SUM(H15:H28)</f>
        <v>34.51</v>
      </c>
      <c r="I29" s="404"/>
      <c r="J29" s="401"/>
      <c r="K29" s="494"/>
      <c r="L29" s="403">
        <f>SUM(L15:L28)</f>
        <v>39.850000000000009</v>
      </c>
      <c r="M29" s="404"/>
      <c r="N29" s="405">
        <f t="shared" si="5"/>
        <v>5.3400000000000105</v>
      </c>
      <c r="O29" s="406">
        <f t="shared" si="6"/>
        <v>0.15473775717183458</v>
      </c>
      <c r="P29" s="314"/>
      <c r="Q29" s="401"/>
      <c r="R29" s="494"/>
      <c r="S29" s="403">
        <f>SUM(S15:S28)</f>
        <v>42.940000000000005</v>
      </c>
      <c r="T29" s="404"/>
      <c r="U29" s="405">
        <f t="shared" si="9"/>
        <v>3.0899999999999963</v>
      </c>
      <c r="V29" s="406">
        <f t="shared" si="10"/>
        <v>7.7540777917189357E-2</v>
      </c>
      <c r="W29" s="314"/>
      <c r="X29" s="401"/>
      <c r="Y29" s="494"/>
      <c r="Z29" s="403">
        <f>SUM(Z15:Z28)</f>
        <v>43.93</v>
      </c>
      <c r="AA29" s="404"/>
      <c r="AB29" s="405">
        <f t="shared" si="13"/>
        <v>0.98999999999999488</v>
      </c>
      <c r="AC29" s="406">
        <f t="shared" si="14"/>
        <v>2.3055426176059497E-2</v>
      </c>
      <c r="AD29" s="314"/>
      <c r="AE29" s="401"/>
      <c r="AF29" s="494"/>
      <c r="AG29" s="403">
        <f>SUM(AG15:AG28)</f>
        <v>45.42</v>
      </c>
      <c r="AH29" s="404"/>
      <c r="AI29" s="405">
        <f t="shared" si="17"/>
        <v>1.490000000000002</v>
      </c>
      <c r="AJ29" s="406">
        <f t="shared" si="18"/>
        <v>3.3917596175734165E-2</v>
      </c>
      <c r="AK29" s="314"/>
      <c r="AL29" s="401"/>
      <c r="AM29" s="494"/>
      <c r="AN29" s="403">
        <f>SUM(AN15:AN28)</f>
        <v>46.78</v>
      </c>
      <c r="AO29" s="404"/>
      <c r="AP29" s="405">
        <f t="shared" si="21"/>
        <v>1.3599999999999994</v>
      </c>
      <c r="AQ29" s="406">
        <f t="shared" si="22"/>
        <v>2.9942756494936138E-2</v>
      </c>
      <c r="AR29" s="445"/>
      <c r="AS29" s="445"/>
      <c r="AT29" s="445"/>
      <c r="AU29" s="3"/>
      <c r="AV29" s="3"/>
      <c r="AW29" s="3"/>
      <c r="AX29" s="3"/>
      <c r="AY29" s="3"/>
      <c r="AZ29" s="3"/>
      <c r="BA29" s="3"/>
      <c r="BB29" s="3"/>
    </row>
    <row r="30" spans="1:54" ht="12.75" customHeight="1">
      <c r="A30" s="53"/>
      <c r="B30" s="398" t="s">
        <v>262</v>
      </c>
      <c r="C30" s="389" t="str">
        <f t="shared" ref="C30:C36" si="23">D$6&amp;"."&amp;B30</f>
        <v>Residential.DVA Disposition Rate Rider Group 1 -2025</v>
      </c>
      <c r="D30" s="390" t="s">
        <v>337</v>
      </c>
      <c r="E30" s="328"/>
      <c r="F30" s="408">
        <f>IFERROR(VLOOKUP($C30,'Proposed Rates'!$B:$J,F$11,FALSE),0)</f>
        <v>-2.0000000000000001E-4</v>
      </c>
      <c r="G30" s="409">
        <f t="shared" ref="G30:G33" si="24">IF($D30="Monthly",1,IF($D30="per KWH",$F$10,0))</f>
        <v>620</v>
      </c>
      <c r="H30" s="394">
        <f t="shared" ref="H30:H36" si="25">G30*F30</f>
        <v>-0.124</v>
      </c>
      <c r="I30" s="138"/>
      <c r="J30" s="408">
        <f>IFERROR(VLOOKUP($C30,'Proposed Rates'!$B:$J,J$11,FALSE),0)</f>
        <v>-1E-3</v>
      </c>
      <c r="K30" s="409">
        <f t="shared" ref="K30:K33" si="26">IF($D30="Monthly",1,IF($D30="per KWH",$F$10,0))</f>
        <v>620</v>
      </c>
      <c r="L30" s="394">
        <f t="shared" ref="L30:L36" si="27">K30*J30</f>
        <v>-0.62</v>
      </c>
      <c r="M30" s="138"/>
      <c r="N30" s="395">
        <f t="shared" si="5"/>
        <v>-0.496</v>
      </c>
      <c r="O30" s="396">
        <f t="shared" si="6"/>
        <v>4</v>
      </c>
      <c r="P30" s="53"/>
      <c r="Q30" s="408">
        <f>IFERROR(VLOOKUP($C30,'Proposed Rates'!$B:$J,Q$11,FALSE),0)</f>
        <v>0</v>
      </c>
      <c r="R30" s="409">
        <f t="shared" ref="R30:R33" si="28">IF($D30="Monthly",1,IF($D30="per KWH",$F$10,0))</f>
        <v>620</v>
      </c>
      <c r="S30" s="394">
        <f t="shared" ref="S30:S36" si="29">R30*Q30</f>
        <v>0</v>
      </c>
      <c r="T30" s="138"/>
      <c r="U30" s="395">
        <f t="shared" si="9"/>
        <v>0.62</v>
      </c>
      <c r="V30" s="396">
        <f t="shared" si="10"/>
        <v>-1</v>
      </c>
      <c r="W30" s="53"/>
      <c r="X30" s="408">
        <f>IFERROR(VLOOKUP($C30,'Proposed Rates'!$B:$J,X$11,FALSE),0)</f>
        <v>0</v>
      </c>
      <c r="Y30" s="409">
        <f t="shared" ref="Y30:Y33" si="30">IF($D30="Monthly",1,IF($D30="per KWH",$F$10,0))</f>
        <v>620</v>
      </c>
      <c r="Z30" s="394">
        <f t="shared" ref="Z30:Z36" si="31">Y30*X30</f>
        <v>0</v>
      </c>
      <c r="AA30" s="138"/>
      <c r="AB30" s="395">
        <f t="shared" si="13"/>
        <v>0</v>
      </c>
      <c r="AC30" s="396" t="str">
        <f t="shared" si="14"/>
        <v/>
      </c>
      <c r="AD30" s="53"/>
      <c r="AE30" s="408">
        <f>IFERROR(VLOOKUP($C30,'Proposed Rates'!$B:$J,AE$11,FALSE),0)</f>
        <v>0</v>
      </c>
      <c r="AF30" s="409">
        <f t="shared" ref="AF30:AF33" si="32">IF($D30="Monthly",1,IF($D30="per KWH",$F$10,0))</f>
        <v>620</v>
      </c>
      <c r="AG30" s="394">
        <f t="shared" ref="AG30:AG36" si="33">AF30*AE30</f>
        <v>0</v>
      </c>
      <c r="AH30" s="138"/>
      <c r="AI30" s="395">
        <f t="shared" si="17"/>
        <v>0</v>
      </c>
      <c r="AJ30" s="396" t="str">
        <f t="shared" si="18"/>
        <v/>
      </c>
      <c r="AK30" s="53"/>
      <c r="AL30" s="408">
        <f>IFERROR(VLOOKUP($C30,'Proposed Rates'!$B:$J,AL$11,FALSE),0)</f>
        <v>0</v>
      </c>
      <c r="AM30" s="409">
        <f t="shared" ref="AM30:AM33" si="34">IF($D30="Monthly",1,IF($D30="per KWH",$F$10,0))</f>
        <v>620</v>
      </c>
      <c r="AN30" s="394">
        <f t="shared" ref="AN30:AN36" si="35">AM30*AL30</f>
        <v>0</v>
      </c>
      <c r="AO30" s="138"/>
      <c r="AP30" s="395">
        <f t="shared" si="21"/>
        <v>0</v>
      </c>
      <c r="AQ30" s="396" t="str">
        <f t="shared" si="22"/>
        <v/>
      </c>
      <c r="AR30" s="397"/>
      <c r="AS30" s="397"/>
      <c r="AT30" s="397"/>
      <c r="AU30" s="3"/>
      <c r="AV30" s="3"/>
      <c r="AW30" s="3"/>
      <c r="AX30" s="3"/>
      <c r="AY30" s="3"/>
      <c r="AZ30" s="3"/>
      <c r="BA30" s="3"/>
      <c r="BB30" s="3"/>
    </row>
    <row r="31" spans="1:54" ht="12.75" customHeight="1">
      <c r="A31" s="53"/>
      <c r="B31" s="478" t="s">
        <v>264</v>
      </c>
      <c r="C31" s="389" t="str">
        <f t="shared" si="23"/>
        <v>Residential.DVA Disposition Rate Rider Group 1 - 2024</v>
      </c>
      <c r="D31" s="390" t="s">
        <v>337</v>
      </c>
      <c r="E31" s="328"/>
      <c r="F31" s="408">
        <f>IFERROR(VLOOKUP($C31,'Proposed Rates'!$B:$J,F$11,FALSE),0)</f>
        <v>0</v>
      </c>
      <c r="G31" s="409">
        <f t="shared" si="24"/>
        <v>620</v>
      </c>
      <c r="H31" s="492">
        <f t="shared" si="25"/>
        <v>0</v>
      </c>
      <c r="I31" s="479"/>
      <c r="J31" s="408">
        <f>IFERROR(VLOOKUP($C31,'Proposed Rates'!$B:$J,J$11,FALSE),0)</f>
        <v>0</v>
      </c>
      <c r="K31" s="409">
        <f t="shared" si="26"/>
        <v>620</v>
      </c>
      <c r="L31" s="492">
        <f t="shared" si="27"/>
        <v>0</v>
      </c>
      <c r="M31" s="411"/>
      <c r="N31" s="395"/>
      <c r="O31" s="396"/>
      <c r="P31" s="53"/>
      <c r="Q31" s="408">
        <f>IFERROR(VLOOKUP($C31,'Proposed Rates'!$B:$J,Q$11,FALSE),0)</f>
        <v>0</v>
      </c>
      <c r="R31" s="409">
        <f t="shared" si="28"/>
        <v>620</v>
      </c>
      <c r="S31" s="492">
        <f t="shared" si="29"/>
        <v>0</v>
      </c>
      <c r="T31" s="411"/>
      <c r="U31" s="395">
        <f t="shared" si="9"/>
        <v>0</v>
      </c>
      <c r="V31" s="396" t="str">
        <f t="shared" si="10"/>
        <v/>
      </c>
      <c r="W31" s="53"/>
      <c r="X31" s="408">
        <f>IFERROR(VLOOKUP($C31,'Proposed Rates'!$B:$J,X$11,FALSE),0)</f>
        <v>0</v>
      </c>
      <c r="Y31" s="409">
        <f t="shared" si="30"/>
        <v>620</v>
      </c>
      <c r="Z31" s="492">
        <f t="shared" si="31"/>
        <v>0</v>
      </c>
      <c r="AA31" s="411"/>
      <c r="AB31" s="395">
        <f t="shared" si="13"/>
        <v>0</v>
      </c>
      <c r="AC31" s="396" t="str">
        <f t="shared" si="14"/>
        <v/>
      </c>
      <c r="AD31" s="53"/>
      <c r="AE31" s="408">
        <f>IFERROR(VLOOKUP($C31,'Proposed Rates'!$B:$J,AE$11,FALSE),0)</f>
        <v>0</v>
      </c>
      <c r="AF31" s="409">
        <f t="shared" si="32"/>
        <v>620</v>
      </c>
      <c r="AG31" s="492">
        <f t="shared" si="33"/>
        <v>0</v>
      </c>
      <c r="AH31" s="411"/>
      <c r="AI31" s="395">
        <f t="shared" si="17"/>
        <v>0</v>
      </c>
      <c r="AJ31" s="396" t="str">
        <f t="shared" si="18"/>
        <v/>
      </c>
      <c r="AK31" s="53"/>
      <c r="AL31" s="408">
        <f>IFERROR(VLOOKUP($C31,'Proposed Rates'!$B:$J,AL$11,FALSE),0)</f>
        <v>0</v>
      </c>
      <c r="AM31" s="409">
        <f t="shared" si="34"/>
        <v>620</v>
      </c>
      <c r="AN31" s="492">
        <f t="shared" si="35"/>
        <v>0</v>
      </c>
      <c r="AO31" s="411"/>
      <c r="AP31" s="395">
        <f t="shared" si="21"/>
        <v>0</v>
      </c>
      <c r="AQ31" s="396" t="str">
        <f t="shared" si="22"/>
        <v/>
      </c>
      <c r="AR31" s="397"/>
      <c r="AS31" s="397"/>
      <c r="AT31" s="397"/>
      <c r="AU31" s="3"/>
      <c r="AV31" s="3"/>
      <c r="AW31" s="3"/>
      <c r="AX31" s="3"/>
      <c r="AY31" s="3"/>
      <c r="AZ31" s="3"/>
      <c r="BA31" s="3"/>
      <c r="BB31" s="3"/>
    </row>
    <row r="32" spans="1:54" ht="12.75" customHeight="1">
      <c r="A32" s="53"/>
      <c r="B32" s="478" t="s">
        <v>272</v>
      </c>
      <c r="C32" s="389" t="str">
        <f t="shared" si="23"/>
        <v>Residential.CBR Class B Rate Riders</v>
      </c>
      <c r="D32" s="390" t="s">
        <v>337</v>
      </c>
      <c r="E32" s="328"/>
      <c r="F32" s="408">
        <f>IFERROR(VLOOKUP($C32,'Proposed Rates'!$B:$J,F$11,FALSE),0)</f>
        <v>2.0000000000000001E-4</v>
      </c>
      <c r="G32" s="409">
        <f t="shared" si="24"/>
        <v>620</v>
      </c>
      <c r="H32" s="394">
        <f t="shared" si="25"/>
        <v>0.124</v>
      </c>
      <c r="I32" s="479"/>
      <c r="J32" s="408">
        <f>IFERROR(VLOOKUP($C32,'Proposed Rates'!$B:$J,J$11,FALSE),0)</f>
        <v>6.9999999999999999E-4</v>
      </c>
      <c r="K32" s="409">
        <f t="shared" si="26"/>
        <v>620</v>
      </c>
      <c r="L32" s="394">
        <f t="shared" si="27"/>
        <v>0.434</v>
      </c>
      <c r="M32" s="411"/>
      <c r="N32" s="395">
        <f t="shared" ref="N32:N48" si="36">L32-H32</f>
        <v>0.31</v>
      </c>
      <c r="O32" s="396">
        <f t="shared" ref="O32:O48" si="37">IF((H32)=0,"",(N32/H32))</f>
        <v>2.5</v>
      </c>
      <c r="P32" s="53"/>
      <c r="Q32" s="408">
        <f>IFERROR(VLOOKUP($C32,'Proposed Rates'!$B:$J,Q$11,FALSE),0)</f>
        <v>0</v>
      </c>
      <c r="R32" s="409">
        <f t="shared" si="28"/>
        <v>620</v>
      </c>
      <c r="S32" s="394">
        <f t="shared" si="29"/>
        <v>0</v>
      </c>
      <c r="T32" s="411"/>
      <c r="U32" s="395">
        <f t="shared" si="9"/>
        <v>-0.434</v>
      </c>
      <c r="V32" s="396">
        <f t="shared" si="10"/>
        <v>-1</v>
      </c>
      <c r="W32" s="53"/>
      <c r="X32" s="408">
        <f>IFERROR(VLOOKUP($C32,'Proposed Rates'!$B:$J,X$11,FALSE),0)</f>
        <v>0</v>
      </c>
      <c r="Y32" s="409">
        <f t="shared" si="30"/>
        <v>620</v>
      </c>
      <c r="Z32" s="394">
        <f t="shared" si="31"/>
        <v>0</v>
      </c>
      <c r="AA32" s="411"/>
      <c r="AB32" s="395">
        <f t="shared" si="13"/>
        <v>0</v>
      </c>
      <c r="AC32" s="396" t="str">
        <f t="shared" si="14"/>
        <v/>
      </c>
      <c r="AD32" s="53"/>
      <c r="AE32" s="408">
        <f>IFERROR(VLOOKUP($C32,'Proposed Rates'!$B:$J,AE$11,FALSE),0)</f>
        <v>0</v>
      </c>
      <c r="AF32" s="409">
        <f t="shared" si="32"/>
        <v>620</v>
      </c>
      <c r="AG32" s="394">
        <f t="shared" si="33"/>
        <v>0</v>
      </c>
      <c r="AH32" s="411"/>
      <c r="AI32" s="395">
        <f t="shared" si="17"/>
        <v>0</v>
      </c>
      <c r="AJ32" s="396" t="str">
        <f t="shared" si="18"/>
        <v/>
      </c>
      <c r="AK32" s="53"/>
      <c r="AL32" s="408">
        <f>IFERROR(VLOOKUP($C32,'Proposed Rates'!$B:$J,AL$11,FALSE),0)</f>
        <v>0</v>
      </c>
      <c r="AM32" s="409">
        <f t="shared" si="34"/>
        <v>620</v>
      </c>
      <c r="AN32" s="394">
        <f t="shared" si="35"/>
        <v>0</v>
      </c>
      <c r="AO32" s="411"/>
      <c r="AP32" s="395">
        <f t="shared" si="21"/>
        <v>0</v>
      </c>
      <c r="AQ32" s="396" t="str">
        <f t="shared" si="22"/>
        <v/>
      </c>
      <c r="AR32" s="397"/>
      <c r="AS32" s="397"/>
      <c r="AT32" s="397"/>
      <c r="AU32" s="3"/>
      <c r="AV32" s="3"/>
      <c r="AW32" s="3"/>
      <c r="AX32" s="3"/>
      <c r="AY32" s="3"/>
      <c r="AZ32" s="3"/>
      <c r="BA32" s="3"/>
      <c r="BB32" s="3"/>
    </row>
    <row r="33" spans="1:54" ht="12.75" customHeight="1">
      <c r="A33" s="53"/>
      <c r="B33" s="478" t="s">
        <v>340</v>
      </c>
      <c r="C33" s="389" t="str">
        <f t="shared" si="23"/>
        <v>Residential.GA Disposition Rate Rider-NonRPP</v>
      </c>
      <c r="D33" s="390" t="s">
        <v>337</v>
      </c>
      <c r="E33" s="328"/>
      <c r="F33" s="408">
        <f>IFERROR(VLOOKUP($C33,'Proposed Rates'!$B:$J,F$11,FALSE),0)</f>
        <v>0</v>
      </c>
      <c r="G33" s="409">
        <f t="shared" si="24"/>
        <v>620</v>
      </c>
      <c r="H33" s="394">
        <f t="shared" si="25"/>
        <v>0</v>
      </c>
      <c r="I33" s="479"/>
      <c r="J33" s="408">
        <f>IFERROR(VLOOKUP($C33,'Proposed Rates'!$B:$J,J$11,FALSE),0)</f>
        <v>0</v>
      </c>
      <c r="K33" s="409">
        <f t="shared" si="26"/>
        <v>620</v>
      </c>
      <c r="L33" s="394">
        <f t="shared" si="27"/>
        <v>0</v>
      </c>
      <c r="M33" s="411"/>
      <c r="N33" s="395">
        <f t="shared" si="36"/>
        <v>0</v>
      </c>
      <c r="O33" s="396" t="str">
        <f t="shared" si="37"/>
        <v/>
      </c>
      <c r="P33" s="53"/>
      <c r="Q33" s="408">
        <f>IFERROR(VLOOKUP($C33,'Proposed Rates'!$B:$J,Q$11,FALSE),0)</f>
        <v>0</v>
      </c>
      <c r="R33" s="409">
        <f t="shared" si="28"/>
        <v>620</v>
      </c>
      <c r="S33" s="394">
        <f t="shared" si="29"/>
        <v>0</v>
      </c>
      <c r="T33" s="411"/>
      <c r="U33" s="395">
        <f t="shared" si="9"/>
        <v>0</v>
      </c>
      <c r="V33" s="396" t="str">
        <f t="shared" si="10"/>
        <v/>
      </c>
      <c r="W33" s="53"/>
      <c r="X33" s="408">
        <f>IFERROR(VLOOKUP($C33,'Proposed Rates'!$B:$J,X$11,FALSE),0)</f>
        <v>0</v>
      </c>
      <c r="Y33" s="409">
        <f t="shared" si="30"/>
        <v>620</v>
      </c>
      <c r="Z33" s="394">
        <f t="shared" si="31"/>
        <v>0</v>
      </c>
      <c r="AA33" s="411"/>
      <c r="AB33" s="395">
        <f t="shared" si="13"/>
        <v>0</v>
      </c>
      <c r="AC33" s="396" t="str">
        <f t="shared" si="14"/>
        <v/>
      </c>
      <c r="AD33" s="53"/>
      <c r="AE33" s="408">
        <f>IFERROR(VLOOKUP($C33,'Proposed Rates'!$B:$J,AE$11,FALSE),0)</f>
        <v>0</v>
      </c>
      <c r="AF33" s="409">
        <f t="shared" si="32"/>
        <v>620</v>
      </c>
      <c r="AG33" s="394">
        <f t="shared" si="33"/>
        <v>0</v>
      </c>
      <c r="AH33" s="411"/>
      <c r="AI33" s="395">
        <f t="shared" si="17"/>
        <v>0</v>
      </c>
      <c r="AJ33" s="396" t="str">
        <f t="shared" si="18"/>
        <v/>
      </c>
      <c r="AK33" s="53"/>
      <c r="AL33" s="408">
        <f>IFERROR(VLOOKUP($C33,'Proposed Rates'!$B:$J,AL$11,FALSE),0)</f>
        <v>0</v>
      </c>
      <c r="AM33" s="409">
        <f t="shared" si="34"/>
        <v>620</v>
      </c>
      <c r="AN33" s="394">
        <f t="shared" si="35"/>
        <v>0</v>
      </c>
      <c r="AO33" s="411"/>
      <c r="AP33" s="395">
        <f t="shared" si="21"/>
        <v>0</v>
      </c>
      <c r="AQ33" s="396" t="str">
        <f t="shared" si="22"/>
        <v/>
      </c>
      <c r="AR33" s="397"/>
      <c r="AS33" s="397"/>
      <c r="AT33" s="397"/>
      <c r="AU33" s="3"/>
      <c r="AV33" s="3"/>
      <c r="AW33" s="3"/>
      <c r="AX33" s="3"/>
      <c r="AY33" s="3"/>
      <c r="AZ33" s="3"/>
      <c r="BA33" s="3"/>
      <c r="BB33" s="3"/>
    </row>
    <row r="34" spans="1:54" ht="12.75" customHeight="1">
      <c r="A34" s="53"/>
      <c r="B34" s="328" t="s">
        <v>300</v>
      </c>
      <c r="C34" s="389" t="str">
        <f t="shared" si="23"/>
        <v>Residential.Low Voltage Service Charge</v>
      </c>
      <c r="D34" s="390" t="s">
        <v>337</v>
      </c>
      <c r="E34" s="328"/>
      <c r="F34" s="412">
        <f>IFERROR(VLOOKUP($C34,'Proposed Rates'!$B:$J,F$11,FALSE),0)</f>
        <v>5.0000000000000002E-5</v>
      </c>
      <c r="G34" s="413">
        <f>$F$10*(1+F$63)</f>
        <v>640.95600000000002</v>
      </c>
      <c r="H34" s="394">
        <f t="shared" si="25"/>
        <v>3.2047800000000001E-2</v>
      </c>
      <c r="I34" s="138"/>
      <c r="J34" s="412">
        <f>IFERROR(VLOOKUP($C34,'Proposed Rates'!$B:$J,J$11,FALSE),0)</f>
        <v>6.9999999999999994E-5</v>
      </c>
      <c r="K34" s="413">
        <f>$F$10*(1+J$63)</f>
        <v>640.58399999999995</v>
      </c>
      <c r="L34" s="394">
        <f t="shared" si="27"/>
        <v>4.4840879999999993E-2</v>
      </c>
      <c r="M34" s="138"/>
      <c r="N34" s="395">
        <f t="shared" si="36"/>
        <v>1.2793079999999991E-2</v>
      </c>
      <c r="O34" s="396">
        <f t="shared" si="37"/>
        <v>0.3991874637260589</v>
      </c>
      <c r="P34" s="53"/>
      <c r="Q34" s="412">
        <f>IFERROR(VLOOKUP($C34,'Proposed Rates'!$B:$J,Q$11,FALSE),0)</f>
        <v>6.9999999999999994E-5</v>
      </c>
      <c r="R34" s="413">
        <f>$F$10*(1+Q$63)</f>
        <v>640.58399999999995</v>
      </c>
      <c r="S34" s="394">
        <f t="shared" si="29"/>
        <v>4.4840879999999993E-2</v>
      </c>
      <c r="T34" s="138"/>
      <c r="U34" s="395">
        <f t="shared" si="9"/>
        <v>0</v>
      </c>
      <c r="V34" s="396">
        <f t="shared" si="10"/>
        <v>0</v>
      </c>
      <c r="W34" s="53"/>
      <c r="X34" s="412">
        <f>IFERROR(VLOOKUP($C34,'Proposed Rates'!$B:$J,X$11,FALSE),0)</f>
        <v>8.0000000000000007E-5</v>
      </c>
      <c r="Y34" s="413">
        <f>$F$10*(1+X$63)</f>
        <v>640.58399999999995</v>
      </c>
      <c r="Z34" s="394">
        <f t="shared" si="31"/>
        <v>5.1246720000000003E-2</v>
      </c>
      <c r="AA34" s="138"/>
      <c r="AB34" s="395">
        <f t="shared" si="13"/>
        <v>6.4058400000000099E-3</v>
      </c>
      <c r="AC34" s="396">
        <f t="shared" si="14"/>
        <v>0.1428571428571431</v>
      </c>
      <c r="AD34" s="53"/>
      <c r="AE34" s="412">
        <f>IFERROR(VLOOKUP($C34,'Proposed Rates'!$B:$J,AE$11,FALSE),0)</f>
        <v>8.0000000000000007E-5</v>
      </c>
      <c r="AF34" s="413">
        <f>$F$10*(1+AE$63)</f>
        <v>640.58399999999995</v>
      </c>
      <c r="AG34" s="394">
        <f t="shared" si="33"/>
        <v>5.1246720000000003E-2</v>
      </c>
      <c r="AH34" s="138"/>
      <c r="AI34" s="395">
        <f t="shared" si="17"/>
        <v>0</v>
      </c>
      <c r="AJ34" s="396">
        <f t="shared" si="18"/>
        <v>0</v>
      </c>
      <c r="AK34" s="53"/>
      <c r="AL34" s="412">
        <f>IFERROR(VLOOKUP($C34,'Proposed Rates'!$B:$J,AL$11,FALSE),0)</f>
        <v>8.0000000000000007E-5</v>
      </c>
      <c r="AM34" s="413">
        <f>$F$10*(1+AL$63)</f>
        <v>640.58399999999995</v>
      </c>
      <c r="AN34" s="394">
        <f t="shared" si="35"/>
        <v>5.1246720000000003E-2</v>
      </c>
      <c r="AO34" s="138"/>
      <c r="AP34" s="395">
        <f t="shared" si="21"/>
        <v>0</v>
      </c>
      <c r="AQ34" s="396">
        <f t="shared" si="22"/>
        <v>0</v>
      </c>
      <c r="AR34" s="397"/>
      <c r="AS34" s="397"/>
      <c r="AT34" s="397"/>
      <c r="AU34" s="3"/>
      <c r="AV34" s="3"/>
      <c r="AW34" s="3"/>
      <c r="AX34" s="3"/>
      <c r="AY34" s="3"/>
      <c r="AZ34" s="3"/>
      <c r="BA34" s="3"/>
      <c r="BB34" s="3"/>
    </row>
    <row r="35" spans="1:54" ht="12.75" customHeight="1">
      <c r="A35" s="53"/>
      <c r="B35" s="328" t="s">
        <v>341</v>
      </c>
      <c r="C35" s="389" t="str">
        <f t="shared" si="23"/>
        <v>Residential.Line Losses on Cost of Power</v>
      </c>
      <c r="D35" s="390" t="s">
        <v>337</v>
      </c>
      <c r="E35" s="328"/>
      <c r="F35" s="414">
        <f>'Proposed Rates'!$K$256*F$44+'Proposed Rates'!$K$257*F$46+'Proposed Rates'!$K$258*F$45</f>
        <v>0.12751999999999999</v>
      </c>
      <c r="G35" s="415">
        <f>$F$10*(1+F$63)-$F$10</f>
        <v>20.956000000000017</v>
      </c>
      <c r="H35" s="394">
        <f t="shared" si="25"/>
        <v>2.6723091200000022</v>
      </c>
      <c r="I35" s="138"/>
      <c r="J35" s="414">
        <f>'Proposed Rates'!$K$256*J$44+'Proposed Rates'!$K$257*J$46+'Proposed Rates'!$K$258*J$45</f>
        <v>0.12751999999999999</v>
      </c>
      <c r="K35" s="415">
        <f>$F$10*(1+J$63)-$F$10</f>
        <v>20.583999999999946</v>
      </c>
      <c r="L35" s="394">
        <f t="shared" si="27"/>
        <v>2.6248716799999929</v>
      </c>
      <c r="M35" s="138"/>
      <c r="N35" s="395">
        <f t="shared" si="36"/>
        <v>-4.7437440000009268E-2</v>
      </c>
      <c r="O35" s="396">
        <f t="shared" si="37"/>
        <v>-1.7751479289944281E-2</v>
      </c>
      <c r="P35" s="53"/>
      <c r="Q35" s="414">
        <f>'Proposed Rates'!$K$256*Q$44+'Proposed Rates'!$K$257*Q$46+'Proposed Rates'!$K$258*Q$45</f>
        <v>0.12751999999999999</v>
      </c>
      <c r="R35" s="415">
        <f>$F$10*(1+Q$63)-$F$10</f>
        <v>20.583999999999946</v>
      </c>
      <c r="S35" s="394">
        <f t="shared" si="29"/>
        <v>2.6248716799999929</v>
      </c>
      <c r="T35" s="138"/>
      <c r="U35" s="395">
        <f t="shared" si="9"/>
        <v>0</v>
      </c>
      <c r="V35" s="396">
        <f t="shared" si="10"/>
        <v>0</v>
      </c>
      <c r="W35" s="53"/>
      <c r="X35" s="414">
        <f>'Proposed Rates'!$K$256*X$44+'Proposed Rates'!$K$257*X$46+'Proposed Rates'!$K$258*X$45</f>
        <v>0.12751999999999999</v>
      </c>
      <c r="Y35" s="415">
        <f>$F$10*(1+X$63)-$F$10</f>
        <v>20.583999999999946</v>
      </c>
      <c r="Z35" s="394">
        <f t="shared" si="31"/>
        <v>2.6248716799999929</v>
      </c>
      <c r="AA35" s="138"/>
      <c r="AB35" s="395">
        <f t="shared" si="13"/>
        <v>0</v>
      </c>
      <c r="AC35" s="396">
        <f t="shared" si="14"/>
        <v>0</v>
      </c>
      <c r="AD35" s="53"/>
      <c r="AE35" s="414">
        <f>'Proposed Rates'!$K$256*AE$44+'Proposed Rates'!$K$257*AE$46+'Proposed Rates'!$K$258*AE$45</f>
        <v>0.12751999999999999</v>
      </c>
      <c r="AF35" s="415">
        <f>$F$10*(1+AE$63)-$F$10</f>
        <v>20.583999999999946</v>
      </c>
      <c r="AG35" s="394">
        <f t="shared" si="33"/>
        <v>2.6248716799999929</v>
      </c>
      <c r="AH35" s="138"/>
      <c r="AI35" s="395">
        <f t="shared" si="17"/>
        <v>0</v>
      </c>
      <c r="AJ35" s="396">
        <f t="shared" si="18"/>
        <v>0</v>
      </c>
      <c r="AK35" s="53"/>
      <c r="AL35" s="414">
        <f>'Proposed Rates'!$K$256*AL$44+'Proposed Rates'!$K$257*AL$46+'Proposed Rates'!$K$258*AL$45</f>
        <v>0.12751999999999999</v>
      </c>
      <c r="AM35" s="415">
        <f>$F$10*(1+AL$63)-$F$10</f>
        <v>20.583999999999946</v>
      </c>
      <c r="AN35" s="394">
        <f t="shared" si="35"/>
        <v>2.6248716799999929</v>
      </c>
      <c r="AO35" s="138"/>
      <c r="AP35" s="395">
        <f t="shared" si="21"/>
        <v>0</v>
      </c>
      <c r="AQ35" s="396">
        <f t="shared" si="22"/>
        <v>0</v>
      </c>
      <c r="AR35" s="397"/>
      <c r="AS35" s="397"/>
      <c r="AT35" s="397"/>
      <c r="AU35" s="3"/>
      <c r="AV35" s="3"/>
      <c r="AW35" s="3"/>
      <c r="AX35" s="3"/>
      <c r="AY35" s="3"/>
      <c r="AZ35" s="3"/>
      <c r="BA35" s="3"/>
      <c r="BB35" s="3"/>
    </row>
    <row r="36" spans="1:54" ht="12.75" customHeight="1">
      <c r="A36" s="53"/>
      <c r="B36" s="328" t="s">
        <v>302</v>
      </c>
      <c r="C36" s="389" t="str">
        <f t="shared" si="23"/>
        <v>Residential.Smart Meter Entity Charge</v>
      </c>
      <c r="D36" s="390" t="s">
        <v>335</v>
      </c>
      <c r="E36" s="328"/>
      <c r="F36" s="391">
        <f>IFERROR(VLOOKUP($C36,'Proposed Rates'!$B:$J,F$11,FALSE),0)</f>
        <v>0.42</v>
      </c>
      <c r="G36" s="409">
        <f>IF($D36="Monthly",1,IF($D36="per KWH",$F$10,0))</f>
        <v>1</v>
      </c>
      <c r="H36" s="394">
        <f t="shared" si="25"/>
        <v>0.42</v>
      </c>
      <c r="I36" s="138"/>
      <c r="J36" s="391">
        <f>IFERROR(VLOOKUP($C36,'Proposed Rates'!$B:$J,J$11,FALSE),0)</f>
        <v>0.42</v>
      </c>
      <c r="K36" s="409">
        <f>IF($D36="Monthly",1,IF($D36="per KWH",$F$10,0))</f>
        <v>1</v>
      </c>
      <c r="L36" s="394">
        <f t="shared" si="27"/>
        <v>0.42</v>
      </c>
      <c r="M36" s="138"/>
      <c r="N36" s="395">
        <f t="shared" si="36"/>
        <v>0</v>
      </c>
      <c r="O36" s="396">
        <f t="shared" si="37"/>
        <v>0</v>
      </c>
      <c r="P36" s="53"/>
      <c r="Q36" s="391">
        <f>IFERROR(VLOOKUP($C36,'Proposed Rates'!$B:$J,Q$11,FALSE),0)</f>
        <v>0.42</v>
      </c>
      <c r="R36" s="409">
        <f>IF($D36="Monthly",1,IF($D36="per KWH",$F$10,0))</f>
        <v>1</v>
      </c>
      <c r="S36" s="394">
        <f t="shared" si="29"/>
        <v>0.42</v>
      </c>
      <c r="T36" s="138"/>
      <c r="U36" s="395">
        <f t="shared" si="9"/>
        <v>0</v>
      </c>
      <c r="V36" s="396">
        <f t="shared" si="10"/>
        <v>0</v>
      </c>
      <c r="W36" s="53"/>
      <c r="X36" s="391">
        <f>IFERROR(VLOOKUP($C36,'Proposed Rates'!$B:$J,X$11,FALSE),0)</f>
        <v>0.43</v>
      </c>
      <c r="Y36" s="409">
        <f>IF($D36="Monthly",1,IF($D36="per KWH",$F$10,0))</f>
        <v>1</v>
      </c>
      <c r="Z36" s="394">
        <f t="shared" si="31"/>
        <v>0.43</v>
      </c>
      <c r="AA36" s="138"/>
      <c r="AB36" s="395">
        <f t="shared" si="13"/>
        <v>1.0000000000000009E-2</v>
      </c>
      <c r="AC36" s="396">
        <f t="shared" si="14"/>
        <v>2.3809523809523832E-2</v>
      </c>
      <c r="AD36" s="53"/>
      <c r="AE36" s="391">
        <f>IFERROR(VLOOKUP($C36,'Proposed Rates'!$B:$J,AE$11,FALSE),0)</f>
        <v>0.44</v>
      </c>
      <c r="AF36" s="409">
        <f>IF($D36="Monthly",1,IF($D36="per KWH",$F$10,0))</f>
        <v>1</v>
      </c>
      <c r="AG36" s="394">
        <f t="shared" si="33"/>
        <v>0.44</v>
      </c>
      <c r="AH36" s="138"/>
      <c r="AI36" s="395">
        <f t="shared" si="17"/>
        <v>1.0000000000000009E-2</v>
      </c>
      <c r="AJ36" s="396">
        <f t="shared" si="18"/>
        <v>2.3255813953488393E-2</v>
      </c>
      <c r="AK36" s="53"/>
      <c r="AL36" s="391">
        <f>IFERROR(VLOOKUP($C36,'Proposed Rates'!$B:$J,AL$11,FALSE),0)</f>
        <v>0.45</v>
      </c>
      <c r="AM36" s="409">
        <f>IF($D36="Monthly",1,IF($D36="per KWH",$F$10,0))</f>
        <v>1</v>
      </c>
      <c r="AN36" s="394">
        <f t="shared" si="35"/>
        <v>0.45</v>
      </c>
      <c r="AO36" s="138"/>
      <c r="AP36" s="395">
        <f t="shared" si="21"/>
        <v>1.0000000000000009E-2</v>
      </c>
      <c r="AQ36" s="396">
        <f t="shared" si="22"/>
        <v>2.2727272727272749E-2</v>
      </c>
      <c r="AR36" s="397"/>
      <c r="AS36" s="397"/>
      <c r="AT36" s="397"/>
      <c r="AU36" s="3"/>
      <c r="AV36" s="3"/>
      <c r="AW36" s="3"/>
      <c r="AX36" s="3"/>
      <c r="AY36" s="3"/>
      <c r="AZ36" s="3"/>
      <c r="BA36" s="3"/>
      <c r="BB36" s="3"/>
    </row>
    <row r="37" spans="1:54" ht="12.75" customHeight="1">
      <c r="A37" s="53"/>
      <c r="B37" s="480" t="s">
        <v>342</v>
      </c>
      <c r="C37" s="416"/>
      <c r="D37" s="416"/>
      <c r="E37" s="416"/>
      <c r="F37" s="417"/>
      <c r="G37" s="495"/>
      <c r="H37" s="403">
        <f>SUM(H30:H36)+H29</f>
        <v>37.634356920000002</v>
      </c>
      <c r="I37" s="419"/>
      <c r="J37" s="417"/>
      <c r="K37" s="495"/>
      <c r="L37" s="403">
        <f>SUM(L30:L36)+L29</f>
        <v>42.753712560000004</v>
      </c>
      <c r="M37" s="419"/>
      <c r="N37" s="405">
        <f t="shared" si="36"/>
        <v>5.119355640000002</v>
      </c>
      <c r="O37" s="406">
        <f t="shared" si="37"/>
        <v>0.13602877952404777</v>
      </c>
      <c r="P37" s="53"/>
      <c r="Q37" s="417"/>
      <c r="R37" s="495"/>
      <c r="S37" s="403">
        <f>SUM(S30:S36)+S29</f>
        <v>46.02971256</v>
      </c>
      <c r="T37" s="419"/>
      <c r="U37" s="405">
        <f t="shared" si="9"/>
        <v>3.2759999999999962</v>
      </c>
      <c r="V37" s="406">
        <f t="shared" si="10"/>
        <v>7.6624924570059275E-2</v>
      </c>
      <c r="W37" s="53"/>
      <c r="X37" s="417"/>
      <c r="Y37" s="495"/>
      <c r="Z37" s="403">
        <f>SUM(Z30:Z36)+Z29</f>
        <v>47.036118399999992</v>
      </c>
      <c r="AA37" s="419"/>
      <c r="AB37" s="405">
        <f t="shared" si="13"/>
        <v>1.0064058399999922</v>
      </c>
      <c r="AC37" s="406">
        <f t="shared" si="14"/>
        <v>2.1864265145869342E-2</v>
      </c>
      <c r="AD37" s="53"/>
      <c r="AE37" s="417"/>
      <c r="AF37" s="495"/>
      <c r="AG37" s="403">
        <f>SUM(AG30:AG36)+AG29</f>
        <v>48.536118399999992</v>
      </c>
      <c r="AH37" s="419"/>
      <c r="AI37" s="405">
        <f t="shared" si="17"/>
        <v>1.5</v>
      </c>
      <c r="AJ37" s="406">
        <f t="shared" si="18"/>
        <v>3.1890386601288942E-2</v>
      </c>
      <c r="AK37" s="53"/>
      <c r="AL37" s="417"/>
      <c r="AM37" s="495"/>
      <c r="AN37" s="403">
        <f>SUM(AN30:AN36)+AN29</f>
        <v>49.906118399999997</v>
      </c>
      <c r="AO37" s="419"/>
      <c r="AP37" s="405">
        <f t="shared" si="21"/>
        <v>1.3700000000000045</v>
      </c>
      <c r="AQ37" s="406">
        <f t="shared" si="22"/>
        <v>2.8226402216787173E-2</v>
      </c>
      <c r="AR37" s="445"/>
      <c r="AS37" s="445"/>
      <c r="AT37" s="445"/>
      <c r="AU37" s="3"/>
      <c r="AV37" s="3"/>
      <c r="AW37" s="3"/>
      <c r="AX37" s="3"/>
      <c r="AY37" s="3"/>
      <c r="AZ37" s="3"/>
      <c r="BA37" s="3"/>
      <c r="BB37" s="3"/>
    </row>
    <row r="38" spans="1:54" ht="12.75" customHeight="1">
      <c r="A38" s="53"/>
      <c r="B38" s="138" t="s">
        <v>285</v>
      </c>
      <c r="C38" s="389" t="str">
        <f t="shared" ref="C38:C39" si="38">D$6&amp;"."&amp;B38</f>
        <v>Residential.RTSR - Network</v>
      </c>
      <c r="D38" s="420" t="s">
        <v>337</v>
      </c>
      <c r="E38" s="138"/>
      <c r="F38" s="408">
        <f>IFERROR(VLOOKUP($C38,'Proposed Rates'!$B:$J,F$11,FALSE),0)</f>
        <v>1.26E-2</v>
      </c>
      <c r="G38" s="413">
        <f t="shared" ref="G38:G39" si="39">$F$10*(1+F$63)</f>
        <v>640.95600000000002</v>
      </c>
      <c r="H38" s="394">
        <f t="shared" ref="H38:H39" si="40">G38*F38</f>
        <v>8.0760456000000005</v>
      </c>
      <c r="I38" s="138"/>
      <c r="J38" s="408">
        <f>IFERROR(VLOOKUP($C38,'Proposed Rates'!$B:$J,J$11,FALSE),0)</f>
        <v>1.38E-2</v>
      </c>
      <c r="K38" s="413">
        <f t="shared" ref="K38:K39" si="41">$F$10*(1+J$63)</f>
        <v>640.58399999999995</v>
      </c>
      <c r="L38" s="394">
        <f t="shared" ref="L38:L39" si="42">K38*J38</f>
        <v>8.8400591999999989</v>
      </c>
      <c r="M38" s="138"/>
      <c r="N38" s="395">
        <f t="shared" si="36"/>
        <v>0.76401359999999841</v>
      </c>
      <c r="O38" s="396">
        <f t="shared" si="37"/>
        <v>9.4602437608821616E-2</v>
      </c>
      <c r="P38" s="53"/>
      <c r="Q38" s="408">
        <f>IFERROR(VLOOKUP($C38,'Proposed Rates'!$B:$J,Q$11,FALSE),0)</f>
        <v>1.38E-2</v>
      </c>
      <c r="R38" s="413">
        <f t="shared" ref="R38:R39" si="43">$F$10*(1+Q$63)</f>
        <v>640.58399999999995</v>
      </c>
      <c r="S38" s="394">
        <f t="shared" ref="S38:S39" si="44">R38*Q38</f>
        <v>8.8400591999999989</v>
      </c>
      <c r="T38" s="138"/>
      <c r="U38" s="395">
        <f t="shared" si="9"/>
        <v>0</v>
      </c>
      <c r="V38" s="396">
        <f t="shared" si="10"/>
        <v>0</v>
      </c>
      <c r="W38" s="53"/>
      <c r="X38" s="408">
        <f>IFERROR(VLOOKUP($C38,'Proposed Rates'!$B:$J,X$11,FALSE),0)</f>
        <v>1.38E-2</v>
      </c>
      <c r="Y38" s="413">
        <f t="shared" ref="Y38:Y39" si="45">$F$10*(1+X$63)</f>
        <v>640.58399999999995</v>
      </c>
      <c r="Z38" s="394">
        <f t="shared" ref="Z38:Z39" si="46">Y38*X38</f>
        <v>8.8400591999999989</v>
      </c>
      <c r="AA38" s="138"/>
      <c r="AB38" s="395">
        <f t="shared" si="13"/>
        <v>0</v>
      </c>
      <c r="AC38" s="396">
        <f t="shared" si="14"/>
        <v>0</v>
      </c>
      <c r="AD38" s="53"/>
      <c r="AE38" s="408">
        <f>IFERROR(VLOOKUP($C38,'Proposed Rates'!$B:$J,AE$11,FALSE),0)</f>
        <v>1.38E-2</v>
      </c>
      <c r="AF38" s="413">
        <f t="shared" ref="AF38:AF39" si="47">$F$10*(1+AE$63)</f>
        <v>640.58399999999995</v>
      </c>
      <c r="AG38" s="394">
        <f t="shared" ref="AG38:AG39" si="48">AF38*AE38</f>
        <v>8.8400591999999989</v>
      </c>
      <c r="AH38" s="138"/>
      <c r="AI38" s="395">
        <f t="shared" si="17"/>
        <v>0</v>
      </c>
      <c r="AJ38" s="396">
        <f t="shared" si="18"/>
        <v>0</v>
      </c>
      <c r="AK38" s="53"/>
      <c r="AL38" s="408">
        <f>IFERROR(VLOOKUP($C38,'Proposed Rates'!$B:$J,AL$11,FALSE),0)</f>
        <v>1.38E-2</v>
      </c>
      <c r="AM38" s="413">
        <f t="shared" ref="AM38:AM39" si="49">$F$10*(1+AL$63)</f>
        <v>640.58399999999995</v>
      </c>
      <c r="AN38" s="394">
        <f t="shared" ref="AN38:AN39" si="50">AM38*AL38</f>
        <v>8.8400591999999989</v>
      </c>
      <c r="AO38" s="138"/>
      <c r="AP38" s="395">
        <f t="shared" si="21"/>
        <v>0</v>
      </c>
      <c r="AQ38" s="396">
        <f t="shared" si="22"/>
        <v>0</v>
      </c>
      <c r="AR38" s="397"/>
      <c r="AS38" s="397"/>
      <c r="AT38" s="397"/>
      <c r="AU38" s="3"/>
      <c r="AV38" s="3"/>
      <c r="AW38" s="3"/>
      <c r="AX38" s="3"/>
      <c r="AY38" s="3"/>
      <c r="AZ38" s="3"/>
      <c r="BA38" s="3"/>
      <c r="BB38" s="3"/>
    </row>
    <row r="39" spans="1:54" ht="12.75" customHeight="1">
      <c r="A39" s="53"/>
      <c r="B39" s="481" t="s">
        <v>288</v>
      </c>
      <c r="C39" s="389" t="str">
        <f t="shared" si="38"/>
        <v>Residential.RTSR - Line and Transformation Connection</v>
      </c>
      <c r="D39" s="420" t="s">
        <v>337</v>
      </c>
      <c r="E39" s="138"/>
      <c r="F39" s="408">
        <f>IFERROR(VLOOKUP($C39,'Proposed Rates'!$B:$J,F$11,FALSE),0)</f>
        <v>7.1999999999999998E-3</v>
      </c>
      <c r="G39" s="413">
        <f t="shared" si="39"/>
        <v>640.95600000000002</v>
      </c>
      <c r="H39" s="394">
        <f t="shared" si="40"/>
        <v>4.6148832000000004</v>
      </c>
      <c r="I39" s="138"/>
      <c r="J39" s="408">
        <f>IFERROR(VLOOKUP($C39,'Proposed Rates'!$B:$J,J$11,FALSE),0)</f>
        <v>7.7999999999999996E-3</v>
      </c>
      <c r="K39" s="413">
        <f t="shared" si="41"/>
        <v>640.58399999999995</v>
      </c>
      <c r="L39" s="394">
        <f t="shared" si="42"/>
        <v>4.9965551999999995</v>
      </c>
      <c r="M39" s="138"/>
      <c r="N39" s="395">
        <f t="shared" si="36"/>
        <v>0.38167199999999912</v>
      </c>
      <c r="O39" s="396">
        <f t="shared" si="37"/>
        <v>8.2704585026117036E-2</v>
      </c>
      <c r="P39" s="53"/>
      <c r="Q39" s="408">
        <f>IFERROR(VLOOKUP($C39,'Proposed Rates'!$B:$J,Q$11,FALSE),0)</f>
        <v>7.7999999999999996E-3</v>
      </c>
      <c r="R39" s="413">
        <f t="shared" si="43"/>
        <v>640.58399999999995</v>
      </c>
      <c r="S39" s="394">
        <f t="shared" si="44"/>
        <v>4.9965551999999995</v>
      </c>
      <c r="T39" s="138"/>
      <c r="U39" s="395">
        <f t="shared" si="9"/>
        <v>0</v>
      </c>
      <c r="V39" s="396">
        <f t="shared" si="10"/>
        <v>0</v>
      </c>
      <c r="W39" s="53"/>
      <c r="X39" s="408">
        <f>IFERROR(VLOOKUP($C39,'Proposed Rates'!$B:$J,X$11,FALSE),0)</f>
        <v>7.7999999999999996E-3</v>
      </c>
      <c r="Y39" s="413">
        <f t="shared" si="45"/>
        <v>640.58399999999995</v>
      </c>
      <c r="Z39" s="394">
        <f t="shared" si="46"/>
        <v>4.9965551999999995</v>
      </c>
      <c r="AA39" s="138"/>
      <c r="AB39" s="395">
        <f t="shared" si="13"/>
        <v>0</v>
      </c>
      <c r="AC39" s="396">
        <f t="shared" si="14"/>
        <v>0</v>
      </c>
      <c r="AD39" s="53"/>
      <c r="AE39" s="408">
        <f>IFERROR(VLOOKUP($C39,'Proposed Rates'!$B:$J,AE$11,FALSE),0)</f>
        <v>7.7999999999999996E-3</v>
      </c>
      <c r="AF39" s="413">
        <f t="shared" si="47"/>
        <v>640.58399999999995</v>
      </c>
      <c r="AG39" s="394">
        <f t="shared" si="48"/>
        <v>4.9965551999999995</v>
      </c>
      <c r="AH39" s="138"/>
      <c r="AI39" s="395">
        <f t="shared" si="17"/>
        <v>0</v>
      </c>
      <c r="AJ39" s="396">
        <f t="shared" si="18"/>
        <v>0</v>
      </c>
      <c r="AK39" s="53"/>
      <c r="AL39" s="408">
        <f>IFERROR(VLOOKUP($C39,'Proposed Rates'!$B:$J,AL$11,FALSE),0)</f>
        <v>7.7999999999999996E-3</v>
      </c>
      <c r="AM39" s="413">
        <f t="shared" si="49"/>
        <v>640.58399999999995</v>
      </c>
      <c r="AN39" s="394">
        <f t="shared" si="50"/>
        <v>4.9965551999999995</v>
      </c>
      <c r="AO39" s="138"/>
      <c r="AP39" s="395">
        <f t="shared" si="21"/>
        <v>0</v>
      </c>
      <c r="AQ39" s="396">
        <f t="shared" si="22"/>
        <v>0</v>
      </c>
      <c r="AR39" s="397"/>
      <c r="AS39" s="397"/>
      <c r="AT39" s="397"/>
      <c r="AU39" s="3"/>
      <c r="AV39" s="3"/>
      <c r="AW39" s="3"/>
      <c r="AX39" s="3"/>
      <c r="AY39" s="3"/>
      <c r="AZ39" s="3"/>
      <c r="BA39" s="3"/>
      <c r="BB39" s="3"/>
    </row>
    <row r="40" spans="1:54" ht="12.75" customHeight="1">
      <c r="A40" s="53"/>
      <c r="B40" s="480" t="s">
        <v>343</v>
      </c>
      <c r="C40" s="421"/>
      <c r="D40" s="421"/>
      <c r="E40" s="421"/>
      <c r="F40" s="422"/>
      <c r="G40" s="423"/>
      <c r="H40" s="403">
        <f>SUM(H37:H39)</f>
        <v>50.325285720000004</v>
      </c>
      <c r="I40" s="404"/>
      <c r="J40" s="422"/>
      <c r="K40" s="423"/>
      <c r="L40" s="403">
        <f>SUM(L37:L39)</f>
        <v>56.590326959999999</v>
      </c>
      <c r="M40" s="404"/>
      <c r="N40" s="405">
        <f t="shared" si="36"/>
        <v>6.2650412399999951</v>
      </c>
      <c r="O40" s="406">
        <f t="shared" si="37"/>
        <v>0.12449092241338584</v>
      </c>
      <c r="P40" s="53"/>
      <c r="Q40" s="422"/>
      <c r="R40" s="423"/>
      <c r="S40" s="403">
        <f>SUM(S37:S39)</f>
        <v>59.866326959999995</v>
      </c>
      <c r="T40" s="404"/>
      <c r="U40" s="405">
        <f t="shared" si="9"/>
        <v>3.2759999999999962</v>
      </c>
      <c r="V40" s="406">
        <f t="shared" si="10"/>
        <v>5.7889752118159457E-2</v>
      </c>
      <c r="W40" s="53"/>
      <c r="X40" s="422"/>
      <c r="Y40" s="423"/>
      <c r="Z40" s="403">
        <f>SUM(Z37:Z39)</f>
        <v>60.872732799999994</v>
      </c>
      <c r="AA40" s="404"/>
      <c r="AB40" s="405">
        <f t="shared" si="13"/>
        <v>1.0064058399999993</v>
      </c>
      <c r="AC40" s="406">
        <f t="shared" si="14"/>
        <v>1.681088336474083E-2</v>
      </c>
      <c r="AD40" s="53"/>
      <c r="AE40" s="422"/>
      <c r="AF40" s="423"/>
      <c r="AG40" s="403">
        <f>SUM(AG37:AG39)</f>
        <v>62.372732799999994</v>
      </c>
      <c r="AH40" s="404"/>
      <c r="AI40" s="405">
        <f t="shared" si="17"/>
        <v>1.5</v>
      </c>
      <c r="AJ40" s="406">
        <f t="shared" si="18"/>
        <v>2.4641574823465132E-2</v>
      </c>
      <c r="AK40" s="53"/>
      <c r="AL40" s="422"/>
      <c r="AM40" s="423"/>
      <c r="AN40" s="403">
        <f>SUM(AN37:AN39)</f>
        <v>63.742732799999999</v>
      </c>
      <c r="AO40" s="404"/>
      <c r="AP40" s="405">
        <f t="shared" si="21"/>
        <v>1.3700000000000045</v>
      </c>
      <c r="AQ40" s="406">
        <f t="shared" si="22"/>
        <v>2.1964726227291499E-2</v>
      </c>
      <c r="AR40" s="445"/>
      <c r="AS40" s="445"/>
      <c r="AT40" s="445"/>
      <c r="AU40" s="3"/>
      <c r="AV40" s="3"/>
      <c r="AW40" s="3"/>
      <c r="AX40" s="3"/>
      <c r="AY40" s="3"/>
      <c r="AZ40" s="3"/>
      <c r="BA40" s="3"/>
      <c r="BB40" s="3"/>
    </row>
    <row r="41" spans="1:54" ht="12.75" customHeight="1">
      <c r="A41" s="53"/>
      <c r="B41" s="482" t="s">
        <v>289</v>
      </c>
      <c r="C41" s="389" t="str">
        <f t="shared" ref="C41:C48" si="51">D$6&amp;"."&amp;B41</f>
        <v>Residential.Wholesale Market Service Charge (WMSC)</v>
      </c>
      <c r="D41" s="390" t="s">
        <v>337</v>
      </c>
      <c r="E41" s="328"/>
      <c r="F41" s="408">
        <f>IFERROR(VLOOKUP($C41,'Proposed Rates'!$B:$J,F$11,FALSE),0)</f>
        <v>4.4999999999999997E-3</v>
      </c>
      <c r="G41" s="413">
        <f t="shared" ref="G41:G42" si="52">$F$10*(1+F$63)</f>
        <v>640.95600000000002</v>
      </c>
      <c r="H41" s="394">
        <f t="shared" ref="H41:H48" si="53">G41*F41</f>
        <v>2.8843019999999999</v>
      </c>
      <c r="I41" s="138"/>
      <c r="J41" s="408">
        <f>IFERROR(VLOOKUP($C41,'Proposed Rates'!$B:$J,J$11,FALSE),0)</f>
        <v>4.7000000000000002E-3</v>
      </c>
      <c r="K41" s="413">
        <f t="shared" ref="K41:K42" si="54">$F$10*(1+J$63)</f>
        <v>640.58399999999995</v>
      </c>
      <c r="L41" s="394">
        <f t="shared" ref="L41:L48" si="55">K41*J41</f>
        <v>3.0107447999999999</v>
      </c>
      <c r="M41" s="138"/>
      <c r="N41" s="395">
        <f t="shared" si="36"/>
        <v>0.12644279999999997</v>
      </c>
      <c r="O41" s="396">
        <f t="shared" si="37"/>
        <v>4.3838266589282249E-2</v>
      </c>
      <c r="P41" s="53"/>
      <c r="Q41" s="408">
        <f>IFERROR(VLOOKUP($C41,'Proposed Rates'!$B:$J,Q$11,FALSE),0)</f>
        <v>4.7000000000000002E-3</v>
      </c>
      <c r="R41" s="413">
        <f t="shared" ref="R41:R42" si="56">$F$10*(1+Q$63)</f>
        <v>640.58399999999995</v>
      </c>
      <c r="S41" s="394">
        <f t="shared" ref="S41:S48" si="57">R41*Q41</f>
        <v>3.0107447999999999</v>
      </c>
      <c r="T41" s="138"/>
      <c r="U41" s="395">
        <f t="shared" si="9"/>
        <v>0</v>
      </c>
      <c r="V41" s="396">
        <f t="shared" si="10"/>
        <v>0</v>
      </c>
      <c r="W41" s="53"/>
      <c r="X41" s="408">
        <f>IFERROR(VLOOKUP($C41,'Proposed Rates'!$B:$J,X$11,FALSE),0)</f>
        <v>4.7000000000000002E-3</v>
      </c>
      <c r="Y41" s="413">
        <f t="shared" ref="Y41:Y42" si="58">$F$10*(1+X$63)</f>
        <v>640.58399999999995</v>
      </c>
      <c r="Z41" s="394">
        <f t="shared" ref="Z41:Z48" si="59">Y41*X41</f>
        <v>3.0107447999999999</v>
      </c>
      <c r="AA41" s="138"/>
      <c r="AB41" s="395">
        <f t="shared" si="13"/>
        <v>0</v>
      </c>
      <c r="AC41" s="396">
        <f t="shared" si="14"/>
        <v>0</v>
      </c>
      <c r="AD41" s="53"/>
      <c r="AE41" s="408">
        <f>IFERROR(VLOOKUP($C41,'Proposed Rates'!$B:$J,AE$11,FALSE),0)</f>
        <v>4.7000000000000002E-3</v>
      </c>
      <c r="AF41" s="413">
        <f t="shared" ref="AF41:AF42" si="60">$F$10*(1+AE$63)</f>
        <v>640.58399999999995</v>
      </c>
      <c r="AG41" s="394">
        <f t="shared" ref="AG41:AG48" si="61">AF41*AE41</f>
        <v>3.0107447999999999</v>
      </c>
      <c r="AH41" s="138"/>
      <c r="AI41" s="395">
        <f t="shared" si="17"/>
        <v>0</v>
      </c>
      <c r="AJ41" s="396">
        <f t="shared" si="18"/>
        <v>0</v>
      </c>
      <c r="AK41" s="53"/>
      <c r="AL41" s="408">
        <f>IFERROR(VLOOKUP($C41,'Proposed Rates'!$B:$J,AL$11,FALSE),0)</f>
        <v>4.7000000000000002E-3</v>
      </c>
      <c r="AM41" s="413">
        <f t="shared" ref="AM41:AM42" si="62">$F$10*(1+AL$63)</f>
        <v>640.58399999999995</v>
      </c>
      <c r="AN41" s="394">
        <f t="shared" ref="AN41:AN48" si="63">AM41*AL41</f>
        <v>3.0107447999999999</v>
      </c>
      <c r="AO41" s="138"/>
      <c r="AP41" s="395">
        <f t="shared" si="21"/>
        <v>0</v>
      </c>
      <c r="AQ41" s="396">
        <f t="shared" si="22"/>
        <v>0</v>
      </c>
      <c r="AR41" s="397"/>
      <c r="AS41" s="397"/>
      <c r="AT41" s="397"/>
      <c r="AU41" s="3"/>
      <c r="AV41" s="3"/>
      <c r="AW41" s="3"/>
      <c r="AX41" s="3"/>
      <c r="AY41" s="3"/>
      <c r="AZ41" s="3"/>
      <c r="BA41" s="3"/>
      <c r="BB41" s="3"/>
    </row>
    <row r="42" spans="1:54" ht="12.75" customHeight="1">
      <c r="A42" s="53"/>
      <c r="B42" s="482" t="s">
        <v>290</v>
      </c>
      <c r="C42" s="389" t="str">
        <f t="shared" si="51"/>
        <v>Residential.Rural and Remote Rate Protection (RRRP)</v>
      </c>
      <c r="D42" s="390" t="s">
        <v>337</v>
      </c>
      <c r="E42" s="328"/>
      <c r="F42" s="408">
        <f>IFERROR(VLOOKUP($C42,'Proposed Rates'!$B:$J,F$11,FALSE),0)</f>
        <v>1.5E-3</v>
      </c>
      <c r="G42" s="413">
        <f t="shared" si="52"/>
        <v>640.95600000000002</v>
      </c>
      <c r="H42" s="394">
        <f t="shared" si="53"/>
        <v>0.96143400000000001</v>
      </c>
      <c r="I42" s="138"/>
      <c r="J42" s="408">
        <f>IFERROR(VLOOKUP($C42,'Proposed Rates'!$B:$J,J$11,FALSE),0)</f>
        <v>5.9999999999999995E-4</v>
      </c>
      <c r="K42" s="413">
        <f t="shared" si="54"/>
        <v>640.58399999999995</v>
      </c>
      <c r="L42" s="394">
        <f t="shared" si="55"/>
        <v>0.38435039999999993</v>
      </c>
      <c r="M42" s="138"/>
      <c r="N42" s="395">
        <f t="shared" si="36"/>
        <v>-0.57708360000000014</v>
      </c>
      <c r="O42" s="396">
        <f t="shared" si="37"/>
        <v>-0.60023215322112611</v>
      </c>
      <c r="P42" s="53"/>
      <c r="Q42" s="408">
        <f>IFERROR(VLOOKUP($C42,'Proposed Rates'!$B:$J,Q$11,FALSE),0)</f>
        <v>5.9999999999999995E-4</v>
      </c>
      <c r="R42" s="413">
        <f t="shared" si="56"/>
        <v>640.58399999999995</v>
      </c>
      <c r="S42" s="394">
        <f t="shared" si="57"/>
        <v>0.38435039999999993</v>
      </c>
      <c r="T42" s="138"/>
      <c r="U42" s="395">
        <f t="shared" si="9"/>
        <v>0</v>
      </c>
      <c r="V42" s="396">
        <f t="shared" si="10"/>
        <v>0</v>
      </c>
      <c r="W42" s="53"/>
      <c r="X42" s="408">
        <f>IFERROR(VLOOKUP($C42,'Proposed Rates'!$B:$J,X$11,FALSE),0)</f>
        <v>5.9999999999999995E-4</v>
      </c>
      <c r="Y42" s="413">
        <f t="shared" si="58"/>
        <v>640.58399999999995</v>
      </c>
      <c r="Z42" s="394">
        <f t="shared" si="59"/>
        <v>0.38435039999999993</v>
      </c>
      <c r="AA42" s="138"/>
      <c r="AB42" s="395">
        <f t="shared" si="13"/>
        <v>0</v>
      </c>
      <c r="AC42" s="396">
        <f t="shared" si="14"/>
        <v>0</v>
      </c>
      <c r="AD42" s="53"/>
      <c r="AE42" s="408">
        <f>IFERROR(VLOOKUP($C42,'Proposed Rates'!$B:$J,AE$11,FALSE),0)</f>
        <v>5.9999999999999995E-4</v>
      </c>
      <c r="AF42" s="413">
        <f t="shared" si="60"/>
        <v>640.58399999999995</v>
      </c>
      <c r="AG42" s="394">
        <f t="shared" si="61"/>
        <v>0.38435039999999993</v>
      </c>
      <c r="AH42" s="138"/>
      <c r="AI42" s="395">
        <f t="shared" si="17"/>
        <v>0</v>
      </c>
      <c r="AJ42" s="396">
        <f t="shared" si="18"/>
        <v>0</v>
      </c>
      <c r="AK42" s="53"/>
      <c r="AL42" s="408">
        <f>IFERROR(VLOOKUP($C42,'Proposed Rates'!$B:$J,AL$11,FALSE),0)</f>
        <v>5.9999999999999995E-4</v>
      </c>
      <c r="AM42" s="413">
        <f t="shared" si="62"/>
        <v>640.58399999999995</v>
      </c>
      <c r="AN42" s="394">
        <f t="shared" si="63"/>
        <v>0.38435039999999993</v>
      </c>
      <c r="AO42" s="138"/>
      <c r="AP42" s="395">
        <f t="shared" si="21"/>
        <v>0</v>
      </c>
      <c r="AQ42" s="396">
        <f t="shared" si="22"/>
        <v>0</v>
      </c>
      <c r="AR42" s="397"/>
      <c r="AS42" s="397"/>
      <c r="AT42" s="397"/>
      <c r="AU42" s="3"/>
      <c r="AV42" s="3"/>
      <c r="AW42" s="3"/>
      <c r="AX42" s="3"/>
      <c r="AY42" s="3"/>
      <c r="AZ42" s="3"/>
      <c r="BA42" s="3"/>
      <c r="BB42" s="3"/>
    </row>
    <row r="43" spans="1:54" ht="12.75" customHeight="1">
      <c r="A43" s="53"/>
      <c r="B43" s="328" t="s">
        <v>291</v>
      </c>
      <c r="C43" s="389" t="str">
        <f t="shared" si="51"/>
        <v>Residential.Standard Supply Service Charge</v>
      </c>
      <c r="D43" s="390" t="s">
        <v>335</v>
      </c>
      <c r="E43" s="328"/>
      <c r="F43" s="408">
        <f>IFERROR(VLOOKUP($C43,'Proposed Rates'!$B:$J,F$11,FALSE),0)</f>
        <v>0.25</v>
      </c>
      <c r="G43" s="409">
        <f>IF($D43="Monthly",1,IF($D43="per KWH",$F$10,0))</f>
        <v>1</v>
      </c>
      <c r="H43" s="394">
        <f t="shared" si="53"/>
        <v>0.25</v>
      </c>
      <c r="I43" s="138"/>
      <c r="J43" s="408">
        <f>IFERROR(VLOOKUP($C43,'Proposed Rates'!$B:$J,J$11,FALSE),0)</f>
        <v>0.25</v>
      </c>
      <c r="K43" s="409">
        <f>IF($D43="Monthly",1,IF($D43="per KWH",$F$10,0))</f>
        <v>1</v>
      </c>
      <c r="L43" s="394">
        <f t="shared" si="55"/>
        <v>0.25</v>
      </c>
      <c r="M43" s="138"/>
      <c r="N43" s="395">
        <f t="shared" si="36"/>
        <v>0</v>
      </c>
      <c r="O43" s="396">
        <f t="shared" si="37"/>
        <v>0</v>
      </c>
      <c r="P43" s="53"/>
      <c r="Q43" s="408">
        <f>IFERROR(VLOOKUP($C43,'Proposed Rates'!$B:$J,Q$11,FALSE),0)</f>
        <v>0.25</v>
      </c>
      <c r="R43" s="409">
        <f>IF($D43="Monthly",1,IF($D43="per KWH",$F$10,0))</f>
        <v>1</v>
      </c>
      <c r="S43" s="394">
        <f t="shared" si="57"/>
        <v>0.25</v>
      </c>
      <c r="T43" s="138"/>
      <c r="U43" s="395">
        <f t="shared" si="9"/>
        <v>0</v>
      </c>
      <c r="V43" s="396">
        <f t="shared" si="10"/>
        <v>0</v>
      </c>
      <c r="W43" s="53"/>
      <c r="X43" s="408">
        <f>IFERROR(VLOOKUP($C43,'Proposed Rates'!$B:$J,X$11,FALSE),0)</f>
        <v>0.25</v>
      </c>
      <c r="Y43" s="409">
        <f>IF($D43="Monthly",1,IF($D43="per KWH",$F$10,0))</f>
        <v>1</v>
      </c>
      <c r="Z43" s="394">
        <f t="shared" si="59"/>
        <v>0.25</v>
      </c>
      <c r="AA43" s="138"/>
      <c r="AB43" s="395">
        <f t="shared" si="13"/>
        <v>0</v>
      </c>
      <c r="AC43" s="396">
        <f t="shared" si="14"/>
        <v>0</v>
      </c>
      <c r="AD43" s="53"/>
      <c r="AE43" s="408">
        <f>IFERROR(VLOOKUP($C43,'Proposed Rates'!$B:$J,AE$11,FALSE),0)</f>
        <v>0.25</v>
      </c>
      <c r="AF43" s="409">
        <f>IF($D43="Monthly",1,IF($D43="per KWH",$F$10,0))</f>
        <v>1</v>
      </c>
      <c r="AG43" s="394">
        <f t="shared" si="61"/>
        <v>0.25</v>
      </c>
      <c r="AH43" s="138"/>
      <c r="AI43" s="395">
        <f t="shared" si="17"/>
        <v>0</v>
      </c>
      <c r="AJ43" s="396">
        <f t="shared" si="18"/>
        <v>0</v>
      </c>
      <c r="AK43" s="53"/>
      <c r="AL43" s="408">
        <f>IFERROR(VLOOKUP($C43,'Proposed Rates'!$B:$J,AL$11,FALSE),0)</f>
        <v>0.25</v>
      </c>
      <c r="AM43" s="409">
        <f>IF($D43="Monthly",1,IF($D43="per KWH",$F$10,0))</f>
        <v>1</v>
      </c>
      <c r="AN43" s="394">
        <f t="shared" si="63"/>
        <v>0.25</v>
      </c>
      <c r="AO43" s="138"/>
      <c r="AP43" s="395">
        <f t="shared" si="21"/>
        <v>0</v>
      </c>
      <c r="AQ43" s="396">
        <f t="shared" si="22"/>
        <v>0</v>
      </c>
      <c r="AR43" s="397"/>
      <c r="AS43" s="397"/>
      <c r="AT43" s="397"/>
      <c r="AU43" s="3"/>
      <c r="AV43" s="3"/>
      <c r="AW43" s="3"/>
      <c r="AX43" s="3"/>
      <c r="AY43" s="3"/>
      <c r="AZ43" s="3"/>
      <c r="BA43" s="3"/>
      <c r="BB43" s="3"/>
    </row>
    <row r="44" spans="1:54" ht="12.75" customHeight="1">
      <c r="A44" s="53"/>
      <c r="B44" s="328" t="s">
        <v>293</v>
      </c>
      <c r="C44" s="389" t="str">
        <f t="shared" si="51"/>
        <v>Residential.TOU - Off Peak</v>
      </c>
      <c r="D44" s="390" t="s">
        <v>337</v>
      </c>
      <c r="E44" s="328"/>
      <c r="F44" s="424">
        <f>VLOOKUP($B44,'Proposed Rates'!$D$255:$J$261,+F$11-2,FALSE)</f>
        <v>9.8000000000000004E-2</v>
      </c>
      <c r="G44" s="415">
        <f>$F$10*'Proposed Rates'!$K$256</f>
        <v>396.8</v>
      </c>
      <c r="H44" s="394">
        <f t="shared" si="53"/>
        <v>38.886400000000002</v>
      </c>
      <c r="I44" s="138"/>
      <c r="J44" s="424">
        <f>VLOOKUP($B44,'Proposed Rates'!$D$255:$J$261,+J$11-2,FALSE)</f>
        <v>9.8000000000000004E-2</v>
      </c>
      <c r="K44" s="415">
        <f>$F$10*'Proposed Rates'!$K$256</f>
        <v>396.8</v>
      </c>
      <c r="L44" s="394">
        <f t="shared" si="55"/>
        <v>38.886400000000002</v>
      </c>
      <c r="M44" s="138"/>
      <c r="N44" s="395">
        <f t="shared" si="36"/>
        <v>0</v>
      </c>
      <c r="O44" s="396">
        <f t="shared" si="37"/>
        <v>0</v>
      </c>
      <c r="P44" s="53"/>
      <c r="Q44" s="424">
        <f>VLOOKUP($B44,'Proposed Rates'!$D$255:$J$261,+Q$11-2,FALSE)</f>
        <v>9.8000000000000004E-2</v>
      </c>
      <c r="R44" s="415">
        <f>$F$10*'Proposed Rates'!$K$256</f>
        <v>396.8</v>
      </c>
      <c r="S44" s="394">
        <f t="shared" si="57"/>
        <v>38.886400000000002</v>
      </c>
      <c r="T44" s="138"/>
      <c r="U44" s="395">
        <f t="shared" si="9"/>
        <v>0</v>
      </c>
      <c r="V44" s="396">
        <f t="shared" si="10"/>
        <v>0</v>
      </c>
      <c r="W44" s="53"/>
      <c r="X44" s="424">
        <f>VLOOKUP($B44,'Proposed Rates'!$D$255:$J$261,+X$11-2,FALSE)</f>
        <v>9.8000000000000004E-2</v>
      </c>
      <c r="Y44" s="415">
        <f>$F$10*'Proposed Rates'!$K$256</f>
        <v>396.8</v>
      </c>
      <c r="Z44" s="394">
        <f t="shared" si="59"/>
        <v>38.886400000000002</v>
      </c>
      <c r="AA44" s="138"/>
      <c r="AB44" s="395">
        <f t="shared" si="13"/>
        <v>0</v>
      </c>
      <c r="AC44" s="396">
        <f t="shared" si="14"/>
        <v>0</v>
      </c>
      <c r="AD44" s="53"/>
      <c r="AE44" s="424">
        <f>VLOOKUP($B44,'Proposed Rates'!$D$255:$J$261,+AE$11-2,FALSE)</f>
        <v>9.8000000000000004E-2</v>
      </c>
      <c r="AF44" s="415">
        <f>$F$10*'Proposed Rates'!$K$256</f>
        <v>396.8</v>
      </c>
      <c r="AG44" s="394">
        <f t="shared" si="61"/>
        <v>38.886400000000002</v>
      </c>
      <c r="AH44" s="138"/>
      <c r="AI44" s="395">
        <f t="shared" si="17"/>
        <v>0</v>
      </c>
      <c r="AJ44" s="396">
        <f t="shared" si="18"/>
        <v>0</v>
      </c>
      <c r="AK44" s="53"/>
      <c r="AL44" s="424">
        <f>VLOOKUP($B44,'Proposed Rates'!$D$255:$J$261,+AL$11-2,FALSE)</f>
        <v>9.8000000000000004E-2</v>
      </c>
      <c r="AM44" s="415">
        <f>$F$10*'Proposed Rates'!$K$256</f>
        <v>396.8</v>
      </c>
      <c r="AN44" s="394">
        <f t="shared" si="63"/>
        <v>38.886400000000002</v>
      </c>
      <c r="AO44" s="138"/>
      <c r="AP44" s="395">
        <f t="shared" si="21"/>
        <v>0</v>
      </c>
      <c r="AQ44" s="396">
        <f t="shared" si="22"/>
        <v>0</v>
      </c>
      <c r="AR44" s="397"/>
      <c r="AS44" s="397"/>
      <c r="AT44" s="397"/>
      <c r="AU44" s="3"/>
      <c r="AV44" s="3"/>
      <c r="AW44" s="3"/>
      <c r="AX44" s="3"/>
      <c r="AY44" s="3"/>
      <c r="AZ44" s="3"/>
      <c r="BA44" s="3"/>
      <c r="BB44" s="3"/>
    </row>
    <row r="45" spans="1:54" ht="12.75" customHeight="1">
      <c r="A45" s="53"/>
      <c r="B45" s="328" t="s">
        <v>294</v>
      </c>
      <c r="C45" s="389" t="str">
        <f t="shared" si="51"/>
        <v>Residential.TOU - Mid Peak</v>
      </c>
      <c r="D45" s="390" t="s">
        <v>337</v>
      </c>
      <c r="E45" s="328"/>
      <c r="F45" s="424">
        <f>VLOOKUP($B45,'Proposed Rates'!$D$255:$J$261,+F$11-2,FALSE)</f>
        <v>0.157</v>
      </c>
      <c r="G45" s="415">
        <f>$F$10*'Proposed Rates'!$K$257</f>
        <v>111.6</v>
      </c>
      <c r="H45" s="394">
        <f t="shared" si="53"/>
        <v>17.5212</v>
      </c>
      <c r="I45" s="138"/>
      <c r="J45" s="424">
        <f>VLOOKUP($B45,'Proposed Rates'!$D$255:$J$261,+J$11-2,FALSE)</f>
        <v>0.157</v>
      </c>
      <c r="K45" s="415">
        <f>$F$10*'Proposed Rates'!$K$257</f>
        <v>111.6</v>
      </c>
      <c r="L45" s="394">
        <f t="shared" si="55"/>
        <v>17.5212</v>
      </c>
      <c r="M45" s="138"/>
      <c r="N45" s="395">
        <f t="shared" si="36"/>
        <v>0</v>
      </c>
      <c r="O45" s="396">
        <f t="shared" si="37"/>
        <v>0</v>
      </c>
      <c r="P45" s="53"/>
      <c r="Q45" s="424">
        <f>VLOOKUP($B45,'Proposed Rates'!$D$255:$J$261,+Q$11-2,FALSE)</f>
        <v>0.157</v>
      </c>
      <c r="R45" s="415">
        <f>$F$10*'Proposed Rates'!$K$257</f>
        <v>111.6</v>
      </c>
      <c r="S45" s="394">
        <f t="shared" si="57"/>
        <v>17.5212</v>
      </c>
      <c r="T45" s="138"/>
      <c r="U45" s="395">
        <f t="shared" si="9"/>
        <v>0</v>
      </c>
      <c r="V45" s="396">
        <f t="shared" si="10"/>
        <v>0</v>
      </c>
      <c r="W45" s="53"/>
      <c r="X45" s="424">
        <f>VLOOKUP($B45,'Proposed Rates'!$D$255:$J$261,+X$11-2,FALSE)</f>
        <v>0.157</v>
      </c>
      <c r="Y45" s="415">
        <f>$F$10*'Proposed Rates'!$K$257</f>
        <v>111.6</v>
      </c>
      <c r="Z45" s="394">
        <f t="shared" si="59"/>
        <v>17.5212</v>
      </c>
      <c r="AA45" s="138"/>
      <c r="AB45" s="395">
        <f t="shared" si="13"/>
        <v>0</v>
      </c>
      <c r="AC45" s="396">
        <f t="shared" si="14"/>
        <v>0</v>
      </c>
      <c r="AD45" s="53"/>
      <c r="AE45" s="424">
        <f>VLOOKUP($B45,'Proposed Rates'!$D$255:$J$261,+AE$11-2,FALSE)</f>
        <v>0.157</v>
      </c>
      <c r="AF45" s="415">
        <f>$F$10*'Proposed Rates'!$K$257</f>
        <v>111.6</v>
      </c>
      <c r="AG45" s="394">
        <f t="shared" si="61"/>
        <v>17.5212</v>
      </c>
      <c r="AH45" s="138"/>
      <c r="AI45" s="395">
        <f t="shared" si="17"/>
        <v>0</v>
      </c>
      <c r="AJ45" s="396">
        <f t="shared" si="18"/>
        <v>0</v>
      </c>
      <c r="AK45" s="53"/>
      <c r="AL45" s="424">
        <f>VLOOKUP($B45,'Proposed Rates'!$D$255:$J$261,+AL$11-2,FALSE)</f>
        <v>0.157</v>
      </c>
      <c r="AM45" s="415">
        <f>$F$10*'Proposed Rates'!$K$257</f>
        <v>111.6</v>
      </c>
      <c r="AN45" s="394">
        <f t="shared" si="63"/>
        <v>17.5212</v>
      </c>
      <c r="AO45" s="138"/>
      <c r="AP45" s="395">
        <f t="shared" si="21"/>
        <v>0</v>
      </c>
      <c r="AQ45" s="396">
        <f t="shared" si="22"/>
        <v>0</v>
      </c>
      <c r="AR45" s="397"/>
      <c r="AS45" s="397"/>
      <c r="AT45" s="397"/>
      <c r="AU45" s="3"/>
      <c r="AV45" s="3"/>
      <c r="AW45" s="3"/>
      <c r="AX45" s="3"/>
      <c r="AY45" s="3"/>
      <c r="AZ45" s="3"/>
      <c r="BA45" s="3"/>
      <c r="BB45" s="3"/>
    </row>
    <row r="46" spans="1:54" ht="12.75" customHeight="1">
      <c r="A46" s="53"/>
      <c r="B46" s="53" t="s">
        <v>295</v>
      </c>
      <c r="C46" s="389" t="str">
        <f t="shared" si="51"/>
        <v>Residential.TOU - On Peak</v>
      </c>
      <c r="D46" s="390" t="s">
        <v>337</v>
      </c>
      <c r="E46" s="328"/>
      <c r="F46" s="424">
        <f>VLOOKUP($B46,'Proposed Rates'!$D$255:$J$261,+F$11-2,FALSE)</f>
        <v>0.20300000000000001</v>
      </c>
      <c r="G46" s="415">
        <f>$F$10*'Proposed Rates'!$K$258</f>
        <v>111.6</v>
      </c>
      <c r="H46" s="394">
        <f t="shared" si="53"/>
        <v>22.654800000000002</v>
      </c>
      <c r="I46" s="138"/>
      <c r="J46" s="424">
        <f>VLOOKUP($B46,'Proposed Rates'!$D$255:$J$261,+J$11-2,FALSE)</f>
        <v>0.20300000000000001</v>
      </c>
      <c r="K46" s="415">
        <f>$F$10*'Proposed Rates'!$K$258</f>
        <v>111.6</v>
      </c>
      <c r="L46" s="394">
        <f t="shared" si="55"/>
        <v>22.654800000000002</v>
      </c>
      <c r="M46" s="138"/>
      <c r="N46" s="395">
        <f t="shared" si="36"/>
        <v>0</v>
      </c>
      <c r="O46" s="396">
        <f t="shared" si="37"/>
        <v>0</v>
      </c>
      <c r="P46" s="53"/>
      <c r="Q46" s="424">
        <f>VLOOKUP($B46,'Proposed Rates'!$D$255:$J$261,+Q$11-2,FALSE)</f>
        <v>0.20300000000000001</v>
      </c>
      <c r="R46" s="415">
        <f>$F$10*'Proposed Rates'!$K$258</f>
        <v>111.6</v>
      </c>
      <c r="S46" s="394">
        <f t="shared" si="57"/>
        <v>22.654800000000002</v>
      </c>
      <c r="T46" s="138"/>
      <c r="U46" s="395">
        <f t="shared" si="9"/>
        <v>0</v>
      </c>
      <c r="V46" s="396">
        <f t="shared" si="10"/>
        <v>0</v>
      </c>
      <c r="W46" s="53"/>
      <c r="X46" s="424">
        <f>VLOOKUP($B46,'Proposed Rates'!$D$255:$J$261,+X$11-2,FALSE)</f>
        <v>0.20300000000000001</v>
      </c>
      <c r="Y46" s="415">
        <f>$F$10*'Proposed Rates'!$K$258</f>
        <v>111.6</v>
      </c>
      <c r="Z46" s="394">
        <f t="shared" si="59"/>
        <v>22.654800000000002</v>
      </c>
      <c r="AA46" s="138"/>
      <c r="AB46" s="395">
        <f t="shared" si="13"/>
        <v>0</v>
      </c>
      <c r="AC46" s="396">
        <f t="shared" si="14"/>
        <v>0</v>
      </c>
      <c r="AD46" s="53"/>
      <c r="AE46" s="424">
        <f>VLOOKUP($B46,'Proposed Rates'!$D$255:$J$261,+AE$11-2,FALSE)</f>
        <v>0.20300000000000001</v>
      </c>
      <c r="AF46" s="415">
        <f>$F$10*'Proposed Rates'!$K$258</f>
        <v>111.6</v>
      </c>
      <c r="AG46" s="394">
        <f t="shared" si="61"/>
        <v>22.654800000000002</v>
      </c>
      <c r="AH46" s="138"/>
      <c r="AI46" s="395">
        <f t="shared" si="17"/>
        <v>0</v>
      </c>
      <c r="AJ46" s="396">
        <f t="shared" si="18"/>
        <v>0</v>
      </c>
      <c r="AK46" s="53"/>
      <c r="AL46" s="424">
        <f>VLOOKUP($B46,'Proposed Rates'!$D$255:$J$261,+AL$11-2,FALSE)</f>
        <v>0.20300000000000001</v>
      </c>
      <c r="AM46" s="415">
        <f>$F$10*'Proposed Rates'!$K$258</f>
        <v>111.6</v>
      </c>
      <c r="AN46" s="394">
        <f t="shared" si="63"/>
        <v>22.654800000000002</v>
      </c>
      <c r="AO46" s="138"/>
      <c r="AP46" s="395">
        <f t="shared" si="21"/>
        <v>0</v>
      </c>
      <c r="AQ46" s="396">
        <f t="shared" si="22"/>
        <v>0</v>
      </c>
      <c r="AR46" s="397"/>
      <c r="AS46" s="397"/>
      <c r="AT46" s="397"/>
      <c r="AU46" s="3"/>
      <c r="AV46" s="3"/>
      <c r="AW46" s="3"/>
      <c r="AX46" s="3"/>
      <c r="AY46" s="3"/>
      <c r="AZ46" s="3"/>
      <c r="BA46" s="3"/>
      <c r="BB46" s="3"/>
    </row>
    <row r="47" spans="1:54" ht="12.75" customHeight="1">
      <c r="A47" s="53"/>
      <c r="B47" s="328" t="s">
        <v>296</v>
      </c>
      <c r="C47" s="389" t="str">
        <f t="shared" si="51"/>
        <v>Residential.Energy - RPP - Tier 1</v>
      </c>
      <c r="D47" s="390" t="s">
        <v>337</v>
      </c>
      <c r="E47" s="328"/>
      <c r="F47" s="424">
        <f>VLOOKUP($B47,'Proposed Rates'!$D$255:$J$261,+F$11-2,FALSE)</f>
        <v>0.12</v>
      </c>
      <c r="G47" s="425">
        <f>IF(AND($S$2=1, $F$10&gt;=600), 600, IF(AND($S$2=1, AND($F$10&lt;600, $F$10&gt;=0)), $F$10, IF(AND($S$2=2, $F$10&gt;=1000), 1000, IF(AND($S$2=2, AND($F$10&lt;1000, $F$10&gt;=0)), $F$10))))</f>
        <v>600</v>
      </c>
      <c r="H47" s="394">
        <f t="shared" si="53"/>
        <v>72</v>
      </c>
      <c r="I47" s="138"/>
      <c r="J47" s="424">
        <f>VLOOKUP($B47,'Proposed Rates'!$D$255:$J$261,+J$11-2,FALSE)</f>
        <v>0.12</v>
      </c>
      <c r="K47" s="425">
        <f>IF(AND($S$2=1, $F$10&gt;=600), 600, IF(AND($S$2=1, AND($F$10&lt;600, $F$10&gt;=0)), $F$10, IF(AND($S$2=2, $F$10&gt;=1000), 1000, IF(AND($S$2=2, AND($F$10&lt;1000, $F$10&gt;=0)), $F$10))))</f>
        <v>600</v>
      </c>
      <c r="L47" s="394">
        <f t="shared" si="55"/>
        <v>72</v>
      </c>
      <c r="M47" s="138"/>
      <c r="N47" s="395">
        <f t="shared" si="36"/>
        <v>0</v>
      </c>
      <c r="O47" s="396">
        <f t="shared" si="37"/>
        <v>0</v>
      </c>
      <c r="P47" s="53"/>
      <c r="Q47" s="424">
        <f>VLOOKUP($B47,'Proposed Rates'!$D$255:$J$261,+Q$11-2,FALSE)</f>
        <v>0.12</v>
      </c>
      <c r="R47" s="425">
        <f>IF(AND($S$2=1, $F$10&gt;=600), 600, IF(AND($S$2=1, AND($F$10&lt;600, $F$10&gt;=0)), $F$10, IF(AND($S$2=2, $F$10&gt;=1000), 1000, IF(AND($S$2=2, AND($F$10&lt;1000, $F$10&gt;=0)), $F$10))))</f>
        <v>600</v>
      </c>
      <c r="S47" s="394">
        <f t="shared" si="57"/>
        <v>72</v>
      </c>
      <c r="T47" s="138"/>
      <c r="U47" s="395">
        <f t="shared" si="9"/>
        <v>0</v>
      </c>
      <c r="V47" s="396">
        <f t="shared" si="10"/>
        <v>0</v>
      </c>
      <c r="W47" s="53"/>
      <c r="X47" s="424">
        <f>VLOOKUP($B47,'Proposed Rates'!$D$255:$J$261,+X$11-2,FALSE)</f>
        <v>0.12</v>
      </c>
      <c r="Y47" s="425">
        <f>IF(AND($S$2=1, $F$10&gt;=600), 600, IF(AND($S$2=1, AND($F$10&lt;600, $F$10&gt;=0)), $F$10, IF(AND($S$2=2, $F$10&gt;=1000), 1000, IF(AND($S$2=2, AND($F$10&lt;1000, $F$10&gt;=0)), $F$10))))</f>
        <v>600</v>
      </c>
      <c r="Z47" s="394">
        <f t="shared" si="59"/>
        <v>72</v>
      </c>
      <c r="AA47" s="138"/>
      <c r="AB47" s="395">
        <f t="shared" si="13"/>
        <v>0</v>
      </c>
      <c r="AC47" s="396">
        <f t="shared" si="14"/>
        <v>0</v>
      </c>
      <c r="AD47" s="53"/>
      <c r="AE47" s="424">
        <f>VLOOKUP($B47,'Proposed Rates'!$D$255:$J$261,+AE$11-2,FALSE)</f>
        <v>0.12</v>
      </c>
      <c r="AF47" s="425">
        <f>IF(AND($S$2=1, $F$10&gt;=600), 600, IF(AND($S$2=1, AND($F$10&lt;600, $F$10&gt;=0)), $F$10, IF(AND($S$2=2, $F$10&gt;=1000), 1000, IF(AND($S$2=2, AND($F$10&lt;1000, $F$10&gt;=0)), $F$10))))</f>
        <v>600</v>
      </c>
      <c r="AG47" s="394">
        <f t="shared" si="61"/>
        <v>72</v>
      </c>
      <c r="AH47" s="138"/>
      <c r="AI47" s="395">
        <f t="shared" si="17"/>
        <v>0</v>
      </c>
      <c r="AJ47" s="396">
        <f t="shared" si="18"/>
        <v>0</v>
      </c>
      <c r="AK47" s="53"/>
      <c r="AL47" s="424">
        <f>VLOOKUP($B47,'Proposed Rates'!$D$255:$J$261,+AL$11-2,FALSE)</f>
        <v>0.12</v>
      </c>
      <c r="AM47" s="425">
        <f>IF(AND($S$2=1, $F$10&gt;=600), 600, IF(AND($S$2=1, AND($F$10&lt;600, $F$10&gt;=0)), $F$10, IF(AND($S$2=2, $F$10&gt;=1000), 1000, IF(AND($S$2=2, AND($F$10&lt;1000, $F$10&gt;=0)), $F$10))))</f>
        <v>600</v>
      </c>
      <c r="AN47" s="394">
        <f t="shared" si="63"/>
        <v>72</v>
      </c>
      <c r="AO47" s="138"/>
      <c r="AP47" s="395">
        <f t="shared" si="21"/>
        <v>0</v>
      </c>
      <c r="AQ47" s="396">
        <f t="shared" si="22"/>
        <v>0</v>
      </c>
      <c r="AR47" s="397"/>
      <c r="AS47" s="397"/>
      <c r="AT47" s="397"/>
      <c r="AU47" s="3"/>
      <c r="AV47" s="3"/>
      <c r="AW47" s="3"/>
      <c r="AX47" s="3"/>
      <c r="AY47" s="3"/>
      <c r="AZ47" s="3"/>
      <c r="BA47" s="3"/>
      <c r="BB47" s="3"/>
    </row>
    <row r="48" spans="1:54" ht="12.75" customHeight="1">
      <c r="A48" s="53"/>
      <c r="B48" s="328" t="s">
        <v>297</v>
      </c>
      <c r="C48" s="389" t="str">
        <f t="shared" si="51"/>
        <v>Residential.Energy - RPP - Tier 2</v>
      </c>
      <c r="D48" s="390" t="s">
        <v>337</v>
      </c>
      <c r="E48" s="328"/>
      <c r="F48" s="424">
        <f>VLOOKUP($B48,'Proposed Rates'!$D$255:$J$261,+F$11-2,FALSE)</f>
        <v>0.14199999999999999</v>
      </c>
      <c r="G48" s="427">
        <f>IF(AND($S$2=1, $F$10&gt;=600), $F$10-600, IF(AND($S$2=1, AND($F$10&lt;600, $F$10&gt;=0)), 0, IF(AND($S$2=2, $F$10&gt;=1000), $F$10-1000, IF(AND($S$2=2, AND($F$10&lt;1000, $F$10&gt;=0)), 0))))</f>
        <v>20</v>
      </c>
      <c r="H48" s="394">
        <f t="shared" si="53"/>
        <v>2.84</v>
      </c>
      <c r="I48" s="138"/>
      <c r="J48" s="424">
        <f>VLOOKUP($B48,'Proposed Rates'!$D$255:$J$261,+J$11-2,FALSE)</f>
        <v>0.14199999999999999</v>
      </c>
      <c r="K48" s="427">
        <f>IF(AND($S$2=1, $F$10&gt;=600), $F$10-600, IF(AND($S$2=1, AND($F$10&lt;600, $F$10&gt;=0)), 0, IF(AND($S$2=2, $F$10&gt;=1000), $F$10-1000, IF(AND($S$2=2, AND($F$10&lt;1000, $F$10&gt;=0)), 0))))</f>
        <v>20</v>
      </c>
      <c r="L48" s="394">
        <f t="shared" si="55"/>
        <v>2.84</v>
      </c>
      <c r="M48" s="138"/>
      <c r="N48" s="395">
        <f t="shared" si="36"/>
        <v>0</v>
      </c>
      <c r="O48" s="396">
        <f t="shared" si="37"/>
        <v>0</v>
      </c>
      <c r="P48" s="53"/>
      <c r="Q48" s="424">
        <f>VLOOKUP($B48,'Proposed Rates'!$D$255:$J$261,+Q$11-2,FALSE)</f>
        <v>0.14199999999999999</v>
      </c>
      <c r="R48" s="427">
        <f>IF(AND($S$2=1, $F$10&gt;=600), $F$10-600, IF(AND($S$2=1, AND($F$10&lt;600, $F$10&gt;=0)), 0, IF(AND($S$2=2, $F$10&gt;=1000), $F$10-1000, IF(AND($S$2=2, AND($F$10&lt;1000, $F$10&gt;=0)), 0))))</f>
        <v>20</v>
      </c>
      <c r="S48" s="394">
        <f t="shared" si="57"/>
        <v>2.84</v>
      </c>
      <c r="T48" s="138"/>
      <c r="U48" s="395">
        <f t="shared" si="9"/>
        <v>0</v>
      </c>
      <c r="V48" s="396">
        <f t="shared" si="10"/>
        <v>0</v>
      </c>
      <c r="W48" s="53"/>
      <c r="X48" s="424">
        <f>VLOOKUP($B48,'Proposed Rates'!$D$255:$J$261,+X$11-2,FALSE)</f>
        <v>0.14199999999999999</v>
      </c>
      <c r="Y48" s="427">
        <f>IF(AND($S$2=1, $F$10&gt;=600), $F$10-600, IF(AND($S$2=1, AND($F$10&lt;600, $F$10&gt;=0)), 0, IF(AND($S$2=2, $F$10&gt;=1000), $F$10-1000, IF(AND($S$2=2, AND($F$10&lt;1000, $F$10&gt;=0)), 0))))</f>
        <v>20</v>
      </c>
      <c r="Z48" s="394">
        <f t="shared" si="59"/>
        <v>2.84</v>
      </c>
      <c r="AA48" s="138"/>
      <c r="AB48" s="395">
        <f t="shared" si="13"/>
        <v>0</v>
      </c>
      <c r="AC48" s="396">
        <f t="shared" si="14"/>
        <v>0</v>
      </c>
      <c r="AD48" s="53"/>
      <c r="AE48" s="424">
        <f>VLOOKUP($B48,'Proposed Rates'!$D$255:$J$261,+AE$11-2,FALSE)</f>
        <v>0.14199999999999999</v>
      </c>
      <c r="AF48" s="427">
        <f>IF(AND($S$2=1, $F$10&gt;=600), $F$10-600, IF(AND($S$2=1, AND($F$10&lt;600, $F$10&gt;=0)), 0, IF(AND($S$2=2, $F$10&gt;=1000), $F$10-1000, IF(AND($S$2=2, AND($F$10&lt;1000, $F$10&gt;=0)), 0))))</f>
        <v>20</v>
      </c>
      <c r="AG48" s="394">
        <f t="shared" si="61"/>
        <v>2.84</v>
      </c>
      <c r="AH48" s="138"/>
      <c r="AI48" s="395">
        <f t="shared" si="17"/>
        <v>0</v>
      </c>
      <c r="AJ48" s="396">
        <f t="shared" si="18"/>
        <v>0</v>
      </c>
      <c r="AK48" s="53"/>
      <c r="AL48" s="424">
        <f>VLOOKUP($B48,'Proposed Rates'!$D$255:$J$261,+AL$11-2,FALSE)</f>
        <v>0.14199999999999999</v>
      </c>
      <c r="AM48" s="427">
        <f>IF(AND($S$2=1, $F$10&gt;=600), $F$10-600, IF(AND($S$2=1, AND($F$10&lt;600, $F$10&gt;=0)), 0, IF(AND($S$2=2, $F$10&gt;=1000), $F$10-1000, IF(AND($S$2=2, AND($F$10&lt;1000, $F$10&gt;=0)), 0))))</f>
        <v>20</v>
      </c>
      <c r="AN48" s="394">
        <f t="shared" si="63"/>
        <v>2.84</v>
      </c>
      <c r="AO48" s="138"/>
      <c r="AP48" s="395">
        <f t="shared" si="21"/>
        <v>0</v>
      </c>
      <c r="AQ48" s="396">
        <f t="shared" si="22"/>
        <v>0</v>
      </c>
      <c r="AR48" s="397"/>
      <c r="AS48" s="397"/>
      <c r="AT48" s="397"/>
      <c r="AU48" s="3"/>
      <c r="AV48" s="3"/>
      <c r="AW48" s="3"/>
      <c r="AX48" s="3"/>
      <c r="AY48" s="3"/>
      <c r="AZ48" s="3"/>
      <c r="BA48" s="3"/>
      <c r="BB48" s="3"/>
    </row>
    <row r="49" spans="1:54" ht="8.25"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397"/>
      <c r="AS49" s="397"/>
      <c r="AT49" s="397"/>
      <c r="AU49" s="3"/>
      <c r="AV49" s="3"/>
      <c r="AW49" s="3"/>
      <c r="AX49" s="3"/>
      <c r="AY49" s="3"/>
      <c r="AZ49" s="3"/>
      <c r="BA49" s="3"/>
      <c r="BB49" s="3"/>
    </row>
    <row r="50" spans="1:54" ht="12.75" customHeight="1">
      <c r="A50" s="53"/>
      <c r="B50" s="438" t="s">
        <v>344</v>
      </c>
      <c r="C50" s="328"/>
      <c r="D50" s="328"/>
      <c r="E50" s="328"/>
      <c r="F50" s="439"/>
      <c r="G50" s="483"/>
      <c r="H50" s="441">
        <f>SUM(H41:H46,H40)</f>
        <v>133.48342172000002</v>
      </c>
      <c r="I50" s="476"/>
      <c r="J50" s="439"/>
      <c r="K50" s="440"/>
      <c r="L50" s="441">
        <f>SUM(L41:L46,L40)</f>
        <v>139.29782216000001</v>
      </c>
      <c r="M50" s="443"/>
      <c r="N50" s="442">
        <f t="shared" ref="N50:N54" si="64">L50-H50</f>
        <v>5.8144004399999858</v>
      </c>
      <c r="O50" s="444">
        <f t="shared" ref="O50:O54" si="65">IF((H50)=0,"",(N50/H50))</f>
        <v>4.3558970582852574E-2</v>
      </c>
      <c r="P50" s="53"/>
      <c r="Q50" s="440"/>
      <c r="R50" s="440"/>
      <c r="S50" s="442">
        <f>SUM(S41:S46,S40)</f>
        <v>142.57382216000002</v>
      </c>
      <c r="T50" s="443"/>
      <c r="U50" s="442">
        <f t="shared" ref="U50:U54" si="66">S50-L50</f>
        <v>3.2760000000000105</v>
      </c>
      <c r="V50" s="444">
        <f t="shared" ref="V50:V54" si="67">IF((L50)=0,"",(U50/L50))</f>
        <v>2.3517955623434925E-2</v>
      </c>
      <c r="W50" s="53"/>
      <c r="X50" s="440"/>
      <c r="Y50" s="440"/>
      <c r="Z50" s="442">
        <f>SUM(Z41:Z46,Z40)</f>
        <v>143.58022800000001</v>
      </c>
      <c r="AA50" s="443"/>
      <c r="AB50" s="442">
        <f t="shared" ref="AB50:AB54" si="68">Z50-S50</f>
        <v>1.0064058399999851</v>
      </c>
      <c r="AC50" s="444">
        <f t="shared" ref="AC50:AC54" si="69">IF((S50)=0,"",(AB50/S50))</f>
        <v>7.0588402888615174E-3</v>
      </c>
      <c r="AD50" s="53"/>
      <c r="AE50" s="440"/>
      <c r="AF50" s="440"/>
      <c r="AG50" s="442">
        <f>SUM(AG41:AG46,AG40)</f>
        <v>145.08022800000001</v>
      </c>
      <c r="AH50" s="443"/>
      <c r="AI50" s="442">
        <f t="shared" ref="AI50:AI54" si="70">AG50-Z50</f>
        <v>1.5</v>
      </c>
      <c r="AJ50" s="444">
        <f t="shared" ref="AJ50:AJ54" si="71">IF((Z50)=0,"",(AI50/Z50))</f>
        <v>1.0447120894668031E-2</v>
      </c>
      <c r="AK50" s="53"/>
      <c r="AL50" s="440"/>
      <c r="AM50" s="440"/>
      <c r="AN50" s="442">
        <f>SUM(AN41:AN46,AN40)</f>
        <v>146.45022800000001</v>
      </c>
      <c r="AO50" s="443"/>
      <c r="AP50" s="442">
        <f t="shared" ref="AP50:AP54" si="72">AN50-AG50</f>
        <v>1.3700000000000045</v>
      </c>
      <c r="AQ50" s="444">
        <f t="shared" ref="AQ50:AQ54" si="73">IF((AG50)=0,"",(AP50/AG50))</f>
        <v>9.4430510544827959E-3</v>
      </c>
      <c r="AR50" s="445"/>
      <c r="AS50" s="445"/>
      <c r="AT50" s="445"/>
      <c r="AU50" s="3"/>
      <c r="AV50" s="3"/>
      <c r="AW50" s="3"/>
      <c r="AX50" s="3"/>
      <c r="AY50" s="3"/>
      <c r="AZ50" s="3"/>
      <c r="BA50" s="3"/>
      <c r="BB50" s="3"/>
    </row>
    <row r="51" spans="1:54" ht="12.75" customHeight="1">
      <c r="A51" s="53"/>
      <c r="B51" s="446" t="s">
        <v>345</v>
      </c>
      <c r="C51" s="328"/>
      <c r="D51" s="328"/>
      <c r="E51" s="328"/>
      <c r="F51" s="439">
        <v>0.13</v>
      </c>
      <c r="G51" s="138"/>
      <c r="H51" s="484">
        <f>H50*F51</f>
        <v>17.352844823600005</v>
      </c>
      <c r="I51" s="411"/>
      <c r="J51" s="439">
        <v>0.13</v>
      </c>
      <c r="K51" s="411"/>
      <c r="L51" s="394">
        <f>L50*J51</f>
        <v>18.108716880800003</v>
      </c>
      <c r="M51" s="138"/>
      <c r="N51" s="395">
        <f t="shared" si="64"/>
        <v>0.75587205719999773</v>
      </c>
      <c r="O51" s="396">
        <f t="shared" si="65"/>
        <v>4.3558970582852546E-2</v>
      </c>
      <c r="P51" s="53"/>
      <c r="Q51" s="447">
        <v>0.13</v>
      </c>
      <c r="R51" s="411"/>
      <c r="S51" s="394">
        <f>S50*Q51</f>
        <v>18.534596880800002</v>
      </c>
      <c r="T51" s="138"/>
      <c r="U51" s="395">
        <f t="shared" si="66"/>
        <v>0.42587999999999937</v>
      </c>
      <c r="V51" s="396">
        <f t="shared" si="67"/>
        <v>2.3517955623434814E-2</v>
      </c>
      <c r="W51" s="53"/>
      <c r="X51" s="447">
        <v>0.13</v>
      </c>
      <c r="Y51" s="411"/>
      <c r="Z51" s="394">
        <f>Z50*X51</f>
        <v>18.665429640000003</v>
      </c>
      <c r="AA51" s="138"/>
      <c r="AB51" s="395">
        <f t="shared" si="68"/>
        <v>0.13083275920000048</v>
      </c>
      <c r="AC51" s="396">
        <f t="shared" si="69"/>
        <v>7.0588402888616475E-3</v>
      </c>
      <c r="AD51" s="53"/>
      <c r="AE51" s="447">
        <v>0.13</v>
      </c>
      <c r="AF51" s="411"/>
      <c r="AG51" s="394">
        <f>AG50*AE51</f>
        <v>18.860429640000003</v>
      </c>
      <c r="AH51" s="138"/>
      <c r="AI51" s="395">
        <f t="shared" si="70"/>
        <v>0.19500000000000028</v>
      </c>
      <c r="AJ51" s="396">
        <f t="shared" si="71"/>
        <v>1.0447120894668045E-2</v>
      </c>
      <c r="AK51" s="53"/>
      <c r="AL51" s="447">
        <v>0.13</v>
      </c>
      <c r="AM51" s="411"/>
      <c r="AN51" s="394">
        <f>AN50*AL51</f>
        <v>19.038529640000004</v>
      </c>
      <c r="AO51" s="138"/>
      <c r="AP51" s="395">
        <f t="shared" si="72"/>
        <v>0.17810000000000059</v>
      </c>
      <c r="AQ51" s="396">
        <f t="shared" si="73"/>
        <v>9.4430510544827942E-3</v>
      </c>
      <c r="AR51" s="397"/>
      <c r="AS51" s="397"/>
      <c r="AT51" s="397"/>
      <c r="AU51" s="3"/>
      <c r="AV51" s="3"/>
      <c r="AW51" s="3"/>
      <c r="AX51" s="3"/>
      <c r="AY51" s="3"/>
      <c r="AZ51" s="3"/>
      <c r="BA51" s="3"/>
      <c r="BB51" s="3"/>
    </row>
    <row r="52" spans="1:54" ht="12.75" customHeight="1">
      <c r="A52" s="53"/>
      <c r="B52" s="485" t="s">
        <v>374</v>
      </c>
      <c r="C52" s="328"/>
      <c r="D52" s="328"/>
      <c r="E52" s="328"/>
      <c r="F52" s="449"/>
      <c r="G52" s="138"/>
      <c r="H52" s="484">
        <f>H50+H51</f>
        <v>150.83626654360003</v>
      </c>
      <c r="I52" s="411"/>
      <c r="J52" s="449"/>
      <c r="K52" s="411"/>
      <c r="L52" s="394">
        <f>L50+L51</f>
        <v>157.4065390408</v>
      </c>
      <c r="M52" s="138"/>
      <c r="N52" s="395">
        <f t="shared" si="64"/>
        <v>6.5702724971999658</v>
      </c>
      <c r="O52" s="396">
        <f t="shared" si="65"/>
        <v>4.3558970582852456E-2</v>
      </c>
      <c r="P52" s="53"/>
      <c r="Q52" s="411"/>
      <c r="R52" s="411"/>
      <c r="S52" s="394">
        <f>S50+S51</f>
        <v>161.10841904080002</v>
      </c>
      <c r="T52" s="138"/>
      <c r="U52" s="395">
        <f t="shared" si="66"/>
        <v>3.7018800000000169</v>
      </c>
      <c r="V52" s="396">
        <f t="shared" si="67"/>
        <v>2.351795562343496E-2</v>
      </c>
      <c r="W52" s="53"/>
      <c r="X52" s="411"/>
      <c r="Y52" s="411"/>
      <c r="Z52" s="394">
        <f>Z50+Z51</f>
        <v>162.24565764000002</v>
      </c>
      <c r="AA52" s="138"/>
      <c r="AB52" s="395">
        <f t="shared" si="68"/>
        <v>1.1372385992000034</v>
      </c>
      <c r="AC52" s="396">
        <f t="shared" si="69"/>
        <v>7.0588402888616423E-3</v>
      </c>
      <c r="AD52" s="53"/>
      <c r="AE52" s="411"/>
      <c r="AF52" s="411"/>
      <c r="AG52" s="394">
        <f>AG50+AG51</f>
        <v>163.94065764000001</v>
      </c>
      <c r="AH52" s="138"/>
      <c r="AI52" s="395">
        <f t="shared" si="70"/>
        <v>1.6949999999999932</v>
      </c>
      <c r="AJ52" s="396">
        <f t="shared" si="71"/>
        <v>1.0447120894667988E-2</v>
      </c>
      <c r="AK52" s="53"/>
      <c r="AL52" s="411"/>
      <c r="AM52" s="411"/>
      <c r="AN52" s="394">
        <f>AN50+AN51</f>
        <v>165.48875764000002</v>
      </c>
      <c r="AO52" s="138"/>
      <c r="AP52" s="395">
        <f t="shared" si="72"/>
        <v>1.5481000000000051</v>
      </c>
      <c r="AQ52" s="396">
        <f t="shared" si="73"/>
        <v>9.4430510544827959E-3</v>
      </c>
      <c r="AR52" s="397"/>
      <c r="AS52" s="397"/>
      <c r="AT52" s="397"/>
      <c r="AU52" s="3"/>
      <c r="AV52" s="3"/>
      <c r="AW52" s="3"/>
      <c r="AX52" s="3"/>
      <c r="AY52" s="3"/>
      <c r="AZ52" s="3"/>
      <c r="BA52" s="3"/>
      <c r="BB52" s="3"/>
    </row>
    <row r="53" spans="1:54" ht="15.75" customHeight="1">
      <c r="A53" s="53"/>
      <c r="B53" s="626" t="s">
        <v>304</v>
      </c>
      <c r="C53" s="616"/>
      <c r="D53" s="616"/>
      <c r="E53" s="328"/>
      <c r="F53" s="450">
        <f>'Proposed Rates'!E293</f>
        <v>0.23499999999999999</v>
      </c>
      <c r="G53" s="138"/>
      <c r="H53" s="486">
        <f>F53*H50</f>
        <v>31.368604104200003</v>
      </c>
      <c r="I53" s="411"/>
      <c r="J53" s="450">
        <f>'Proposed Rates'!F293</f>
        <v>0.23499999999999999</v>
      </c>
      <c r="K53" s="411"/>
      <c r="L53" s="451">
        <f>J53*L50</f>
        <v>32.734988207599997</v>
      </c>
      <c r="M53" s="138"/>
      <c r="N53" s="451">
        <f t="shared" si="64"/>
        <v>1.3663841033999944</v>
      </c>
      <c r="O53" s="453">
        <f t="shared" si="65"/>
        <v>4.3558970582852512E-2</v>
      </c>
      <c r="P53" s="53"/>
      <c r="Q53" s="452">
        <f>'Proposed Rates'!G293</f>
        <v>0.23499999999999999</v>
      </c>
      <c r="R53" s="411"/>
      <c r="S53" s="451">
        <f>Q53*S50</f>
        <v>33.504848207600006</v>
      </c>
      <c r="T53" s="138"/>
      <c r="U53" s="451">
        <f t="shared" si="66"/>
        <v>0.76986000000000843</v>
      </c>
      <c r="V53" s="453">
        <f t="shared" si="67"/>
        <v>2.3517955623435113E-2</v>
      </c>
      <c r="W53" s="53"/>
      <c r="X53" s="452">
        <f>'Proposed Rates'!H293</f>
        <v>0.23499999999999999</v>
      </c>
      <c r="Y53" s="411"/>
      <c r="Z53" s="451">
        <f>X53*Z50</f>
        <v>33.741353580000002</v>
      </c>
      <c r="AA53" s="138"/>
      <c r="AB53" s="451">
        <f t="shared" si="68"/>
        <v>0.23650537239999636</v>
      </c>
      <c r="AC53" s="453">
        <f t="shared" si="69"/>
        <v>7.0588402888615131E-3</v>
      </c>
      <c r="AD53" s="53"/>
      <c r="AE53" s="452">
        <f>'Proposed Rates'!I293</f>
        <v>0.23499999999999999</v>
      </c>
      <c r="AF53" s="411"/>
      <c r="AG53" s="451">
        <f>AE53*AG50</f>
        <v>34.093853580000001</v>
      </c>
      <c r="AH53" s="138"/>
      <c r="AI53" s="451">
        <f t="shared" si="70"/>
        <v>0.35249999999999915</v>
      </c>
      <c r="AJ53" s="453">
        <f t="shared" si="71"/>
        <v>1.0447120894668005E-2</v>
      </c>
      <c r="AK53" s="53"/>
      <c r="AL53" s="452">
        <f>'Proposed Rates'!J293</f>
        <v>0.23499999999999999</v>
      </c>
      <c r="AM53" s="411"/>
      <c r="AN53" s="451">
        <f>AL53*AN50</f>
        <v>34.415803580000002</v>
      </c>
      <c r="AO53" s="138"/>
      <c r="AP53" s="451">
        <f t="shared" si="72"/>
        <v>0.32195000000000107</v>
      </c>
      <c r="AQ53" s="453">
        <f t="shared" si="73"/>
        <v>9.4430510544827959E-3</v>
      </c>
      <c r="AR53" s="454"/>
      <c r="AS53" s="454"/>
      <c r="AT53" s="454"/>
      <c r="AU53" s="3"/>
      <c r="AV53" s="3"/>
      <c r="AW53" s="3"/>
      <c r="AX53" s="3"/>
      <c r="AY53" s="3"/>
      <c r="AZ53" s="3"/>
      <c r="BA53" s="3"/>
      <c r="BB53" s="3"/>
    </row>
    <row r="54" spans="1:54" ht="12.75" customHeight="1">
      <c r="A54" s="53"/>
      <c r="B54" s="627" t="s">
        <v>347</v>
      </c>
      <c r="C54" s="608"/>
      <c r="D54" s="600"/>
      <c r="E54" s="455"/>
      <c r="F54" s="456"/>
      <c r="G54" s="487"/>
      <c r="H54" s="488">
        <f>H52-H53</f>
        <v>119.46766243940003</v>
      </c>
      <c r="I54" s="457"/>
      <c r="J54" s="456"/>
      <c r="K54" s="457"/>
      <c r="L54" s="458">
        <f>L52-L53</f>
        <v>124.6715508332</v>
      </c>
      <c r="M54" s="459"/>
      <c r="N54" s="460">
        <f t="shared" si="64"/>
        <v>5.2038883937999714</v>
      </c>
      <c r="O54" s="461">
        <f t="shared" si="65"/>
        <v>4.3558970582852442E-2</v>
      </c>
      <c r="P54" s="53"/>
      <c r="Q54" s="457"/>
      <c r="R54" s="457"/>
      <c r="S54" s="458">
        <f>S52-S53</f>
        <v>127.60357083320001</v>
      </c>
      <c r="T54" s="459"/>
      <c r="U54" s="460">
        <f t="shared" si="66"/>
        <v>2.9320200000000085</v>
      </c>
      <c r="V54" s="461">
        <f t="shared" si="67"/>
        <v>2.3517955623434922E-2</v>
      </c>
      <c r="W54" s="53"/>
      <c r="X54" s="457"/>
      <c r="Y54" s="457"/>
      <c r="Z54" s="458">
        <f>Z52-Z53</f>
        <v>128.50430406000001</v>
      </c>
      <c r="AA54" s="459"/>
      <c r="AB54" s="460">
        <f t="shared" si="68"/>
        <v>0.9007332267999999</v>
      </c>
      <c r="AC54" s="461">
        <f t="shared" si="69"/>
        <v>7.0588402888616215E-3</v>
      </c>
      <c r="AD54" s="53"/>
      <c r="AE54" s="457"/>
      <c r="AF54" s="457"/>
      <c r="AG54" s="458">
        <f>AG52-AG53</f>
        <v>129.84680406000001</v>
      </c>
      <c r="AH54" s="459"/>
      <c r="AI54" s="460">
        <f t="shared" si="70"/>
        <v>1.3425000000000011</v>
      </c>
      <c r="AJ54" s="461">
        <f t="shared" si="71"/>
        <v>1.044712089466804E-2</v>
      </c>
      <c r="AK54" s="53"/>
      <c r="AL54" s="457"/>
      <c r="AM54" s="457"/>
      <c r="AN54" s="458">
        <f>AN52-AN53</f>
        <v>131.07295406000003</v>
      </c>
      <c r="AO54" s="459"/>
      <c r="AP54" s="460">
        <f t="shared" si="72"/>
        <v>1.2261500000000183</v>
      </c>
      <c r="AQ54" s="461">
        <f t="shared" si="73"/>
        <v>9.4430510544829052E-3</v>
      </c>
      <c r="AR54" s="445"/>
      <c r="AS54" s="445"/>
      <c r="AT54" s="445"/>
      <c r="AU54" s="3"/>
      <c r="AV54" s="3"/>
      <c r="AW54" s="3"/>
      <c r="AX54" s="3"/>
      <c r="AY54" s="3"/>
      <c r="AZ54" s="3"/>
      <c r="BA54" s="3"/>
      <c r="BB54" s="3"/>
    </row>
    <row r="55" spans="1:54" ht="8.25"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397"/>
      <c r="AS55" s="397"/>
      <c r="AT55" s="397"/>
      <c r="AU55" s="3"/>
      <c r="AV55" s="3"/>
      <c r="AW55" s="3"/>
      <c r="AX55" s="3"/>
      <c r="AY55" s="3"/>
      <c r="AZ55" s="3"/>
      <c r="BA55" s="3"/>
      <c r="BB55" s="3"/>
    </row>
    <row r="56" spans="1:54" ht="12.75" customHeight="1">
      <c r="A56" s="53"/>
      <c r="B56" s="438" t="s">
        <v>348</v>
      </c>
      <c r="C56" s="328"/>
      <c r="D56" s="328"/>
      <c r="E56" s="328"/>
      <c r="F56" s="439"/>
      <c r="G56" s="483"/>
      <c r="H56" s="441">
        <f>SUM(H47:H48,H40,H41:H43)</f>
        <v>129.26102172</v>
      </c>
      <c r="I56" s="476"/>
      <c r="J56" s="439"/>
      <c r="K56" s="440"/>
      <c r="L56" s="441">
        <f>SUM(L47:L48,L40,L41:L43)</f>
        <v>135.07542215999999</v>
      </c>
      <c r="M56" s="443"/>
      <c r="N56" s="442">
        <f t="shared" ref="N56:N60" si="74">L56-H56</f>
        <v>5.8144004399999858</v>
      </c>
      <c r="O56" s="444">
        <f t="shared" ref="O56:O60" si="75">IF((H56)=0,"",(N56/H56))</f>
        <v>4.4981854256071908E-2</v>
      </c>
      <c r="P56" s="53"/>
      <c r="Q56" s="440"/>
      <c r="R56" s="440"/>
      <c r="S56" s="442">
        <f>SUM(S47:S48,S40,S41:S43)</f>
        <v>138.35142216</v>
      </c>
      <c r="T56" s="443"/>
      <c r="U56" s="442">
        <f t="shared" ref="U56:U60" si="76">S56-L56</f>
        <v>3.2760000000000105</v>
      </c>
      <c r="V56" s="444">
        <f t="shared" ref="V56:V60" si="77">IF((L56)=0,"",(U56/L56))</f>
        <v>2.4253116870658467E-2</v>
      </c>
      <c r="W56" s="53"/>
      <c r="X56" s="440"/>
      <c r="Y56" s="440"/>
      <c r="Z56" s="442">
        <f>SUM(Z47:Z48,Z40,Z41:Z43)</f>
        <v>139.35782799999998</v>
      </c>
      <c r="AA56" s="443"/>
      <c r="AB56" s="442">
        <f t="shared" ref="AB56:AB60" si="78">Z56-S56</f>
        <v>1.0064058399999851</v>
      </c>
      <c r="AC56" s="444">
        <f t="shared" ref="AC56:AC60" si="79">IF((S56)=0,"",(AB56/S56))</f>
        <v>7.2742717370559568E-3</v>
      </c>
      <c r="AD56" s="53"/>
      <c r="AE56" s="440"/>
      <c r="AF56" s="440"/>
      <c r="AG56" s="442">
        <f>SUM(AG47:AG48,AG40,AG41:AG43)</f>
        <v>140.85782799999998</v>
      </c>
      <c r="AH56" s="443"/>
      <c r="AI56" s="442">
        <f t="shared" ref="AI56:AI60" si="80">AG56-Z56</f>
        <v>1.5</v>
      </c>
      <c r="AJ56" s="444">
        <f t="shared" ref="AJ56:AJ60" si="81">IF((Z56)=0,"",(AI56/Z56))</f>
        <v>1.0763657998458473E-2</v>
      </c>
      <c r="AK56" s="53"/>
      <c r="AL56" s="440"/>
      <c r="AM56" s="440"/>
      <c r="AN56" s="442">
        <f>SUM(AN47:AN48,AN40,AN41:AN43)</f>
        <v>142.22782799999999</v>
      </c>
      <c r="AO56" s="443"/>
      <c r="AP56" s="442">
        <f t="shared" ref="AP56:AP60" si="82">AN56-AG56</f>
        <v>1.3700000000000045</v>
      </c>
      <c r="AQ56" s="444">
        <f t="shared" ref="AQ56:AQ60" si="83">IF((AG56)=0,"",(AP56/AG56))</f>
        <v>9.7261190198105613E-3</v>
      </c>
      <c r="AR56" s="445"/>
      <c r="AS56" s="445"/>
      <c r="AT56" s="445"/>
      <c r="AU56" s="3"/>
      <c r="AV56" s="3"/>
      <c r="AW56" s="3"/>
      <c r="AX56" s="3"/>
      <c r="AY56" s="3"/>
      <c r="AZ56" s="3"/>
      <c r="BA56" s="3"/>
      <c r="BB56" s="3"/>
    </row>
    <row r="57" spans="1:54" ht="12.75" customHeight="1">
      <c r="A57" s="53"/>
      <c r="B57" s="446" t="s">
        <v>345</v>
      </c>
      <c r="C57" s="328"/>
      <c r="D57" s="328"/>
      <c r="E57" s="328"/>
      <c r="F57" s="439">
        <v>0.13</v>
      </c>
      <c r="G57" s="483"/>
      <c r="H57" s="484">
        <f>H56*F57</f>
        <v>16.8039328236</v>
      </c>
      <c r="I57" s="411"/>
      <c r="J57" s="439">
        <v>0.13</v>
      </c>
      <c r="K57" s="447"/>
      <c r="L57" s="394">
        <f>L56*J57</f>
        <v>17.559804880799998</v>
      </c>
      <c r="M57" s="138"/>
      <c r="N57" s="395">
        <f t="shared" si="74"/>
        <v>0.75587205719999773</v>
      </c>
      <c r="O57" s="396">
        <f t="shared" si="75"/>
        <v>4.4981854256071888E-2</v>
      </c>
      <c r="P57" s="53"/>
      <c r="Q57" s="439">
        <v>0.13</v>
      </c>
      <c r="R57" s="447"/>
      <c r="S57" s="394">
        <f>S56*Q57</f>
        <v>17.985684880800001</v>
      </c>
      <c r="T57" s="138"/>
      <c r="U57" s="395">
        <f t="shared" si="76"/>
        <v>0.42588000000000292</v>
      </c>
      <c r="V57" s="396">
        <f t="shared" si="77"/>
        <v>2.4253116870658557E-2</v>
      </c>
      <c r="W57" s="53"/>
      <c r="X57" s="439">
        <v>0.13</v>
      </c>
      <c r="Y57" s="447"/>
      <c r="Z57" s="394">
        <f>Z56*X57</f>
        <v>18.116517639999998</v>
      </c>
      <c r="AA57" s="138"/>
      <c r="AB57" s="395">
        <f t="shared" si="78"/>
        <v>0.13083275919999693</v>
      </c>
      <c r="AC57" s="396">
        <f t="shared" si="79"/>
        <v>7.2742717370558926E-3</v>
      </c>
      <c r="AD57" s="53"/>
      <c r="AE57" s="439">
        <v>0.13</v>
      </c>
      <c r="AF57" s="447"/>
      <c r="AG57" s="394">
        <f>AG56*AE57</f>
        <v>18.311517639999998</v>
      </c>
      <c r="AH57" s="138"/>
      <c r="AI57" s="395">
        <f t="shared" si="80"/>
        <v>0.19500000000000028</v>
      </c>
      <c r="AJ57" s="396">
        <f t="shared" si="81"/>
        <v>1.0763657998458489E-2</v>
      </c>
      <c r="AK57" s="53"/>
      <c r="AL57" s="439">
        <v>0.13</v>
      </c>
      <c r="AM57" s="447"/>
      <c r="AN57" s="394">
        <f>AN56*AL57</f>
        <v>18.489617639999999</v>
      </c>
      <c r="AO57" s="138"/>
      <c r="AP57" s="395">
        <f t="shared" si="82"/>
        <v>0.17810000000000059</v>
      </c>
      <c r="AQ57" s="396">
        <f t="shared" si="83"/>
        <v>9.7261190198105613E-3</v>
      </c>
      <c r="AR57" s="397"/>
      <c r="AS57" s="397"/>
      <c r="AT57" s="397"/>
      <c r="AU57" s="3"/>
      <c r="AV57" s="3"/>
      <c r="AW57" s="3"/>
      <c r="AX57" s="3"/>
      <c r="AY57" s="3"/>
      <c r="AZ57" s="3"/>
      <c r="BA57" s="3"/>
      <c r="BB57" s="3"/>
    </row>
    <row r="58" spans="1:54" ht="12.75" customHeight="1">
      <c r="A58" s="53"/>
      <c r="B58" s="485" t="s">
        <v>375</v>
      </c>
      <c r="C58" s="328"/>
      <c r="D58" s="328"/>
      <c r="E58" s="328"/>
      <c r="F58" s="449"/>
      <c r="G58" s="138"/>
      <c r="H58" s="484">
        <f>H56+H57</f>
        <v>146.06495454360001</v>
      </c>
      <c r="I58" s="411"/>
      <c r="J58" s="449"/>
      <c r="K58" s="411"/>
      <c r="L58" s="394">
        <f>L56+L57</f>
        <v>152.63522704079998</v>
      </c>
      <c r="M58" s="138"/>
      <c r="N58" s="395">
        <f t="shared" si="74"/>
        <v>6.5702724971999658</v>
      </c>
      <c r="O58" s="396">
        <f t="shared" si="75"/>
        <v>4.4981854256071784E-2</v>
      </c>
      <c r="P58" s="53"/>
      <c r="Q58" s="411"/>
      <c r="R58" s="411"/>
      <c r="S58" s="394">
        <f>S56+S57</f>
        <v>156.33710704079999</v>
      </c>
      <c r="T58" s="138"/>
      <c r="U58" s="395">
        <f t="shared" si="76"/>
        <v>3.7018800000000169</v>
      </c>
      <c r="V58" s="396">
        <f t="shared" si="77"/>
        <v>2.4253116870658505E-2</v>
      </c>
      <c r="W58" s="53"/>
      <c r="X58" s="411"/>
      <c r="Y58" s="411"/>
      <c r="Z58" s="394">
        <f>Z56+Z57</f>
        <v>157.47434563999997</v>
      </c>
      <c r="AA58" s="138"/>
      <c r="AB58" s="395">
        <f t="shared" si="78"/>
        <v>1.1372385991999749</v>
      </c>
      <c r="AC58" s="396">
        <f t="shared" si="79"/>
        <v>7.2742717370559038E-3</v>
      </c>
      <c r="AD58" s="53"/>
      <c r="AE58" s="411"/>
      <c r="AF58" s="411"/>
      <c r="AG58" s="394">
        <f>AG56+AG57</f>
        <v>159.16934563999999</v>
      </c>
      <c r="AH58" s="138"/>
      <c r="AI58" s="395">
        <f t="shared" si="80"/>
        <v>1.6950000000000216</v>
      </c>
      <c r="AJ58" s="396">
        <f t="shared" si="81"/>
        <v>1.0763657998458612E-2</v>
      </c>
      <c r="AK58" s="53"/>
      <c r="AL58" s="411"/>
      <c r="AM58" s="411"/>
      <c r="AN58" s="394">
        <f>AN56+AN57</f>
        <v>160.71744563999999</v>
      </c>
      <c r="AO58" s="138"/>
      <c r="AP58" s="395">
        <f t="shared" si="82"/>
        <v>1.5481000000000051</v>
      </c>
      <c r="AQ58" s="396">
        <f t="shared" si="83"/>
        <v>9.7261190198105613E-3</v>
      </c>
      <c r="AR58" s="397"/>
      <c r="AS58" s="397"/>
      <c r="AT58" s="397"/>
      <c r="AU58" s="3"/>
      <c r="AV58" s="3"/>
      <c r="AW58" s="3"/>
      <c r="AX58" s="3"/>
      <c r="AY58" s="3"/>
      <c r="AZ58" s="3"/>
      <c r="BA58" s="3"/>
      <c r="BB58" s="3"/>
    </row>
    <row r="59" spans="1:54" ht="15.75" customHeight="1">
      <c r="A59" s="53"/>
      <c r="B59" s="626" t="s">
        <v>304</v>
      </c>
      <c r="C59" s="616"/>
      <c r="D59" s="616"/>
      <c r="E59" s="328"/>
      <c r="F59" s="450">
        <f>F53</f>
        <v>0.23499999999999999</v>
      </c>
      <c r="G59" s="138"/>
      <c r="H59" s="486">
        <f>F59*H56</f>
        <v>30.376340104200001</v>
      </c>
      <c r="I59" s="411"/>
      <c r="J59" s="450">
        <f>J53</f>
        <v>0.23499999999999999</v>
      </c>
      <c r="K59" s="411"/>
      <c r="L59" s="451">
        <f>J59*L56</f>
        <v>31.742724207599995</v>
      </c>
      <c r="M59" s="138"/>
      <c r="N59" s="451">
        <f t="shared" si="74"/>
        <v>1.3663841033999944</v>
      </c>
      <c r="O59" s="453">
        <f t="shared" si="75"/>
        <v>4.4981854256071839E-2</v>
      </c>
      <c r="P59" s="53"/>
      <c r="Q59" s="452">
        <f>Q53</f>
        <v>0.23499999999999999</v>
      </c>
      <c r="R59" s="411"/>
      <c r="S59" s="451">
        <f>Q59*S56</f>
        <v>32.5125842076</v>
      </c>
      <c r="T59" s="138"/>
      <c r="U59" s="451">
        <f t="shared" si="76"/>
        <v>0.76986000000000487</v>
      </c>
      <c r="V59" s="453">
        <f t="shared" si="77"/>
        <v>2.4253116870658547E-2</v>
      </c>
      <c r="W59" s="53"/>
      <c r="X59" s="452">
        <f>X53</f>
        <v>0.23499999999999999</v>
      </c>
      <c r="Y59" s="411"/>
      <c r="Z59" s="451">
        <f>X59*Z56</f>
        <v>32.749089579999996</v>
      </c>
      <c r="AA59" s="138"/>
      <c r="AB59" s="451">
        <f t="shared" si="78"/>
        <v>0.23650537239999636</v>
      </c>
      <c r="AC59" s="453">
        <f t="shared" si="79"/>
        <v>7.2742717370559516E-3</v>
      </c>
      <c r="AD59" s="53"/>
      <c r="AE59" s="452">
        <f>AE53</f>
        <v>0.23499999999999999</v>
      </c>
      <c r="AF59" s="411"/>
      <c r="AG59" s="451">
        <f>AE59*AG56</f>
        <v>33.101589579999995</v>
      </c>
      <c r="AH59" s="138"/>
      <c r="AI59" s="451">
        <f t="shared" si="80"/>
        <v>0.35249999999999915</v>
      </c>
      <c r="AJ59" s="453">
        <f t="shared" si="81"/>
        <v>1.0763657998458447E-2</v>
      </c>
      <c r="AK59" s="53"/>
      <c r="AL59" s="452">
        <f>AL53</f>
        <v>0.23499999999999999</v>
      </c>
      <c r="AM59" s="411"/>
      <c r="AN59" s="451">
        <f>AL59*AN56</f>
        <v>33.423539579999996</v>
      </c>
      <c r="AO59" s="138"/>
      <c r="AP59" s="451">
        <f t="shared" si="82"/>
        <v>0.32195000000000107</v>
      </c>
      <c r="AQ59" s="453">
        <f t="shared" si="83"/>
        <v>9.7261190198105613E-3</v>
      </c>
      <c r="AR59" s="454"/>
      <c r="AS59" s="454"/>
      <c r="AT59" s="454"/>
      <c r="AU59" s="3"/>
      <c r="AV59" s="3"/>
      <c r="AW59" s="3"/>
      <c r="AX59" s="3"/>
      <c r="AY59" s="3"/>
      <c r="AZ59" s="3"/>
      <c r="BA59" s="3"/>
      <c r="BB59" s="3"/>
    </row>
    <row r="60" spans="1:54" ht="12.75" customHeight="1">
      <c r="A60" s="53"/>
      <c r="B60" s="627" t="s">
        <v>350</v>
      </c>
      <c r="C60" s="608"/>
      <c r="D60" s="600"/>
      <c r="E60" s="455"/>
      <c r="F60" s="463"/>
      <c r="G60" s="489"/>
      <c r="H60" s="490">
        <f>H58-H59</f>
        <v>115.68861443940001</v>
      </c>
      <c r="I60" s="464"/>
      <c r="J60" s="463"/>
      <c r="K60" s="464"/>
      <c r="L60" s="465">
        <f>L58-L59</f>
        <v>120.89250283319998</v>
      </c>
      <c r="M60" s="466"/>
      <c r="N60" s="467">
        <f t="shared" si="74"/>
        <v>5.2038883937999714</v>
      </c>
      <c r="O60" s="468">
        <f t="shared" si="75"/>
        <v>4.498185425607177E-2</v>
      </c>
      <c r="P60" s="53"/>
      <c r="Q60" s="464"/>
      <c r="R60" s="464"/>
      <c r="S60" s="465">
        <f>S58-S59</f>
        <v>123.82452283319999</v>
      </c>
      <c r="T60" s="466"/>
      <c r="U60" s="467">
        <f t="shared" si="76"/>
        <v>2.9320200000000085</v>
      </c>
      <c r="V60" s="468">
        <f t="shared" si="77"/>
        <v>2.4253116870658464E-2</v>
      </c>
      <c r="W60" s="53"/>
      <c r="X60" s="464"/>
      <c r="Y60" s="464"/>
      <c r="Z60" s="465">
        <f>Z58-Z59</f>
        <v>124.72525605999996</v>
      </c>
      <c r="AA60" s="466"/>
      <c r="AB60" s="467">
        <f t="shared" si="78"/>
        <v>0.90073322679997148</v>
      </c>
      <c r="AC60" s="468">
        <f t="shared" si="79"/>
        <v>7.2742717370558336E-3</v>
      </c>
      <c r="AD60" s="53"/>
      <c r="AE60" s="464"/>
      <c r="AF60" s="464"/>
      <c r="AG60" s="465">
        <f>AG58-AG59</f>
        <v>126.06775605999999</v>
      </c>
      <c r="AH60" s="466"/>
      <c r="AI60" s="467">
        <f t="shared" si="80"/>
        <v>1.3425000000000296</v>
      </c>
      <c r="AJ60" s="468">
        <f t="shared" si="81"/>
        <v>1.0763657998458713E-2</v>
      </c>
      <c r="AK60" s="53"/>
      <c r="AL60" s="464"/>
      <c r="AM60" s="464"/>
      <c r="AN60" s="465">
        <f>AN58-AN59</f>
        <v>127.29390606</v>
      </c>
      <c r="AO60" s="466"/>
      <c r="AP60" s="467">
        <f t="shared" si="82"/>
        <v>1.2261500000000041</v>
      </c>
      <c r="AQ60" s="468">
        <f t="shared" si="83"/>
        <v>9.7261190198105613E-3</v>
      </c>
      <c r="AR60" s="445"/>
      <c r="AS60" s="445"/>
      <c r="AT60" s="445"/>
      <c r="AU60" s="3"/>
      <c r="AV60" s="3"/>
      <c r="AW60" s="3"/>
      <c r="AX60" s="3"/>
      <c r="AY60" s="3"/>
      <c r="AZ60" s="3"/>
      <c r="BA60" s="3"/>
      <c r="BB60" s="3"/>
    </row>
    <row r="61" spans="1:54" ht="8.25"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397"/>
      <c r="AS61" s="397"/>
      <c r="AT61" s="397"/>
      <c r="AU61" s="3"/>
      <c r="AV61" s="3"/>
      <c r="AW61" s="3"/>
      <c r="AX61" s="3"/>
      <c r="AY61" s="3"/>
      <c r="AZ61" s="3"/>
      <c r="BA61" s="3"/>
      <c r="BB61" s="3"/>
    </row>
    <row r="62" spans="1:5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c r="AS62" s="53"/>
      <c r="AT62" s="53"/>
      <c r="AU62" s="3"/>
      <c r="AV62" s="3"/>
      <c r="AW62" s="3"/>
      <c r="AX62" s="3"/>
      <c r="AY62" s="3"/>
      <c r="AZ62" s="3"/>
      <c r="BA62" s="3"/>
      <c r="BB62" s="3"/>
    </row>
    <row r="63" spans="1:54" ht="12.75"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c r="AS63" s="53"/>
      <c r="AT63" s="53"/>
      <c r="AU63" s="3"/>
      <c r="AV63" s="3"/>
      <c r="AW63" s="3"/>
      <c r="AX63" s="3"/>
      <c r="AY63" s="3"/>
      <c r="AZ63" s="3"/>
      <c r="BA63" s="3"/>
      <c r="BB63" s="3"/>
    </row>
    <row r="64" spans="1:5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3"/>
      <c r="AV64" s="3"/>
      <c r="AW64" s="3"/>
      <c r="AX64" s="3"/>
      <c r="AY64" s="3"/>
      <c r="AZ64" s="3"/>
      <c r="BA64" s="3"/>
      <c r="BB64" s="3"/>
    </row>
    <row r="65" spans="1:54" ht="15.75" customHeight="1">
      <c r="A65" s="473" t="s">
        <v>376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3"/>
      <c r="AV65" s="3"/>
      <c r="AW65" s="3"/>
      <c r="AX65" s="3"/>
      <c r="AY65" s="3"/>
      <c r="AZ65" s="3"/>
      <c r="BA65" s="3"/>
      <c r="BB65" s="3"/>
    </row>
    <row r="66" spans="1:5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3"/>
      <c r="AV66" s="3"/>
      <c r="AW66" s="3"/>
      <c r="AX66" s="3"/>
      <c r="AY66" s="3"/>
      <c r="AZ66" s="3"/>
      <c r="BA66" s="3"/>
      <c r="BB66" s="3"/>
    </row>
    <row r="67" spans="1:5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3"/>
      <c r="AV67" s="3"/>
      <c r="AW67" s="3"/>
      <c r="AX67" s="3"/>
      <c r="AY67" s="3"/>
      <c r="AZ67" s="3"/>
      <c r="BA67" s="3"/>
      <c r="BB67" s="3"/>
    </row>
    <row r="68" spans="1:5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3"/>
      <c r="AV68" s="3"/>
      <c r="AW68" s="3"/>
      <c r="AX68" s="3"/>
      <c r="AY68" s="3"/>
      <c r="AZ68" s="3"/>
      <c r="BA68" s="3"/>
      <c r="BB68" s="3"/>
    </row>
    <row r="69" spans="1:5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3"/>
      <c r="AV69" s="3"/>
      <c r="AW69" s="3"/>
      <c r="AX69" s="3"/>
      <c r="AY69" s="3"/>
      <c r="AZ69" s="3"/>
      <c r="BA69" s="3"/>
      <c r="BB69" s="3"/>
    </row>
    <row r="70" spans="1:5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3"/>
      <c r="AV70" s="3"/>
      <c r="AW70" s="3"/>
      <c r="AX70" s="3"/>
      <c r="AY70" s="3"/>
      <c r="AZ70" s="3"/>
      <c r="BA70" s="3"/>
      <c r="BB70" s="3"/>
    </row>
    <row r="71" spans="1:5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3"/>
      <c r="AV71" s="3"/>
      <c r="AW71" s="3"/>
      <c r="AX71" s="3"/>
      <c r="AY71" s="3"/>
      <c r="AZ71" s="3"/>
      <c r="BA71" s="3"/>
      <c r="BB71" s="3"/>
    </row>
    <row r="72" spans="1:5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3"/>
      <c r="AV72" s="3"/>
      <c r="AW72" s="3"/>
      <c r="AX72" s="3"/>
      <c r="AY72" s="3"/>
      <c r="AZ72" s="3"/>
      <c r="BA72" s="3"/>
      <c r="BB72" s="3"/>
    </row>
    <row r="73" spans="1:5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3"/>
      <c r="AV73" s="3"/>
      <c r="AW73" s="3"/>
      <c r="AX73" s="3"/>
      <c r="AY73" s="3"/>
      <c r="AZ73" s="3"/>
      <c r="BA73" s="3"/>
      <c r="BB73" s="3"/>
    </row>
    <row r="74" spans="1:5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3"/>
      <c r="AV74" s="3"/>
      <c r="AW74" s="3"/>
      <c r="AX74" s="3"/>
      <c r="AY74" s="3"/>
      <c r="AZ74" s="3"/>
      <c r="BA74" s="3"/>
      <c r="BB74" s="3"/>
    </row>
    <row r="75" spans="1:5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3"/>
      <c r="AV75" s="3"/>
      <c r="AW75" s="3"/>
      <c r="AX75" s="3"/>
      <c r="AY75" s="3"/>
      <c r="AZ75" s="3"/>
      <c r="BA75" s="3"/>
      <c r="BB75" s="3"/>
    </row>
    <row r="76" spans="1:5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3"/>
      <c r="AV76" s="3"/>
      <c r="AW76" s="3"/>
      <c r="AX76" s="3"/>
      <c r="AY76" s="3"/>
      <c r="AZ76" s="3"/>
      <c r="BA76" s="3"/>
      <c r="BB76" s="3"/>
    </row>
    <row r="77" spans="1:5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3"/>
      <c r="AV77" s="3"/>
      <c r="AW77" s="3"/>
      <c r="AX77" s="3"/>
      <c r="AY77" s="3"/>
      <c r="AZ77" s="3"/>
      <c r="BA77" s="3"/>
      <c r="BB77" s="3"/>
    </row>
    <row r="78" spans="1:5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3"/>
      <c r="AV78" s="3"/>
      <c r="AW78" s="3"/>
      <c r="AX78" s="3"/>
      <c r="AY78" s="3"/>
      <c r="AZ78" s="3"/>
      <c r="BA78" s="3"/>
      <c r="BB78" s="3"/>
    </row>
    <row r="79" spans="1:54" ht="12.75" customHeight="1">
      <c r="A79" s="474"/>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3"/>
      <c r="AV79" s="3"/>
      <c r="AW79" s="3"/>
      <c r="AX79" s="3"/>
      <c r="AY79" s="3"/>
      <c r="AZ79" s="3"/>
      <c r="BA79" s="3"/>
      <c r="BB79" s="3"/>
    </row>
    <row r="80" spans="1:5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3"/>
      <c r="AV80" s="3"/>
      <c r="AW80" s="3"/>
      <c r="AX80" s="3"/>
      <c r="AY80" s="3"/>
      <c r="AZ80" s="3"/>
      <c r="BA80" s="3"/>
      <c r="BB80" s="3"/>
    </row>
    <row r="81" spans="1:5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3"/>
      <c r="AV81" s="3"/>
      <c r="AW81" s="3"/>
      <c r="AX81" s="3"/>
      <c r="AY81" s="3"/>
      <c r="AZ81" s="3"/>
      <c r="BA81" s="3"/>
      <c r="BB81" s="3"/>
    </row>
    <row r="82" spans="1:5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3"/>
      <c r="AV82" s="3"/>
      <c r="AW82" s="3"/>
      <c r="AX82" s="3"/>
      <c r="AY82" s="3"/>
      <c r="AZ82" s="3"/>
      <c r="BA82" s="3"/>
      <c r="BB82" s="3"/>
    </row>
    <row r="83" spans="1:5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3"/>
      <c r="AV83" s="3"/>
      <c r="AW83" s="3"/>
      <c r="AX83" s="3"/>
      <c r="AY83" s="3"/>
      <c r="AZ83" s="3"/>
      <c r="BA83" s="3"/>
      <c r="BB83" s="3"/>
    </row>
    <row r="84" spans="1:5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3"/>
      <c r="AV84" s="3"/>
      <c r="AW84" s="3"/>
      <c r="AX84" s="3"/>
      <c r="AY84" s="3"/>
      <c r="AZ84" s="3"/>
      <c r="BA84" s="3"/>
      <c r="BB84" s="3"/>
    </row>
    <row r="85" spans="1:5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3"/>
      <c r="AV85" s="3"/>
      <c r="AW85" s="3"/>
      <c r="AX85" s="3"/>
      <c r="AY85" s="3"/>
      <c r="AZ85" s="3"/>
      <c r="BA85" s="3"/>
      <c r="BB85" s="3"/>
    </row>
    <row r="86" spans="1:5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3"/>
      <c r="AV86" s="3"/>
      <c r="AW86" s="3"/>
      <c r="AX86" s="3"/>
      <c r="AY86" s="3"/>
      <c r="AZ86" s="3"/>
      <c r="BA86" s="3"/>
      <c r="BB86" s="3"/>
    </row>
    <row r="87" spans="1:5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3"/>
      <c r="AV87" s="3"/>
      <c r="AW87" s="3"/>
      <c r="AX87" s="3"/>
      <c r="AY87" s="3"/>
      <c r="AZ87" s="3"/>
      <c r="BA87" s="3"/>
      <c r="BB87" s="3"/>
    </row>
    <row r="88" spans="1:5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3"/>
      <c r="AV88" s="3"/>
      <c r="AW88" s="3"/>
      <c r="AX88" s="3"/>
      <c r="AY88" s="3"/>
      <c r="AZ88" s="3"/>
      <c r="BA88" s="3"/>
      <c r="BB88" s="3"/>
    </row>
    <row r="89" spans="1:5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3"/>
      <c r="AV89" s="3"/>
      <c r="AW89" s="3"/>
      <c r="AX89" s="3"/>
      <c r="AY89" s="3"/>
      <c r="AZ89" s="3"/>
      <c r="BA89" s="3"/>
      <c r="BB89" s="3"/>
    </row>
    <row r="90" spans="1:5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3"/>
      <c r="AV90" s="3"/>
      <c r="AW90" s="3"/>
      <c r="AX90" s="3"/>
      <c r="AY90" s="3"/>
      <c r="AZ90" s="3"/>
      <c r="BA90" s="3"/>
      <c r="BB90" s="3"/>
    </row>
    <row r="91" spans="1:5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3"/>
      <c r="AV91" s="3"/>
      <c r="AW91" s="3"/>
      <c r="AX91" s="3"/>
      <c r="AY91" s="3"/>
      <c r="AZ91" s="3"/>
      <c r="BA91" s="3"/>
      <c r="BB91" s="3"/>
    </row>
    <row r="92" spans="1:5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3"/>
      <c r="AV92" s="3"/>
      <c r="AW92" s="3"/>
      <c r="AX92" s="3"/>
      <c r="AY92" s="3"/>
      <c r="AZ92" s="3"/>
      <c r="BA92" s="3"/>
      <c r="BB92" s="3"/>
    </row>
    <row r="93" spans="1:5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3"/>
      <c r="AV93" s="3"/>
      <c r="AW93" s="3"/>
      <c r="AX93" s="3"/>
      <c r="AY93" s="3"/>
      <c r="AZ93" s="3"/>
      <c r="BA93" s="3"/>
      <c r="BB93" s="3"/>
    </row>
    <row r="94" spans="1:5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3"/>
      <c r="AV94" s="3"/>
      <c r="AW94" s="3"/>
      <c r="AX94" s="3"/>
      <c r="AY94" s="3"/>
      <c r="AZ94" s="3"/>
      <c r="BA94" s="3"/>
      <c r="BB94" s="3"/>
    </row>
    <row r="95" spans="1:5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3"/>
      <c r="AV95" s="3"/>
      <c r="AW95" s="3"/>
      <c r="AX95" s="3"/>
      <c r="AY95" s="3"/>
      <c r="AZ95" s="3"/>
      <c r="BA95" s="3"/>
      <c r="BB95" s="3"/>
    </row>
    <row r="96" spans="1:5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3"/>
      <c r="AV96" s="3"/>
      <c r="AW96" s="3"/>
      <c r="AX96" s="3"/>
      <c r="AY96" s="3"/>
      <c r="AZ96" s="3"/>
      <c r="BA96" s="3"/>
      <c r="BB96" s="3"/>
    </row>
    <row r="97" spans="1:5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3"/>
      <c r="AV97" s="3"/>
      <c r="AW97" s="3"/>
      <c r="AX97" s="3"/>
      <c r="AY97" s="3"/>
      <c r="AZ97" s="3"/>
      <c r="BA97" s="3"/>
      <c r="BB97" s="3"/>
    </row>
    <row r="98" spans="1:5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3"/>
      <c r="AV98" s="3"/>
      <c r="AW98" s="3"/>
      <c r="AX98" s="3"/>
      <c r="AY98" s="3"/>
      <c r="AZ98" s="3"/>
      <c r="BA98" s="3"/>
      <c r="BB98" s="3"/>
    </row>
    <row r="99" spans="1:5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3"/>
      <c r="AV99" s="3"/>
      <c r="AW99" s="3"/>
      <c r="AX99" s="3"/>
      <c r="AY99" s="3"/>
      <c r="AZ99" s="3"/>
      <c r="BA99" s="3"/>
      <c r="BB99" s="3"/>
    </row>
    <row r="100" spans="1:5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3"/>
      <c r="AV100" s="3"/>
      <c r="AW100" s="3"/>
      <c r="AX100" s="3"/>
      <c r="AY100" s="3"/>
      <c r="AZ100" s="3"/>
      <c r="BA100" s="3"/>
      <c r="BB100" s="3"/>
    </row>
    <row r="101" spans="1:5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3"/>
      <c r="AV101" s="3"/>
      <c r="AW101" s="3"/>
      <c r="AX101" s="3"/>
      <c r="AY101" s="3"/>
      <c r="AZ101" s="3"/>
      <c r="BA101" s="3"/>
      <c r="BB101" s="3"/>
    </row>
    <row r="102" spans="1:5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3"/>
      <c r="AV102" s="3"/>
      <c r="AW102" s="3"/>
      <c r="AX102" s="3"/>
      <c r="AY102" s="3"/>
      <c r="AZ102" s="3"/>
      <c r="BA102" s="3"/>
      <c r="BB102" s="3"/>
    </row>
    <row r="103" spans="1:5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3"/>
      <c r="AV103" s="3"/>
      <c r="AW103" s="3"/>
      <c r="AX103" s="3"/>
      <c r="AY103" s="3"/>
      <c r="AZ103" s="3"/>
      <c r="BA103" s="3"/>
      <c r="BB103" s="3"/>
    </row>
    <row r="104" spans="1:5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3"/>
      <c r="AV104" s="3"/>
      <c r="AW104" s="3"/>
      <c r="AX104" s="3"/>
      <c r="AY104" s="3"/>
      <c r="AZ104" s="3"/>
      <c r="BA104" s="3"/>
      <c r="BB104" s="3"/>
    </row>
    <row r="105" spans="1:5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3"/>
      <c r="AV105" s="3"/>
      <c r="AW105" s="3"/>
      <c r="AX105" s="3"/>
      <c r="AY105" s="3"/>
      <c r="AZ105" s="3"/>
      <c r="BA105" s="3"/>
      <c r="BB105" s="3"/>
    </row>
    <row r="106" spans="1:5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3"/>
      <c r="AV106" s="3"/>
      <c r="AW106" s="3"/>
      <c r="AX106" s="3"/>
      <c r="AY106" s="3"/>
      <c r="AZ106" s="3"/>
      <c r="BA106" s="3"/>
      <c r="BB106" s="3"/>
    </row>
    <row r="107" spans="1:5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3"/>
      <c r="AV107" s="3"/>
      <c r="AW107" s="3"/>
      <c r="AX107" s="3"/>
      <c r="AY107" s="3"/>
      <c r="AZ107" s="3"/>
      <c r="BA107" s="3"/>
      <c r="BB107" s="3"/>
    </row>
    <row r="108" spans="1:5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3"/>
      <c r="AV108" s="3"/>
      <c r="AW108" s="3"/>
      <c r="AX108" s="3"/>
      <c r="AY108" s="3"/>
      <c r="AZ108" s="3"/>
      <c r="BA108" s="3"/>
      <c r="BB108" s="3"/>
    </row>
    <row r="109" spans="1:5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3"/>
      <c r="AV109" s="3"/>
      <c r="AW109" s="3"/>
      <c r="AX109" s="3"/>
      <c r="AY109" s="3"/>
      <c r="AZ109" s="3"/>
      <c r="BA109" s="3"/>
      <c r="BB109" s="3"/>
    </row>
    <row r="110" spans="1:5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3"/>
      <c r="AV110" s="3"/>
      <c r="AW110" s="3"/>
      <c r="AX110" s="3"/>
      <c r="AY110" s="3"/>
      <c r="AZ110" s="3"/>
      <c r="BA110" s="3"/>
      <c r="BB110" s="3"/>
    </row>
    <row r="111" spans="1:5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3"/>
      <c r="AV111" s="3"/>
      <c r="AW111" s="3"/>
      <c r="AX111" s="3"/>
      <c r="AY111" s="3"/>
      <c r="AZ111" s="3"/>
      <c r="BA111" s="3"/>
      <c r="BB111" s="3"/>
    </row>
    <row r="112" spans="1:5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3"/>
      <c r="AV112" s="3"/>
      <c r="AW112" s="3"/>
      <c r="AX112" s="3"/>
      <c r="AY112" s="3"/>
      <c r="AZ112" s="3"/>
      <c r="BA112" s="3"/>
      <c r="BB112" s="3"/>
    </row>
    <row r="113" spans="1:5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3"/>
      <c r="AV113" s="3"/>
      <c r="AW113" s="3"/>
      <c r="AX113" s="3"/>
      <c r="AY113" s="3"/>
      <c r="AZ113" s="3"/>
      <c r="BA113" s="3"/>
      <c r="BB113" s="3"/>
    </row>
    <row r="114" spans="1:5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3"/>
      <c r="AV114" s="3"/>
      <c r="AW114" s="3"/>
      <c r="AX114" s="3"/>
      <c r="AY114" s="3"/>
      <c r="AZ114" s="3"/>
      <c r="BA114" s="3"/>
      <c r="BB114" s="3"/>
    </row>
    <row r="115" spans="1:5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3"/>
      <c r="AV115" s="3"/>
      <c r="AW115" s="3"/>
      <c r="AX115" s="3"/>
      <c r="AY115" s="3"/>
      <c r="AZ115" s="3"/>
      <c r="BA115" s="3"/>
      <c r="BB115" s="3"/>
    </row>
    <row r="116" spans="1:5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3"/>
      <c r="AV116" s="3"/>
      <c r="AW116" s="3"/>
      <c r="AX116" s="3"/>
      <c r="AY116" s="3"/>
      <c r="AZ116" s="3"/>
      <c r="BA116" s="3"/>
      <c r="BB116" s="3"/>
    </row>
    <row r="117" spans="1:5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3"/>
      <c r="AV117" s="3"/>
      <c r="AW117" s="3"/>
      <c r="AX117" s="3"/>
      <c r="AY117" s="3"/>
      <c r="AZ117" s="3"/>
      <c r="BA117" s="3"/>
      <c r="BB117" s="3"/>
    </row>
    <row r="118" spans="1:5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3"/>
      <c r="AV118" s="3"/>
      <c r="AW118" s="3"/>
      <c r="AX118" s="3"/>
      <c r="AY118" s="3"/>
      <c r="AZ118" s="3"/>
      <c r="BA118" s="3"/>
      <c r="BB118" s="3"/>
    </row>
    <row r="119" spans="1:5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3"/>
      <c r="AV119" s="3"/>
      <c r="AW119" s="3"/>
      <c r="AX119" s="3"/>
      <c r="AY119" s="3"/>
      <c r="AZ119" s="3"/>
      <c r="BA119" s="3"/>
      <c r="BB119" s="3"/>
    </row>
    <row r="120" spans="1:5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3"/>
      <c r="AV120" s="3"/>
      <c r="AW120" s="3"/>
      <c r="AX120" s="3"/>
      <c r="AY120" s="3"/>
      <c r="AZ120" s="3"/>
      <c r="BA120" s="3"/>
      <c r="BB120" s="3"/>
    </row>
    <row r="121" spans="1:5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3"/>
      <c r="AV121" s="3"/>
      <c r="AW121" s="3"/>
      <c r="AX121" s="3"/>
      <c r="AY121" s="3"/>
      <c r="AZ121" s="3"/>
      <c r="BA121" s="3"/>
      <c r="BB121" s="3"/>
    </row>
    <row r="122" spans="1:5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3"/>
      <c r="AV122" s="3"/>
      <c r="AW122" s="3"/>
      <c r="AX122" s="3"/>
      <c r="AY122" s="3"/>
      <c r="AZ122" s="3"/>
      <c r="BA122" s="3"/>
      <c r="BB122" s="3"/>
    </row>
    <row r="123" spans="1:5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3"/>
      <c r="AV123" s="3"/>
      <c r="AW123" s="3"/>
      <c r="AX123" s="3"/>
      <c r="AY123" s="3"/>
      <c r="AZ123" s="3"/>
      <c r="BA123" s="3"/>
      <c r="BB123" s="3"/>
    </row>
    <row r="124" spans="1:5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3"/>
      <c r="AV124" s="3"/>
      <c r="AW124" s="3"/>
      <c r="AX124" s="3"/>
      <c r="AY124" s="3"/>
      <c r="AZ124" s="3"/>
      <c r="BA124" s="3"/>
      <c r="BB124" s="3"/>
    </row>
    <row r="125" spans="1:5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3"/>
      <c r="AV125" s="3"/>
      <c r="AW125" s="3"/>
      <c r="AX125" s="3"/>
      <c r="AY125" s="3"/>
      <c r="AZ125" s="3"/>
      <c r="BA125" s="3"/>
      <c r="BB125" s="3"/>
    </row>
    <row r="126" spans="1:5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3"/>
      <c r="AV126" s="3"/>
      <c r="AW126" s="3"/>
      <c r="AX126" s="3"/>
      <c r="AY126" s="3"/>
      <c r="AZ126" s="3"/>
      <c r="BA126" s="3"/>
      <c r="BB126" s="3"/>
    </row>
    <row r="127" spans="1:5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3"/>
      <c r="AV127" s="3"/>
      <c r="AW127" s="3"/>
      <c r="AX127" s="3"/>
      <c r="AY127" s="3"/>
      <c r="AZ127" s="3"/>
      <c r="BA127" s="3"/>
      <c r="BB127" s="3"/>
    </row>
    <row r="128" spans="1:5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3"/>
      <c r="AV128" s="3"/>
      <c r="AW128" s="3"/>
      <c r="AX128" s="3"/>
      <c r="AY128" s="3"/>
      <c r="AZ128" s="3"/>
      <c r="BA128" s="3"/>
      <c r="BB128" s="3"/>
    </row>
    <row r="129" spans="1:5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3"/>
      <c r="AV129" s="3"/>
      <c r="AW129" s="3"/>
      <c r="AX129" s="3"/>
      <c r="AY129" s="3"/>
      <c r="AZ129" s="3"/>
      <c r="BA129" s="3"/>
      <c r="BB129" s="3"/>
    </row>
    <row r="130" spans="1:5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3"/>
      <c r="AV130" s="3"/>
      <c r="AW130" s="3"/>
      <c r="AX130" s="3"/>
      <c r="AY130" s="3"/>
      <c r="AZ130" s="3"/>
      <c r="BA130" s="3"/>
      <c r="BB130" s="3"/>
    </row>
    <row r="131" spans="1:5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3"/>
      <c r="AV131" s="3"/>
      <c r="AW131" s="3"/>
      <c r="AX131" s="3"/>
      <c r="AY131" s="3"/>
      <c r="AZ131" s="3"/>
      <c r="BA131" s="3"/>
      <c r="BB131" s="3"/>
    </row>
    <row r="132" spans="1:5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3"/>
      <c r="AV132" s="3"/>
      <c r="AW132" s="3"/>
      <c r="AX132" s="3"/>
      <c r="AY132" s="3"/>
      <c r="AZ132" s="3"/>
      <c r="BA132" s="3"/>
      <c r="BB132" s="3"/>
    </row>
    <row r="133" spans="1:5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3"/>
      <c r="AV133" s="3"/>
      <c r="AW133" s="3"/>
      <c r="AX133" s="3"/>
      <c r="AY133" s="3"/>
      <c r="AZ133" s="3"/>
      <c r="BA133" s="3"/>
      <c r="BB133" s="3"/>
    </row>
    <row r="134" spans="1:5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3"/>
      <c r="AV134" s="3"/>
      <c r="AW134" s="3"/>
      <c r="AX134" s="3"/>
      <c r="AY134" s="3"/>
      <c r="AZ134" s="3"/>
      <c r="BA134" s="3"/>
      <c r="BB134" s="3"/>
    </row>
    <row r="135" spans="1:5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3"/>
      <c r="AV135" s="3"/>
      <c r="AW135" s="3"/>
      <c r="AX135" s="3"/>
      <c r="AY135" s="3"/>
      <c r="AZ135" s="3"/>
      <c r="BA135" s="3"/>
      <c r="BB135" s="3"/>
    </row>
    <row r="136" spans="1:5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3"/>
      <c r="AV136" s="3"/>
      <c r="AW136" s="3"/>
      <c r="AX136" s="3"/>
      <c r="AY136" s="3"/>
      <c r="AZ136" s="3"/>
      <c r="BA136" s="3"/>
      <c r="BB136" s="3"/>
    </row>
    <row r="137" spans="1:5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3"/>
      <c r="AV137" s="3"/>
      <c r="AW137" s="3"/>
      <c r="AX137" s="3"/>
      <c r="AY137" s="3"/>
      <c r="AZ137" s="3"/>
      <c r="BA137" s="3"/>
      <c r="BB137" s="3"/>
    </row>
    <row r="138" spans="1:5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3"/>
      <c r="AV138" s="3"/>
      <c r="AW138" s="3"/>
      <c r="AX138" s="3"/>
      <c r="AY138" s="3"/>
      <c r="AZ138" s="3"/>
      <c r="BA138" s="3"/>
      <c r="BB138" s="3"/>
    </row>
    <row r="139" spans="1:5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3"/>
      <c r="AV139" s="3"/>
      <c r="AW139" s="3"/>
      <c r="AX139" s="3"/>
      <c r="AY139" s="3"/>
      <c r="AZ139" s="3"/>
      <c r="BA139" s="3"/>
      <c r="BB139" s="3"/>
    </row>
    <row r="140" spans="1:5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3"/>
      <c r="AV140" s="3"/>
      <c r="AW140" s="3"/>
      <c r="AX140" s="3"/>
      <c r="AY140" s="3"/>
      <c r="AZ140" s="3"/>
      <c r="BA140" s="3"/>
      <c r="BB140" s="3"/>
    </row>
    <row r="141" spans="1:5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3"/>
      <c r="AV141" s="3"/>
      <c r="AW141" s="3"/>
      <c r="AX141" s="3"/>
      <c r="AY141" s="3"/>
      <c r="AZ141" s="3"/>
      <c r="BA141" s="3"/>
      <c r="BB141" s="3"/>
    </row>
    <row r="142" spans="1:5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3"/>
      <c r="AV142" s="3"/>
      <c r="AW142" s="3"/>
      <c r="AX142" s="3"/>
      <c r="AY142" s="3"/>
      <c r="AZ142" s="3"/>
      <c r="BA142" s="3"/>
      <c r="BB142" s="3"/>
    </row>
    <row r="143" spans="1:5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3"/>
      <c r="AV143" s="3"/>
      <c r="AW143" s="3"/>
      <c r="AX143" s="3"/>
      <c r="AY143" s="3"/>
      <c r="AZ143" s="3"/>
      <c r="BA143" s="3"/>
      <c r="BB143" s="3"/>
    </row>
    <row r="144" spans="1:5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3"/>
      <c r="AV144" s="3"/>
      <c r="AW144" s="3"/>
      <c r="AX144" s="3"/>
      <c r="AY144" s="3"/>
      <c r="AZ144" s="3"/>
      <c r="BA144" s="3"/>
      <c r="BB144" s="3"/>
    </row>
    <row r="145" spans="1:5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3"/>
      <c r="AV145" s="3"/>
      <c r="AW145" s="3"/>
      <c r="AX145" s="3"/>
      <c r="AY145" s="3"/>
      <c r="AZ145" s="3"/>
      <c r="BA145" s="3"/>
      <c r="BB145" s="3"/>
    </row>
    <row r="146" spans="1:5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3"/>
      <c r="AV146" s="3"/>
      <c r="AW146" s="3"/>
      <c r="AX146" s="3"/>
      <c r="AY146" s="3"/>
      <c r="AZ146" s="3"/>
      <c r="BA146" s="3"/>
      <c r="BB146" s="3"/>
    </row>
    <row r="147" spans="1:5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3"/>
      <c r="AV147" s="3"/>
      <c r="AW147" s="3"/>
      <c r="AX147" s="3"/>
      <c r="AY147" s="3"/>
      <c r="AZ147" s="3"/>
      <c r="BA147" s="3"/>
      <c r="BB147" s="3"/>
    </row>
    <row r="148" spans="1:5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3"/>
      <c r="AV148" s="3"/>
      <c r="AW148" s="3"/>
      <c r="AX148" s="3"/>
      <c r="AY148" s="3"/>
      <c r="AZ148" s="3"/>
      <c r="BA148" s="3"/>
      <c r="BB148" s="3"/>
    </row>
    <row r="149" spans="1:5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3"/>
      <c r="AV149" s="3"/>
      <c r="AW149" s="3"/>
      <c r="AX149" s="3"/>
      <c r="AY149" s="3"/>
      <c r="AZ149" s="3"/>
      <c r="BA149" s="3"/>
      <c r="BB149" s="3"/>
    </row>
    <row r="150" spans="1:5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3"/>
      <c r="AV150" s="3"/>
      <c r="AW150" s="3"/>
      <c r="AX150" s="3"/>
      <c r="AY150" s="3"/>
      <c r="AZ150" s="3"/>
      <c r="BA150" s="3"/>
      <c r="BB150" s="3"/>
    </row>
    <row r="151" spans="1:5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3"/>
      <c r="AV151" s="3"/>
      <c r="AW151" s="3"/>
      <c r="AX151" s="3"/>
      <c r="AY151" s="3"/>
      <c r="AZ151" s="3"/>
      <c r="BA151" s="3"/>
      <c r="BB151" s="3"/>
    </row>
    <row r="152" spans="1:5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3"/>
      <c r="AV152" s="3"/>
      <c r="AW152" s="3"/>
      <c r="AX152" s="3"/>
      <c r="AY152" s="3"/>
      <c r="AZ152" s="3"/>
      <c r="BA152" s="3"/>
      <c r="BB152" s="3"/>
    </row>
    <row r="153" spans="1:5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3"/>
      <c r="AV153" s="3"/>
      <c r="AW153" s="3"/>
      <c r="AX153" s="3"/>
      <c r="AY153" s="3"/>
      <c r="AZ153" s="3"/>
      <c r="BA153" s="3"/>
      <c r="BB153" s="3"/>
    </row>
    <row r="154" spans="1:5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3"/>
      <c r="AV154" s="3"/>
      <c r="AW154" s="3"/>
      <c r="AX154" s="3"/>
      <c r="AY154" s="3"/>
      <c r="AZ154" s="3"/>
      <c r="BA154" s="3"/>
      <c r="BB154" s="3"/>
    </row>
    <row r="155" spans="1:5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3"/>
      <c r="AV155" s="3"/>
      <c r="AW155" s="3"/>
      <c r="AX155" s="3"/>
      <c r="AY155" s="3"/>
      <c r="AZ155" s="3"/>
      <c r="BA155" s="3"/>
      <c r="BB155" s="3"/>
    </row>
    <row r="156" spans="1:5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3"/>
      <c r="AV156" s="3"/>
      <c r="AW156" s="3"/>
      <c r="AX156" s="3"/>
      <c r="AY156" s="3"/>
      <c r="AZ156" s="3"/>
      <c r="BA156" s="3"/>
      <c r="BB156" s="3"/>
    </row>
    <row r="157" spans="1:5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3"/>
      <c r="AV157" s="3"/>
      <c r="AW157" s="3"/>
      <c r="AX157" s="3"/>
      <c r="AY157" s="3"/>
      <c r="AZ157" s="3"/>
      <c r="BA157" s="3"/>
      <c r="BB157" s="3"/>
    </row>
    <row r="158" spans="1:5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3"/>
      <c r="AV158" s="3"/>
      <c r="AW158" s="3"/>
      <c r="AX158" s="3"/>
      <c r="AY158" s="3"/>
      <c r="AZ158" s="3"/>
      <c r="BA158" s="3"/>
      <c r="BB158" s="3"/>
    </row>
    <row r="159" spans="1:5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3"/>
      <c r="AV159" s="3"/>
      <c r="AW159" s="3"/>
      <c r="AX159" s="3"/>
      <c r="AY159" s="3"/>
      <c r="AZ159" s="3"/>
      <c r="BA159" s="3"/>
      <c r="BB159" s="3"/>
    </row>
    <row r="160" spans="1:5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3"/>
      <c r="AV160" s="3"/>
      <c r="AW160" s="3"/>
      <c r="AX160" s="3"/>
      <c r="AY160" s="3"/>
      <c r="AZ160" s="3"/>
      <c r="BA160" s="3"/>
      <c r="BB160" s="3"/>
    </row>
    <row r="161" spans="1:5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3"/>
      <c r="AV161" s="3"/>
      <c r="AW161" s="3"/>
      <c r="AX161" s="3"/>
      <c r="AY161" s="3"/>
      <c r="AZ161" s="3"/>
      <c r="BA161" s="3"/>
      <c r="BB161" s="3"/>
    </row>
    <row r="162" spans="1:5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3"/>
      <c r="AV162" s="3"/>
      <c r="AW162" s="3"/>
      <c r="AX162" s="3"/>
      <c r="AY162" s="3"/>
      <c r="AZ162" s="3"/>
      <c r="BA162" s="3"/>
      <c r="BB162" s="3"/>
    </row>
    <row r="163" spans="1:5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3"/>
      <c r="AV163" s="3"/>
      <c r="AW163" s="3"/>
      <c r="AX163" s="3"/>
      <c r="AY163" s="3"/>
      <c r="AZ163" s="3"/>
      <c r="BA163" s="3"/>
      <c r="BB163" s="3"/>
    </row>
    <row r="164" spans="1:5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3"/>
      <c r="AV164" s="3"/>
      <c r="AW164" s="3"/>
      <c r="AX164" s="3"/>
      <c r="AY164" s="3"/>
      <c r="AZ164" s="3"/>
      <c r="BA164" s="3"/>
      <c r="BB164" s="3"/>
    </row>
    <row r="165" spans="1:5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3"/>
      <c r="AV165" s="3"/>
      <c r="AW165" s="3"/>
      <c r="AX165" s="3"/>
      <c r="AY165" s="3"/>
      <c r="AZ165" s="3"/>
      <c r="BA165" s="3"/>
      <c r="BB165" s="3"/>
    </row>
    <row r="166" spans="1:5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3"/>
      <c r="AV166" s="3"/>
      <c r="AW166" s="3"/>
      <c r="AX166" s="3"/>
      <c r="AY166" s="3"/>
      <c r="AZ166" s="3"/>
      <c r="BA166" s="3"/>
      <c r="BB166" s="3"/>
    </row>
    <row r="167" spans="1:5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3"/>
      <c r="AV167" s="3"/>
      <c r="AW167" s="3"/>
      <c r="AX167" s="3"/>
      <c r="AY167" s="3"/>
      <c r="AZ167" s="3"/>
      <c r="BA167" s="3"/>
      <c r="BB167" s="3"/>
    </row>
    <row r="168" spans="1:5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3"/>
      <c r="AV168" s="3"/>
      <c r="AW168" s="3"/>
      <c r="AX168" s="3"/>
      <c r="AY168" s="3"/>
      <c r="AZ168" s="3"/>
      <c r="BA168" s="3"/>
      <c r="BB168" s="3"/>
    </row>
    <row r="169" spans="1:5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3"/>
      <c r="AV169" s="3"/>
      <c r="AW169" s="3"/>
      <c r="AX169" s="3"/>
      <c r="AY169" s="3"/>
      <c r="AZ169" s="3"/>
      <c r="BA169" s="3"/>
      <c r="BB169" s="3"/>
    </row>
    <row r="170" spans="1:5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3"/>
      <c r="AV170" s="3"/>
      <c r="AW170" s="3"/>
      <c r="AX170" s="3"/>
      <c r="AY170" s="3"/>
      <c r="AZ170" s="3"/>
      <c r="BA170" s="3"/>
      <c r="BB170" s="3"/>
    </row>
    <row r="171" spans="1:5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3"/>
      <c r="AV171" s="3"/>
      <c r="AW171" s="3"/>
      <c r="AX171" s="3"/>
      <c r="AY171" s="3"/>
      <c r="AZ171" s="3"/>
      <c r="BA171" s="3"/>
      <c r="BB171" s="3"/>
    </row>
    <row r="172" spans="1:5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3"/>
      <c r="AV172" s="3"/>
      <c r="AW172" s="3"/>
      <c r="AX172" s="3"/>
      <c r="AY172" s="3"/>
      <c r="AZ172" s="3"/>
      <c r="BA172" s="3"/>
      <c r="BB172" s="3"/>
    </row>
    <row r="173" spans="1:5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3"/>
      <c r="AV173" s="3"/>
      <c r="AW173" s="3"/>
      <c r="AX173" s="3"/>
      <c r="AY173" s="3"/>
      <c r="AZ173" s="3"/>
      <c r="BA173" s="3"/>
      <c r="BB173" s="3"/>
    </row>
    <row r="174" spans="1:5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3"/>
      <c r="AV174" s="3"/>
      <c r="AW174" s="3"/>
      <c r="AX174" s="3"/>
      <c r="AY174" s="3"/>
      <c r="AZ174" s="3"/>
      <c r="BA174" s="3"/>
      <c r="BB174" s="3"/>
    </row>
    <row r="175" spans="1:5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3"/>
      <c r="AV175" s="3"/>
      <c r="AW175" s="3"/>
      <c r="AX175" s="3"/>
      <c r="AY175" s="3"/>
      <c r="AZ175" s="3"/>
      <c r="BA175" s="3"/>
      <c r="BB175" s="3"/>
    </row>
    <row r="176" spans="1:5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3"/>
      <c r="AV176" s="3"/>
      <c r="AW176" s="3"/>
      <c r="AX176" s="3"/>
      <c r="AY176" s="3"/>
      <c r="AZ176" s="3"/>
      <c r="BA176" s="3"/>
      <c r="BB176" s="3"/>
    </row>
    <row r="177" spans="1:5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3"/>
      <c r="AV177" s="3"/>
      <c r="AW177" s="3"/>
      <c r="AX177" s="3"/>
      <c r="AY177" s="3"/>
      <c r="AZ177" s="3"/>
      <c r="BA177" s="3"/>
      <c r="BB177" s="3"/>
    </row>
    <row r="178" spans="1:5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3"/>
      <c r="AV178" s="3"/>
      <c r="AW178" s="3"/>
      <c r="AX178" s="3"/>
      <c r="AY178" s="3"/>
      <c r="AZ178" s="3"/>
      <c r="BA178" s="3"/>
      <c r="BB178" s="3"/>
    </row>
    <row r="179" spans="1:5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3"/>
      <c r="AV179" s="3"/>
      <c r="AW179" s="3"/>
      <c r="AX179" s="3"/>
      <c r="AY179" s="3"/>
      <c r="AZ179" s="3"/>
      <c r="BA179" s="3"/>
      <c r="BB179" s="3"/>
    </row>
    <row r="180" spans="1:5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3"/>
      <c r="AV180" s="3"/>
      <c r="AW180" s="3"/>
      <c r="AX180" s="3"/>
      <c r="AY180" s="3"/>
      <c r="AZ180" s="3"/>
      <c r="BA180" s="3"/>
      <c r="BB180" s="3"/>
    </row>
    <row r="181" spans="1:5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3"/>
      <c r="AV181" s="3"/>
      <c r="AW181" s="3"/>
      <c r="AX181" s="3"/>
      <c r="AY181" s="3"/>
      <c r="AZ181" s="3"/>
      <c r="BA181" s="3"/>
      <c r="BB181" s="3"/>
    </row>
    <row r="182" spans="1:5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3"/>
      <c r="AV182" s="3"/>
      <c r="AW182" s="3"/>
      <c r="AX182" s="3"/>
      <c r="AY182" s="3"/>
      <c r="AZ182" s="3"/>
      <c r="BA182" s="3"/>
      <c r="BB182" s="3"/>
    </row>
    <row r="183" spans="1:5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3"/>
      <c r="AV183" s="3"/>
      <c r="AW183" s="3"/>
      <c r="AX183" s="3"/>
      <c r="AY183" s="3"/>
      <c r="AZ183" s="3"/>
      <c r="BA183" s="3"/>
      <c r="BB183" s="3"/>
    </row>
    <row r="184" spans="1:5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3"/>
      <c r="AV184" s="3"/>
      <c r="AW184" s="3"/>
      <c r="AX184" s="3"/>
      <c r="AY184" s="3"/>
      <c r="AZ184" s="3"/>
      <c r="BA184" s="3"/>
      <c r="BB184" s="3"/>
    </row>
    <row r="185" spans="1:5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3"/>
      <c r="AV185" s="3"/>
      <c r="AW185" s="3"/>
      <c r="AX185" s="3"/>
      <c r="AY185" s="3"/>
      <c r="AZ185" s="3"/>
      <c r="BA185" s="3"/>
      <c r="BB185" s="3"/>
    </row>
    <row r="186" spans="1:5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3"/>
      <c r="AV186" s="3"/>
      <c r="AW186" s="3"/>
      <c r="AX186" s="3"/>
      <c r="AY186" s="3"/>
      <c r="AZ186" s="3"/>
      <c r="BA186" s="3"/>
      <c r="BB186" s="3"/>
    </row>
    <row r="187" spans="1:5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3"/>
      <c r="AV187" s="3"/>
      <c r="AW187" s="3"/>
      <c r="AX187" s="3"/>
      <c r="AY187" s="3"/>
      <c r="AZ187" s="3"/>
      <c r="BA187" s="3"/>
      <c r="BB187" s="3"/>
    </row>
    <row r="188" spans="1:5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3"/>
      <c r="AV188" s="3"/>
      <c r="AW188" s="3"/>
      <c r="AX188" s="3"/>
      <c r="AY188" s="3"/>
      <c r="AZ188" s="3"/>
      <c r="BA188" s="3"/>
      <c r="BB188" s="3"/>
    </row>
    <row r="189" spans="1:5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3"/>
      <c r="AV189" s="3"/>
      <c r="AW189" s="3"/>
      <c r="AX189" s="3"/>
      <c r="AY189" s="3"/>
      <c r="AZ189" s="3"/>
      <c r="BA189" s="3"/>
      <c r="BB189" s="3"/>
    </row>
    <row r="190" spans="1:5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3"/>
      <c r="AV190" s="3"/>
      <c r="AW190" s="3"/>
      <c r="AX190" s="3"/>
      <c r="AY190" s="3"/>
      <c r="AZ190" s="3"/>
      <c r="BA190" s="3"/>
      <c r="BB190" s="3"/>
    </row>
    <row r="191" spans="1:5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3"/>
      <c r="AV191" s="3"/>
      <c r="AW191" s="3"/>
      <c r="AX191" s="3"/>
      <c r="AY191" s="3"/>
      <c r="AZ191" s="3"/>
      <c r="BA191" s="3"/>
      <c r="BB191" s="3"/>
    </row>
    <row r="192" spans="1:5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3"/>
      <c r="AV192" s="3"/>
      <c r="AW192" s="3"/>
      <c r="AX192" s="3"/>
      <c r="AY192" s="3"/>
      <c r="AZ192" s="3"/>
      <c r="BA192" s="3"/>
      <c r="BB192" s="3"/>
    </row>
    <row r="193" spans="1:5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3"/>
      <c r="AV193" s="3"/>
      <c r="AW193" s="3"/>
      <c r="AX193" s="3"/>
      <c r="AY193" s="3"/>
      <c r="AZ193" s="3"/>
      <c r="BA193" s="3"/>
      <c r="BB193" s="3"/>
    </row>
    <row r="194" spans="1:5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3"/>
      <c r="AV194" s="3"/>
      <c r="AW194" s="3"/>
      <c r="AX194" s="3"/>
      <c r="AY194" s="3"/>
      <c r="AZ194" s="3"/>
      <c r="BA194" s="3"/>
      <c r="BB194" s="3"/>
    </row>
    <row r="195" spans="1:5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3"/>
      <c r="AV195" s="3"/>
      <c r="AW195" s="3"/>
      <c r="AX195" s="3"/>
      <c r="AY195" s="3"/>
      <c r="AZ195" s="3"/>
      <c r="BA195" s="3"/>
      <c r="BB195" s="3"/>
    </row>
    <row r="196" spans="1:5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3"/>
      <c r="AV196" s="3"/>
      <c r="AW196" s="3"/>
      <c r="AX196" s="3"/>
      <c r="AY196" s="3"/>
      <c r="AZ196" s="3"/>
      <c r="BA196" s="3"/>
      <c r="BB196" s="3"/>
    </row>
    <row r="197" spans="1:5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3"/>
      <c r="AV197" s="3"/>
      <c r="AW197" s="3"/>
      <c r="AX197" s="3"/>
      <c r="AY197" s="3"/>
      <c r="AZ197" s="3"/>
      <c r="BA197" s="3"/>
      <c r="BB197" s="3"/>
    </row>
    <row r="198" spans="1:5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3"/>
      <c r="AV198" s="3"/>
      <c r="AW198" s="3"/>
      <c r="AX198" s="3"/>
      <c r="AY198" s="3"/>
      <c r="AZ198" s="3"/>
      <c r="BA198" s="3"/>
      <c r="BB198" s="3"/>
    </row>
    <row r="199" spans="1:5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3"/>
      <c r="AV199" s="3"/>
      <c r="AW199" s="3"/>
      <c r="AX199" s="3"/>
      <c r="AY199" s="3"/>
      <c r="AZ199" s="3"/>
      <c r="BA199" s="3"/>
      <c r="BB199" s="3"/>
    </row>
    <row r="200" spans="1:5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3"/>
      <c r="AV200" s="3"/>
      <c r="AW200" s="3"/>
      <c r="AX200" s="3"/>
      <c r="AY200" s="3"/>
      <c r="AZ200" s="3"/>
      <c r="BA200" s="3"/>
      <c r="BB200" s="3"/>
    </row>
    <row r="201" spans="1:5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3"/>
      <c r="AV201" s="3"/>
      <c r="AW201" s="3"/>
      <c r="AX201" s="3"/>
      <c r="AY201" s="3"/>
      <c r="AZ201" s="3"/>
      <c r="BA201" s="3"/>
      <c r="BB201" s="3"/>
    </row>
    <row r="202" spans="1:5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3"/>
      <c r="AV202" s="3"/>
      <c r="AW202" s="3"/>
      <c r="AX202" s="3"/>
      <c r="AY202" s="3"/>
      <c r="AZ202" s="3"/>
      <c r="BA202" s="3"/>
      <c r="BB202" s="3"/>
    </row>
    <row r="203" spans="1:5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3"/>
      <c r="AV203" s="3"/>
      <c r="AW203" s="3"/>
      <c r="AX203" s="3"/>
      <c r="AY203" s="3"/>
      <c r="AZ203" s="3"/>
      <c r="BA203" s="3"/>
      <c r="BB203" s="3"/>
    </row>
    <row r="204" spans="1:5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3"/>
      <c r="AV204" s="3"/>
      <c r="AW204" s="3"/>
      <c r="AX204" s="3"/>
      <c r="AY204" s="3"/>
      <c r="AZ204" s="3"/>
      <c r="BA204" s="3"/>
      <c r="BB204" s="3"/>
    </row>
    <row r="205" spans="1:5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3"/>
      <c r="AV205" s="3"/>
      <c r="AW205" s="3"/>
      <c r="AX205" s="3"/>
      <c r="AY205" s="3"/>
      <c r="AZ205" s="3"/>
      <c r="BA205" s="3"/>
      <c r="BB205" s="3"/>
    </row>
    <row r="206" spans="1:5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3"/>
      <c r="AV206" s="3"/>
      <c r="AW206" s="3"/>
      <c r="AX206" s="3"/>
      <c r="AY206" s="3"/>
      <c r="AZ206" s="3"/>
      <c r="BA206" s="3"/>
      <c r="BB206" s="3"/>
    </row>
    <row r="207" spans="1:5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3"/>
      <c r="AV207" s="3"/>
      <c r="AW207" s="3"/>
      <c r="AX207" s="3"/>
      <c r="AY207" s="3"/>
      <c r="AZ207" s="3"/>
      <c r="BA207" s="3"/>
      <c r="BB207" s="3"/>
    </row>
    <row r="208" spans="1:5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3"/>
      <c r="AV208" s="3"/>
      <c r="AW208" s="3"/>
      <c r="AX208" s="3"/>
      <c r="AY208" s="3"/>
      <c r="AZ208" s="3"/>
      <c r="BA208" s="3"/>
      <c r="BB208" s="3"/>
    </row>
    <row r="209" spans="1:5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3"/>
      <c r="AV209" s="3"/>
      <c r="AW209" s="3"/>
      <c r="AX209" s="3"/>
      <c r="AY209" s="3"/>
      <c r="AZ209" s="3"/>
      <c r="BA209" s="3"/>
      <c r="BB209" s="3"/>
    </row>
    <row r="210" spans="1:5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3"/>
      <c r="AV210" s="3"/>
      <c r="AW210" s="3"/>
      <c r="AX210" s="3"/>
      <c r="AY210" s="3"/>
      <c r="AZ210" s="3"/>
      <c r="BA210" s="3"/>
      <c r="BB210" s="3"/>
    </row>
    <row r="211" spans="1:5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3"/>
      <c r="AV211" s="3"/>
      <c r="AW211" s="3"/>
      <c r="AX211" s="3"/>
      <c r="AY211" s="3"/>
      <c r="AZ211" s="3"/>
      <c r="BA211" s="3"/>
      <c r="BB211" s="3"/>
    </row>
    <row r="212" spans="1:5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3"/>
      <c r="AV212" s="3"/>
      <c r="AW212" s="3"/>
      <c r="AX212" s="3"/>
      <c r="AY212" s="3"/>
      <c r="AZ212" s="3"/>
      <c r="BA212" s="3"/>
      <c r="BB212" s="3"/>
    </row>
    <row r="213" spans="1:5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3"/>
      <c r="AV213" s="3"/>
      <c r="AW213" s="3"/>
      <c r="AX213" s="3"/>
      <c r="AY213" s="3"/>
      <c r="AZ213" s="3"/>
      <c r="BA213" s="3"/>
      <c r="BB213" s="3"/>
    </row>
    <row r="214" spans="1:5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3"/>
      <c r="AV214" s="3"/>
      <c r="AW214" s="3"/>
      <c r="AX214" s="3"/>
      <c r="AY214" s="3"/>
      <c r="AZ214" s="3"/>
      <c r="BA214" s="3"/>
      <c r="BB214" s="3"/>
    </row>
    <row r="215" spans="1:5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3"/>
      <c r="AV215" s="3"/>
      <c r="AW215" s="3"/>
      <c r="AX215" s="3"/>
      <c r="AY215" s="3"/>
      <c r="AZ215" s="3"/>
      <c r="BA215" s="3"/>
      <c r="BB215" s="3"/>
    </row>
    <row r="216" spans="1:5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3"/>
      <c r="AV216" s="3"/>
      <c r="AW216" s="3"/>
      <c r="AX216" s="3"/>
      <c r="AY216" s="3"/>
      <c r="AZ216" s="3"/>
      <c r="BA216" s="3"/>
      <c r="BB216" s="3"/>
    </row>
    <row r="217" spans="1:5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3"/>
      <c r="AV217" s="3"/>
      <c r="AW217" s="3"/>
      <c r="AX217" s="3"/>
      <c r="AY217" s="3"/>
      <c r="AZ217" s="3"/>
      <c r="BA217" s="3"/>
      <c r="BB217" s="3"/>
    </row>
    <row r="218" spans="1:5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3"/>
      <c r="AV218" s="3"/>
      <c r="AW218" s="3"/>
      <c r="AX218" s="3"/>
      <c r="AY218" s="3"/>
      <c r="AZ218" s="3"/>
      <c r="BA218" s="3"/>
      <c r="BB218" s="3"/>
    </row>
    <row r="219" spans="1:5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3"/>
      <c r="AV219" s="3"/>
      <c r="AW219" s="3"/>
      <c r="AX219" s="3"/>
      <c r="AY219" s="3"/>
      <c r="AZ219" s="3"/>
      <c r="BA219" s="3"/>
      <c r="BB219" s="3"/>
    </row>
    <row r="220" spans="1:5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3"/>
      <c r="AV220" s="3"/>
      <c r="AW220" s="3"/>
      <c r="AX220" s="3"/>
      <c r="AY220" s="3"/>
      <c r="AZ220" s="3"/>
      <c r="BA220" s="3"/>
      <c r="BB220" s="3"/>
    </row>
    <row r="221" spans="1:5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3"/>
      <c r="AV221" s="3"/>
      <c r="AW221" s="3"/>
      <c r="AX221" s="3"/>
      <c r="AY221" s="3"/>
      <c r="AZ221" s="3"/>
      <c r="BA221" s="3"/>
      <c r="BB221" s="3"/>
    </row>
    <row r="222" spans="1:5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3"/>
      <c r="AV222" s="3"/>
      <c r="AW222" s="3"/>
      <c r="AX222" s="3"/>
      <c r="AY222" s="3"/>
      <c r="AZ222" s="3"/>
      <c r="BA222" s="3"/>
      <c r="BB222" s="3"/>
    </row>
    <row r="223" spans="1:5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3"/>
      <c r="AV223" s="3"/>
      <c r="AW223" s="3"/>
      <c r="AX223" s="3"/>
      <c r="AY223" s="3"/>
      <c r="AZ223" s="3"/>
      <c r="BA223" s="3"/>
      <c r="BB223" s="3"/>
    </row>
    <row r="224" spans="1:5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3"/>
      <c r="AV224" s="3"/>
      <c r="AW224" s="3"/>
      <c r="AX224" s="3"/>
      <c r="AY224" s="3"/>
      <c r="AZ224" s="3"/>
      <c r="BA224" s="3"/>
      <c r="BB224" s="3"/>
    </row>
    <row r="225" spans="1:5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3"/>
      <c r="AV225" s="3"/>
      <c r="AW225" s="3"/>
      <c r="AX225" s="3"/>
      <c r="AY225" s="3"/>
      <c r="AZ225" s="3"/>
      <c r="BA225" s="3"/>
      <c r="BB225" s="3"/>
    </row>
    <row r="226" spans="1:5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3"/>
      <c r="AV226" s="3"/>
      <c r="AW226" s="3"/>
      <c r="AX226" s="3"/>
      <c r="AY226" s="3"/>
      <c r="AZ226" s="3"/>
      <c r="BA226" s="3"/>
      <c r="BB226" s="3"/>
    </row>
    <row r="227" spans="1:5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3"/>
      <c r="AV227" s="3"/>
      <c r="AW227" s="3"/>
      <c r="AX227" s="3"/>
      <c r="AY227" s="3"/>
      <c r="AZ227" s="3"/>
      <c r="BA227" s="3"/>
      <c r="BB227" s="3"/>
    </row>
    <row r="228" spans="1:5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3"/>
      <c r="AV228" s="3"/>
      <c r="AW228" s="3"/>
      <c r="AX228" s="3"/>
      <c r="AY228" s="3"/>
      <c r="AZ228" s="3"/>
      <c r="BA228" s="3"/>
      <c r="BB228" s="3"/>
    </row>
    <row r="229" spans="1:5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3"/>
      <c r="AV229" s="3"/>
      <c r="AW229" s="3"/>
      <c r="AX229" s="3"/>
      <c r="AY229" s="3"/>
      <c r="AZ229" s="3"/>
      <c r="BA229" s="3"/>
      <c r="BB229" s="3"/>
    </row>
    <row r="230" spans="1:5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3"/>
      <c r="AV230" s="3"/>
      <c r="AW230" s="3"/>
      <c r="AX230" s="3"/>
      <c r="AY230" s="3"/>
      <c r="AZ230" s="3"/>
      <c r="BA230" s="3"/>
      <c r="BB230" s="3"/>
    </row>
    <row r="231" spans="1:5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3"/>
      <c r="AV231" s="3"/>
      <c r="AW231" s="3"/>
      <c r="AX231" s="3"/>
      <c r="AY231" s="3"/>
      <c r="AZ231" s="3"/>
      <c r="BA231" s="3"/>
      <c r="BB231" s="3"/>
    </row>
    <row r="232" spans="1:5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3"/>
      <c r="AV232" s="3"/>
      <c r="AW232" s="3"/>
      <c r="AX232" s="3"/>
      <c r="AY232" s="3"/>
      <c r="AZ232" s="3"/>
      <c r="BA232" s="3"/>
      <c r="BB232" s="3"/>
    </row>
    <row r="233" spans="1:5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3"/>
      <c r="AV233" s="3"/>
      <c r="AW233" s="3"/>
      <c r="AX233" s="3"/>
      <c r="AY233" s="3"/>
      <c r="AZ233" s="3"/>
      <c r="BA233" s="3"/>
      <c r="BB233" s="3"/>
    </row>
    <row r="234" spans="1:5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3"/>
      <c r="AV234" s="3"/>
      <c r="AW234" s="3"/>
      <c r="AX234" s="3"/>
      <c r="AY234" s="3"/>
      <c r="AZ234" s="3"/>
      <c r="BA234" s="3"/>
      <c r="BB234" s="3"/>
    </row>
    <row r="235" spans="1:5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3"/>
      <c r="AV235" s="3"/>
      <c r="AW235" s="3"/>
      <c r="AX235" s="3"/>
      <c r="AY235" s="3"/>
      <c r="AZ235" s="3"/>
      <c r="BA235" s="3"/>
      <c r="BB235" s="3"/>
    </row>
    <row r="236" spans="1:5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3"/>
      <c r="AV236" s="3"/>
      <c r="AW236" s="3"/>
      <c r="AX236" s="3"/>
      <c r="AY236" s="3"/>
      <c r="AZ236" s="3"/>
      <c r="BA236" s="3"/>
      <c r="BB236" s="3"/>
    </row>
    <row r="237" spans="1:5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3"/>
      <c r="AV237" s="3"/>
      <c r="AW237" s="3"/>
      <c r="AX237" s="3"/>
      <c r="AY237" s="3"/>
      <c r="AZ237" s="3"/>
      <c r="BA237" s="3"/>
      <c r="BB237" s="3"/>
    </row>
    <row r="238" spans="1:5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3"/>
      <c r="AV238" s="3"/>
      <c r="AW238" s="3"/>
      <c r="AX238" s="3"/>
      <c r="AY238" s="3"/>
      <c r="AZ238" s="3"/>
      <c r="BA238" s="3"/>
      <c r="BB238" s="3"/>
    </row>
    <row r="239" spans="1:5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3"/>
      <c r="AV239" s="3"/>
      <c r="AW239" s="3"/>
      <c r="AX239" s="3"/>
      <c r="AY239" s="3"/>
      <c r="AZ239" s="3"/>
      <c r="BA239" s="3"/>
      <c r="BB239" s="3"/>
    </row>
    <row r="240" spans="1:5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3"/>
      <c r="AV240" s="3"/>
      <c r="AW240" s="3"/>
      <c r="AX240" s="3"/>
      <c r="AY240" s="3"/>
      <c r="AZ240" s="3"/>
      <c r="BA240" s="3"/>
      <c r="BB240" s="3"/>
    </row>
    <row r="241" spans="1:5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3"/>
      <c r="AV241" s="3"/>
      <c r="AW241" s="3"/>
      <c r="AX241" s="3"/>
      <c r="AY241" s="3"/>
      <c r="AZ241" s="3"/>
      <c r="BA241" s="3"/>
      <c r="BB241" s="3"/>
    </row>
    <row r="242" spans="1:5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3"/>
      <c r="AV242" s="3"/>
      <c r="AW242" s="3"/>
      <c r="AX242" s="3"/>
      <c r="AY242" s="3"/>
      <c r="AZ242" s="3"/>
      <c r="BA242" s="3"/>
      <c r="BB242" s="3"/>
    </row>
    <row r="243" spans="1:5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3"/>
      <c r="AV243" s="3"/>
      <c r="AW243" s="3"/>
      <c r="AX243" s="3"/>
      <c r="AY243" s="3"/>
      <c r="AZ243" s="3"/>
      <c r="BA243" s="3"/>
      <c r="BB243" s="3"/>
    </row>
    <row r="244" spans="1:5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3"/>
      <c r="AV244" s="3"/>
      <c r="AW244" s="3"/>
      <c r="AX244" s="3"/>
      <c r="AY244" s="3"/>
      <c r="AZ244" s="3"/>
      <c r="BA244" s="3"/>
      <c r="BB244" s="3"/>
    </row>
    <row r="245" spans="1:5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3"/>
      <c r="AV245" s="3"/>
      <c r="AW245" s="3"/>
      <c r="AX245" s="3"/>
      <c r="AY245" s="3"/>
      <c r="AZ245" s="3"/>
      <c r="BA245" s="3"/>
      <c r="BB245" s="3"/>
    </row>
    <row r="246" spans="1:5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3"/>
      <c r="AV246" s="3"/>
      <c r="AW246" s="3"/>
      <c r="AX246" s="3"/>
      <c r="AY246" s="3"/>
      <c r="AZ246" s="3"/>
      <c r="BA246" s="3"/>
      <c r="BB246" s="3"/>
    </row>
    <row r="247" spans="1:5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3"/>
      <c r="AV247" s="3"/>
      <c r="AW247" s="3"/>
      <c r="AX247" s="3"/>
      <c r="AY247" s="3"/>
      <c r="AZ247" s="3"/>
      <c r="BA247" s="3"/>
      <c r="BB247" s="3"/>
    </row>
    <row r="248" spans="1:5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3"/>
      <c r="AV248" s="3"/>
      <c r="AW248" s="3"/>
      <c r="AX248" s="3"/>
      <c r="AY248" s="3"/>
      <c r="AZ248" s="3"/>
      <c r="BA248" s="3"/>
      <c r="BB248" s="3"/>
    </row>
    <row r="249" spans="1:5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U249" s="3"/>
      <c r="AV249" s="3"/>
      <c r="AW249" s="3"/>
      <c r="AX249" s="3"/>
      <c r="AY249" s="3"/>
      <c r="AZ249" s="3"/>
      <c r="BA249" s="3"/>
      <c r="BB249" s="3"/>
    </row>
    <row r="250" spans="1:5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U250" s="3"/>
      <c r="AV250" s="3"/>
      <c r="AW250" s="3"/>
      <c r="AX250" s="3"/>
      <c r="AY250" s="3"/>
      <c r="AZ250" s="3"/>
      <c r="BA250" s="3"/>
      <c r="BB250" s="3"/>
    </row>
    <row r="251" spans="1:5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3"/>
      <c r="AV251" s="3"/>
      <c r="AW251" s="3"/>
      <c r="AX251" s="3"/>
      <c r="AY251" s="3"/>
      <c r="AZ251" s="3"/>
      <c r="BA251" s="3"/>
      <c r="BB251" s="3"/>
    </row>
    <row r="252" spans="1:5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3"/>
      <c r="AV252" s="3"/>
      <c r="AW252" s="3"/>
      <c r="AX252" s="3"/>
      <c r="AY252" s="3"/>
      <c r="AZ252" s="3"/>
      <c r="BA252" s="3"/>
      <c r="BB252" s="3"/>
    </row>
    <row r="253" spans="1:5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3"/>
      <c r="AV253" s="3"/>
      <c r="AW253" s="3"/>
      <c r="AX253" s="3"/>
      <c r="AY253" s="3"/>
      <c r="AZ253" s="3"/>
      <c r="BA253" s="3"/>
      <c r="BB253" s="3"/>
    </row>
    <row r="254" spans="1:5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3"/>
      <c r="AV254" s="3"/>
      <c r="AW254" s="3"/>
      <c r="AX254" s="3"/>
      <c r="AY254" s="3"/>
      <c r="AZ254" s="3"/>
      <c r="BA254" s="3"/>
      <c r="BB254" s="3"/>
    </row>
    <row r="255" spans="1:5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3"/>
      <c r="AV255" s="3"/>
      <c r="AW255" s="3"/>
      <c r="AX255" s="3"/>
      <c r="AY255" s="3"/>
      <c r="AZ255" s="3"/>
      <c r="BA255" s="3"/>
      <c r="BB255" s="3"/>
    </row>
    <row r="256" spans="1:5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3"/>
      <c r="AV256" s="3"/>
      <c r="AW256" s="3"/>
      <c r="AX256" s="3"/>
      <c r="AY256" s="3"/>
      <c r="AZ256" s="3"/>
      <c r="BA256" s="3"/>
      <c r="BB256" s="3"/>
    </row>
    <row r="257" spans="1:5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3"/>
      <c r="AV257" s="3"/>
      <c r="AW257" s="3"/>
      <c r="AX257" s="3"/>
      <c r="AY257" s="3"/>
      <c r="AZ257" s="3"/>
      <c r="BA257" s="3"/>
      <c r="BB257" s="3"/>
    </row>
    <row r="258" spans="1:5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3"/>
      <c r="AV258" s="3"/>
      <c r="AW258" s="3"/>
      <c r="AX258" s="3"/>
      <c r="AY258" s="3"/>
      <c r="AZ258" s="3"/>
      <c r="BA258" s="3"/>
      <c r="BB258" s="3"/>
    </row>
    <row r="259" spans="1:5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3"/>
      <c r="AV259" s="3"/>
      <c r="AW259" s="3"/>
      <c r="AX259" s="3"/>
      <c r="AY259" s="3"/>
      <c r="AZ259" s="3"/>
      <c r="BA259" s="3"/>
      <c r="BB259" s="3"/>
    </row>
    <row r="260" spans="1:5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3"/>
      <c r="AV260" s="3"/>
      <c r="AW260" s="3"/>
      <c r="AX260" s="3"/>
      <c r="AY260" s="3"/>
      <c r="AZ260" s="3"/>
      <c r="BA260" s="3"/>
      <c r="BB260" s="3"/>
    </row>
    <row r="261" spans="1:5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3"/>
      <c r="AV261" s="3"/>
      <c r="AW261" s="3"/>
      <c r="AX261" s="3"/>
      <c r="AY261" s="3"/>
      <c r="AZ261" s="3"/>
      <c r="BA261" s="3"/>
      <c r="BB261" s="3"/>
    </row>
    <row r="262" spans="1:5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3"/>
      <c r="AV262" s="3"/>
      <c r="AW262" s="3"/>
      <c r="AX262" s="3"/>
      <c r="AY262" s="3"/>
      <c r="AZ262" s="3"/>
      <c r="BA262" s="3"/>
      <c r="BB262" s="3"/>
    </row>
    <row r="263" spans="1:5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3"/>
      <c r="AV263" s="3"/>
      <c r="AW263" s="3"/>
      <c r="AX263" s="3"/>
      <c r="AY263" s="3"/>
      <c r="AZ263" s="3"/>
      <c r="BA263" s="3"/>
      <c r="BB263" s="3"/>
    </row>
    <row r="264" spans="1:5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3"/>
      <c r="AV264" s="3"/>
      <c r="AW264" s="3"/>
      <c r="AX264" s="3"/>
      <c r="AY264" s="3"/>
      <c r="AZ264" s="3"/>
      <c r="BA264" s="3"/>
      <c r="BB264" s="3"/>
    </row>
    <row r="265" spans="1:5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3"/>
      <c r="AV265" s="3"/>
      <c r="AW265" s="3"/>
      <c r="AX265" s="3"/>
      <c r="AY265" s="3"/>
      <c r="AZ265" s="3"/>
      <c r="BA265" s="3"/>
      <c r="BB265" s="3"/>
    </row>
    <row r="266" spans="1:5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3"/>
      <c r="AV266" s="3"/>
      <c r="AW266" s="3"/>
      <c r="AX266" s="3"/>
      <c r="AY266" s="3"/>
      <c r="AZ266" s="3"/>
      <c r="BA266" s="3"/>
      <c r="BB266" s="3"/>
    </row>
    <row r="267" spans="1:5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3"/>
      <c r="AV267" s="3"/>
      <c r="AW267" s="3"/>
      <c r="AX267" s="3"/>
      <c r="AY267" s="3"/>
      <c r="AZ267" s="3"/>
      <c r="BA267" s="3"/>
      <c r="BB267" s="3"/>
    </row>
    <row r="268" spans="1:5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3"/>
      <c r="AV268" s="3"/>
      <c r="AW268" s="3"/>
      <c r="AX268" s="3"/>
      <c r="AY268" s="3"/>
      <c r="AZ268" s="3"/>
      <c r="BA268" s="3"/>
      <c r="BB268" s="3"/>
    </row>
    <row r="269" spans="1:5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3"/>
      <c r="AV269" s="3"/>
      <c r="AW269" s="3"/>
      <c r="AX269" s="3"/>
      <c r="AY269" s="3"/>
      <c r="AZ269" s="3"/>
      <c r="BA269" s="3"/>
      <c r="BB269" s="3"/>
    </row>
    <row r="270" spans="1:5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3"/>
      <c r="AV270" s="3"/>
      <c r="AW270" s="3"/>
      <c r="AX270" s="3"/>
      <c r="AY270" s="3"/>
      <c r="AZ270" s="3"/>
      <c r="BA270" s="3"/>
      <c r="BB270" s="3"/>
    </row>
    <row r="271" spans="1:5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3"/>
      <c r="AV271" s="3"/>
      <c r="AW271" s="3"/>
      <c r="AX271" s="3"/>
      <c r="AY271" s="3"/>
      <c r="AZ271" s="3"/>
      <c r="BA271" s="3"/>
      <c r="BB271" s="3"/>
    </row>
    <row r="272" spans="1:5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3"/>
      <c r="AV272" s="3"/>
      <c r="AW272" s="3"/>
      <c r="AX272" s="3"/>
      <c r="AY272" s="3"/>
      <c r="AZ272" s="3"/>
      <c r="BA272" s="3"/>
      <c r="BB272" s="3"/>
    </row>
    <row r="273" spans="1:5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3"/>
      <c r="AV273" s="3"/>
      <c r="AW273" s="3"/>
      <c r="AX273" s="3"/>
      <c r="AY273" s="3"/>
      <c r="AZ273" s="3"/>
      <c r="BA273" s="3"/>
      <c r="BB273" s="3"/>
    </row>
    <row r="274" spans="1:5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3"/>
      <c r="AV274" s="3"/>
      <c r="AW274" s="3"/>
      <c r="AX274" s="3"/>
      <c r="AY274" s="3"/>
      <c r="AZ274" s="3"/>
      <c r="BA274" s="3"/>
      <c r="BB274" s="3"/>
    </row>
    <row r="275" spans="1:5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3"/>
      <c r="AV275" s="3"/>
      <c r="AW275" s="3"/>
      <c r="AX275" s="3"/>
      <c r="AY275" s="3"/>
      <c r="AZ275" s="3"/>
      <c r="BA275" s="3"/>
      <c r="BB275" s="3"/>
    </row>
    <row r="276" spans="1:5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3"/>
      <c r="AV276" s="3"/>
      <c r="AW276" s="3"/>
      <c r="AX276" s="3"/>
      <c r="AY276" s="3"/>
      <c r="AZ276" s="3"/>
      <c r="BA276" s="3"/>
      <c r="BB276" s="3"/>
    </row>
    <row r="277" spans="1:5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3"/>
      <c r="AV277" s="3"/>
      <c r="AW277" s="3"/>
      <c r="AX277" s="3"/>
      <c r="AY277" s="3"/>
      <c r="AZ277" s="3"/>
      <c r="BA277" s="3"/>
      <c r="BB277" s="3"/>
    </row>
    <row r="278" spans="1:5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3"/>
      <c r="AV278" s="3"/>
      <c r="AW278" s="3"/>
      <c r="AX278" s="3"/>
      <c r="AY278" s="3"/>
      <c r="AZ278" s="3"/>
      <c r="BA278" s="3"/>
      <c r="BB278" s="3"/>
    </row>
    <row r="279" spans="1:5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3"/>
      <c r="AV279" s="3"/>
      <c r="AW279" s="3"/>
      <c r="AX279" s="3"/>
      <c r="AY279" s="3"/>
      <c r="AZ279" s="3"/>
      <c r="BA279" s="3"/>
      <c r="BB279" s="3"/>
    </row>
    <row r="280" spans="1:5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3"/>
      <c r="AV280" s="3"/>
      <c r="AW280" s="3"/>
      <c r="AX280" s="3"/>
      <c r="AY280" s="3"/>
      <c r="AZ280" s="3"/>
      <c r="BA280" s="3"/>
      <c r="BB280" s="3"/>
    </row>
    <row r="281" spans="1:5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3"/>
      <c r="AV281" s="3"/>
      <c r="AW281" s="3"/>
      <c r="AX281" s="3"/>
      <c r="AY281" s="3"/>
      <c r="AZ281" s="3"/>
      <c r="BA281" s="3"/>
      <c r="BB281" s="3"/>
    </row>
    <row r="282" spans="1:54"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row>
    <row r="283" spans="1:54"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row>
    <row r="284" spans="1:5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row>
    <row r="285" spans="1:54"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row>
    <row r="286" spans="1:54"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row>
    <row r="287" spans="1:54"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row>
    <row r="288" spans="1:54"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row>
    <row r="289" spans="1:54"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row>
    <row r="290" spans="1:54"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row>
    <row r="291" spans="1:54"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row>
    <row r="292" spans="1:54"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row>
    <row r="293" spans="1:54"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row>
    <row r="294" spans="1:5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row>
    <row r="295" spans="1:54"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row>
    <row r="296" spans="1:54"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row>
    <row r="297" spans="1:54"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row>
    <row r="298" spans="1:54"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row>
    <row r="299" spans="1:54"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row>
    <row r="300" spans="1:54"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row>
    <row r="301" spans="1:54"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row>
    <row r="302" spans="1:54"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row>
    <row r="303" spans="1:54"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row>
    <row r="304" spans="1:5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row>
    <row r="305" spans="1:54"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row>
    <row r="306" spans="1:54"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row>
    <row r="307" spans="1:54"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row>
    <row r="308" spans="1:54"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row>
    <row r="309" spans="1:54"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row>
    <row r="310" spans="1:54"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row>
    <row r="311" spans="1:54"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row>
    <row r="312" spans="1:54"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row>
    <row r="313" spans="1:54"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row>
    <row r="314" spans="1:5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row>
    <row r="315" spans="1:54"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row>
    <row r="316" spans="1:54"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row>
    <row r="317" spans="1:54"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row>
    <row r="318" spans="1:54"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row>
    <row r="319" spans="1:54"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row>
    <row r="320" spans="1:54"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row>
    <row r="321" spans="1:54"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row>
    <row r="322" spans="1:54"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row>
    <row r="323" spans="1:54"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row>
    <row r="324" spans="1:5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row>
    <row r="325" spans="1:54"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row>
    <row r="326" spans="1:54"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row>
    <row r="327" spans="1:54"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row>
    <row r="328" spans="1:54"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row>
    <row r="329" spans="1:54"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row>
    <row r="330" spans="1:54"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row>
    <row r="331" spans="1:54"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row>
    <row r="332" spans="1:54"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row>
    <row r="333" spans="1:54"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row>
    <row r="334" spans="1:5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row>
    <row r="335" spans="1:54"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row>
    <row r="336" spans="1:54"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row>
    <row r="337" spans="1:54"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row>
    <row r="338" spans="1:54"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row>
    <row r="339" spans="1:54"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row>
    <row r="340" spans="1:54"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row>
    <row r="341" spans="1:54"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row>
    <row r="342" spans="1:54"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row>
    <row r="343" spans="1:54"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row>
    <row r="344" spans="1:5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row>
    <row r="345" spans="1:54"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row>
    <row r="346" spans="1:54"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row>
    <row r="347" spans="1:54"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row>
    <row r="348" spans="1:54"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row>
    <row r="349" spans="1:54"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row>
    <row r="350" spans="1:54"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row>
    <row r="351" spans="1:54"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row>
    <row r="352" spans="1:54"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row>
    <row r="353" spans="1:54"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row>
    <row r="354" spans="1: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row>
    <row r="355" spans="1:54"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row>
    <row r="356" spans="1:54"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row>
    <row r="357" spans="1:54"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row>
    <row r="358" spans="1:54"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row>
    <row r="359" spans="1:54"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row>
    <row r="360" spans="1:54"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row>
    <row r="361" spans="1:54"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row>
    <row r="362" spans="1:54"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row>
    <row r="363" spans="1:54"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row>
    <row r="364" spans="1:5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row>
    <row r="365" spans="1:54"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row>
    <row r="366" spans="1:54"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row>
    <row r="367" spans="1:54"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row>
    <row r="368" spans="1:54"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row>
    <row r="369" spans="1:54"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row>
    <row r="370" spans="1:54"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row>
    <row r="371" spans="1:54"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row>
    <row r="372" spans="1:54"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row>
    <row r="373" spans="1:54"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row>
    <row r="374" spans="1:5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row>
    <row r="375" spans="1:54"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row>
    <row r="376" spans="1:54"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row>
    <row r="377" spans="1:54"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row>
    <row r="378" spans="1:54"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row>
    <row r="379" spans="1:54"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row>
    <row r="380" spans="1:54"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row>
    <row r="381" spans="1:54"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row>
    <row r="382" spans="1:54"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row>
    <row r="383" spans="1:54"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row>
    <row r="384" spans="1:5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row>
    <row r="385" spans="1:54"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row>
    <row r="386" spans="1:54"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row>
    <row r="387" spans="1:54"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row>
    <row r="388" spans="1:54"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row>
    <row r="389" spans="1:54"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row>
    <row r="390" spans="1:54"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row>
    <row r="391" spans="1:54"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row>
    <row r="392" spans="1:54"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row>
    <row r="393" spans="1:54"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row>
    <row r="394" spans="1:5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row>
    <row r="395" spans="1:54"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row>
    <row r="396" spans="1:54"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row>
    <row r="397" spans="1:54"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row>
    <row r="398" spans="1:54"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row>
    <row r="399" spans="1:54"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row>
    <row r="400" spans="1:54"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row>
    <row r="401" spans="1:54"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row>
    <row r="402" spans="1:54"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row>
    <row r="403" spans="1:54"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row>
    <row r="404" spans="1:5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row>
    <row r="405" spans="1:54"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row>
    <row r="406" spans="1:54"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row>
    <row r="407" spans="1:54"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row>
    <row r="408" spans="1:54"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row>
    <row r="409" spans="1:54"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row>
    <row r="410" spans="1:54"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row>
    <row r="411" spans="1:54"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row>
    <row r="412" spans="1:54"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row>
    <row r="413" spans="1:54"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row>
    <row r="414" spans="1:5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row>
    <row r="415" spans="1:54"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row>
    <row r="416" spans="1:54"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row>
    <row r="417" spans="1:54"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row>
    <row r="418" spans="1:54"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row>
    <row r="419" spans="1:54"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row>
    <row r="420" spans="1:54"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row>
    <row r="421" spans="1:54"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row>
    <row r="422" spans="1:54"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row>
    <row r="423" spans="1:54"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row>
    <row r="424" spans="1:5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row>
    <row r="425" spans="1:54"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row>
    <row r="426" spans="1:54"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row>
    <row r="427" spans="1:54"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row>
    <row r="428" spans="1:54"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row>
    <row r="429" spans="1:54"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row>
    <row r="430" spans="1:54"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row>
    <row r="431" spans="1:54"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row>
    <row r="432" spans="1:54"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row>
    <row r="433" spans="1:54"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row>
    <row r="434" spans="1:5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row>
    <row r="435" spans="1:54"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row>
    <row r="436" spans="1:54"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row>
    <row r="437" spans="1:54"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row>
    <row r="438" spans="1:54"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row>
    <row r="439" spans="1:54"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row>
    <row r="440" spans="1:54"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row>
    <row r="441" spans="1:54"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row>
    <row r="442" spans="1:54"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row>
    <row r="443" spans="1:54"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row>
    <row r="444" spans="1:5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row>
    <row r="445" spans="1:54"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row>
    <row r="446" spans="1:54"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row>
    <row r="447" spans="1:54"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row>
    <row r="448" spans="1:54"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row>
    <row r="449" spans="1:54"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row>
    <row r="450" spans="1:54"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row>
    <row r="451" spans="1:54"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row>
    <row r="452" spans="1:54"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row>
    <row r="453" spans="1:54"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row>
    <row r="454" spans="1: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row>
    <row r="455" spans="1:54"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row>
    <row r="456" spans="1:54"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row>
    <row r="457" spans="1:54"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row>
    <row r="458" spans="1:54"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row>
    <row r="459" spans="1:54"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row>
    <row r="460" spans="1:54"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row>
    <row r="461" spans="1:54"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row>
    <row r="462" spans="1:54"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row>
    <row r="463" spans="1:54"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row>
    <row r="464" spans="1:5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row>
    <row r="465" spans="1:54"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row>
    <row r="466" spans="1:54"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row>
    <row r="467" spans="1:54"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row>
    <row r="468" spans="1:54"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row>
    <row r="469" spans="1:54"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row>
    <row r="470" spans="1:54"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row>
    <row r="471" spans="1:54"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row>
    <row r="472" spans="1:54"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row>
    <row r="473" spans="1:54"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row>
    <row r="474" spans="1:5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row>
    <row r="475" spans="1:54"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row>
    <row r="476" spans="1:54"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row>
    <row r="477" spans="1:54"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row>
    <row r="478" spans="1:54"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row>
    <row r="479" spans="1:54"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row>
    <row r="480" spans="1:54"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row>
    <row r="481" spans="1:54"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row>
    <row r="482" spans="1:54"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row>
    <row r="483" spans="1:54"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row>
    <row r="484" spans="1:5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row>
    <row r="485" spans="1:54"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row>
    <row r="486" spans="1:54"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row>
    <row r="487" spans="1:54"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row>
    <row r="488" spans="1:54"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row>
    <row r="489" spans="1:54"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row>
    <row r="490" spans="1:54"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row>
    <row r="491" spans="1:54"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row>
    <row r="492" spans="1:54"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row>
    <row r="493" spans="1:54"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row>
    <row r="494" spans="1:5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row>
    <row r="495" spans="1:54"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row>
    <row r="496" spans="1:54"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row>
    <row r="497" spans="1:54"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row>
    <row r="498" spans="1:54"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row>
    <row r="499" spans="1:54"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row>
    <row r="500" spans="1:54"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row>
    <row r="501" spans="1:54"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row>
    <row r="502" spans="1:54"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row>
    <row r="503" spans="1:54"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row>
    <row r="504" spans="1:5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row>
    <row r="505" spans="1:54"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row>
    <row r="506" spans="1:54"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row>
    <row r="507" spans="1:54"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row>
    <row r="508" spans="1:54"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row>
    <row r="509" spans="1:54"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row>
    <row r="510" spans="1:54"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row>
    <row r="511" spans="1:54"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row>
    <row r="512" spans="1:54"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row>
    <row r="513" spans="1:54"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row>
    <row r="514" spans="1:5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row>
    <row r="515" spans="1:54"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row>
    <row r="516" spans="1:54"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row>
    <row r="517" spans="1:54"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row>
    <row r="518" spans="1:54"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row>
    <row r="519" spans="1:54"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row>
    <row r="520" spans="1:54"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row>
    <row r="521" spans="1:54"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row>
    <row r="522" spans="1:54"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row>
    <row r="523" spans="1:54"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row>
    <row r="524" spans="1:5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row>
    <row r="525" spans="1:54"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row>
    <row r="526" spans="1:54"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row>
    <row r="527" spans="1:54"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row>
    <row r="528" spans="1:54"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row>
    <row r="529" spans="1:54"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row>
    <row r="530" spans="1:54"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row>
    <row r="531" spans="1:54"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row>
    <row r="532" spans="1:54"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row>
    <row r="533" spans="1:54"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row>
    <row r="534" spans="1:5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row>
    <row r="535" spans="1:54"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row>
    <row r="536" spans="1:54"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row>
    <row r="537" spans="1:54"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row>
    <row r="538" spans="1:54"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row>
    <row r="539" spans="1:54"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row>
    <row r="540" spans="1:54"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row>
    <row r="541" spans="1:54"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row>
    <row r="542" spans="1:54"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row>
    <row r="543" spans="1:54"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row>
    <row r="544" spans="1:5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row>
    <row r="545" spans="1:54"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row>
    <row r="546" spans="1:54"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row>
    <row r="547" spans="1:54"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row>
    <row r="548" spans="1:54"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row>
    <row r="549" spans="1:54"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row>
    <row r="550" spans="1:54"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row>
    <row r="551" spans="1:54"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row>
    <row r="552" spans="1:54"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row>
    <row r="553" spans="1:54"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row>
    <row r="554" spans="1: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row>
    <row r="555" spans="1:54"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row>
    <row r="556" spans="1:54"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row>
    <row r="557" spans="1:54"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row>
    <row r="558" spans="1:54"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row>
    <row r="559" spans="1:54"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row>
    <row r="560" spans="1:54"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row>
    <row r="561" spans="1:54"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row>
    <row r="562" spans="1:54"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row>
    <row r="563" spans="1:54"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row>
    <row r="564" spans="1:5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row>
    <row r="565" spans="1:54"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row>
    <row r="566" spans="1:54"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row>
    <row r="567" spans="1:54"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row>
    <row r="568" spans="1:54"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row>
    <row r="569" spans="1:54"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row>
    <row r="570" spans="1:54"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row>
    <row r="571" spans="1:54"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row>
    <row r="572" spans="1:54"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row>
    <row r="573" spans="1:54"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row>
    <row r="574" spans="1:5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row>
    <row r="575" spans="1:54"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row>
    <row r="576" spans="1:54"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row>
    <row r="577" spans="1:54"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row>
    <row r="578" spans="1:54"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row>
    <row r="579" spans="1:54"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row>
    <row r="580" spans="1:54"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row>
    <row r="581" spans="1:54"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row>
    <row r="582" spans="1:54"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row>
    <row r="583" spans="1:54"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row>
    <row r="584" spans="1:5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row>
    <row r="585" spans="1:54"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row>
    <row r="586" spans="1:54"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row>
    <row r="587" spans="1:54"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row>
    <row r="588" spans="1:54"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row>
    <row r="589" spans="1:54"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row>
    <row r="590" spans="1:54"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row>
    <row r="591" spans="1:54"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row>
    <row r="592" spans="1:54"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row>
    <row r="593" spans="1:54"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row>
    <row r="594" spans="1:5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row>
    <row r="595" spans="1:54"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row>
    <row r="596" spans="1:54"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row>
    <row r="597" spans="1:54"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row>
    <row r="598" spans="1:54"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row>
    <row r="599" spans="1:54"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row>
    <row r="600" spans="1:54"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row>
    <row r="601" spans="1:54"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row>
    <row r="602" spans="1:54"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row>
    <row r="603" spans="1:54"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row>
    <row r="604" spans="1:5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row>
    <row r="605" spans="1:54"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row>
    <row r="606" spans="1:54"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row>
    <row r="607" spans="1:54"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row>
    <row r="608" spans="1:54"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row>
    <row r="609" spans="1:54"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row>
    <row r="610" spans="1:54"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row>
    <row r="611" spans="1:54"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row>
    <row r="612" spans="1:54"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row>
    <row r="613" spans="1:54"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row>
    <row r="614" spans="1:5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row>
    <row r="615" spans="1:54"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row>
    <row r="616" spans="1:54"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row>
    <row r="617" spans="1:54"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row>
    <row r="618" spans="1:54"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row>
    <row r="619" spans="1:54"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row>
    <row r="620" spans="1:54"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row>
    <row r="621" spans="1:54"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row>
    <row r="622" spans="1:54"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row>
    <row r="623" spans="1:54"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row>
    <row r="624" spans="1:5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row>
    <row r="625" spans="1:54"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row>
    <row r="626" spans="1:54"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row>
    <row r="627" spans="1:54"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row>
    <row r="628" spans="1:54"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row>
    <row r="629" spans="1:54"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row>
    <row r="630" spans="1:54"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row>
    <row r="631" spans="1:54"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row>
    <row r="632" spans="1:54"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row>
    <row r="633" spans="1:54"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row>
    <row r="634" spans="1:5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row>
    <row r="635" spans="1:54"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row>
    <row r="636" spans="1:54"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row>
    <row r="637" spans="1:54"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row>
    <row r="638" spans="1:54"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row>
    <row r="639" spans="1:54"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row>
    <row r="640" spans="1:54"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row>
    <row r="641" spans="1:54"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row>
    <row r="642" spans="1:54"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row>
    <row r="643" spans="1:54"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row>
    <row r="644" spans="1:5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row>
    <row r="645" spans="1:54"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row>
    <row r="646" spans="1:54"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row>
    <row r="647" spans="1:54"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row>
    <row r="648" spans="1:54"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row>
    <row r="649" spans="1:54"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row>
    <row r="650" spans="1:54"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row>
    <row r="651" spans="1:54"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row>
    <row r="652" spans="1:54"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row>
    <row r="653" spans="1:54"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row>
    <row r="654" spans="1: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row>
    <row r="655" spans="1:54"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row>
    <row r="656" spans="1:54"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row>
    <row r="657" spans="1:54"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row>
    <row r="658" spans="1:54"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row>
    <row r="659" spans="1:54"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row>
    <row r="660" spans="1:54"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row>
    <row r="661" spans="1:54"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row>
    <row r="662" spans="1:54"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row>
    <row r="663" spans="1:54"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row>
    <row r="664" spans="1:5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row>
    <row r="665" spans="1:54"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row>
    <row r="666" spans="1:54"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row>
    <row r="667" spans="1:54"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row>
    <row r="668" spans="1:54"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row>
    <row r="669" spans="1:54"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row>
    <row r="670" spans="1:54"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row>
    <row r="671" spans="1:54"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row>
    <row r="672" spans="1:54"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row>
    <row r="673" spans="1:54"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row>
    <row r="674" spans="1:5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row>
    <row r="675" spans="1:54"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row>
    <row r="676" spans="1:54"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row>
    <row r="677" spans="1:54"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row>
    <row r="678" spans="1:54"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row>
    <row r="679" spans="1:54"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row>
    <row r="680" spans="1:54"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row>
    <row r="681" spans="1:54"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row>
    <row r="682" spans="1:54"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row>
    <row r="683" spans="1:54"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row>
    <row r="684" spans="1:5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row>
    <row r="685" spans="1:54"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row>
    <row r="686" spans="1:54"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row>
    <row r="687" spans="1:54"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row>
    <row r="688" spans="1:54"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row>
    <row r="689" spans="1:54"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row>
    <row r="690" spans="1:54"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row>
    <row r="691" spans="1:54"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row>
    <row r="692" spans="1:54"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row>
    <row r="693" spans="1:54"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row>
    <row r="694" spans="1:5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row>
    <row r="695" spans="1:54"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row>
    <row r="696" spans="1:54"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row>
    <row r="697" spans="1:54"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row>
    <row r="698" spans="1:54"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row>
    <row r="699" spans="1:54"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row>
    <row r="700" spans="1:54"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row>
    <row r="701" spans="1:54"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row>
    <row r="702" spans="1:54"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row>
    <row r="703" spans="1:54"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row>
    <row r="704" spans="1:5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row>
    <row r="705" spans="1:54"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row>
    <row r="706" spans="1:54"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row>
    <row r="707" spans="1:54"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row>
    <row r="708" spans="1:54"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row>
    <row r="709" spans="1:54"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row>
    <row r="710" spans="1:54"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row>
    <row r="711" spans="1:54"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row>
    <row r="712" spans="1:54"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row>
    <row r="713" spans="1:54"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row>
    <row r="714" spans="1:5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row>
    <row r="715" spans="1:54"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row>
    <row r="716" spans="1:54"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row>
    <row r="717" spans="1:54"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row>
    <row r="718" spans="1:54"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row>
    <row r="719" spans="1:54"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row>
    <row r="720" spans="1:54"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row>
    <row r="721" spans="1:54"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row>
    <row r="722" spans="1:54"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row>
    <row r="723" spans="1:54"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row>
    <row r="724" spans="1:5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row>
    <row r="725" spans="1:54"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row>
    <row r="726" spans="1:54"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row>
    <row r="727" spans="1:54"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row>
    <row r="728" spans="1:54"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row>
    <row r="729" spans="1:54"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row>
    <row r="730" spans="1:54"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row>
    <row r="731" spans="1:54"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row>
    <row r="732" spans="1:54"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row>
    <row r="733" spans="1:54"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row>
    <row r="734" spans="1:5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row>
    <row r="735" spans="1:54"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row>
    <row r="736" spans="1:54"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row>
    <row r="737" spans="1:54"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row>
    <row r="738" spans="1:54"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row>
    <row r="739" spans="1:54"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row>
    <row r="740" spans="1:54"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row>
    <row r="741" spans="1:54"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row>
    <row r="742" spans="1:54"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row>
    <row r="743" spans="1:54"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row>
    <row r="744" spans="1:5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row>
    <row r="745" spans="1:54"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row>
    <row r="746" spans="1:54"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row>
    <row r="747" spans="1:54"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row>
    <row r="748" spans="1:54"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row>
    <row r="749" spans="1:54"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row>
    <row r="750" spans="1:54"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row>
    <row r="751" spans="1:54"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row>
    <row r="752" spans="1:54"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row>
    <row r="753" spans="1:54"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row>
    <row r="754" spans="1: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row>
    <row r="755" spans="1:54"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row>
    <row r="756" spans="1:54"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row>
    <row r="757" spans="1:54"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row>
    <row r="758" spans="1:54"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row>
    <row r="759" spans="1:54"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row>
    <row r="760" spans="1:54"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row>
    <row r="761" spans="1:54"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row>
    <row r="762" spans="1:54"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row>
    <row r="763" spans="1:54"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row>
    <row r="764" spans="1:5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row>
    <row r="765" spans="1:54"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row>
    <row r="766" spans="1:54"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row>
    <row r="767" spans="1:54"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row>
    <row r="768" spans="1:54"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row>
    <row r="769" spans="1:54"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row>
    <row r="770" spans="1:54"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row>
    <row r="771" spans="1:54"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row>
    <row r="772" spans="1:54"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row>
    <row r="773" spans="1:54"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row>
    <row r="774" spans="1:5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row>
    <row r="775" spans="1:54"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row>
    <row r="776" spans="1:54"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row>
    <row r="777" spans="1:54"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row>
    <row r="778" spans="1:54"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row>
    <row r="779" spans="1:54"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row>
    <row r="780" spans="1:54"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row>
    <row r="781" spans="1:54"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row>
    <row r="782" spans="1:54"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row>
    <row r="783" spans="1:54"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row>
    <row r="784" spans="1:5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row>
    <row r="785" spans="1:54"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row>
    <row r="786" spans="1:54"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row>
    <row r="787" spans="1:54"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row>
    <row r="788" spans="1:54"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row>
    <row r="789" spans="1:54"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row>
    <row r="790" spans="1:54"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row>
    <row r="791" spans="1:54"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row>
    <row r="792" spans="1:54"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row>
    <row r="793" spans="1:54"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row>
    <row r="794" spans="1:5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row>
    <row r="795" spans="1:54"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row>
    <row r="796" spans="1:54"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row>
    <row r="797" spans="1:54"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row>
    <row r="798" spans="1:54"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row>
    <row r="799" spans="1:54"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row>
    <row r="800" spans="1:54"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row>
    <row r="801" spans="1:54"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row>
    <row r="802" spans="1:54"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row>
    <row r="803" spans="1:54"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row>
    <row r="804" spans="1:5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row>
    <row r="805" spans="1:54"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row>
    <row r="806" spans="1:54"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row>
    <row r="807" spans="1:54"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row>
    <row r="808" spans="1:54"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row>
    <row r="809" spans="1:54"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row>
    <row r="810" spans="1:54"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row>
    <row r="811" spans="1:54"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row>
    <row r="812" spans="1:54"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row>
    <row r="813" spans="1:54"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row>
    <row r="814" spans="1:5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row>
    <row r="815" spans="1:54"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row>
    <row r="816" spans="1:54"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row>
    <row r="817" spans="1:54"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row>
    <row r="818" spans="1:54"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row>
    <row r="819" spans="1:54"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row>
    <row r="820" spans="1:54"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row>
    <row r="821" spans="1:54"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row>
    <row r="822" spans="1:54"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row>
    <row r="823" spans="1:54"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row>
    <row r="824" spans="1:5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row>
    <row r="825" spans="1:54"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row>
    <row r="826" spans="1:54"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row>
    <row r="827" spans="1:54"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row>
    <row r="828" spans="1:54"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row>
    <row r="829" spans="1:54"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row>
    <row r="830" spans="1:54"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row>
    <row r="831" spans="1:54"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row>
    <row r="832" spans="1:54"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row>
    <row r="833" spans="1:54"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row>
    <row r="834" spans="1:5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row>
    <row r="835" spans="1:54"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row>
    <row r="836" spans="1:54"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row>
    <row r="837" spans="1:54"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row>
    <row r="838" spans="1:54"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row>
    <row r="839" spans="1:54"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row>
    <row r="840" spans="1:54"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row>
    <row r="841" spans="1:54"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row>
    <row r="842" spans="1:54"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row>
    <row r="843" spans="1:54"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row>
    <row r="844" spans="1:5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row>
    <row r="845" spans="1:54"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row>
    <row r="846" spans="1:54"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row>
    <row r="847" spans="1:54"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row>
    <row r="848" spans="1:54"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row>
    <row r="849" spans="1:54"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row>
    <row r="850" spans="1:54"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row>
    <row r="851" spans="1:54"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row>
    <row r="852" spans="1:54"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row>
    <row r="853" spans="1:54"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row>
    <row r="854" spans="1: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row>
    <row r="855" spans="1:54"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row>
    <row r="856" spans="1:54"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row>
    <row r="857" spans="1:54"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row>
    <row r="858" spans="1:54"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row>
    <row r="859" spans="1:54"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row>
    <row r="860" spans="1:54"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row>
    <row r="861" spans="1:54"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row>
    <row r="862" spans="1:54"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row>
    <row r="863" spans="1:54"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row>
    <row r="864" spans="1:5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row>
    <row r="865" spans="1:54"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row>
    <row r="866" spans="1:54"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row>
    <row r="867" spans="1:54"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row>
    <row r="868" spans="1:54"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row>
    <row r="869" spans="1:54"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row>
    <row r="870" spans="1:54"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row>
    <row r="871" spans="1:54"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row>
    <row r="872" spans="1:54"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row>
    <row r="873" spans="1:54"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row>
    <row r="874" spans="1:5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row>
    <row r="875" spans="1:54"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row>
    <row r="876" spans="1:54"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row>
    <row r="877" spans="1:54"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row>
    <row r="878" spans="1:54"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row>
    <row r="879" spans="1:54"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row>
    <row r="880" spans="1:54"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row>
    <row r="881" spans="1:54"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row>
    <row r="882" spans="1:54"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row>
    <row r="883" spans="1:54"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row>
    <row r="884" spans="1:5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row>
    <row r="885" spans="1:54"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row>
    <row r="886" spans="1:54"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row>
    <row r="887" spans="1:54"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row>
    <row r="888" spans="1:54"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row>
    <row r="889" spans="1:54"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row>
    <row r="890" spans="1:54"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row>
    <row r="891" spans="1:54"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row>
    <row r="892" spans="1:54"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row>
    <row r="893" spans="1:54"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row>
    <row r="894" spans="1:5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row>
    <row r="895" spans="1:54"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row>
    <row r="896" spans="1:54"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row>
    <row r="897" spans="1:54"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row>
    <row r="898" spans="1:54"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row>
    <row r="899" spans="1:54"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row>
    <row r="900" spans="1:54"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row>
    <row r="901" spans="1:54"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row>
    <row r="902" spans="1:54"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row>
    <row r="903" spans="1:54"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row>
    <row r="904" spans="1:5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row>
    <row r="905" spans="1:54"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row>
    <row r="906" spans="1:54"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row>
    <row r="907" spans="1:54"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row>
    <row r="908" spans="1:54"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row>
    <row r="909" spans="1:54"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row>
    <row r="910" spans="1:54"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row>
    <row r="911" spans="1:54"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row>
    <row r="912" spans="1:54"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row>
    <row r="913" spans="1:54"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row>
    <row r="914" spans="1:5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row>
    <row r="915" spans="1:54"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row>
    <row r="916" spans="1:54"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row>
    <row r="917" spans="1:54"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row>
    <row r="918" spans="1:54"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row>
    <row r="919" spans="1:54"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row>
    <row r="920" spans="1:54"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row>
    <row r="921" spans="1:54"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row>
    <row r="922" spans="1:54"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row>
    <row r="923" spans="1:54"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row>
    <row r="924" spans="1:5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row>
    <row r="925" spans="1:54"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row>
    <row r="926" spans="1:54"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row>
    <row r="927" spans="1:54"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row>
    <row r="928" spans="1:54"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row>
    <row r="929" spans="1:54"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row>
    <row r="930" spans="1:54"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row>
    <row r="931" spans="1:54"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row>
    <row r="932" spans="1:54"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row>
    <row r="933" spans="1:54"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row>
    <row r="934" spans="1:5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row>
    <row r="935" spans="1:54"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row>
    <row r="936" spans="1:54"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row>
    <row r="937" spans="1:54"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row>
    <row r="938" spans="1:54"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row>
    <row r="939" spans="1:54"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row>
    <row r="940" spans="1:54"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row>
    <row r="941" spans="1:54"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row>
    <row r="942" spans="1:54"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row>
    <row r="943" spans="1:54"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row>
    <row r="944" spans="1:5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row>
    <row r="945" spans="1:54"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row>
    <row r="946" spans="1:54"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row>
    <row r="947" spans="1:54"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row>
    <row r="948" spans="1:54"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row>
    <row r="949" spans="1:54"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row>
    <row r="950" spans="1:54"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row>
    <row r="951" spans="1:54"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row>
    <row r="952" spans="1:54"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row>
    <row r="953" spans="1:54"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row>
    <row r="954" spans="1: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row>
    <row r="955" spans="1:54"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row>
    <row r="956" spans="1:54"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row>
    <row r="957" spans="1:54"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row>
    <row r="958" spans="1:54"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row>
    <row r="959" spans="1:54"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row>
    <row r="960" spans="1:54"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row>
    <row r="961" spans="1:54"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row>
    <row r="962" spans="1:54"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row>
    <row r="963" spans="1:54"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row>
    <row r="964" spans="1:5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row>
    <row r="965" spans="1:54"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row>
    <row r="966" spans="1:54"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row>
    <row r="967" spans="1:54"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row>
    <row r="968" spans="1:54"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row>
    <row r="969" spans="1:54"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row>
    <row r="970" spans="1:54"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row>
    <row r="971" spans="1:54"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row>
    <row r="972" spans="1:54"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row>
    <row r="973" spans="1:54"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row>
    <row r="974" spans="1:5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row>
    <row r="975" spans="1:54"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row>
    <row r="976" spans="1:54"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row>
    <row r="977" spans="1:54"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row>
    <row r="978" spans="1:54"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row>
    <row r="979" spans="1:54"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row>
    <row r="980" spans="1:54"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row>
    <row r="981" spans="1:54"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row>
    <row r="982" spans="1:54"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row>
    <row r="983" spans="1:54"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row>
    <row r="984" spans="1:5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row>
    <row r="985" spans="1:54"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row>
    <row r="986" spans="1:54"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row>
    <row r="987" spans="1:54"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row>
    <row r="988" spans="1:54"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row>
    <row r="989" spans="1:54"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row>
    <row r="990" spans="1:54"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row>
    <row r="991" spans="1:54"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row>
    <row r="992" spans="1:54"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row>
    <row r="993" spans="1:54"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row>
    <row r="994" spans="1:5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row>
    <row r="995" spans="1:54"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row>
    <row r="996" spans="1:54"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row>
    <row r="997" spans="1:54"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row>
    <row r="998" spans="1:54"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row>
    <row r="999" spans="1:54"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row>
    <row r="1000" spans="1:54"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row>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C00-000000000000}">
      <formula1>"TOU,non-TOU"</formula1>
    </dataValidation>
    <dataValidation type="list" allowBlank="1" showErrorMessage="1" sqref="E15:E28 E30:E36 E38:E39 E41:E49 E55 E61" xr:uid="{00000000-0002-0000-0C00-000001000000}">
      <formula1>#REF!</formula1>
    </dataValidation>
    <dataValidation type="list" allowBlank="1" showInputMessage="1" showErrorMessage="1" prompt="Select Charge Unit - monthly, per kWh, per kW" sqref="D15:D28 D30:D36 D38:D39 D41:D49 D55 D61" xr:uid="{00000000-0002-0000-0C00-000002000000}">
      <formula1>"Monthly,per kWh,per kW"</formula1>
    </dataValidation>
  </dataValidations>
  <pageMargins left="0.74803149606299213" right="0.74803149606299213" top="0.98425196850393704" bottom="0.98425196850393704"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B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7.5703125" customWidth="1"/>
    <col min="8" max="8" width="9.28515625" customWidth="1"/>
    <col min="9" max="9" width="1.42578125" customWidth="1"/>
    <col min="10" max="10" width="10.42578125" customWidth="1"/>
    <col min="11" max="11" width="7.5703125" customWidth="1"/>
    <col min="12" max="12" width="9.28515625" customWidth="1"/>
    <col min="13" max="13" width="1" customWidth="1"/>
    <col min="14" max="14" width="9.140625" customWidth="1"/>
    <col min="15" max="15" width="9.42578125" customWidth="1"/>
    <col min="16" max="16" width="1.28515625" customWidth="1"/>
    <col min="17" max="17" width="10.42578125" customWidth="1"/>
    <col min="18" max="18" width="7.5703125" customWidth="1"/>
    <col min="19" max="19" width="9.28515625" customWidth="1"/>
    <col min="20" max="20" width="1.28515625" customWidth="1"/>
    <col min="21" max="21" width="9.140625" customWidth="1"/>
    <col min="22" max="22" width="9.42578125" customWidth="1"/>
    <col min="23" max="23" width="0.7109375" customWidth="1"/>
    <col min="24" max="24" width="10.42578125" customWidth="1"/>
    <col min="25" max="25" width="7.5703125" customWidth="1"/>
    <col min="26" max="26" width="9.28515625" customWidth="1"/>
    <col min="27" max="27" width="1.42578125" customWidth="1"/>
    <col min="28" max="28" width="9.140625" customWidth="1"/>
    <col min="29" max="29" width="9.42578125" customWidth="1"/>
    <col min="30" max="30" width="0.85546875" customWidth="1"/>
    <col min="31" max="31" width="10.42578125" customWidth="1"/>
    <col min="32" max="32" width="7.5703125" customWidth="1"/>
    <col min="33" max="33" width="9.28515625" customWidth="1"/>
    <col min="34" max="34" width="2.85546875" customWidth="1"/>
    <col min="35" max="35" width="9.140625" customWidth="1"/>
    <col min="36" max="36" width="9.42578125" customWidth="1"/>
    <col min="37" max="37" width="0.42578125" customWidth="1"/>
    <col min="38" max="38" width="10.42578125" customWidth="1"/>
    <col min="39" max="39" width="7.5703125" customWidth="1"/>
    <col min="40" max="40" width="9.28515625" customWidth="1"/>
    <col min="41" max="41" width="2.85546875" customWidth="1"/>
    <col min="42" max="42" width="9.140625" customWidth="1"/>
    <col min="43" max="43" width="9.42578125" customWidth="1"/>
    <col min="44" max="44" width="1.140625" customWidth="1"/>
    <col min="45" max="46" width="10.85546875" customWidth="1"/>
    <col min="47" max="54" width="12.42578125" customWidth="1"/>
  </cols>
  <sheetData>
    <row r="1" spans="1:54" ht="6" customHeight="1">
      <c r="A1" s="3"/>
      <c r="B1" s="3"/>
      <c r="C1" s="3"/>
      <c r="D1" s="3"/>
      <c r="E1" s="3"/>
      <c r="F1" s="3"/>
      <c r="G1" s="3"/>
      <c r="H1" s="3"/>
      <c r="I1" s="3"/>
      <c r="J1" s="3"/>
      <c r="K1" s="3"/>
      <c r="L1" s="3"/>
      <c r="M1" s="3"/>
      <c r="N1" s="3"/>
      <c r="O1" s="3"/>
      <c r="P1" s="3"/>
      <c r="Q1" s="3"/>
      <c r="R1" s="3"/>
      <c r="S1" s="628" t="s">
        <v>319</v>
      </c>
      <c r="T1" s="629"/>
      <c r="U1" s="629"/>
      <c r="V1" s="629"/>
      <c r="W1" s="629"/>
      <c r="X1" s="629"/>
      <c r="Y1" s="630"/>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spans="1:54" ht="18.75"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c r="AS2" s="53"/>
      <c r="AT2" s="53"/>
      <c r="AU2" s="3"/>
      <c r="AV2" s="3"/>
      <c r="AW2" s="3"/>
      <c r="AX2" s="3"/>
      <c r="AY2" s="3"/>
      <c r="AZ2" s="3"/>
      <c r="BA2" s="3"/>
      <c r="BB2" s="3"/>
    </row>
    <row r="3" spans="1:54" ht="18.75"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3"/>
      <c r="AV3" s="3"/>
      <c r="AW3" s="3"/>
      <c r="AX3" s="3"/>
      <c r="AY3" s="3"/>
      <c r="AZ3" s="3"/>
      <c r="BA3" s="3"/>
      <c r="BB3" s="3"/>
    </row>
    <row r="4" spans="1:54"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3"/>
      <c r="AV4" s="3"/>
      <c r="AW4" s="3"/>
      <c r="AX4" s="3"/>
      <c r="AY4" s="3"/>
      <c r="AZ4" s="3"/>
      <c r="BA4" s="3"/>
      <c r="BB4" s="3"/>
    </row>
    <row r="5" spans="1:54"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3"/>
      <c r="AV5" s="3"/>
      <c r="AW5" s="3"/>
      <c r="AX5" s="3"/>
      <c r="AY5" s="3"/>
      <c r="AZ5" s="3"/>
      <c r="BA5" s="3"/>
      <c r="BB5" s="3"/>
    </row>
    <row r="6" spans="1:54" ht="12.75" customHeight="1">
      <c r="A6" s="53"/>
      <c r="B6" s="327" t="s">
        <v>323</v>
      </c>
      <c r="C6" s="53"/>
      <c r="D6" s="493" t="s">
        <v>247</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3"/>
      <c r="AV6" s="3"/>
      <c r="AW6" s="3"/>
      <c r="AX6" s="3"/>
      <c r="AY6" s="3"/>
      <c r="AZ6" s="3"/>
      <c r="BA6" s="3"/>
      <c r="BB6" s="3"/>
    </row>
    <row r="7" spans="1:54" ht="7.5"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3"/>
      <c r="AV7" s="3"/>
      <c r="AW7" s="3"/>
      <c r="AX7" s="3"/>
      <c r="AY7" s="3"/>
      <c r="AZ7" s="3"/>
      <c r="BA7" s="3"/>
      <c r="BB7" s="3"/>
    </row>
    <row r="8" spans="1:54" ht="12.75"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3"/>
      <c r="AV8" s="3"/>
      <c r="AW8" s="3"/>
      <c r="AX8" s="3"/>
      <c r="AY8" s="3"/>
      <c r="AZ8" s="3"/>
      <c r="BA8" s="3"/>
      <c r="BB8" s="3"/>
    </row>
    <row r="9" spans="1:54" ht="12.75"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3"/>
      <c r="AV9" s="3"/>
      <c r="AW9" s="3"/>
      <c r="AX9" s="3"/>
      <c r="AY9" s="3"/>
      <c r="AZ9" s="3"/>
      <c r="BA9" s="3"/>
      <c r="BB9" s="3"/>
    </row>
    <row r="10" spans="1:54" ht="12.75" customHeight="1">
      <c r="A10" s="53"/>
      <c r="B10" s="53"/>
      <c r="C10" s="53"/>
      <c r="D10" s="314" t="s">
        <v>326</v>
      </c>
      <c r="E10" s="314"/>
      <c r="F10" s="380">
        <v>640</v>
      </c>
      <c r="G10" s="314" t="s">
        <v>373</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3"/>
      <c r="AV10" s="3"/>
      <c r="AW10" s="3"/>
      <c r="AX10" s="3"/>
      <c r="AY10" s="3"/>
      <c r="AZ10" s="3"/>
      <c r="BA10" s="3"/>
      <c r="BB10" s="3"/>
    </row>
    <row r="11" spans="1:54" ht="12.75"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c r="AS11" s="53"/>
      <c r="AT11" s="53"/>
      <c r="AU11" s="3"/>
      <c r="AV11" s="3"/>
      <c r="AW11" s="3"/>
      <c r="AX11" s="3"/>
      <c r="AY11" s="3"/>
      <c r="AZ11" s="3"/>
      <c r="BA11" s="3"/>
      <c r="BB11" s="3"/>
    </row>
    <row r="12" spans="1:54" ht="12.75"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c r="AS12" s="317"/>
      <c r="AT12" s="317"/>
      <c r="AU12" s="3"/>
      <c r="AV12" s="3"/>
      <c r="AW12" s="3"/>
      <c r="AX12" s="3"/>
      <c r="AY12" s="3"/>
      <c r="AZ12" s="3"/>
      <c r="BA12" s="3"/>
      <c r="BB12" s="3"/>
    </row>
    <row r="13" spans="1:54" ht="12.75"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c r="AS13" s="382"/>
      <c r="AT13" s="382"/>
      <c r="AU13" s="3"/>
      <c r="AV13" s="3"/>
      <c r="AW13" s="3"/>
      <c r="AX13" s="3"/>
      <c r="AY13" s="3"/>
      <c r="AZ13" s="3"/>
      <c r="BA13" s="3"/>
      <c r="BB13" s="3"/>
    </row>
    <row r="14" spans="1:54" ht="12.75"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c r="AS14" s="382"/>
      <c r="AT14" s="382"/>
      <c r="AU14" s="3"/>
      <c r="AV14" s="3"/>
      <c r="AW14" s="3"/>
      <c r="AX14" s="3"/>
      <c r="AY14" s="3"/>
      <c r="AZ14" s="3"/>
      <c r="BA14" s="3"/>
      <c r="BB14" s="3"/>
    </row>
    <row r="15" spans="1:54" ht="12.75" customHeight="1">
      <c r="A15" s="53"/>
      <c r="B15" s="328" t="s">
        <v>246</v>
      </c>
      <c r="C15" s="389" t="str">
        <f t="shared" ref="C15:C28" si="0">D$6&amp;"."&amp;B15</f>
        <v>Residential.Monthly Service Charge</v>
      </c>
      <c r="D15" s="390" t="s">
        <v>335</v>
      </c>
      <c r="E15" s="328"/>
      <c r="F15" s="391">
        <f>IFERROR(VLOOKUP($C15,'Proposed Rates'!$B:$J,F$11,FALSE),0)</f>
        <v>34.26</v>
      </c>
      <c r="G15" s="392">
        <f t="shared" ref="G15:G28" si="1">IF($D15="Monthly",1,IF($D15="per KWH",$F$10,0))</f>
        <v>1</v>
      </c>
      <c r="H15" s="394">
        <f t="shared" ref="H15:H28" si="2">G15*F15</f>
        <v>34.26</v>
      </c>
      <c r="I15" s="138"/>
      <c r="J15" s="391">
        <f>IFERROR(VLOOKUP($C15,'Proposed Rates'!$B:$J,J$11,FALSE),0)</f>
        <v>39.200000000000003</v>
      </c>
      <c r="K15" s="392">
        <f t="shared" ref="K15:K28" si="3">IF($D15="Monthly",1,IF($D15="per KWH",$F$10,0))</f>
        <v>1</v>
      </c>
      <c r="L15" s="394">
        <f t="shared" ref="L15:L28" si="4">K15*J15</f>
        <v>39.200000000000003</v>
      </c>
      <c r="M15" s="138"/>
      <c r="N15" s="395">
        <f t="shared" ref="N15:N30" si="5">L15-H15</f>
        <v>4.9400000000000048</v>
      </c>
      <c r="O15" s="396">
        <f t="shared" ref="O15:O30" si="6">IF((H15)=0,"",(N15/H15))</f>
        <v>0.14419147694103926</v>
      </c>
      <c r="P15" s="53"/>
      <c r="Q15" s="391">
        <f>IFERROR(VLOOKUP($C15,'Proposed Rates'!$B:$J,Q$11,FALSE),0)</f>
        <v>41.1</v>
      </c>
      <c r="R15" s="392">
        <f t="shared" ref="R15:R28" si="7">IF($D15="Monthly",1,IF($D15="per KWH",$F$10,0))</f>
        <v>1</v>
      </c>
      <c r="S15" s="394">
        <f t="shared" ref="S15:S28" si="8">R15*Q15</f>
        <v>41.1</v>
      </c>
      <c r="T15" s="138"/>
      <c r="U15" s="395">
        <f t="shared" ref="U15:U48" si="9">S15-L15</f>
        <v>1.8999999999999986</v>
      </c>
      <c r="V15" s="396">
        <f t="shared" ref="V15:V48" si="10">IF((L15)=0,"",(U15/L15))</f>
        <v>4.8469387755102004E-2</v>
      </c>
      <c r="W15" s="53"/>
      <c r="X15" s="391">
        <f>IFERROR(VLOOKUP($C15,'Proposed Rates'!$B:$J,X$11,FALSE),0)</f>
        <v>43.93</v>
      </c>
      <c r="Y15" s="392">
        <f t="shared" ref="Y15:Y28" si="11">IF($D15="Monthly",1,IF($D15="per KWH",$F$10,0))</f>
        <v>1</v>
      </c>
      <c r="Z15" s="394">
        <f t="shared" ref="Z15:Z28" si="12">Y15*X15</f>
        <v>43.93</v>
      </c>
      <c r="AA15" s="138"/>
      <c r="AB15" s="395">
        <f t="shared" ref="AB15:AB48" si="13">Z15-S15</f>
        <v>2.8299999999999983</v>
      </c>
      <c r="AC15" s="396">
        <f t="shared" ref="AC15:AC48" si="14">IF((S15)=0,"",(AB15/S15))</f>
        <v>6.8856447688564429E-2</v>
      </c>
      <c r="AD15" s="53"/>
      <c r="AE15" s="391">
        <f>IFERROR(VLOOKUP($C15,'Proposed Rates'!$B:$J,AE$11,FALSE),0)</f>
        <v>45.42</v>
      </c>
      <c r="AF15" s="392">
        <f t="shared" ref="AF15:AF28" si="15">IF($D15="Monthly",1,IF($D15="per KWH",$F$10,0))</f>
        <v>1</v>
      </c>
      <c r="AG15" s="394">
        <f t="shared" ref="AG15:AG28" si="16">AF15*AE15</f>
        <v>45.42</v>
      </c>
      <c r="AH15" s="138"/>
      <c r="AI15" s="395">
        <f t="shared" ref="AI15:AI48" si="17">AG15-Z15</f>
        <v>1.490000000000002</v>
      </c>
      <c r="AJ15" s="396">
        <f t="shared" ref="AJ15:AJ48" si="18">IF((Z15)=0,"",(AI15/Z15))</f>
        <v>3.3917596175734165E-2</v>
      </c>
      <c r="AK15" s="53"/>
      <c r="AL15" s="391">
        <f>IFERROR(VLOOKUP($C15,'Proposed Rates'!$B:$J,AL$11,FALSE),0)</f>
        <v>46.78</v>
      </c>
      <c r="AM15" s="392">
        <f t="shared" ref="AM15:AM28" si="19">IF($D15="Monthly",1,IF($D15="per KWH",$F$10,0))</f>
        <v>1</v>
      </c>
      <c r="AN15" s="394">
        <f t="shared" ref="AN15:AN28" si="20">AM15*AL15</f>
        <v>46.78</v>
      </c>
      <c r="AO15" s="138"/>
      <c r="AP15" s="395">
        <f t="shared" ref="AP15:AP48" si="21">AN15-AG15</f>
        <v>1.3599999999999994</v>
      </c>
      <c r="AQ15" s="396">
        <f t="shared" ref="AQ15:AQ48" si="22">IF((AG15)=0,"",(AP15/AG15))</f>
        <v>2.9942756494936138E-2</v>
      </c>
      <c r="AR15" s="397"/>
      <c r="AS15" s="397"/>
      <c r="AT15" s="397"/>
      <c r="AU15" s="3"/>
      <c r="AV15" s="3"/>
      <c r="AW15" s="3"/>
      <c r="AX15" s="3"/>
      <c r="AY15" s="3"/>
      <c r="AZ15" s="3"/>
      <c r="BA15" s="3"/>
      <c r="BB15" s="3"/>
    </row>
    <row r="16" spans="1:54" ht="12.75" customHeight="1">
      <c r="A16" s="53"/>
      <c r="B16" s="328" t="s">
        <v>336</v>
      </c>
      <c r="C16" s="389" t="str">
        <f t="shared" si="0"/>
        <v>Residential.Smart Meter Rate Adder</v>
      </c>
      <c r="D16" s="390" t="s">
        <v>335</v>
      </c>
      <c r="E16" s="328"/>
      <c r="F16" s="391">
        <f>IFERROR(VLOOKUP($C16,'Proposed Rates'!$B:$J,F$11,FALSE),0)</f>
        <v>0</v>
      </c>
      <c r="G16" s="392">
        <f t="shared" si="1"/>
        <v>1</v>
      </c>
      <c r="H16" s="394">
        <f t="shared" si="2"/>
        <v>0</v>
      </c>
      <c r="I16" s="138"/>
      <c r="J16" s="391">
        <f>IFERROR(VLOOKUP($C16,'Proposed Rates'!$B:$J,J$11,FALSE),0)</f>
        <v>0</v>
      </c>
      <c r="K16" s="392">
        <f t="shared" si="3"/>
        <v>1</v>
      </c>
      <c r="L16" s="394">
        <f t="shared" si="4"/>
        <v>0</v>
      </c>
      <c r="M16" s="138"/>
      <c r="N16" s="395">
        <f t="shared" si="5"/>
        <v>0</v>
      </c>
      <c r="O16" s="396" t="str">
        <f t="shared" si="6"/>
        <v/>
      </c>
      <c r="P16" s="53"/>
      <c r="Q16" s="391">
        <f>IFERROR(VLOOKUP($C16,'Proposed Rates'!$B:$J,Q$11,FALSE),0)</f>
        <v>0</v>
      </c>
      <c r="R16" s="392">
        <f t="shared" si="7"/>
        <v>1</v>
      </c>
      <c r="S16" s="394">
        <f t="shared" si="8"/>
        <v>0</v>
      </c>
      <c r="T16" s="138"/>
      <c r="U16" s="395">
        <f t="shared" si="9"/>
        <v>0</v>
      </c>
      <c r="V16" s="396" t="str">
        <f t="shared" si="10"/>
        <v/>
      </c>
      <c r="W16" s="53"/>
      <c r="X16" s="391">
        <f>IFERROR(VLOOKUP($C16,'Proposed Rates'!$B:$J,X$11,FALSE),0)</f>
        <v>0</v>
      </c>
      <c r="Y16" s="392">
        <f t="shared" si="11"/>
        <v>1</v>
      </c>
      <c r="Z16" s="394">
        <f t="shared" si="12"/>
        <v>0</v>
      </c>
      <c r="AA16" s="138"/>
      <c r="AB16" s="395">
        <f t="shared" si="13"/>
        <v>0</v>
      </c>
      <c r="AC16" s="396" t="str">
        <f t="shared" si="14"/>
        <v/>
      </c>
      <c r="AD16" s="53"/>
      <c r="AE16" s="391">
        <f>IFERROR(VLOOKUP($C16,'Proposed Rates'!$B:$J,AE$11,FALSE),0)</f>
        <v>0</v>
      </c>
      <c r="AF16" s="392">
        <f t="shared" si="15"/>
        <v>1</v>
      </c>
      <c r="AG16" s="394">
        <f t="shared" si="16"/>
        <v>0</v>
      </c>
      <c r="AH16" s="138"/>
      <c r="AI16" s="395">
        <f t="shared" si="17"/>
        <v>0</v>
      </c>
      <c r="AJ16" s="396" t="str">
        <f t="shared" si="18"/>
        <v/>
      </c>
      <c r="AK16" s="53"/>
      <c r="AL16" s="391">
        <f>IFERROR(VLOOKUP($C16,'Proposed Rates'!$B:$J,AL$11,FALSE),0)</f>
        <v>0</v>
      </c>
      <c r="AM16" s="392">
        <f t="shared" si="19"/>
        <v>1</v>
      </c>
      <c r="AN16" s="394">
        <f t="shared" si="20"/>
        <v>0</v>
      </c>
      <c r="AO16" s="138"/>
      <c r="AP16" s="395">
        <f t="shared" si="21"/>
        <v>0</v>
      </c>
      <c r="AQ16" s="396" t="str">
        <f t="shared" si="22"/>
        <v/>
      </c>
      <c r="AR16" s="397"/>
      <c r="AS16" s="397"/>
      <c r="AT16" s="397"/>
      <c r="AU16" s="3"/>
      <c r="AV16" s="3"/>
      <c r="AW16" s="3"/>
      <c r="AX16" s="3"/>
      <c r="AY16" s="3"/>
      <c r="AZ16" s="3"/>
      <c r="BA16" s="3"/>
      <c r="BB16" s="3"/>
    </row>
    <row r="17" spans="1:54" ht="12.75" customHeight="1">
      <c r="A17" s="53"/>
      <c r="B17" s="398" t="str">
        <f>'Proposed Rates'!C115</f>
        <v>Rate Rider Calculation for Forgone Revenue - variable</v>
      </c>
      <c r="C17" s="389" t="str">
        <f t="shared" si="0"/>
        <v>Residential.Rate Rider Calculation for Forgone Revenue - variable</v>
      </c>
      <c r="D17" s="390" t="s">
        <v>337</v>
      </c>
      <c r="E17" s="328"/>
      <c r="F17" s="391">
        <f>IFERROR(VLOOKUP($C17,'Proposed Rates'!$B:$J,F$11,FALSE),0)</f>
        <v>0</v>
      </c>
      <c r="G17" s="392">
        <f t="shared" si="1"/>
        <v>640</v>
      </c>
      <c r="H17" s="394">
        <f t="shared" si="2"/>
        <v>0</v>
      </c>
      <c r="I17" s="138"/>
      <c r="J17" s="391">
        <f>IFERROR(VLOOKUP($C17,'Proposed Rates'!$B:$J,J$11,FALSE),0)</f>
        <v>0</v>
      </c>
      <c r="K17" s="392">
        <f t="shared" si="3"/>
        <v>640</v>
      </c>
      <c r="L17" s="394">
        <f t="shared" si="4"/>
        <v>0</v>
      </c>
      <c r="M17" s="138"/>
      <c r="N17" s="395">
        <f t="shared" si="5"/>
        <v>0</v>
      </c>
      <c r="O17" s="396" t="str">
        <f t="shared" si="6"/>
        <v/>
      </c>
      <c r="P17" s="53"/>
      <c r="Q17" s="391">
        <f>IFERROR(VLOOKUP($C17,'Proposed Rates'!$B:$J,Q$11,FALSE),0)</f>
        <v>0</v>
      </c>
      <c r="R17" s="392">
        <f t="shared" si="7"/>
        <v>640</v>
      </c>
      <c r="S17" s="394">
        <f t="shared" si="8"/>
        <v>0</v>
      </c>
      <c r="T17" s="138"/>
      <c r="U17" s="395">
        <f t="shared" si="9"/>
        <v>0</v>
      </c>
      <c r="V17" s="396" t="str">
        <f t="shared" si="10"/>
        <v/>
      </c>
      <c r="W17" s="53"/>
      <c r="X17" s="391">
        <f>IFERROR(VLOOKUP($C17,'Proposed Rates'!$B:$J,X$11,FALSE),0)</f>
        <v>0</v>
      </c>
      <c r="Y17" s="392">
        <f t="shared" si="11"/>
        <v>640</v>
      </c>
      <c r="Z17" s="394">
        <f t="shared" si="12"/>
        <v>0</v>
      </c>
      <c r="AA17" s="138"/>
      <c r="AB17" s="395">
        <f t="shared" si="13"/>
        <v>0</v>
      </c>
      <c r="AC17" s="396" t="str">
        <f t="shared" si="14"/>
        <v/>
      </c>
      <c r="AD17" s="53"/>
      <c r="AE17" s="391">
        <f>IFERROR(VLOOKUP($C17,'Proposed Rates'!$B:$J,AE$11,FALSE),0)</f>
        <v>0</v>
      </c>
      <c r="AF17" s="392">
        <f t="shared" si="15"/>
        <v>640</v>
      </c>
      <c r="AG17" s="394">
        <f t="shared" si="16"/>
        <v>0</v>
      </c>
      <c r="AH17" s="138"/>
      <c r="AI17" s="395">
        <f t="shared" si="17"/>
        <v>0</v>
      </c>
      <c r="AJ17" s="396" t="str">
        <f t="shared" si="18"/>
        <v/>
      </c>
      <c r="AK17" s="53"/>
      <c r="AL17" s="391">
        <f>IFERROR(VLOOKUP($C17,'Proposed Rates'!$B:$J,AL$11,FALSE),0)</f>
        <v>0</v>
      </c>
      <c r="AM17" s="392">
        <f t="shared" si="19"/>
        <v>640</v>
      </c>
      <c r="AN17" s="394">
        <f t="shared" si="20"/>
        <v>0</v>
      </c>
      <c r="AO17" s="138"/>
      <c r="AP17" s="395">
        <f t="shared" si="21"/>
        <v>0</v>
      </c>
      <c r="AQ17" s="396" t="str">
        <f t="shared" si="22"/>
        <v/>
      </c>
      <c r="AR17" s="397"/>
      <c r="AS17" s="397"/>
      <c r="AT17" s="397"/>
      <c r="AU17" s="3"/>
      <c r="AV17" s="3"/>
      <c r="AW17" s="3"/>
      <c r="AX17" s="3"/>
      <c r="AY17" s="3"/>
      <c r="AZ17" s="3"/>
      <c r="BA17" s="3"/>
      <c r="BB17" s="3"/>
    </row>
    <row r="18" spans="1:54" ht="12.75" customHeight="1">
      <c r="A18" s="53"/>
      <c r="B18" s="398" t="str">
        <f>'Proposed Rates'!C128</f>
        <v>Rate Rider Calculation for Forgone Revenue - fixed</v>
      </c>
      <c r="C18" s="389" t="str">
        <f t="shared" si="0"/>
        <v>Residential.Rate Rider Calculation for Forgone Revenue - fixed</v>
      </c>
      <c r="D18" s="390" t="s">
        <v>335</v>
      </c>
      <c r="E18" s="328"/>
      <c r="F18" s="391">
        <f>IFERROR(VLOOKUP($C18,'Proposed Rates'!$B:$J,F$11,FALSE),0)</f>
        <v>0</v>
      </c>
      <c r="G18" s="392">
        <f t="shared" si="1"/>
        <v>1</v>
      </c>
      <c r="H18" s="394">
        <f t="shared" si="2"/>
        <v>0</v>
      </c>
      <c r="I18" s="138"/>
      <c r="J18" s="391">
        <f>IFERROR(VLOOKUP($C18,'Proposed Rates'!$B:$J,J$11,FALSE),0)</f>
        <v>1.84</v>
      </c>
      <c r="K18" s="392">
        <f t="shared" si="3"/>
        <v>1</v>
      </c>
      <c r="L18" s="394">
        <f t="shared" si="4"/>
        <v>1.84</v>
      </c>
      <c r="M18" s="138"/>
      <c r="N18" s="395">
        <f t="shared" si="5"/>
        <v>1.84</v>
      </c>
      <c r="O18" s="396" t="str">
        <f t="shared" si="6"/>
        <v/>
      </c>
      <c r="P18" s="53"/>
      <c r="Q18" s="391">
        <f>IFERROR(VLOOKUP($C18,'Proposed Rates'!$B:$J,Q$11,FALSE),0)</f>
        <v>1.84</v>
      </c>
      <c r="R18" s="392">
        <f t="shared" si="7"/>
        <v>1</v>
      </c>
      <c r="S18" s="394">
        <f t="shared" si="8"/>
        <v>1.84</v>
      </c>
      <c r="T18" s="138"/>
      <c r="U18" s="395">
        <f t="shared" si="9"/>
        <v>0</v>
      </c>
      <c r="V18" s="396">
        <f t="shared" si="10"/>
        <v>0</v>
      </c>
      <c r="W18" s="53"/>
      <c r="X18" s="391">
        <f>IFERROR(VLOOKUP($C18,'Proposed Rates'!$B:$J,X$11,FALSE),0)</f>
        <v>0</v>
      </c>
      <c r="Y18" s="392">
        <f t="shared" si="11"/>
        <v>1</v>
      </c>
      <c r="Z18" s="394">
        <f t="shared" si="12"/>
        <v>0</v>
      </c>
      <c r="AA18" s="138"/>
      <c r="AB18" s="395">
        <f t="shared" si="13"/>
        <v>-1.84</v>
      </c>
      <c r="AC18" s="396">
        <f t="shared" si="14"/>
        <v>-1</v>
      </c>
      <c r="AD18" s="53"/>
      <c r="AE18" s="391">
        <f>IFERROR(VLOOKUP($C18,'Proposed Rates'!$B:$J,AE$11,FALSE),0)</f>
        <v>0</v>
      </c>
      <c r="AF18" s="392">
        <f t="shared" si="15"/>
        <v>1</v>
      </c>
      <c r="AG18" s="394">
        <f t="shared" si="16"/>
        <v>0</v>
      </c>
      <c r="AH18" s="138"/>
      <c r="AI18" s="395">
        <f t="shared" si="17"/>
        <v>0</v>
      </c>
      <c r="AJ18" s="396" t="str">
        <f t="shared" si="18"/>
        <v/>
      </c>
      <c r="AK18" s="53"/>
      <c r="AL18" s="391">
        <f>IFERROR(VLOOKUP($C18,'Proposed Rates'!$B:$J,AL$11,FALSE),0)</f>
        <v>0</v>
      </c>
      <c r="AM18" s="392">
        <f t="shared" si="19"/>
        <v>1</v>
      </c>
      <c r="AN18" s="394">
        <f t="shared" si="20"/>
        <v>0</v>
      </c>
      <c r="AO18" s="138"/>
      <c r="AP18" s="395">
        <f t="shared" si="21"/>
        <v>0</v>
      </c>
      <c r="AQ18" s="396" t="str">
        <f t="shared" si="22"/>
        <v/>
      </c>
      <c r="AR18" s="397"/>
      <c r="AS18" s="397"/>
      <c r="AT18" s="397"/>
      <c r="AU18" s="3"/>
      <c r="AV18" s="3"/>
      <c r="AW18" s="3"/>
      <c r="AX18" s="3"/>
      <c r="AY18" s="3"/>
      <c r="AZ18" s="3"/>
      <c r="BA18" s="3"/>
      <c r="BB18" s="3"/>
    </row>
    <row r="19" spans="1:54" ht="12.75" customHeight="1">
      <c r="A19" s="53"/>
      <c r="B19" s="328" t="s">
        <v>62</v>
      </c>
      <c r="C19" s="389" t="str">
        <f t="shared" si="0"/>
        <v>Residential.Distribution Volumetric Rate</v>
      </c>
      <c r="D19" s="390" t="s">
        <v>337</v>
      </c>
      <c r="E19" s="328"/>
      <c r="F19" s="391">
        <f>IFERROR(VLOOKUP($C19,'Proposed Rates'!$B:$J,F$11,FALSE),0)</f>
        <v>0</v>
      </c>
      <c r="G19" s="392">
        <f t="shared" si="1"/>
        <v>640</v>
      </c>
      <c r="H19" s="394">
        <f t="shared" si="2"/>
        <v>0</v>
      </c>
      <c r="I19" s="138"/>
      <c r="J19" s="391">
        <f>IFERROR(VLOOKUP($C19,'Proposed Rates'!$B:$J,J$11,FALSE),0)</f>
        <v>0</v>
      </c>
      <c r="K19" s="392">
        <f t="shared" si="3"/>
        <v>640</v>
      </c>
      <c r="L19" s="394">
        <f t="shared" si="4"/>
        <v>0</v>
      </c>
      <c r="M19" s="138"/>
      <c r="N19" s="395">
        <f t="shared" si="5"/>
        <v>0</v>
      </c>
      <c r="O19" s="396" t="str">
        <f t="shared" si="6"/>
        <v/>
      </c>
      <c r="P19" s="53"/>
      <c r="Q19" s="391">
        <f>IFERROR(VLOOKUP($C19,'Proposed Rates'!$B:$J,Q$11,FALSE),0)</f>
        <v>0</v>
      </c>
      <c r="R19" s="392">
        <f t="shared" si="7"/>
        <v>640</v>
      </c>
      <c r="S19" s="394">
        <f t="shared" si="8"/>
        <v>0</v>
      </c>
      <c r="T19" s="138"/>
      <c r="U19" s="395">
        <f t="shared" si="9"/>
        <v>0</v>
      </c>
      <c r="V19" s="396" t="str">
        <f t="shared" si="10"/>
        <v/>
      </c>
      <c r="W19" s="53"/>
      <c r="X19" s="391">
        <f>IFERROR(VLOOKUP($C19,'Proposed Rates'!$B:$J,X$11,FALSE),0)</f>
        <v>0</v>
      </c>
      <c r="Y19" s="392">
        <f t="shared" si="11"/>
        <v>640</v>
      </c>
      <c r="Z19" s="394">
        <f t="shared" si="12"/>
        <v>0</v>
      </c>
      <c r="AA19" s="138"/>
      <c r="AB19" s="395">
        <f t="shared" si="13"/>
        <v>0</v>
      </c>
      <c r="AC19" s="396" t="str">
        <f t="shared" si="14"/>
        <v/>
      </c>
      <c r="AD19" s="53"/>
      <c r="AE19" s="391">
        <f>IFERROR(VLOOKUP($C19,'Proposed Rates'!$B:$J,AE$11,FALSE),0)</f>
        <v>0</v>
      </c>
      <c r="AF19" s="392">
        <f t="shared" si="15"/>
        <v>640</v>
      </c>
      <c r="AG19" s="394">
        <f t="shared" si="16"/>
        <v>0</v>
      </c>
      <c r="AH19" s="138"/>
      <c r="AI19" s="395">
        <f t="shared" si="17"/>
        <v>0</v>
      </c>
      <c r="AJ19" s="396" t="str">
        <f t="shared" si="18"/>
        <v/>
      </c>
      <c r="AK19" s="53"/>
      <c r="AL19" s="391">
        <f>IFERROR(VLOOKUP($C19,'Proposed Rates'!$B:$J,AL$11,FALSE),0)</f>
        <v>0</v>
      </c>
      <c r="AM19" s="392">
        <f t="shared" si="19"/>
        <v>640</v>
      </c>
      <c r="AN19" s="394">
        <f t="shared" si="20"/>
        <v>0</v>
      </c>
      <c r="AO19" s="138"/>
      <c r="AP19" s="395">
        <f t="shared" si="21"/>
        <v>0</v>
      </c>
      <c r="AQ19" s="396" t="str">
        <f t="shared" si="22"/>
        <v/>
      </c>
      <c r="AR19" s="397"/>
      <c r="AS19" s="397"/>
      <c r="AT19" s="397"/>
      <c r="AU19" s="3"/>
      <c r="AV19" s="3"/>
      <c r="AW19" s="3"/>
      <c r="AX19" s="3"/>
      <c r="AY19" s="3"/>
      <c r="AZ19" s="3"/>
      <c r="BA19" s="3"/>
      <c r="BB19" s="3"/>
    </row>
    <row r="20" spans="1:54" ht="12.75" customHeight="1">
      <c r="A20" s="53"/>
      <c r="B20" s="328" t="s">
        <v>338</v>
      </c>
      <c r="C20" s="389" t="str">
        <f t="shared" si="0"/>
        <v>Residential.Smart Meter Disposition Rider</v>
      </c>
      <c r="D20" s="390" t="s">
        <v>337</v>
      </c>
      <c r="E20" s="328"/>
      <c r="F20" s="391">
        <f>IFERROR(VLOOKUP($C20,'Proposed Rates'!$B:$J,F$11,FALSE),0)</f>
        <v>0</v>
      </c>
      <c r="G20" s="392">
        <f t="shared" si="1"/>
        <v>640</v>
      </c>
      <c r="H20" s="394">
        <f t="shared" si="2"/>
        <v>0</v>
      </c>
      <c r="I20" s="138"/>
      <c r="J20" s="391">
        <f>IFERROR(VLOOKUP($C20,'Proposed Rates'!$B:$J,J$11,FALSE),0)</f>
        <v>0</v>
      </c>
      <c r="K20" s="392">
        <f t="shared" si="3"/>
        <v>640</v>
      </c>
      <c r="L20" s="394">
        <f t="shared" si="4"/>
        <v>0</v>
      </c>
      <c r="M20" s="138"/>
      <c r="N20" s="395">
        <f t="shared" si="5"/>
        <v>0</v>
      </c>
      <c r="O20" s="396" t="str">
        <f t="shared" si="6"/>
        <v/>
      </c>
      <c r="P20" s="53"/>
      <c r="Q20" s="391">
        <f>IFERROR(VLOOKUP($C20,'Proposed Rates'!$B:$J,Q$11,FALSE),0)</f>
        <v>0</v>
      </c>
      <c r="R20" s="392">
        <f t="shared" si="7"/>
        <v>640</v>
      </c>
      <c r="S20" s="394">
        <f t="shared" si="8"/>
        <v>0</v>
      </c>
      <c r="T20" s="138"/>
      <c r="U20" s="395">
        <f t="shared" si="9"/>
        <v>0</v>
      </c>
      <c r="V20" s="396" t="str">
        <f t="shared" si="10"/>
        <v/>
      </c>
      <c r="W20" s="53"/>
      <c r="X20" s="391">
        <f>IFERROR(VLOOKUP($C20,'Proposed Rates'!$B:$J,X$11,FALSE),0)</f>
        <v>0</v>
      </c>
      <c r="Y20" s="392">
        <f t="shared" si="11"/>
        <v>640</v>
      </c>
      <c r="Z20" s="394">
        <f t="shared" si="12"/>
        <v>0</v>
      </c>
      <c r="AA20" s="138"/>
      <c r="AB20" s="395">
        <f t="shared" si="13"/>
        <v>0</v>
      </c>
      <c r="AC20" s="396" t="str">
        <f t="shared" si="14"/>
        <v/>
      </c>
      <c r="AD20" s="53"/>
      <c r="AE20" s="391">
        <f>IFERROR(VLOOKUP($C20,'Proposed Rates'!$B:$J,AE$11,FALSE),0)</f>
        <v>0</v>
      </c>
      <c r="AF20" s="392">
        <f t="shared" si="15"/>
        <v>640</v>
      </c>
      <c r="AG20" s="394">
        <f t="shared" si="16"/>
        <v>0</v>
      </c>
      <c r="AH20" s="138"/>
      <c r="AI20" s="395">
        <f t="shared" si="17"/>
        <v>0</v>
      </c>
      <c r="AJ20" s="396" t="str">
        <f t="shared" si="18"/>
        <v/>
      </c>
      <c r="AK20" s="53"/>
      <c r="AL20" s="391">
        <f>IFERROR(VLOOKUP($C20,'Proposed Rates'!$B:$J,AL$11,FALSE),0)</f>
        <v>0</v>
      </c>
      <c r="AM20" s="392">
        <f t="shared" si="19"/>
        <v>640</v>
      </c>
      <c r="AN20" s="394">
        <f t="shared" si="20"/>
        <v>0</v>
      </c>
      <c r="AO20" s="138"/>
      <c r="AP20" s="395">
        <f t="shared" si="21"/>
        <v>0</v>
      </c>
      <c r="AQ20" s="396" t="str">
        <f t="shared" si="22"/>
        <v/>
      </c>
      <c r="AR20" s="397"/>
      <c r="AS20" s="397"/>
      <c r="AT20" s="397"/>
      <c r="AU20" s="3"/>
      <c r="AV20" s="3"/>
      <c r="AW20" s="3"/>
      <c r="AX20" s="3"/>
      <c r="AY20" s="3"/>
      <c r="AZ20" s="3"/>
      <c r="BA20" s="3"/>
      <c r="BB20" s="3"/>
    </row>
    <row r="21" spans="1:54" ht="12.75" customHeight="1">
      <c r="A21" s="53"/>
      <c r="B21" s="328" t="s">
        <v>269</v>
      </c>
      <c r="C21" s="389" t="str">
        <f t="shared" si="0"/>
        <v>Residential.LRAM Rate Rider</v>
      </c>
      <c r="D21" s="390" t="s">
        <v>335</v>
      </c>
      <c r="E21" s="328"/>
      <c r="F21" s="391">
        <f>'Proposed Rates'!E77+'Proposed Rates'!E90</f>
        <v>0.25</v>
      </c>
      <c r="G21" s="392">
        <f t="shared" si="1"/>
        <v>1</v>
      </c>
      <c r="H21" s="393">
        <f t="shared" si="2"/>
        <v>0.25</v>
      </c>
      <c r="I21" s="53"/>
      <c r="J21" s="391">
        <f>'Proposed Rates'!F77+'Proposed Rates'!F90</f>
        <v>0</v>
      </c>
      <c r="K21" s="392">
        <f t="shared" si="3"/>
        <v>1</v>
      </c>
      <c r="L21" s="394">
        <f t="shared" si="4"/>
        <v>0</v>
      </c>
      <c r="M21" s="138"/>
      <c r="N21" s="395">
        <f t="shared" si="5"/>
        <v>-0.25</v>
      </c>
      <c r="O21" s="396">
        <f t="shared" si="6"/>
        <v>-1</v>
      </c>
      <c r="P21" s="53"/>
      <c r="Q21" s="391">
        <f>'Proposed Rates'!G77+'Proposed Rates'!G90</f>
        <v>0</v>
      </c>
      <c r="R21" s="392">
        <f t="shared" si="7"/>
        <v>1</v>
      </c>
      <c r="S21" s="394">
        <f t="shared" si="8"/>
        <v>0</v>
      </c>
      <c r="T21" s="138"/>
      <c r="U21" s="395">
        <f t="shared" si="9"/>
        <v>0</v>
      </c>
      <c r="V21" s="396" t="str">
        <f t="shared" si="10"/>
        <v/>
      </c>
      <c r="W21" s="53"/>
      <c r="X21" s="391">
        <f>IFERROR(VLOOKUP($C21,'Proposed Rates'!$B:$J,X$11,FALSE),0)</f>
        <v>0</v>
      </c>
      <c r="Y21" s="392">
        <f t="shared" si="11"/>
        <v>1</v>
      </c>
      <c r="Z21" s="394">
        <f t="shared" si="12"/>
        <v>0</v>
      </c>
      <c r="AA21" s="138"/>
      <c r="AB21" s="395">
        <f t="shared" si="13"/>
        <v>0</v>
      </c>
      <c r="AC21" s="396" t="str">
        <f t="shared" si="14"/>
        <v/>
      </c>
      <c r="AD21" s="53"/>
      <c r="AE21" s="391">
        <f>IFERROR(VLOOKUP($C21,'Proposed Rates'!$B:$J,AE$11,FALSE),0)</f>
        <v>0</v>
      </c>
      <c r="AF21" s="392">
        <f t="shared" si="15"/>
        <v>1</v>
      </c>
      <c r="AG21" s="394">
        <f t="shared" si="16"/>
        <v>0</v>
      </c>
      <c r="AH21" s="138"/>
      <c r="AI21" s="395">
        <f t="shared" si="17"/>
        <v>0</v>
      </c>
      <c r="AJ21" s="396" t="str">
        <f t="shared" si="18"/>
        <v/>
      </c>
      <c r="AK21" s="53"/>
      <c r="AL21" s="391">
        <f>IFERROR(VLOOKUP($C21,'Proposed Rates'!$B:$J,AL$11,FALSE),0)</f>
        <v>0</v>
      </c>
      <c r="AM21" s="392">
        <f t="shared" si="19"/>
        <v>1</v>
      </c>
      <c r="AN21" s="394">
        <f t="shared" si="20"/>
        <v>0</v>
      </c>
      <c r="AO21" s="138"/>
      <c r="AP21" s="395">
        <f t="shared" si="21"/>
        <v>0</v>
      </c>
      <c r="AQ21" s="396" t="str">
        <f t="shared" si="22"/>
        <v/>
      </c>
      <c r="AR21" s="397"/>
      <c r="AS21" s="397"/>
      <c r="AT21" s="397"/>
      <c r="AU21" s="3"/>
      <c r="AV21" s="3"/>
      <c r="AW21" s="3"/>
      <c r="AX21" s="3"/>
      <c r="AY21" s="3"/>
      <c r="AZ21" s="3"/>
      <c r="BA21" s="3"/>
      <c r="BB21" s="3"/>
    </row>
    <row r="22" spans="1:54" ht="12.75" customHeight="1">
      <c r="A22" s="53"/>
      <c r="B22" s="478" t="s">
        <v>265</v>
      </c>
      <c r="C22" s="389" t="str">
        <f t="shared" si="0"/>
        <v>Residential.Deferral/Variance Account Disposition Rate Rider Group 2</v>
      </c>
      <c r="D22" s="390" t="s">
        <v>335</v>
      </c>
      <c r="E22" s="328"/>
      <c r="F22" s="391">
        <f>IFERROR(VLOOKUP($C22,'Proposed Rates'!$B:$J,F$11,FALSE),0)</f>
        <v>0</v>
      </c>
      <c r="G22" s="392">
        <f t="shared" si="1"/>
        <v>1</v>
      </c>
      <c r="H22" s="394">
        <f t="shared" si="2"/>
        <v>0</v>
      </c>
      <c r="I22" s="138"/>
      <c r="J22" s="391">
        <f>IFERROR(VLOOKUP($C22,'Proposed Rates'!$B:$J,J$11,FALSE),0)</f>
        <v>-1.19</v>
      </c>
      <c r="K22" s="392">
        <f t="shared" si="3"/>
        <v>1</v>
      </c>
      <c r="L22" s="394">
        <f t="shared" si="4"/>
        <v>-1.19</v>
      </c>
      <c r="M22" s="138"/>
      <c r="N22" s="395">
        <f t="shared" si="5"/>
        <v>-1.19</v>
      </c>
      <c r="O22" s="396" t="str">
        <f t="shared" si="6"/>
        <v/>
      </c>
      <c r="P22" s="53"/>
      <c r="Q22" s="391">
        <f>IFERROR(VLOOKUP($C22,'Proposed Rates'!$B:$J,Q$11,FALSE),0)</f>
        <v>0</v>
      </c>
      <c r="R22" s="392">
        <f t="shared" si="7"/>
        <v>1</v>
      </c>
      <c r="S22" s="394">
        <f t="shared" si="8"/>
        <v>0</v>
      </c>
      <c r="T22" s="138"/>
      <c r="U22" s="395">
        <f t="shared" si="9"/>
        <v>1.19</v>
      </c>
      <c r="V22" s="396">
        <f t="shared" si="10"/>
        <v>-1</v>
      </c>
      <c r="W22" s="53"/>
      <c r="X22" s="391">
        <f>IFERROR(VLOOKUP($C22,'Proposed Rates'!$B:$J,X$11,FALSE),0)</f>
        <v>0</v>
      </c>
      <c r="Y22" s="392">
        <f t="shared" si="11"/>
        <v>1</v>
      </c>
      <c r="Z22" s="394">
        <f t="shared" si="12"/>
        <v>0</v>
      </c>
      <c r="AA22" s="138"/>
      <c r="AB22" s="395">
        <f t="shared" si="13"/>
        <v>0</v>
      </c>
      <c r="AC22" s="396" t="str">
        <f t="shared" si="14"/>
        <v/>
      </c>
      <c r="AD22" s="53"/>
      <c r="AE22" s="391">
        <f>IFERROR(VLOOKUP($C22,'Proposed Rates'!$B:$J,AE$11,FALSE),0)</f>
        <v>0</v>
      </c>
      <c r="AF22" s="392">
        <f t="shared" si="15"/>
        <v>1</v>
      </c>
      <c r="AG22" s="394">
        <f t="shared" si="16"/>
        <v>0</v>
      </c>
      <c r="AH22" s="138"/>
      <c r="AI22" s="395">
        <f t="shared" si="17"/>
        <v>0</v>
      </c>
      <c r="AJ22" s="396" t="str">
        <f t="shared" si="18"/>
        <v/>
      </c>
      <c r="AK22" s="53"/>
      <c r="AL22" s="391">
        <f>IFERROR(VLOOKUP($C22,'Proposed Rates'!$B:$J,AL$11,FALSE),0)</f>
        <v>0</v>
      </c>
      <c r="AM22" s="392">
        <f t="shared" si="19"/>
        <v>1</v>
      </c>
      <c r="AN22" s="394">
        <f t="shared" si="20"/>
        <v>0</v>
      </c>
      <c r="AO22" s="138"/>
      <c r="AP22" s="395">
        <f t="shared" si="21"/>
        <v>0</v>
      </c>
      <c r="AQ22" s="396" t="str">
        <f t="shared" si="22"/>
        <v/>
      </c>
      <c r="AR22" s="397"/>
      <c r="AS22" s="397"/>
      <c r="AT22" s="397"/>
      <c r="AU22" s="3"/>
      <c r="AV22" s="3"/>
      <c r="AW22" s="3"/>
      <c r="AX22" s="3"/>
      <c r="AY22" s="3"/>
      <c r="AZ22" s="3"/>
      <c r="BA22" s="3"/>
      <c r="BB22" s="3"/>
    </row>
    <row r="23" spans="1:54" ht="12.75" customHeight="1">
      <c r="A23" s="53"/>
      <c r="B23" s="398"/>
      <c r="C23" s="389" t="str">
        <f t="shared" si="0"/>
        <v>Residential.</v>
      </c>
      <c r="D23" s="390"/>
      <c r="E23" s="328"/>
      <c r="F23" s="391">
        <f>IFERROR(VLOOKUP($C23,'Proposed Rates'!$B:$J,F$11,FALSE),0)</f>
        <v>0</v>
      </c>
      <c r="G23" s="392">
        <f t="shared" si="1"/>
        <v>0</v>
      </c>
      <c r="H23" s="394">
        <f t="shared" si="2"/>
        <v>0</v>
      </c>
      <c r="I23" s="138"/>
      <c r="J23" s="391">
        <f>IFERROR(VLOOKUP($C23,'Proposed Rates'!$B:$J,J$11,FALSE),0)</f>
        <v>0</v>
      </c>
      <c r="K23" s="392">
        <f t="shared" si="3"/>
        <v>0</v>
      </c>
      <c r="L23" s="394">
        <f t="shared" si="4"/>
        <v>0</v>
      </c>
      <c r="M23" s="138"/>
      <c r="N23" s="395">
        <f t="shared" si="5"/>
        <v>0</v>
      </c>
      <c r="O23" s="396" t="str">
        <f t="shared" si="6"/>
        <v/>
      </c>
      <c r="P23" s="53"/>
      <c r="Q23" s="391">
        <f>IFERROR(VLOOKUP($C23,'Proposed Rates'!$B:$J,Q$11,FALSE),0)</f>
        <v>0</v>
      </c>
      <c r="R23" s="392">
        <f t="shared" si="7"/>
        <v>0</v>
      </c>
      <c r="S23" s="394">
        <f t="shared" si="8"/>
        <v>0</v>
      </c>
      <c r="T23" s="138"/>
      <c r="U23" s="395">
        <f t="shared" si="9"/>
        <v>0</v>
      </c>
      <c r="V23" s="396" t="str">
        <f t="shared" si="10"/>
        <v/>
      </c>
      <c r="W23" s="53"/>
      <c r="X23" s="391">
        <f>IFERROR(VLOOKUP($C23,'Proposed Rates'!$B:$J,X$11,FALSE),0)</f>
        <v>0</v>
      </c>
      <c r="Y23" s="392">
        <f t="shared" si="11"/>
        <v>0</v>
      </c>
      <c r="Z23" s="394">
        <f t="shared" si="12"/>
        <v>0</v>
      </c>
      <c r="AA23" s="138"/>
      <c r="AB23" s="395">
        <f t="shared" si="13"/>
        <v>0</v>
      </c>
      <c r="AC23" s="396" t="str">
        <f t="shared" si="14"/>
        <v/>
      </c>
      <c r="AD23" s="53"/>
      <c r="AE23" s="391">
        <f>IFERROR(VLOOKUP($C23,'Proposed Rates'!$B:$J,AE$11,FALSE),0)</f>
        <v>0</v>
      </c>
      <c r="AF23" s="392">
        <f t="shared" si="15"/>
        <v>0</v>
      </c>
      <c r="AG23" s="394">
        <f t="shared" si="16"/>
        <v>0</v>
      </c>
      <c r="AH23" s="138"/>
      <c r="AI23" s="395">
        <f t="shared" si="17"/>
        <v>0</v>
      </c>
      <c r="AJ23" s="396" t="str">
        <f t="shared" si="18"/>
        <v/>
      </c>
      <c r="AK23" s="53"/>
      <c r="AL23" s="391">
        <f>IFERROR(VLOOKUP($C23,'Proposed Rates'!$B:$J,AL$11,FALSE),0)</f>
        <v>0</v>
      </c>
      <c r="AM23" s="392">
        <f t="shared" si="19"/>
        <v>0</v>
      </c>
      <c r="AN23" s="394">
        <f t="shared" si="20"/>
        <v>0</v>
      </c>
      <c r="AO23" s="138"/>
      <c r="AP23" s="395">
        <f t="shared" si="21"/>
        <v>0</v>
      </c>
      <c r="AQ23" s="396" t="str">
        <f t="shared" si="22"/>
        <v/>
      </c>
      <c r="AR23" s="397"/>
      <c r="AS23" s="397"/>
      <c r="AT23" s="397"/>
      <c r="AU23" s="3"/>
      <c r="AV23" s="3"/>
      <c r="AW23" s="3"/>
      <c r="AX23" s="3"/>
      <c r="AY23" s="3"/>
      <c r="AZ23" s="3"/>
      <c r="BA23" s="3"/>
      <c r="BB23" s="3"/>
    </row>
    <row r="24" spans="1:54" ht="12.75" customHeight="1">
      <c r="A24" s="53"/>
      <c r="B24" s="398"/>
      <c r="C24" s="389" t="str">
        <f t="shared" si="0"/>
        <v>Residential.</v>
      </c>
      <c r="D24" s="390"/>
      <c r="E24" s="328"/>
      <c r="F24" s="391">
        <f>IFERROR(VLOOKUP($C24,'Proposed Rates'!$B:$J,F$11,FALSE),0)</f>
        <v>0</v>
      </c>
      <c r="G24" s="392">
        <f t="shared" si="1"/>
        <v>0</v>
      </c>
      <c r="H24" s="394">
        <f t="shared" si="2"/>
        <v>0</v>
      </c>
      <c r="I24" s="138"/>
      <c r="J24" s="391">
        <f>IFERROR(VLOOKUP($C24,'Proposed Rates'!$B:$J,J$11,FALSE),0)</f>
        <v>0</v>
      </c>
      <c r="K24" s="392">
        <f t="shared" si="3"/>
        <v>0</v>
      </c>
      <c r="L24" s="394">
        <f t="shared" si="4"/>
        <v>0</v>
      </c>
      <c r="M24" s="138"/>
      <c r="N24" s="395">
        <f t="shared" si="5"/>
        <v>0</v>
      </c>
      <c r="O24" s="396" t="str">
        <f t="shared" si="6"/>
        <v/>
      </c>
      <c r="P24" s="53"/>
      <c r="Q24" s="391">
        <f>IFERROR(VLOOKUP($C24,'Proposed Rates'!$B:$J,Q$11,FALSE),0)</f>
        <v>0</v>
      </c>
      <c r="R24" s="392">
        <f t="shared" si="7"/>
        <v>0</v>
      </c>
      <c r="S24" s="394">
        <f t="shared" si="8"/>
        <v>0</v>
      </c>
      <c r="T24" s="138"/>
      <c r="U24" s="395">
        <f t="shared" si="9"/>
        <v>0</v>
      </c>
      <c r="V24" s="396" t="str">
        <f t="shared" si="10"/>
        <v/>
      </c>
      <c r="W24" s="53"/>
      <c r="X24" s="391">
        <f>IFERROR(VLOOKUP($C24,'Proposed Rates'!$B:$J,X$11,FALSE),0)</f>
        <v>0</v>
      </c>
      <c r="Y24" s="392">
        <f t="shared" si="11"/>
        <v>0</v>
      </c>
      <c r="Z24" s="394">
        <f t="shared" si="12"/>
        <v>0</v>
      </c>
      <c r="AA24" s="138"/>
      <c r="AB24" s="395">
        <f t="shared" si="13"/>
        <v>0</v>
      </c>
      <c r="AC24" s="396" t="str">
        <f t="shared" si="14"/>
        <v/>
      </c>
      <c r="AD24" s="53"/>
      <c r="AE24" s="391">
        <f>IFERROR(VLOOKUP($C24,'Proposed Rates'!$B:$J,AE$11,FALSE),0)</f>
        <v>0</v>
      </c>
      <c r="AF24" s="392">
        <f t="shared" si="15"/>
        <v>0</v>
      </c>
      <c r="AG24" s="394">
        <f t="shared" si="16"/>
        <v>0</v>
      </c>
      <c r="AH24" s="138"/>
      <c r="AI24" s="395">
        <f t="shared" si="17"/>
        <v>0</v>
      </c>
      <c r="AJ24" s="396" t="str">
        <f t="shared" si="18"/>
        <v/>
      </c>
      <c r="AK24" s="53"/>
      <c r="AL24" s="391">
        <f>IFERROR(VLOOKUP($C24,'Proposed Rates'!$B:$J,AL$11,FALSE),0)</f>
        <v>0</v>
      </c>
      <c r="AM24" s="392">
        <f t="shared" si="19"/>
        <v>0</v>
      </c>
      <c r="AN24" s="394">
        <f t="shared" si="20"/>
        <v>0</v>
      </c>
      <c r="AO24" s="138"/>
      <c r="AP24" s="395">
        <f t="shared" si="21"/>
        <v>0</v>
      </c>
      <c r="AQ24" s="396" t="str">
        <f t="shared" si="22"/>
        <v/>
      </c>
      <c r="AR24" s="397"/>
      <c r="AS24" s="397"/>
      <c r="AT24" s="397"/>
      <c r="AU24" s="3"/>
      <c r="AV24" s="3"/>
      <c r="AW24" s="3"/>
      <c r="AX24" s="3"/>
      <c r="AY24" s="3"/>
      <c r="AZ24" s="3"/>
      <c r="BA24" s="3"/>
      <c r="BB24" s="3"/>
    </row>
    <row r="25" spans="1:54" ht="12.75" customHeight="1">
      <c r="A25" s="53"/>
      <c r="B25" s="398"/>
      <c r="C25" s="389" t="str">
        <f t="shared" si="0"/>
        <v>Residential.</v>
      </c>
      <c r="D25" s="390"/>
      <c r="E25" s="328"/>
      <c r="F25" s="391">
        <f>IFERROR(VLOOKUP($C25,'Proposed Rates'!$B:$J,F$11,FALSE),0)</f>
        <v>0</v>
      </c>
      <c r="G25" s="392">
        <f t="shared" si="1"/>
        <v>0</v>
      </c>
      <c r="H25" s="394">
        <f t="shared" si="2"/>
        <v>0</v>
      </c>
      <c r="I25" s="138"/>
      <c r="J25" s="391">
        <f>IFERROR(VLOOKUP($C25,'Proposed Rates'!$B:$J,J$11,FALSE),0)</f>
        <v>0</v>
      </c>
      <c r="K25" s="392">
        <f t="shared" si="3"/>
        <v>0</v>
      </c>
      <c r="L25" s="394">
        <f t="shared" si="4"/>
        <v>0</v>
      </c>
      <c r="M25" s="138"/>
      <c r="N25" s="395">
        <f t="shared" si="5"/>
        <v>0</v>
      </c>
      <c r="O25" s="396" t="str">
        <f t="shared" si="6"/>
        <v/>
      </c>
      <c r="P25" s="53"/>
      <c r="Q25" s="391">
        <f>IFERROR(VLOOKUP($C25,'Proposed Rates'!$B:$J,Q$11,FALSE),0)</f>
        <v>0</v>
      </c>
      <c r="R25" s="392">
        <f t="shared" si="7"/>
        <v>0</v>
      </c>
      <c r="S25" s="394">
        <f t="shared" si="8"/>
        <v>0</v>
      </c>
      <c r="T25" s="138"/>
      <c r="U25" s="395">
        <f t="shared" si="9"/>
        <v>0</v>
      </c>
      <c r="V25" s="396" t="str">
        <f t="shared" si="10"/>
        <v/>
      </c>
      <c r="W25" s="53"/>
      <c r="X25" s="391">
        <f>IFERROR(VLOOKUP($C25,'Proposed Rates'!$B:$J,X$11,FALSE),0)</f>
        <v>0</v>
      </c>
      <c r="Y25" s="392">
        <f t="shared" si="11"/>
        <v>0</v>
      </c>
      <c r="Z25" s="394">
        <f t="shared" si="12"/>
        <v>0</v>
      </c>
      <c r="AA25" s="138"/>
      <c r="AB25" s="395">
        <f t="shared" si="13"/>
        <v>0</v>
      </c>
      <c r="AC25" s="396" t="str">
        <f t="shared" si="14"/>
        <v/>
      </c>
      <c r="AD25" s="53"/>
      <c r="AE25" s="391">
        <f>IFERROR(VLOOKUP($C25,'Proposed Rates'!$B:$J,AE$11,FALSE),0)</f>
        <v>0</v>
      </c>
      <c r="AF25" s="392">
        <f t="shared" si="15"/>
        <v>0</v>
      </c>
      <c r="AG25" s="394">
        <f t="shared" si="16"/>
        <v>0</v>
      </c>
      <c r="AH25" s="138"/>
      <c r="AI25" s="395">
        <f t="shared" si="17"/>
        <v>0</v>
      </c>
      <c r="AJ25" s="396" t="str">
        <f t="shared" si="18"/>
        <v/>
      </c>
      <c r="AK25" s="53"/>
      <c r="AL25" s="391">
        <f>IFERROR(VLOOKUP($C25,'Proposed Rates'!$B:$J,AL$11,FALSE),0)</f>
        <v>0</v>
      </c>
      <c r="AM25" s="392">
        <f t="shared" si="19"/>
        <v>0</v>
      </c>
      <c r="AN25" s="394">
        <f t="shared" si="20"/>
        <v>0</v>
      </c>
      <c r="AO25" s="138"/>
      <c r="AP25" s="395">
        <f t="shared" si="21"/>
        <v>0</v>
      </c>
      <c r="AQ25" s="396" t="str">
        <f t="shared" si="22"/>
        <v/>
      </c>
      <c r="AR25" s="397"/>
      <c r="AS25" s="397"/>
      <c r="AT25" s="397"/>
      <c r="AU25" s="3"/>
      <c r="AV25" s="3"/>
      <c r="AW25" s="3"/>
      <c r="AX25" s="3"/>
      <c r="AY25" s="3"/>
      <c r="AZ25" s="3"/>
      <c r="BA25" s="3"/>
      <c r="BB25" s="3"/>
    </row>
    <row r="26" spans="1:54" ht="12.75" customHeight="1">
      <c r="A26" s="53"/>
      <c r="B26" s="478"/>
      <c r="C26" s="389" t="str">
        <f t="shared" si="0"/>
        <v>Residential.</v>
      </c>
      <c r="D26" s="390"/>
      <c r="E26" s="328"/>
      <c r="F26" s="391">
        <f>IFERROR(VLOOKUP($C26,'Proposed Rates'!$B:$J,F$11,FALSE),0)</f>
        <v>0</v>
      </c>
      <c r="G26" s="392">
        <f t="shared" si="1"/>
        <v>0</v>
      </c>
      <c r="H26" s="394">
        <f t="shared" si="2"/>
        <v>0</v>
      </c>
      <c r="I26" s="138"/>
      <c r="J26" s="391">
        <f>IFERROR(VLOOKUP($C26,'Proposed Rates'!$B:$J,J$11,FALSE),0)</f>
        <v>0</v>
      </c>
      <c r="K26" s="392">
        <f t="shared" si="3"/>
        <v>0</v>
      </c>
      <c r="L26" s="394">
        <f t="shared" si="4"/>
        <v>0</v>
      </c>
      <c r="M26" s="138"/>
      <c r="N26" s="395">
        <f t="shared" si="5"/>
        <v>0</v>
      </c>
      <c r="O26" s="396" t="str">
        <f t="shared" si="6"/>
        <v/>
      </c>
      <c r="P26" s="53"/>
      <c r="Q26" s="391">
        <f>IFERROR(VLOOKUP($C26,'Proposed Rates'!$B:$J,Q$11,FALSE),0)</f>
        <v>0</v>
      </c>
      <c r="R26" s="392">
        <f t="shared" si="7"/>
        <v>0</v>
      </c>
      <c r="S26" s="394">
        <f t="shared" si="8"/>
        <v>0</v>
      </c>
      <c r="T26" s="138"/>
      <c r="U26" s="395">
        <f t="shared" si="9"/>
        <v>0</v>
      </c>
      <c r="V26" s="396" t="str">
        <f t="shared" si="10"/>
        <v/>
      </c>
      <c r="W26" s="53"/>
      <c r="X26" s="391">
        <f>IFERROR(VLOOKUP($C26,'Proposed Rates'!$B:$J,X$11,FALSE),0)</f>
        <v>0</v>
      </c>
      <c r="Y26" s="392">
        <f t="shared" si="11"/>
        <v>0</v>
      </c>
      <c r="Z26" s="394">
        <f t="shared" si="12"/>
        <v>0</v>
      </c>
      <c r="AA26" s="138"/>
      <c r="AB26" s="395">
        <f t="shared" si="13"/>
        <v>0</v>
      </c>
      <c r="AC26" s="396" t="str">
        <f t="shared" si="14"/>
        <v/>
      </c>
      <c r="AD26" s="53"/>
      <c r="AE26" s="391">
        <f>IFERROR(VLOOKUP($C26,'Proposed Rates'!$B:$J,AE$11,FALSE),0)</f>
        <v>0</v>
      </c>
      <c r="AF26" s="392">
        <f t="shared" si="15"/>
        <v>0</v>
      </c>
      <c r="AG26" s="394">
        <f t="shared" si="16"/>
        <v>0</v>
      </c>
      <c r="AH26" s="138"/>
      <c r="AI26" s="395">
        <f t="shared" si="17"/>
        <v>0</v>
      </c>
      <c r="AJ26" s="396" t="str">
        <f t="shared" si="18"/>
        <v/>
      </c>
      <c r="AK26" s="53"/>
      <c r="AL26" s="391">
        <f>IFERROR(VLOOKUP($C26,'Proposed Rates'!$B:$J,AL$11,FALSE),0)</f>
        <v>0</v>
      </c>
      <c r="AM26" s="392">
        <f t="shared" si="19"/>
        <v>0</v>
      </c>
      <c r="AN26" s="394">
        <f t="shared" si="20"/>
        <v>0</v>
      </c>
      <c r="AO26" s="138"/>
      <c r="AP26" s="395">
        <f t="shared" si="21"/>
        <v>0</v>
      </c>
      <c r="AQ26" s="396" t="str">
        <f t="shared" si="22"/>
        <v/>
      </c>
      <c r="AR26" s="397"/>
      <c r="AS26" s="397"/>
      <c r="AT26" s="397"/>
      <c r="AU26" s="3"/>
      <c r="AV26" s="3"/>
      <c r="AW26" s="3"/>
      <c r="AX26" s="3"/>
      <c r="AY26" s="3"/>
      <c r="AZ26" s="3"/>
      <c r="BA26" s="3"/>
      <c r="BB26" s="3"/>
    </row>
    <row r="27" spans="1:54" ht="12.75" customHeight="1">
      <c r="A27" s="53"/>
      <c r="B27" s="398"/>
      <c r="C27" s="389" t="str">
        <f t="shared" si="0"/>
        <v>Residential.</v>
      </c>
      <c r="D27" s="390"/>
      <c r="E27" s="328"/>
      <c r="F27" s="391">
        <f>IFERROR(VLOOKUP($C27,'Proposed Rates'!$B:$J,F$11,FALSE),0)</f>
        <v>0</v>
      </c>
      <c r="G27" s="392">
        <f t="shared" si="1"/>
        <v>0</v>
      </c>
      <c r="H27" s="394">
        <f t="shared" si="2"/>
        <v>0</v>
      </c>
      <c r="I27" s="138"/>
      <c r="J27" s="391">
        <f>IFERROR(VLOOKUP($C27,'Proposed Rates'!$B:$J,J$11,FALSE),0)</f>
        <v>0</v>
      </c>
      <c r="K27" s="392">
        <f t="shared" si="3"/>
        <v>0</v>
      </c>
      <c r="L27" s="394">
        <f t="shared" si="4"/>
        <v>0</v>
      </c>
      <c r="M27" s="138"/>
      <c r="N27" s="395">
        <f t="shared" si="5"/>
        <v>0</v>
      </c>
      <c r="O27" s="396" t="str">
        <f t="shared" si="6"/>
        <v/>
      </c>
      <c r="P27" s="53"/>
      <c r="Q27" s="391">
        <f>IFERROR(VLOOKUP($C27,'Proposed Rates'!$B:$J,Q$11,FALSE),0)</f>
        <v>0</v>
      </c>
      <c r="R27" s="392">
        <f t="shared" si="7"/>
        <v>0</v>
      </c>
      <c r="S27" s="394">
        <f t="shared" si="8"/>
        <v>0</v>
      </c>
      <c r="T27" s="138"/>
      <c r="U27" s="395">
        <f t="shared" si="9"/>
        <v>0</v>
      </c>
      <c r="V27" s="396" t="str">
        <f t="shared" si="10"/>
        <v/>
      </c>
      <c r="W27" s="53"/>
      <c r="X27" s="391">
        <f>IFERROR(VLOOKUP($C27,'Proposed Rates'!$B:$J,X$11,FALSE),0)</f>
        <v>0</v>
      </c>
      <c r="Y27" s="392">
        <f t="shared" si="11"/>
        <v>0</v>
      </c>
      <c r="Z27" s="394">
        <f t="shared" si="12"/>
        <v>0</v>
      </c>
      <c r="AA27" s="138"/>
      <c r="AB27" s="395">
        <f t="shared" si="13"/>
        <v>0</v>
      </c>
      <c r="AC27" s="396" t="str">
        <f t="shared" si="14"/>
        <v/>
      </c>
      <c r="AD27" s="53"/>
      <c r="AE27" s="391">
        <f>IFERROR(VLOOKUP($C27,'Proposed Rates'!$B:$J,AE$11,FALSE),0)</f>
        <v>0</v>
      </c>
      <c r="AF27" s="392">
        <f t="shared" si="15"/>
        <v>0</v>
      </c>
      <c r="AG27" s="394">
        <f t="shared" si="16"/>
        <v>0</v>
      </c>
      <c r="AH27" s="138"/>
      <c r="AI27" s="395">
        <f t="shared" si="17"/>
        <v>0</v>
      </c>
      <c r="AJ27" s="396" t="str">
        <f t="shared" si="18"/>
        <v/>
      </c>
      <c r="AK27" s="53"/>
      <c r="AL27" s="391">
        <f>IFERROR(VLOOKUP($C27,'Proposed Rates'!$B:$J,AL$11,FALSE),0)</f>
        <v>0</v>
      </c>
      <c r="AM27" s="392">
        <f t="shared" si="19"/>
        <v>0</v>
      </c>
      <c r="AN27" s="394">
        <f t="shared" si="20"/>
        <v>0</v>
      </c>
      <c r="AO27" s="138"/>
      <c r="AP27" s="395">
        <f t="shared" si="21"/>
        <v>0</v>
      </c>
      <c r="AQ27" s="396" t="str">
        <f t="shared" si="22"/>
        <v/>
      </c>
      <c r="AR27" s="397"/>
      <c r="AS27" s="397"/>
      <c r="AT27" s="397"/>
      <c r="AU27" s="3"/>
      <c r="AV27" s="3"/>
      <c r="AW27" s="3"/>
      <c r="AX27" s="3"/>
      <c r="AY27" s="3"/>
      <c r="AZ27" s="3"/>
      <c r="BA27" s="3"/>
      <c r="BB27" s="3"/>
    </row>
    <row r="28" spans="1:54" ht="12.75" customHeight="1">
      <c r="A28" s="53"/>
      <c r="B28" s="398"/>
      <c r="C28" s="389" t="str">
        <f t="shared" si="0"/>
        <v>Residential.</v>
      </c>
      <c r="D28" s="390"/>
      <c r="E28" s="328"/>
      <c r="F28" s="391">
        <f>IFERROR(VLOOKUP($C28,'Proposed Rates'!$B:$J,F$11,FALSE),0)</f>
        <v>0</v>
      </c>
      <c r="G28" s="392">
        <f t="shared" si="1"/>
        <v>0</v>
      </c>
      <c r="H28" s="394">
        <f t="shared" si="2"/>
        <v>0</v>
      </c>
      <c r="I28" s="138"/>
      <c r="J28" s="391">
        <f>IFERROR(VLOOKUP($C28,'Proposed Rates'!$B:$J,J$11,FALSE),0)</f>
        <v>0</v>
      </c>
      <c r="K28" s="392">
        <f t="shared" si="3"/>
        <v>0</v>
      </c>
      <c r="L28" s="394">
        <f t="shared" si="4"/>
        <v>0</v>
      </c>
      <c r="M28" s="138"/>
      <c r="N28" s="395">
        <f t="shared" si="5"/>
        <v>0</v>
      </c>
      <c r="O28" s="396" t="str">
        <f t="shared" si="6"/>
        <v/>
      </c>
      <c r="P28" s="53"/>
      <c r="Q28" s="391">
        <f>IFERROR(VLOOKUP($C28,'Proposed Rates'!$B:$J,Q$11,FALSE),0)</f>
        <v>0</v>
      </c>
      <c r="R28" s="392">
        <f t="shared" si="7"/>
        <v>0</v>
      </c>
      <c r="S28" s="394">
        <f t="shared" si="8"/>
        <v>0</v>
      </c>
      <c r="T28" s="138"/>
      <c r="U28" s="395">
        <f t="shared" si="9"/>
        <v>0</v>
      </c>
      <c r="V28" s="396" t="str">
        <f t="shared" si="10"/>
        <v/>
      </c>
      <c r="W28" s="53"/>
      <c r="X28" s="391">
        <f>IFERROR(VLOOKUP($C28,'Proposed Rates'!$B:$J,X$11,FALSE),0)</f>
        <v>0</v>
      </c>
      <c r="Y28" s="392">
        <f t="shared" si="11"/>
        <v>0</v>
      </c>
      <c r="Z28" s="394">
        <f t="shared" si="12"/>
        <v>0</v>
      </c>
      <c r="AA28" s="138"/>
      <c r="AB28" s="395">
        <f t="shared" si="13"/>
        <v>0</v>
      </c>
      <c r="AC28" s="396" t="str">
        <f t="shared" si="14"/>
        <v/>
      </c>
      <c r="AD28" s="53"/>
      <c r="AE28" s="391">
        <f>IFERROR(VLOOKUP($C28,'Proposed Rates'!$B:$J,AE$11,FALSE),0)</f>
        <v>0</v>
      </c>
      <c r="AF28" s="392">
        <f t="shared" si="15"/>
        <v>0</v>
      </c>
      <c r="AG28" s="394">
        <f t="shared" si="16"/>
        <v>0</v>
      </c>
      <c r="AH28" s="138"/>
      <c r="AI28" s="395">
        <f t="shared" si="17"/>
        <v>0</v>
      </c>
      <c r="AJ28" s="396" t="str">
        <f t="shared" si="18"/>
        <v/>
      </c>
      <c r="AK28" s="53"/>
      <c r="AL28" s="391">
        <f>IFERROR(VLOOKUP($C28,'Proposed Rates'!$B:$J,AL$11,FALSE),0)</f>
        <v>0</v>
      </c>
      <c r="AM28" s="392">
        <f t="shared" si="19"/>
        <v>0</v>
      </c>
      <c r="AN28" s="394">
        <f t="shared" si="20"/>
        <v>0</v>
      </c>
      <c r="AO28" s="138"/>
      <c r="AP28" s="395">
        <f t="shared" si="21"/>
        <v>0</v>
      </c>
      <c r="AQ28" s="396" t="str">
        <f t="shared" si="22"/>
        <v/>
      </c>
      <c r="AR28" s="397"/>
      <c r="AS28" s="397"/>
      <c r="AT28" s="397"/>
      <c r="AU28" s="3"/>
      <c r="AV28" s="3"/>
      <c r="AW28" s="3"/>
      <c r="AX28" s="3"/>
      <c r="AY28" s="3"/>
      <c r="AZ28" s="3"/>
      <c r="BA28" s="3"/>
      <c r="BB28" s="3"/>
    </row>
    <row r="29" spans="1:54" ht="12.75" customHeight="1">
      <c r="A29" s="314"/>
      <c r="B29" s="399" t="s">
        <v>339</v>
      </c>
      <c r="C29" s="400"/>
      <c r="D29" s="400"/>
      <c r="E29" s="400"/>
      <c r="F29" s="401"/>
      <c r="G29" s="494"/>
      <c r="H29" s="403">
        <f>SUM(H15:H28)</f>
        <v>34.51</v>
      </c>
      <c r="I29" s="404"/>
      <c r="J29" s="401"/>
      <c r="K29" s="494"/>
      <c r="L29" s="403">
        <f>SUM(L15:L28)</f>
        <v>39.850000000000009</v>
      </c>
      <c r="M29" s="404"/>
      <c r="N29" s="405">
        <f t="shared" si="5"/>
        <v>5.3400000000000105</v>
      </c>
      <c r="O29" s="406">
        <f t="shared" si="6"/>
        <v>0.15473775717183458</v>
      </c>
      <c r="P29" s="314"/>
      <c r="Q29" s="401"/>
      <c r="R29" s="494"/>
      <c r="S29" s="403">
        <f>SUM(S15:S28)</f>
        <v>42.940000000000005</v>
      </c>
      <c r="T29" s="404"/>
      <c r="U29" s="405">
        <f t="shared" si="9"/>
        <v>3.0899999999999963</v>
      </c>
      <c r="V29" s="406">
        <f t="shared" si="10"/>
        <v>7.7540777917189357E-2</v>
      </c>
      <c r="W29" s="314"/>
      <c r="X29" s="401"/>
      <c r="Y29" s="494"/>
      <c r="Z29" s="403">
        <f>SUM(Z15:Z28)</f>
        <v>43.93</v>
      </c>
      <c r="AA29" s="404"/>
      <c r="AB29" s="405">
        <f t="shared" si="13"/>
        <v>0.98999999999999488</v>
      </c>
      <c r="AC29" s="406">
        <f t="shared" si="14"/>
        <v>2.3055426176059497E-2</v>
      </c>
      <c r="AD29" s="314"/>
      <c r="AE29" s="401"/>
      <c r="AF29" s="494"/>
      <c r="AG29" s="403">
        <f>SUM(AG15:AG28)</f>
        <v>45.42</v>
      </c>
      <c r="AH29" s="404"/>
      <c r="AI29" s="405">
        <f t="shared" si="17"/>
        <v>1.490000000000002</v>
      </c>
      <c r="AJ29" s="406">
        <f t="shared" si="18"/>
        <v>3.3917596175734165E-2</v>
      </c>
      <c r="AK29" s="314"/>
      <c r="AL29" s="401"/>
      <c r="AM29" s="494"/>
      <c r="AN29" s="403">
        <f>SUM(AN15:AN28)</f>
        <v>46.78</v>
      </c>
      <c r="AO29" s="404"/>
      <c r="AP29" s="405">
        <f t="shared" si="21"/>
        <v>1.3599999999999994</v>
      </c>
      <c r="AQ29" s="406">
        <f t="shared" si="22"/>
        <v>2.9942756494936138E-2</v>
      </c>
      <c r="AR29" s="445"/>
      <c r="AS29" s="445"/>
      <c r="AT29" s="445"/>
      <c r="AU29" s="3"/>
      <c r="AV29" s="3"/>
      <c r="AW29" s="3"/>
      <c r="AX29" s="3"/>
      <c r="AY29" s="3"/>
      <c r="AZ29" s="3"/>
      <c r="BA29" s="3"/>
      <c r="BB29" s="3"/>
    </row>
    <row r="30" spans="1:54" ht="12.75" customHeight="1">
      <c r="A30" s="53"/>
      <c r="B30" s="398" t="s">
        <v>262</v>
      </c>
      <c r="C30" s="389" t="str">
        <f t="shared" ref="C30:C36" si="23">D$6&amp;"."&amp;B30</f>
        <v>Residential.DVA Disposition Rate Rider Group 1 -2025</v>
      </c>
      <c r="D30" s="390" t="s">
        <v>337</v>
      </c>
      <c r="E30" s="328"/>
      <c r="F30" s="408">
        <f>IFERROR(VLOOKUP($C30,'Proposed Rates'!$B:$J,F$11,FALSE),0)</f>
        <v>-2.0000000000000001E-4</v>
      </c>
      <c r="G30" s="409">
        <f t="shared" ref="G30:G33" si="24">IF($D30="Monthly",1,IF($D30="per KWH",$F$10,0))</f>
        <v>640</v>
      </c>
      <c r="H30" s="394">
        <f t="shared" ref="H30:H36" si="25">G30*F30</f>
        <v>-0.128</v>
      </c>
      <c r="I30" s="138"/>
      <c r="J30" s="408">
        <f>IFERROR(VLOOKUP($C30,'Proposed Rates'!$B:$J,J$11,FALSE),0)</f>
        <v>-1E-3</v>
      </c>
      <c r="K30" s="409">
        <f t="shared" ref="K30:K33" si="26">IF($D30="Monthly",1,IF($D30="per KWH",$F$10,0))</f>
        <v>640</v>
      </c>
      <c r="L30" s="394">
        <f t="shared" ref="L30:L36" si="27">K30*J30</f>
        <v>-0.64</v>
      </c>
      <c r="M30" s="138"/>
      <c r="N30" s="395">
        <f t="shared" si="5"/>
        <v>-0.51200000000000001</v>
      </c>
      <c r="O30" s="396">
        <f t="shared" si="6"/>
        <v>4</v>
      </c>
      <c r="P30" s="53"/>
      <c r="Q30" s="408">
        <f>IFERROR(VLOOKUP($C30,'Proposed Rates'!$B:$J,Q$11,FALSE),0)</f>
        <v>0</v>
      </c>
      <c r="R30" s="409">
        <f t="shared" ref="R30:R33" si="28">IF($D30="Monthly",1,IF($D30="per KWH",$F$10,0))</f>
        <v>640</v>
      </c>
      <c r="S30" s="394">
        <f t="shared" ref="S30:S36" si="29">R30*Q30</f>
        <v>0</v>
      </c>
      <c r="T30" s="138"/>
      <c r="U30" s="395">
        <f t="shared" si="9"/>
        <v>0.64</v>
      </c>
      <c r="V30" s="396">
        <f t="shared" si="10"/>
        <v>-1</v>
      </c>
      <c r="W30" s="53"/>
      <c r="X30" s="408">
        <f>IFERROR(VLOOKUP($C30,'Proposed Rates'!$B:$J,X$11,FALSE),0)</f>
        <v>0</v>
      </c>
      <c r="Y30" s="409">
        <f t="shared" ref="Y30:Y33" si="30">IF($D30="Monthly",1,IF($D30="per KWH",$F$10,0))</f>
        <v>640</v>
      </c>
      <c r="Z30" s="394">
        <f t="shared" ref="Z30:Z36" si="31">Y30*X30</f>
        <v>0</v>
      </c>
      <c r="AA30" s="138"/>
      <c r="AB30" s="395">
        <f t="shared" si="13"/>
        <v>0</v>
      </c>
      <c r="AC30" s="396" t="str">
        <f t="shared" si="14"/>
        <v/>
      </c>
      <c r="AD30" s="53"/>
      <c r="AE30" s="408">
        <f>IFERROR(VLOOKUP($C30,'Proposed Rates'!$B:$J,AE$11,FALSE),0)</f>
        <v>0</v>
      </c>
      <c r="AF30" s="409">
        <f t="shared" ref="AF30:AF33" si="32">IF($D30="Monthly",1,IF($D30="per KWH",$F$10,0))</f>
        <v>640</v>
      </c>
      <c r="AG30" s="394">
        <f t="shared" ref="AG30:AG36" si="33">AF30*AE30</f>
        <v>0</v>
      </c>
      <c r="AH30" s="138"/>
      <c r="AI30" s="395">
        <f t="shared" si="17"/>
        <v>0</v>
      </c>
      <c r="AJ30" s="396" t="str">
        <f t="shared" si="18"/>
        <v/>
      </c>
      <c r="AK30" s="53"/>
      <c r="AL30" s="408">
        <f>IFERROR(VLOOKUP($C30,'Proposed Rates'!$B:$J,AL$11,FALSE),0)</f>
        <v>0</v>
      </c>
      <c r="AM30" s="409">
        <f t="shared" ref="AM30:AM33" si="34">IF($D30="Monthly",1,IF($D30="per KWH",$F$10,0))</f>
        <v>640</v>
      </c>
      <c r="AN30" s="394">
        <f t="shared" ref="AN30:AN36" si="35">AM30*AL30</f>
        <v>0</v>
      </c>
      <c r="AO30" s="138"/>
      <c r="AP30" s="395">
        <f t="shared" si="21"/>
        <v>0</v>
      </c>
      <c r="AQ30" s="396" t="str">
        <f t="shared" si="22"/>
        <v/>
      </c>
      <c r="AR30" s="397"/>
      <c r="AS30" s="397"/>
      <c r="AT30" s="397"/>
      <c r="AU30" s="3"/>
      <c r="AV30" s="3"/>
      <c r="AW30" s="3"/>
      <c r="AX30" s="3"/>
      <c r="AY30" s="3"/>
      <c r="AZ30" s="3"/>
      <c r="BA30" s="3"/>
      <c r="BB30" s="3"/>
    </row>
    <row r="31" spans="1:54" ht="12.75" customHeight="1">
      <c r="A31" s="53"/>
      <c r="B31" s="478" t="s">
        <v>264</v>
      </c>
      <c r="C31" s="389" t="str">
        <f t="shared" si="23"/>
        <v>Residential.DVA Disposition Rate Rider Group 1 - 2024</v>
      </c>
      <c r="D31" s="390" t="s">
        <v>337</v>
      </c>
      <c r="E31" s="328"/>
      <c r="F31" s="408">
        <f>IFERROR(VLOOKUP($C31,'Proposed Rates'!$B:$J,F$11,FALSE),0)</f>
        <v>0</v>
      </c>
      <c r="G31" s="409">
        <f t="shared" si="24"/>
        <v>640</v>
      </c>
      <c r="H31" s="492">
        <f t="shared" si="25"/>
        <v>0</v>
      </c>
      <c r="I31" s="479"/>
      <c r="J31" s="408">
        <f>IFERROR(VLOOKUP($C31,'Proposed Rates'!$B:$J,J$11,FALSE),0)</f>
        <v>0</v>
      </c>
      <c r="K31" s="409">
        <f t="shared" si="26"/>
        <v>640</v>
      </c>
      <c r="L31" s="492">
        <f t="shared" si="27"/>
        <v>0</v>
      </c>
      <c r="M31" s="411"/>
      <c r="N31" s="395"/>
      <c r="O31" s="396"/>
      <c r="P31" s="53"/>
      <c r="Q31" s="408">
        <f>IFERROR(VLOOKUP($C31,'Proposed Rates'!$B:$J,Q$11,FALSE),0)</f>
        <v>0</v>
      </c>
      <c r="R31" s="409">
        <f t="shared" si="28"/>
        <v>640</v>
      </c>
      <c r="S31" s="492">
        <f t="shared" si="29"/>
        <v>0</v>
      </c>
      <c r="T31" s="411"/>
      <c r="U31" s="395">
        <f t="shared" si="9"/>
        <v>0</v>
      </c>
      <c r="V31" s="396" t="str">
        <f t="shared" si="10"/>
        <v/>
      </c>
      <c r="W31" s="53"/>
      <c r="X31" s="408">
        <f>IFERROR(VLOOKUP($C31,'Proposed Rates'!$B:$J,X$11,FALSE),0)</f>
        <v>0</v>
      </c>
      <c r="Y31" s="409">
        <f t="shared" si="30"/>
        <v>640</v>
      </c>
      <c r="Z31" s="492">
        <f t="shared" si="31"/>
        <v>0</v>
      </c>
      <c r="AA31" s="411"/>
      <c r="AB31" s="395">
        <f t="shared" si="13"/>
        <v>0</v>
      </c>
      <c r="AC31" s="396" t="str">
        <f t="shared" si="14"/>
        <v/>
      </c>
      <c r="AD31" s="53"/>
      <c r="AE31" s="408">
        <f>IFERROR(VLOOKUP($C31,'Proposed Rates'!$B:$J,AE$11,FALSE),0)</f>
        <v>0</v>
      </c>
      <c r="AF31" s="409">
        <f t="shared" si="32"/>
        <v>640</v>
      </c>
      <c r="AG31" s="492">
        <f t="shared" si="33"/>
        <v>0</v>
      </c>
      <c r="AH31" s="411"/>
      <c r="AI31" s="395">
        <f t="shared" si="17"/>
        <v>0</v>
      </c>
      <c r="AJ31" s="396" t="str">
        <f t="shared" si="18"/>
        <v/>
      </c>
      <c r="AK31" s="53"/>
      <c r="AL31" s="408">
        <f>IFERROR(VLOOKUP($C31,'Proposed Rates'!$B:$J,AL$11,FALSE),0)</f>
        <v>0</v>
      </c>
      <c r="AM31" s="409">
        <f t="shared" si="34"/>
        <v>640</v>
      </c>
      <c r="AN31" s="492">
        <f t="shared" si="35"/>
        <v>0</v>
      </c>
      <c r="AO31" s="411"/>
      <c r="AP31" s="395">
        <f t="shared" si="21"/>
        <v>0</v>
      </c>
      <c r="AQ31" s="396" t="str">
        <f t="shared" si="22"/>
        <v/>
      </c>
      <c r="AR31" s="397"/>
      <c r="AS31" s="397"/>
      <c r="AT31" s="397"/>
      <c r="AU31" s="3"/>
      <c r="AV31" s="3"/>
      <c r="AW31" s="3"/>
      <c r="AX31" s="3"/>
      <c r="AY31" s="3"/>
      <c r="AZ31" s="3"/>
      <c r="BA31" s="3"/>
      <c r="BB31" s="3"/>
    </row>
    <row r="32" spans="1:54" ht="12.75" customHeight="1">
      <c r="A32" s="53"/>
      <c r="B32" s="478" t="s">
        <v>272</v>
      </c>
      <c r="C32" s="389" t="str">
        <f t="shared" si="23"/>
        <v>Residential.CBR Class B Rate Riders</v>
      </c>
      <c r="D32" s="390" t="s">
        <v>337</v>
      </c>
      <c r="E32" s="328"/>
      <c r="F32" s="408">
        <f>IFERROR(VLOOKUP($C32,'Proposed Rates'!$B:$J,F$11,FALSE),0)</f>
        <v>2.0000000000000001E-4</v>
      </c>
      <c r="G32" s="409">
        <f t="shared" si="24"/>
        <v>640</v>
      </c>
      <c r="H32" s="394">
        <f t="shared" si="25"/>
        <v>0.128</v>
      </c>
      <c r="I32" s="479"/>
      <c r="J32" s="408">
        <f>IFERROR(VLOOKUP($C32,'Proposed Rates'!$B:$J,J$11,FALSE),0)</f>
        <v>6.9999999999999999E-4</v>
      </c>
      <c r="K32" s="409">
        <f t="shared" si="26"/>
        <v>640</v>
      </c>
      <c r="L32" s="394">
        <f t="shared" si="27"/>
        <v>0.44800000000000001</v>
      </c>
      <c r="M32" s="411"/>
      <c r="N32" s="395">
        <f t="shared" ref="N32:N48" si="36">L32-H32</f>
        <v>0.32</v>
      </c>
      <c r="O32" s="396">
        <f t="shared" ref="O32:O48" si="37">IF((H32)=0,"",(N32/H32))</f>
        <v>2.5</v>
      </c>
      <c r="P32" s="53"/>
      <c r="Q32" s="408">
        <f>IFERROR(VLOOKUP($C32,'Proposed Rates'!$B:$J,Q$11,FALSE),0)</f>
        <v>0</v>
      </c>
      <c r="R32" s="409">
        <f t="shared" si="28"/>
        <v>640</v>
      </c>
      <c r="S32" s="394">
        <f t="shared" si="29"/>
        <v>0</v>
      </c>
      <c r="T32" s="411"/>
      <c r="U32" s="395">
        <f t="shared" si="9"/>
        <v>-0.44800000000000001</v>
      </c>
      <c r="V32" s="396">
        <f t="shared" si="10"/>
        <v>-1</v>
      </c>
      <c r="W32" s="53"/>
      <c r="X32" s="408">
        <f>IFERROR(VLOOKUP($C32,'Proposed Rates'!$B:$J,X$11,FALSE),0)</f>
        <v>0</v>
      </c>
      <c r="Y32" s="409">
        <f t="shared" si="30"/>
        <v>640</v>
      </c>
      <c r="Z32" s="394">
        <f t="shared" si="31"/>
        <v>0</v>
      </c>
      <c r="AA32" s="411"/>
      <c r="AB32" s="395">
        <f t="shared" si="13"/>
        <v>0</v>
      </c>
      <c r="AC32" s="396" t="str">
        <f t="shared" si="14"/>
        <v/>
      </c>
      <c r="AD32" s="53"/>
      <c r="AE32" s="408">
        <f>IFERROR(VLOOKUP($C32,'Proposed Rates'!$B:$J,AE$11,FALSE),0)</f>
        <v>0</v>
      </c>
      <c r="AF32" s="409">
        <f t="shared" si="32"/>
        <v>640</v>
      </c>
      <c r="AG32" s="394">
        <f t="shared" si="33"/>
        <v>0</v>
      </c>
      <c r="AH32" s="411"/>
      <c r="AI32" s="395">
        <f t="shared" si="17"/>
        <v>0</v>
      </c>
      <c r="AJ32" s="396" t="str">
        <f t="shared" si="18"/>
        <v/>
      </c>
      <c r="AK32" s="53"/>
      <c r="AL32" s="408">
        <f>IFERROR(VLOOKUP($C32,'Proposed Rates'!$B:$J,AL$11,FALSE),0)</f>
        <v>0</v>
      </c>
      <c r="AM32" s="409">
        <f t="shared" si="34"/>
        <v>640</v>
      </c>
      <c r="AN32" s="394">
        <f t="shared" si="35"/>
        <v>0</v>
      </c>
      <c r="AO32" s="411"/>
      <c r="AP32" s="395">
        <f t="shared" si="21"/>
        <v>0</v>
      </c>
      <c r="AQ32" s="396" t="str">
        <f t="shared" si="22"/>
        <v/>
      </c>
      <c r="AR32" s="397"/>
      <c r="AS32" s="397"/>
      <c r="AT32" s="397"/>
      <c r="AU32" s="3"/>
      <c r="AV32" s="3"/>
      <c r="AW32" s="3"/>
      <c r="AX32" s="3"/>
      <c r="AY32" s="3"/>
      <c r="AZ32" s="3"/>
      <c r="BA32" s="3"/>
      <c r="BB32" s="3"/>
    </row>
    <row r="33" spans="1:54" ht="12.75" customHeight="1">
      <c r="A33" s="53"/>
      <c r="B33" s="478" t="s">
        <v>340</v>
      </c>
      <c r="C33" s="389" t="str">
        <f t="shared" si="23"/>
        <v>Residential.GA Disposition Rate Rider-NonRPP</v>
      </c>
      <c r="D33" s="390" t="s">
        <v>337</v>
      </c>
      <c r="E33" s="328"/>
      <c r="F33" s="408">
        <f>IFERROR(VLOOKUP($C33,'Proposed Rates'!$B:$J,F$11,FALSE),0)</f>
        <v>0</v>
      </c>
      <c r="G33" s="409">
        <f t="shared" si="24"/>
        <v>640</v>
      </c>
      <c r="H33" s="394">
        <f t="shared" si="25"/>
        <v>0</v>
      </c>
      <c r="I33" s="479"/>
      <c r="J33" s="408">
        <f>IFERROR(VLOOKUP($C33,'Proposed Rates'!$B:$J,J$11,FALSE),0)</f>
        <v>0</v>
      </c>
      <c r="K33" s="409">
        <f t="shared" si="26"/>
        <v>640</v>
      </c>
      <c r="L33" s="394">
        <f t="shared" si="27"/>
        <v>0</v>
      </c>
      <c r="M33" s="411"/>
      <c r="N33" s="395">
        <f t="shared" si="36"/>
        <v>0</v>
      </c>
      <c r="O33" s="396" t="str">
        <f t="shared" si="37"/>
        <v/>
      </c>
      <c r="P33" s="53"/>
      <c r="Q33" s="408">
        <f>IFERROR(VLOOKUP($C33,'Proposed Rates'!$B:$J,Q$11,FALSE),0)</f>
        <v>0</v>
      </c>
      <c r="R33" s="409">
        <f t="shared" si="28"/>
        <v>640</v>
      </c>
      <c r="S33" s="394">
        <f t="shared" si="29"/>
        <v>0</v>
      </c>
      <c r="T33" s="411"/>
      <c r="U33" s="395">
        <f t="shared" si="9"/>
        <v>0</v>
      </c>
      <c r="V33" s="396" t="str">
        <f t="shared" si="10"/>
        <v/>
      </c>
      <c r="W33" s="53"/>
      <c r="X33" s="408">
        <f>IFERROR(VLOOKUP($C33,'Proposed Rates'!$B:$J,X$11,FALSE),0)</f>
        <v>0</v>
      </c>
      <c r="Y33" s="409">
        <f t="shared" si="30"/>
        <v>640</v>
      </c>
      <c r="Z33" s="394">
        <f t="shared" si="31"/>
        <v>0</v>
      </c>
      <c r="AA33" s="411"/>
      <c r="AB33" s="395">
        <f t="shared" si="13"/>
        <v>0</v>
      </c>
      <c r="AC33" s="396" t="str">
        <f t="shared" si="14"/>
        <v/>
      </c>
      <c r="AD33" s="53"/>
      <c r="AE33" s="408">
        <f>IFERROR(VLOOKUP($C33,'Proposed Rates'!$B:$J,AE$11,FALSE),0)</f>
        <v>0</v>
      </c>
      <c r="AF33" s="409">
        <f t="shared" si="32"/>
        <v>640</v>
      </c>
      <c r="AG33" s="394">
        <f t="shared" si="33"/>
        <v>0</v>
      </c>
      <c r="AH33" s="411"/>
      <c r="AI33" s="395">
        <f t="shared" si="17"/>
        <v>0</v>
      </c>
      <c r="AJ33" s="396" t="str">
        <f t="shared" si="18"/>
        <v/>
      </c>
      <c r="AK33" s="53"/>
      <c r="AL33" s="408">
        <f>IFERROR(VLOOKUP($C33,'Proposed Rates'!$B:$J,AL$11,FALSE),0)</f>
        <v>0</v>
      </c>
      <c r="AM33" s="409">
        <f t="shared" si="34"/>
        <v>640</v>
      </c>
      <c r="AN33" s="394">
        <f t="shared" si="35"/>
        <v>0</v>
      </c>
      <c r="AO33" s="411"/>
      <c r="AP33" s="395">
        <f t="shared" si="21"/>
        <v>0</v>
      </c>
      <c r="AQ33" s="396" t="str">
        <f t="shared" si="22"/>
        <v/>
      </c>
      <c r="AR33" s="397"/>
      <c r="AS33" s="397"/>
      <c r="AT33" s="397"/>
      <c r="AU33" s="3"/>
      <c r="AV33" s="3"/>
      <c r="AW33" s="3"/>
      <c r="AX33" s="3"/>
      <c r="AY33" s="3"/>
      <c r="AZ33" s="3"/>
      <c r="BA33" s="3"/>
      <c r="BB33" s="3"/>
    </row>
    <row r="34" spans="1:54" ht="12.75" customHeight="1">
      <c r="A34" s="53"/>
      <c r="B34" s="328" t="s">
        <v>300</v>
      </c>
      <c r="C34" s="389" t="str">
        <f t="shared" si="23"/>
        <v>Residential.Low Voltage Service Charge</v>
      </c>
      <c r="D34" s="390" t="s">
        <v>337</v>
      </c>
      <c r="E34" s="328"/>
      <c r="F34" s="412">
        <f>IFERROR(VLOOKUP($C34,'Proposed Rates'!$B:$J,F$11,FALSE),0)</f>
        <v>5.0000000000000002E-5</v>
      </c>
      <c r="G34" s="413">
        <f>$F$10*(1+F$63)</f>
        <v>661.63200000000006</v>
      </c>
      <c r="H34" s="394">
        <f t="shared" si="25"/>
        <v>3.3081600000000003E-2</v>
      </c>
      <c r="I34" s="138"/>
      <c r="J34" s="412">
        <f>IFERROR(VLOOKUP($C34,'Proposed Rates'!$B:$J,J$11,FALSE),0)</f>
        <v>6.9999999999999994E-5</v>
      </c>
      <c r="K34" s="413">
        <f>$F$10*(1+J$63)</f>
        <v>661.24799999999993</v>
      </c>
      <c r="L34" s="394">
        <f t="shared" si="27"/>
        <v>4.6287359999999993E-2</v>
      </c>
      <c r="M34" s="138"/>
      <c r="N34" s="395">
        <f t="shared" si="36"/>
        <v>1.320575999999999E-2</v>
      </c>
      <c r="O34" s="396">
        <f t="shared" si="37"/>
        <v>0.39918746372605884</v>
      </c>
      <c r="P34" s="53"/>
      <c r="Q34" s="412">
        <f>IFERROR(VLOOKUP($C34,'Proposed Rates'!$B:$J,Q$11,FALSE),0)</f>
        <v>6.9999999999999994E-5</v>
      </c>
      <c r="R34" s="413">
        <f>$F$10*(1+Q$63)</f>
        <v>661.24799999999993</v>
      </c>
      <c r="S34" s="394">
        <f t="shared" si="29"/>
        <v>4.6287359999999993E-2</v>
      </c>
      <c r="T34" s="138"/>
      <c r="U34" s="395">
        <f t="shared" si="9"/>
        <v>0</v>
      </c>
      <c r="V34" s="396">
        <f t="shared" si="10"/>
        <v>0</v>
      </c>
      <c r="W34" s="53"/>
      <c r="X34" s="412">
        <f>IFERROR(VLOOKUP($C34,'Proposed Rates'!$B:$J,X$11,FALSE),0)</f>
        <v>8.0000000000000007E-5</v>
      </c>
      <c r="Y34" s="413">
        <f>$F$10*(1+X$63)</f>
        <v>661.24799999999993</v>
      </c>
      <c r="Z34" s="394">
        <f t="shared" si="31"/>
        <v>5.2899839999999997E-2</v>
      </c>
      <c r="AA34" s="138"/>
      <c r="AB34" s="395">
        <f t="shared" si="13"/>
        <v>6.6124800000000039E-3</v>
      </c>
      <c r="AC34" s="396">
        <f t="shared" si="14"/>
        <v>0.14285714285714296</v>
      </c>
      <c r="AD34" s="53"/>
      <c r="AE34" s="412">
        <f>IFERROR(VLOOKUP($C34,'Proposed Rates'!$B:$J,AE$11,FALSE),0)</f>
        <v>8.0000000000000007E-5</v>
      </c>
      <c r="AF34" s="413">
        <f>$F$10*(1+AE$63)</f>
        <v>661.24799999999993</v>
      </c>
      <c r="AG34" s="394">
        <f t="shared" si="33"/>
        <v>5.2899839999999997E-2</v>
      </c>
      <c r="AH34" s="138"/>
      <c r="AI34" s="395">
        <f t="shared" si="17"/>
        <v>0</v>
      </c>
      <c r="AJ34" s="396">
        <f t="shared" si="18"/>
        <v>0</v>
      </c>
      <c r="AK34" s="53"/>
      <c r="AL34" s="412">
        <f>IFERROR(VLOOKUP($C34,'Proposed Rates'!$B:$J,AL$11,FALSE),0)</f>
        <v>8.0000000000000007E-5</v>
      </c>
      <c r="AM34" s="413">
        <f>$F$10*(1+AL$63)</f>
        <v>661.24799999999993</v>
      </c>
      <c r="AN34" s="394">
        <f t="shared" si="35"/>
        <v>5.2899839999999997E-2</v>
      </c>
      <c r="AO34" s="138"/>
      <c r="AP34" s="395">
        <f t="shared" si="21"/>
        <v>0</v>
      </c>
      <c r="AQ34" s="396">
        <f t="shared" si="22"/>
        <v>0</v>
      </c>
      <c r="AR34" s="397"/>
      <c r="AS34" s="397"/>
      <c r="AT34" s="397"/>
      <c r="AU34" s="3"/>
      <c r="AV34" s="3"/>
      <c r="AW34" s="3"/>
      <c r="AX34" s="3"/>
      <c r="AY34" s="3"/>
      <c r="AZ34" s="3"/>
      <c r="BA34" s="3"/>
      <c r="BB34" s="3"/>
    </row>
    <row r="35" spans="1:54" ht="12.75" customHeight="1">
      <c r="A35" s="53"/>
      <c r="B35" s="328" t="s">
        <v>341</v>
      </c>
      <c r="C35" s="389" t="str">
        <f t="shared" si="23"/>
        <v>Residential.Line Losses on Cost of Power</v>
      </c>
      <c r="D35" s="390" t="s">
        <v>337</v>
      </c>
      <c r="E35" s="328"/>
      <c r="F35" s="414">
        <f>'Proposed Rates'!$K$256*F$44+'Proposed Rates'!$K$257*F$46+'Proposed Rates'!$K$258*F$45</f>
        <v>0.12751999999999999</v>
      </c>
      <c r="G35" s="415">
        <f>$F$10*(1+F$63)-$F$10</f>
        <v>21.632000000000062</v>
      </c>
      <c r="H35" s="394">
        <f t="shared" si="25"/>
        <v>2.7585126400000077</v>
      </c>
      <c r="I35" s="138"/>
      <c r="J35" s="414">
        <f>'Proposed Rates'!$K$256*J$44+'Proposed Rates'!$K$257*J$46+'Proposed Rates'!$K$258*J$45</f>
        <v>0.12751999999999999</v>
      </c>
      <c r="K35" s="415">
        <f>$F$10*(1+J$63)-$F$10</f>
        <v>21.247999999999934</v>
      </c>
      <c r="L35" s="394">
        <f t="shared" si="27"/>
        <v>2.7095449599999912</v>
      </c>
      <c r="M35" s="138"/>
      <c r="N35" s="395">
        <f t="shared" si="36"/>
        <v>-4.89676800000165E-2</v>
      </c>
      <c r="O35" s="396">
        <f t="shared" si="37"/>
        <v>-1.7751479289946762E-2</v>
      </c>
      <c r="P35" s="53"/>
      <c r="Q35" s="414">
        <f>'Proposed Rates'!$K$256*Q$44+'Proposed Rates'!$K$257*Q$46+'Proposed Rates'!$K$258*Q$45</f>
        <v>0.12751999999999999</v>
      </c>
      <c r="R35" s="415">
        <f>$F$10*(1+Q$63)-$F$10</f>
        <v>21.247999999999934</v>
      </c>
      <c r="S35" s="394">
        <f t="shared" si="29"/>
        <v>2.7095449599999912</v>
      </c>
      <c r="T35" s="138"/>
      <c r="U35" s="395">
        <f t="shared" si="9"/>
        <v>0</v>
      </c>
      <c r="V35" s="396">
        <f t="shared" si="10"/>
        <v>0</v>
      </c>
      <c r="W35" s="53"/>
      <c r="X35" s="414">
        <f>'Proposed Rates'!$K$256*X$44+'Proposed Rates'!$K$257*X$46+'Proposed Rates'!$K$258*X$45</f>
        <v>0.12751999999999999</v>
      </c>
      <c r="Y35" s="415">
        <f>$F$10*(1+X$63)-$F$10</f>
        <v>21.247999999999934</v>
      </c>
      <c r="Z35" s="394">
        <f t="shared" si="31"/>
        <v>2.7095449599999912</v>
      </c>
      <c r="AA35" s="138"/>
      <c r="AB35" s="395">
        <f t="shared" si="13"/>
        <v>0</v>
      </c>
      <c r="AC35" s="396">
        <f t="shared" si="14"/>
        <v>0</v>
      </c>
      <c r="AD35" s="53"/>
      <c r="AE35" s="414">
        <f>'Proposed Rates'!$K$256*AE$44+'Proposed Rates'!$K$257*AE$46+'Proposed Rates'!$K$258*AE$45</f>
        <v>0.12751999999999999</v>
      </c>
      <c r="AF35" s="415">
        <f>$F$10*(1+AE$63)-$F$10</f>
        <v>21.247999999999934</v>
      </c>
      <c r="AG35" s="394">
        <f t="shared" si="33"/>
        <v>2.7095449599999912</v>
      </c>
      <c r="AH35" s="138"/>
      <c r="AI35" s="395">
        <f t="shared" si="17"/>
        <v>0</v>
      </c>
      <c r="AJ35" s="396">
        <f t="shared" si="18"/>
        <v>0</v>
      </c>
      <c r="AK35" s="53"/>
      <c r="AL35" s="414">
        <f>'Proposed Rates'!$K$256*AL$44+'Proposed Rates'!$K$257*AL$46+'Proposed Rates'!$K$258*AL$45</f>
        <v>0.12751999999999999</v>
      </c>
      <c r="AM35" s="415">
        <f>$F$10*(1+AL$63)-$F$10</f>
        <v>21.247999999999934</v>
      </c>
      <c r="AN35" s="394">
        <f t="shared" si="35"/>
        <v>2.7095449599999912</v>
      </c>
      <c r="AO35" s="138"/>
      <c r="AP35" s="395">
        <f t="shared" si="21"/>
        <v>0</v>
      </c>
      <c r="AQ35" s="396">
        <f t="shared" si="22"/>
        <v>0</v>
      </c>
      <c r="AR35" s="397"/>
      <c r="AS35" s="397"/>
      <c r="AT35" s="397"/>
      <c r="AU35" s="3"/>
      <c r="AV35" s="3"/>
      <c r="AW35" s="3"/>
      <c r="AX35" s="3"/>
      <c r="AY35" s="3"/>
      <c r="AZ35" s="3"/>
      <c r="BA35" s="3"/>
      <c r="BB35" s="3"/>
    </row>
    <row r="36" spans="1:54" ht="12.75" customHeight="1">
      <c r="A36" s="53"/>
      <c r="B36" s="328" t="s">
        <v>302</v>
      </c>
      <c r="C36" s="389" t="str">
        <f t="shared" si="23"/>
        <v>Residential.Smart Meter Entity Charge</v>
      </c>
      <c r="D36" s="390" t="s">
        <v>335</v>
      </c>
      <c r="E36" s="328"/>
      <c r="F36" s="391">
        <f>IFERROR(VLOOKUP($C36,'Proposed Rates'!$B:$J,F$11,FALSE),0)</f>
        <v>0.42</v>
      </c>
      <c r="G36" s="409">
        <f>IF($D36="Monthly",1,IF($D36="per KWH",$F$10,0))</f>
        <v>1</v>
      </c>
      <c r="H36" s="394">
        <f t="shared" si="25"/>
        <v>0.42</v>
      </c>
      <c r="I36" s="138"/>
      <c r="J36" s="391">
        <f>IFERROR(VLOOKUP($C36,'Proposed Rates'!$B:$J,J$11,FALSE),0)</f>
        <v>0.42</v>
      </c>
      <c r="K36" s="409">
        <f>IF($D36="Monthly",1,IF($D36="per KWH",$F$10,0))</f>
        <v>1</v>
      </c>
      <c r="L36" s="394">
        <f t="shared" si="27"/>
        <v>0.42</v>
      </c>
      <c r="M36" s="138"/>
      <c r="N36" s="395">
        <f t="shared" si="36"/>
        <v>0</v>
      </c>
      <c r="O36" s="396">
        <f t="shared" si="37"/>
        <v>0</v>
      </c>
      <c r="P36" s="53"/>
      <c r="Q36" s="391">
        <f>IFERROR(VLOOKUP($C36,'Proposed Rates'!$B:$J,Q$11,FALSE),0)</f>
        <v>0.42</v>
      </c>
      <c r="R36" s="409">
        <f>IF($D36="Monthly",1,IF($D36="per KWH",$F$10,0))</f>
        <v>1</v>
      </c>
      <c r="S36" s="394">
        <f t="shared" si="29"/>
        <v>0.42</v>
      </c>
      <c r="T36" s="138"/>
      <c r="U36" s="395">
        <f t="shared" si="9"/>
        <v>0</v>
      </c>
      <c r="V36" s="396">
        <f t="shared" si="10"/>
        <v>0</v>
      </c>
      <c r="W36" s="53"/>
      <c r="X36" s="391">
        <f>IFERROR(VLOOKUP($C36,'Proposed Rates'!$B:$J,X$11,FALSE),0)</f>
        <v>0.43</v>
      </c>
      <c r="Y36" s="409">
        <f>IF($D36="Monthly",1,IF($D36="per KWH",$F$10,0))</f>
        <v>1</v>
      </c>
      <c r="Z36" s="394">
        <f t="shared" si="31"/>
        <v>0.43</v>
      </c>
      <c r="AA36" s="138"/>
      <c r="AB36" s="395">
        <f t="shared" si="13"/>
        <v>1.0000000000000009E-2</v>
      </c>
      <c r="AC36" s="396">
        <f t="shared" si="14"/>
        <v>2.3809523809523832E-2</v>
      </c>
      <c r="AD36" s="53"/>
      <c r="AE36" s="391">
        <f>IFERROR(VLOOKUP($C36,'Proposed Rates'!$B:$J,AE$11,FALSE),0)</f>
        <v>0.44</v>
      </c>
      <c r="AF36" s="409">
        <f>IF($D36="Monthly",1,IF($D36="per KWH",$F$10,0))</f>
        <v>1</v>
      </c>
      <c r="AG36" s="394">
        <f t="shared" si="33"/>
        <v>0.44</v>
      </c>
      <c r="AH36" s="138"/>
      <c r="AI36" s="395">
        <f t="shared" si="17"/>
        <v>1.0000000000000009E-2</v>
      </c>
      <c r="AJ36" s="396">
        <f t="shared" si="18"/>
        <v>2.3255813953488393E-2</v>
      </c>
      <c r="AK36" s="53"/>
      <c r="AL36" s="391">
        <f>IFERROR(VLOOKUP($C36,'Proposed Rates'!$B:$J,AL$11,FALSE),0)</f>
        <v>0.45</v>
      </c>
      <c r="AM36" s="409">
        <f>IF($D36="Monthly",1,IF($D36="per KWH",$F$10,0))</f>
        <v>1</v>
      </c>
      <c r="AN36" s="394">
        <f t="shared" si="35"/>
        <v>0.45</v>
      </c>
      <c r="AO36" s="138"/>
      <c r="AP36" s="395">
        <f t="shared" si="21"/>
        <v>1.0000000000000009E-2</v>
      </c>
      <c r="AQ36" s="396">
        <f t="shared" si="22"/>
        <v>2.2727272727272749E-2</v>
      </c>
      <c r="AR36" s="397"/>
      <c r="AS36" s="397"/>
      <c r="AT36" s="397"/>
      <c r="AU36" s="3"/>
      <c r="AV36" s="3"/>
      <c r="AW36" s="3"/>
      <c r="AX36" s="3"/>
      <c r="AY36" s="3"/>
      <c r="AZ36" s="3"/>
      <c r="BA36" s="3"/>
      <c r="BB36" s="3"/>
    </row>
    <row r="37" spans="1:54" ht="12.75" customHeight="1">
      <c r="A37" s="53"/>
      <c r="B37" s="480" t="s">
        <v>342</v>
      </c>
      <c r="C37" s="416"/>
      <c r="D37" s="416"/>
      <c r="E37" s="416"/>
      <c r="F37" s="417"/>
      <c r="G37" s="495"/>
      <c r="H37" s="403">
        <f>SUM(H30:H36)+H29</f>
        <v>37.721594240000009</v>
      </c>
      <c r="I37" s="419"/>
      <c r="J37" s="417"/>
      <c r="K37" s="495"/>
      <c r="L37" s="403">
        <f>SUM(L30:L36)+L29</f>
        <v>42.833832319999999</v>
      </c>
      <c r="M37" s="419"/>
      <c r="N37" s="405">
        <f t="shared" si="36"/>
        <v>5.1122380799999902</v>
      </c>
      <c r="O37" s="406">
        <f t="shared" si="37"/>
        <v>0.13552550423701257</v>
      </c>
      <c r="P37" s="53"/>
      <c r="Q37" s="417"/>
      <c r="R37" s="495"/>
      <c r="S37" s="403">
        <f>SUM(S30:S36)+S29</f>
        <v>46.115832319999996</v>
      </c>
      <c r="T37" s="419"/>
      <c r="U37" s="405">
        <f t="shared" si="9"/>
        <v>3.2819999999999965</v>
      </c>
      <c r="V37" s="406">
        <f t="shared" si="10"/>
        <v>7.6621675489623731E-2</v>
      </c>
      <c r="W37" s="53"/>
      <c r="X37" s="417"/>
      <c r="Y37" s="495"/>
      <c r="Z37" s="403">
        <f>SUM(Z30:Z36)+Z29</f>
        <v>47.12244479999999</v>
      </c>
      <c r="AA37" s="419"/>
      <c r="AB37" s="405">
        <f t="shared" si="13"/>
        <v>1.006612479999994</v>
      </c>
      <c r="AC37" s="406">
        <f t="shared" si="14"/>
        <v>2.1827915259450621E-2</v>
      </c>
      <c r="AD37" s="53"/>
      <c r="AE37" s="417"/>
      <c r="AF37" s="495"/>
      <c r="AG37" s="403">
        <f>SUM(AG30:AG36)+AG29</f>
        <v>48.62244479999999</v>
      </c>
      <c r="AH37" s="419"/>
      <c r="AI37" s="405">
        <f t="shared" si="17"/>
        <v>1.5</v>
      </c>
      <c r="AJ37" s="406">
        <f t="shared" si="18"/>
        <v>3.1831964711644171E-2</v>
      </c>
      <c r="AK37" s="53"/>
      <c r="AL37" s="417"/>
      <c r="AM37" s="495"/>
      <c r="AN37" s="403">
        <f>SUM(AN30:AN36)+AN29</f>
        <v>49.992444799999994</v>
      </c>
      <c r="AO37" s="419"/>
      <c r="AP37" s="405">
        <f t="shared" si="21"/>
        <v>1.3700000000000045</v>
      </c>
      <c r="AQ37" s="406">
        <f t="shared" si="22"/>
        <v>2.8176287836517936E-2</v>
      </c>
      <c r="AR37" s="445"/>
      <c r="AS37" s="445"/>
      <c r="AT37" s="445"/>
      <c r="AU37" s="3"/>
      <c r="AV37" s="3"/>
      <c r="AW37" s="3"/>
      <c r="AX37" s="3"/>
      <c r="AY37" s="3"/>
      <c r="AZ37" s="3"/>
      <c r="BA37" s="3"/>
      <c r="BB37" s="3"/>
    </row>
    <row r="38" spans="1:54" ht="12.75" customHeight="1">
      <c r="A38" s="53"/>
      <c r="B38" s="138" t="s">
        <v>285</v>
      </c>
      <c r="C38" s="389" t="str">
        <f t="shared" ref="C38:C39" si="38">D$6&amp;"."&amp;B38</f>
        <v>Residential.RTSR - Network</v>
      </c>
      <c r="D38" s="420" t="s">
        <v>337</v>
      </c>
      <c r="E38" s="138"/>
      <c r="F38" s="408">
        <f>IFERROR(VLOOKUP($C38,'Proposed Rates'!$B:$J,F$11,FALSE),0)</f>
        <v>1.26E-2</v>
      </c>
      <c r="G38" s="413">
        <f t="shared" ref="G38:G39" si="39">$F$10*(1+F$63)</f>
        <v>661.63200000000006</v>
      </c>
      <c r="H38" s="394">
        <f t="shared" ref="H38:H39" si="40">G38*F38</f>
        <v>8.3365632000000005</v>
      </c>
      <c r="I38" s="138"/>
      <c r="J38" s="408">
        <f>IFERROR(VLOOKUP($C38,'Proposed Rates'!$B:$J,J$11,FALSE),0)</f>
        <v>1.38E-2</v>
      </c>
      <c r="K38" s="413">
        <f t="shared" ref="K38:K39" si="41">$F$10*(1+J$63)</f>
        <v>661.24799999999993</v>
      </c>
      <c r="L38" s="394">
        <f t="shared" ref="L38:L39" si="42">K38*J38</f>
        <v>9.1252223999999984</v>
      </c>
      <c r="M38" s="138"/>
      <c r="N38" s="395">
        <f t="shared" si="36"/>
        <v>0.7886591999999979</v>
      </c>
      <c r="O38" s="396">
        <f t="shared" si="37"/>
        <v>9.460243760882156E-2</v>
      </c>
      <c r="P38" s="53"/>
      <c r="Q38" s="408">
        <f>IFERROR(VLOOKUP($C38,'Proposed Rates'!$B:$J,Q$11,FALSE),0)</f>
        <v>1.38E-2</v>
      </c>
      <c r="R38" s="413">
        <f t="shared" ref="R38:R39" si="43">$F$10*(1+Q$63)</f>
        <v>661.24799999999993</v>
      </c>
      <c r="S38" s="394">
        <f t="shared" ref="S38:S39" si="44">R38*Q38</f>
        <v>9.1252223999999984</v>
      </c>
      <c r="T38" s="138"/>
      <c r="U38" s="395">
        <f t="shared" si="9"/>
        <v>0</v>
      </c>
      <c r="V38" s="396">
        <f t="shared" si="10"/>
        <v>0</v>
      </c>
      <c r="W38" s="53"/>
      <c r="X38" s="408">
        <f>IFERROR(VLOOKUP($C38,'Proposed Rates'!$B:$J,X$11,FALSE),0)</f>
        <v>1.38E-2</v>
      </c>
      <c r="Y38" s="413">
        <f t="shared" ref="Y38:Y39" si="45">$F$10*(1+X$63)</f>
        <v>661.24799999999993</v>
      </c>
      <c r="Z38" s="394">
        <f t="shared" ref="Z38:Z39" si="46">Y38*X38</f>
        <v>9.1252223999999984</v>
      </c>
      <c r="AA38" s="138"/>
      <c r="AB38" s="395">
        <f t="shared" si="13"/>
        <v>0</v>
      </c>
      <c r="AC38" s="396">
        <f t="shared" si="14"/>
        <v>0</v>
      </c>
      <c r="AD38" s="53"/>
      <c r="AE38" s="408">
        <f>IFERROR(VLOOKUP($C38,'Proposed Rates'!$B:$J,AE$11,FALSE),0)</f>
        <v>1.38E-2</v>
      </c>
      <c r="AF38" s="413">
        <f t="shared" ref="AF38:AF39" si="47">$F$10*(1+AE$63)</f>
        <v>661.24799999999993</v>
      </c>
      <c r="AG38" s="394">
        <f t="shared" ref="AG38:AG39" si="48">AF38*AE38</f>
        <v>9.1252223999999984</v>
      </c>
      <c r="AH38" s="138"/>
      <c r="AI38" s="395">
        <f t="shared" si="17"/>
        <v>0</v>
      </c>
      <c r="AJ38" s="396">
        <f t="shared" si="18"/>
        <v>0</v>
      </c>
      <c r="AK38" s="53"/>
      <c r="AL38" s="408">
        <f>IFERROR(VLOOKUP($C38,'Proposed Rates'!$B:$J,AL$11,FALSE),0)</f>
        <v>1.38E-2</v>
      </c>
      <c r="AM38" s="413">
        <f t="shared" ref="AM38:AM39" si="49">$F$10*(1+AL$63)</f>
        <v>661.24799999999993</v>
      </c>
      <c r="AN38" s="394">
        <f t="shared" ref="AN38:AN39" si="50">AM38*AL38</f>
        <v>9.1252223999999984</v>
      </c>
      <c r="AO38" s="138"/>
      <c r="AP38" s="395">
        <f t="shared" si="21"/>
        <v>0</v>
      </c>
      <c r="AQ38" s="396">
        <f t="shared" si="22"/>
        <v>0</v>
      </c>
      <c r="AR38" s="397"/>
      <c r="AS38" s="397"/>
      <c r="AT38" s="397"/>
      <c r="AU38" s="3"/>
      <c r="AV38" s="3"/>
      <c r="AW38" s="3"/>
      <c r="AX38" s="3"/>
      <c r="AY38" s="3"/>
      <c r="AZ38" s="3"/>
      <c r="BA38" s="3"/>
      <c r="BB38" s="3"/>
    </row>
    <row r="39" spans="1:54" ht="12.75" customHeight="1">
      <c r="A39" s="53"/>
      <c r="B39" s="481" t="s">
        <v>288</v>
      </c>
      <c r="C39" s="389" t="str">
        <f t="shared" si="38"/>
        <v>Residential.RTSR - Line and Transformation Connection</v>
      </c>
      <c r="D39" s="420" t="s">
        <v>337</v>
      </c>
      <c r="E39" s="138"/>
      <c r="F39" s="408">
        <f>IFERROR(VLOOKUP($C39,'Proposed Rates'!$B:$J,F$11,FALSE),0)</f>
        <v>7.1999999999999998E-3</v>
      </c>
      <c r="G39" s="413">
        <f t="shared" si="39"/>
        <v>661.63200000000006</v>
      </c>
      <c r="H39" s="394">
        <f t="shared" si="40"/>
        <v>4.7637504000000002</v>
      </c>
      <c r="I39" s="138"/>
      <c r="J39" s="408">
        <f>IFERROR(VLOOKUP($C39,'Proposed Rates'!$B:$J,J$11,FALSE),0)</f>
        <v>7.7999999999999996E-3</v>
      </c>
      <c r="K39" s="413">
        <f t="shared" si="41"/>
        <v>661.24799999999993</v>
      </c>
      <c r="L39" s="394">
        <f t="shared" si="42"/>
        <v>5.1577343999999989</v>
      </c>
      <c r="M39" s="138"/>
      <c r="N39" s="395">
        <f t="shared" si="36"/>
        <v>0.39398399999999878</v>
      </c>
      <c r="O39" s="396">
        <f t="shared" si="37"/>
        <v>8.2704585026116981E-2</v>
      </c>
      <c r="P39" s="53"/>
      <c r="Q39" s="408">
        <f>IFERROR(VLOOKUP($C39,'Proposed Rates'!$B:$J,Q$11,FALSE),0)</f>
        <v>7.7999999999999996E-3</v>
      </c>
      <c r="R39" s="413">
        <f t="shared" si="43"/>
        <v>661.24799999999993</v>
      </c>
      <c r="S39" s="394">
        <f t="shared" si="44"/>
        <v>5.1577343999999989</v>
      </c>
      <c r="T39" s="138"/>
      <c r="U39" s="395">
        <f t="shared" si="9"/>
        <v>0</v>
      </c>
      <c r="V39" s="396">
        <f t="shared" si="10"/>
        <v>0</v>
      </c>
      <c r="W39" s="53"/>
      <c r="X39" s="408">
        <f>IFERROR(VLOOKUP($C39,'Proposed Rates'!$B:$J,X$11,FALSE),0)</f>
        <v>7.7999999999999996E-3</v>
      </c>
      <c r="Y39" s="413">
        <f t="shared" si="45"/>
        <v>661.24799999999993</v>
      </c>
      <c r="Z39" s="394">
        <f t="shared" si="46"/>
        <v>5.1577343999999989</v>
      </c>
      <c r="AA39" s="138"/>
      <c r="AB39" s="395">
        <f t="shared" si="13"/>
        <v>0</v>
      </c>
      <c r="AC39" s="396">
        <f t="shared" si="14"/>
        <v>0</v>
      </c>
      <c r="AD39" s="53"/>
      <c r="AE39" s="408">
        <f>IFERROR(VLOOKUP($C39,'Proposed Rates'!$B:$J,AE$11,FALSE),0)</f>
        <v>7.7999999999999996E-3</v>
      </c>
      <c r="AF39" s="413">
        <f t="shared" si="47"/>
        <v>661.24799999999993</v>
      </c>
      <c r="AG39" s="394">
        <f t="shared" si="48"/>
        <v>5.1577343999999989</v>
      </c>
      <c r="AH39" s="138"/>
      <c r="AI39" s="395">
        <f t="shared" si="17"/>
        <v>0</v>
      </c>
      <c r="AJ39" s="396">
        <f t="shared" si="18"/>
        <v>0</v>
      </c>
      <c r="AK39" s="53"/>
      <c r="AL39" s="408">
        <f>IFERROR(VLOOKUP($C39,'Proposed Rates'!$B:$J,AL$11,FALSE),0)</f>
        <v>7.7999999999999996E-3</v>
      </c>
      <c r="AM39" s="413">
        <f t="shared" si="49"/>
        <v>661.24799999999993</v>
      </c>
      <c r="AN39" s="394">
        <f t="shared" si="50"/>
        <v>5.1577343999999989</v>
      </c>
      <c r="AO39" s="138"/>
      <c r="AP39" s="395">
        <f t="shared" si="21"/>
        <v>0</v>
      </c>
      <c r="AQ39" s="396">
        <f t="shared" si="22"/>
        <v>0</v>
      </c>
      <c r="AR39" s="397"/>
      <c r="AS39" s="397"/>
      <c r="AT39" s="397"/>
      <c r="AU39" s="3"/>
      <c r="AV39" s="3"/>
      <c r="AW39" s="3"/>
      <c r="AX39" s="3"/>
      <c r="AY39" s="3"/>
      <c r="AZ39" s="3"/>
      <c r="BA39" s="3"/>
      <c r="BB39" s="3"/>
    </row>
    <row r="40" spans="1:54" ht="12.75" customHeight="1">
      <c r="A40" s="53"/>
      <c r="B40" s="480" t="s">
        <v>343</v>
      </c>
      <c r="C40" s="421"/>
      <c r="D40" s="421"/>
      <c r="E40" s="421"/>
      <c r="F40" s="422"/>
      <c r="G40" s="423"/>
      <c r="H40" s="403">
        <f>SUM(H37:H39)</f>
        <v>50.821907840000009</v>
      </c>
      <c r="I40" s="404"/>
      <c r="J40" s="422"/>
      <c r="K40" s="423"/>
      <c r="L40" s="403">
        <f>SUM(L37:L39)</f>
        <v>57.116789119999993</v>
      </c>
      <c r="M40" s="404"/>
      <c r="N40" s="405">
        <f t="shared" si="36"/>
        <v>6.2948812799999843</v>
      </c>
      <c r="O40" s="406">
        <f t="shared" si="37"/>
        <v>0.12386156969584523</v>
      </c>
      <c r="P40" s="53"/>
      <c r="Q40" s="422"/>
      <c r="R40" s="423"/>
      <c r="S40" s="403">
        <f>SUM(S37:S39)</f>
        <v>60.398789119999989</v>
      </c>
      <c r="T40" s="404"/>
      <c r="U40" s="405">
        <f t="shared" si="9"/>
        <v>3.2819999999999965</v>
      </c>
      <c r="V40" s="406">
        <f t="shared" si="10"/>
        <v>5.7461213253858709E-2</v>
      </c>
      <c r="W40" s="53"/>
      <c r="X40" s="422"/>
      <c r="Y40" s="423"/>
      <c r="Z40" s="403">
        <f>SUM(Z37:Z39)</f>
        <v>61.40540159999999</v>
      </c>
      <c r="AA40" s="404"/>
      <c r="AB40" s="405">
        <f t="shared" si="13"/>
        <v>1.0066124800000011</v>
      </c>
      <c r="AC40" s="406">
        <f t="shared" si="14"/>
        <v>1.6666103653172067E-2</v>
      </c>
      <c r="AD40" s="53"/>
      <c r="AE40" s="422"/>
      <c r="AF40" s="423"/>
      <c r="AG40" s="403">
        <f>SUM(AG37:AG39)</f>
        <v>62.90540159999999</v>
      </c>
      <c r="AH40" s="404"/>
      <c r="AI40" s="405">
        <f t="shared" si="17"/>
        <v>1.5</v>
      </c>
      <c r="AJ40" s="406">
        <f t="shared" si="18"/>
        <v>2.4427818415245089E-2</v>
      </c>
      <c r="AK40" s="53"/>
      <c r="AL40" s="422"/>
      <c r="AM40" s="423"/>
      <c r="AN40" s="403">
        <f>SUM(AN37:AN39)</f>
        <v>64.275401599999995</v>
      </c>
      <c r="AO40" s="404"/>
      <c r="AP40" s="405">
        <f t="shared" si="21"/>
        <v>1.3700000000000045</v>
      </c>
      <c r="AQ40" s="406">
        <f t="shared" si="22"/>
        <v>2.1778733863134652E-2</v>
      </c>
      <c r="AR40" s="445"/>
      <c r="AS40" s="445"/>
      <c r="AT40" s="445"/>
      <c r="AU40" s="3"/>
      <c r="AV40" s="3"/>
      <c r="AW40" s="3"/>
      <c r="AX40" s="3"/>
      <c r="AY40" s="3"/>
      <c r="AZ40" s="3"/>
      <c r="BA40" s="3"/>
      <c r="BB40" s="3"/>
    </row>
    <row r="41" spans="1:54" ht="12.75" customHeight="1">
      <c r="A41" s="53"/>
      <c r="B41" s="482" t="s">
        <v>289</v>
      </c>
      <c r="C41" s="389" t="str">
        <f t="shared" ref="C41:C48" si="51">D$6&amp;"."&amp;B41</f>
        <v>Residential.Wholesale Market Service Charge (WMSC)</v>
      </c>
      <c r="D41" s="390" t="s">
        <v>337</v>
      </c>
      <c r="E41" s="328"/>
      <c r="F41" s="408">
        <f>IFERROR(VLOOKUP($C41,'Proposed Rates'!$B:$J,F$11,FALSE),0)</f>
        <v>4.4999999999999997E-3</v>
      </c>
      <c r="G41" s="413">
        <f t="shared" ref="G41:G42" si="52">$F$10*(1+F$63)</f>
        <v>661.63200000000006</v>
      </c>
      <c r="H41" s="394">
        <f t="shared" ref="H41:H48" si="53">G41*F41</f>
        <v>2.977344</v>
      </c>
      <c r="I41" s="138"/>
      <c r="J41" s="408">
        <f>IFERROR(VLOOKUP($C41,'Proposed Rates'!$B:$J,J$11,FALSE),0)</f>
        <v>4.7000000000000002E-3</v>
      </c>
      <c r="K41" s="413">
        <f t="shared" ref="K41:K42" si="54">$F$10*(1+J$63)</f>
        <v>661.24799999999993</v>
      </c>
      <c r="L41" s="394">
        <f t="shared" ref="L41:L48" si="55">K41*J41</f>
        <v>3.1078655999999998</v>
      </c>
      <c r="M41" s="138"/>
      <c r="N41" s="395">
        <f t="shared" si="36"/>
        <v>0.13052159999999979</v>
      </c>
      <c r="O41" s="396">
        <f t="shared" si="37"/>
        <v>4.3838266589282193E-2</v>
      </c>
      <c r="P41" s="53"/>
      <c r="Q41" s="408">
        <f>IFERROR(VLOOKUP($C41,'Proposed Rates'!$B:$J,Q$11,FALSE),0)</f>
        <v>4.7000000000000002E-3</v>
      </c>
      <c r="R41" s="413">
        <f t="shared" ref="R41:R42" si="56">$F$10*(1+Q$63)</f>
        <v>661.24799999999993</v>
      </c>
      <c r="S41" s="394">
        <f t="shared" ref="S41:S48" si="57">R41*Q41</f>
        <v>3.1078655999999998</v>
      </c>
      <c r="T41" s="138"/>
      <c r="U41" s="395">
        <f t="shared" si="9"/>
        <v>0</v>
      </c>
      <c r="V41" s="396">
        <f t="shared" si="10"/>
        <v>0</v>
      </c>
      <c r="W41" s="53"/>
      <c r="X41" s="408">
        <f>IFERROR(VLOOKUP($C41,'Proposed Rates'!$B:$J,X$11,FALSE),0)</f>
        <v>4.7000000000000002E-3</v>
      </c>
      <c r="Y41" s="413">
        <f t="shared" ref="Y41:Y42" si="58">$F$10*(1+X$63)</f>
        <v>661.24799999999993</v>
      </c>
      <c r="Z41" s="394">
        <f t="shared" ref="Z41:Z48" si="59">Y41*X41</f>
        <v>3.1078655999999998</v>
      </c>
      <c r="AA41" s="138"/>
      <c r="AB41" s="395">
        <f t="shared" si="13"/>
        <v>0</v>
      </c>
      <c r="AC41" s="396">
        <f t="shared" si="14"/>
        <v>0</v>
      </c>
      <c r="AD41" s="53"/>
      <c r="AE41" s="408">
        <f>IFERROR(VLOOKUP($C41,'Proposed Rates'!$B:$J,AE$11,FALSE),0)</f>
        <v>4.7000000000000002E-3</v>
      </c>
      <c r="AF41" s="413">
        <f t="shared" ref="AF41:AF42" si="60">$F$10*(1+AE$63)</f>
        <v>661.24799999999993</v>
      </c>
      <c r="AG41" s="394">
        <f t="shared" ref="AG41:AG48" si="61">AF41*AE41</f>
        <v>3.1078655999999998</v>
      </c>
      <c r="AH41" s="138"/>
      <c r="AI41" s="395">
        <f t="shared" si="17"/>
        <v>0</v>
      </c>
      <c r="AJ41" s="396">
        <f t="shared" si="18"/>
        <v>0</v>
      </c>
      <c r="AK41" s="53"/>
      <c r="AL41" s="408">
        <f>IFERROR(VLOOKUP($C41,'Proposed Rates'!$B:$J,AL$11,FALSE),0)</f>
        <v>4.7000000000000002E-3</v>
      </c>
      <c r="AM41" s="413">
        <f t="shared" ref="AM41:AM42" si="62">$F$10*(1+AL$63)</f>
        <v>661.24799999999993</v>
      </c>
      <c r="AN41" s="394">
        <f t="shared" ref="AN41:AN48" si="63">AM41*AL41</f>
        <v>3.1078655999999998</v>
      </c>
      <c r="AO41" s="138"/>
      <c r="AP41" s="395">
        <f t="shared" si="21"/>
        <v>0</v>
      </c>
      <c r="AQ41" s="396">
        <f t="shared" si="22"/>
        <v>0</v>
      </c>
      <c r="AR41" s="397"/>
      <c r="AS41" s="397"/>
      <c r="AT41" s="397"/>
      <c r="AU41" s="3"/>
      <c r="AV41" s="3"/>
      <c r="AW41" s="3"/>
      <c r="AX41" s="3"/>
      <c r="AY41" s="3"/>
      <c r="AZ41" s="3"/>
      <c r="BA41" s="3"/>
      <c r="BB41" s="3"/>
    </row>
    <row r="42" spans="1:54" ht="12.75" customHeight="1">
      <c r="A42" s="53"/>
      <c r="B42" s="482" t="s">
        <v>290</v>
      </c>
      <c r="C42" s="389" t="str">
        <f t="shared" si="51"/>
        <v>Residential.Rural and Remote Rate Protection (RRRP)</v>
      </c>
      <c r="D42" s="390" t="s">
        <v>337</v>
      </c>
      <c r="E42" s="328"/>
      <c r="F42" s="408">
        <f>IFERROR(VLOOKUP($C42,'Proposed Rates'!$B:$J,F$11,FALSE),0)</f>
        <v>1.5E-3</v>
      </c>
      <c r="G42" s="413">
        <f t="shared" si="52"/>
        <v>661.63200000000006</v>
      </c>
      <c r="H42" s="394">
        <f t="shared" si="53"/>
        <v>0.99244800000000011</v>
      </c>
      <c r="I42" s="138"/>
      <c r="J42" s="408">
        <f>IFERROR(VLOOKUP($C42,'Proposed Rates'!$B:$J,J$11,FALSE),0)</f>
        <v>5.9999999999999995E-4</v>
      </c>
      <c r="K42" s="413">
        <f t="shared" si="54"/>
        <v>661.24799999999993</v>
      </c>
      <c r="L42" s="394">
        <f t="shared" si="55"/>
        <v>0.3967487999999999</v>
      </c>
      <c r="M42" s="138"/>
      <c r="N42" s="395">
        <f t="shared" si="36"/>
        <v>-0.59569920000000021</v>
      </c>
      <c r="O42" s="396">
        <f t="shared" si="37"/>
        <v>-0.60023215322112611</v>
      </c>
      <c r="P42" s="53"/>
      <c r="Q42" s="408">
        <f>IFERROR(VLOOKUP($C42,'Proposed Rates'!$B:$J,Q$11,FALSE),0)</f>
        <v>5.9999999999999995E-4</v>
      </c>
      <c r="R42" s="413">
        <f t="shared" si="56"/>
        <v>661.24799999999993</v>
      </c>
      <c r="S42" s="394">
        <f t="shared" si="57"/>
        <v>0.3967487999999999</v>
      </c>
      <c r="T42" s="138"/>
      <c r="U42" s="395">
        <f t="shared" si="9"/>
        <v>0</v>
      </c>
      <c r="V42" s="396">
        <f t="shared" si="10"/>
        <v>0</v>
      </c>
      <c r="W42" s="53"/>
      <c r="X42" s="408">
        <f>IFERROR(VLOOKUP($C42,'Proposed Rates'!$B:$J,X$11,FALSE),0)</f>
        <v>5.9999999999999995E-4</v>
      </c>
      <c r="Y42" s="413">
        <f t="shared" si="58"/>
        <v>661.24799999999993</v>
      </c>
      <c r="Z42" s="394">
        <f t="shared" si="59"/>
        <v>0.3967487999999999</v>
      </c>
      <c r="AA42" s="138"/>
      <c r="AB42" s="395">
        <f t="shared" si="13"/>
        <v>0</v>
      </c>
      <c r="AC42" s="396">
        <f t="shared" si="14"/>
        <v>0</v>
      </c>
      <c r="AD42" s="53"/>
      <c r="AE42" s="408">
        <f>IFERROR(VLOOKUP($C42,'Proposed Rates'!$B:$J,AE$11,FALSE),0)</f>
        <v>5.9999999999999995E-4</v>
      </c>
      <c r="AF42" s="413">
        <f t="shared" si="60"/>
        <v>661.24799999999993</v>
      </c>
      <c r="AG42" s="394">
        <f t="shared" si="61"/>
        <v>0.3967487999999999</v>
      </c>
      <c r="AH42" s="138"/>
      <c r="AI42" s="395">
        <f t="shared" si="17"/>
        <v>0</v>
      </c>
      <c r="AJ42" s="396">
        <f t="shared" si="18"/>
        <v>0</v>
      </c>
      <c r="AK42" s="53"/>
      <c r="AL42" s="408">
        <f>IFERROR(VLOOKUP($C42,'Proposed Rates'!$B:$J,AL$11,FALSE),0)</f>
        <v>5.9999999999999995E-4</v>
      </c>
      <c r="AM42" s="413">
        <f t="shared" si="62"/>
        <v>661.24799999999993</v>
      </c>
      <c r="AN42" s="394">
        <f t="shared" si="63"/>
        <v>0.3967487999999999</v>
      </c>
      <c r="AO42" s="138"/>
      <c r="AP42" s="395">
        <f t="shared" si="21"/>
        <v>0</v>
      </c>
      <c r="AQ42" s="396">
        <f t="shared" si="22"/>
        <v>0</v>
      </c>
      <c r="AR42" s="397"/>
      <c r="AS42" s="397"/>
      <c r="AT42" s="397"/>
      <c r="AU42" s="3"/>
      <c r="AV42" s="3"/>
      <c r="AW42" s="3"/>
      <c r="AX42" s="3"/>
      <c r="AY42" s="3"/>
      <c r="AZ42" s="3"/>
      <c r="BA42" s="3"/>
      <c r="BB42" s="3"/>
    </row>
    <row r="43" spans="1:54" ht="12.75" customHeight="1">
      <c r="A43" s="53"/>
      <c r="B43" s="328" t="s">
        <v>291</v>
      </c>
      <c r="C43" s="389" t="str">
        <f t="shared" si="51"/>
        <v>Residential.Standard Supply Service Charge</v>
      </c>
      <c r="D43" s="390" t="s">
        <v>335</v>
      </c>
      <c r="E43" s="328"/>
      <c r="F43" s="408">
        <f>IFERROR(VLOOKUP($C43,'Proposed Rates'!$B:$J,F$11,FALSE),0)</f>
        <v>0.25</v>
      </c>
      <c r="G43" s="409">
        <f>IF($D43="Monthly",1,IF($D43="per KWH",$F$10,0))</f>
        <v>1</v>
      </c>
      <c r="H43" s="394">
        <f t="shared" si="53"/>
        <v>0.25</v>
      </c>
      <c r="I43" s="138"/>
      <c r="J43" s="408">
        <f>IFERROR(VLOOKUP($C43,'Proposed Rates'!$B:$J,J$11,FALSE),0)</f>
        <v>0.25</v>
      </c>
      <c r="K43" s="409">
        <f>IF($D43="Monthly",1,IF($D43="per KWH",$F$10,0))</f>
        <v>1</v>
      </c>
      <c r="L43" s="394">
        <f t="shared" si="55"/>
        <v>0.25</v>
      </c>
      <c r="M43" s="138"/>
      <c r="N43" s="395">
        <f t="shared" si="36"/>
        <v>0</v>
      </c>
      <c r="O43" s="396">
        <f t="shared" si="37"/>
        <v>0</v>
      </c>
      <c r="P43" s="53"/>
      <c r="Q43" s="408">
        <f>IFERROR(VLOOKUP($C43,'Proposed Rates'!$B:$J,Q$11,FALSE),0)</f>
        <v>0.25</v>
      </c>
      <c r="R43" s="409">
        <f>IF($D43="Monthly",1,IF($D43="per KWH",$F$10,0))</f>
        <v>1</v>
      </c>
      <c r="S43" s="394">
        <f t="shared" si="57"/>
        <v>0.25</v>
      </c>
      <c r="T43" s="138"/>
      <c r="U43" s="395">
        <f t="shared" si="9"/>
        <v>0</v>
      </c>
      <c r="V43" s="396">
        <f t="shared" si="10"/>
        <v>0</v>
      </c>
      <c r="W43" s="53"/>
      <c r="X43" s="408">
        <f>IFERROR(VLOOKUP($C43,'Proposed Rates'!$B:$J,X$11,FALSE),0)</f>
        <v>0.25</v>
      </c>
      <c r="Y43" s="409">
        <f>IF($D43="Monthly",1,IF($D43="per KWH",$F$10,0))</f>
        <v>1</v>
      </c>
      <c r="Z43" s="394">
        <f t="shared" si="59"/>
        <v>0.25</v>
      </c>
      <c r="AA43" s="138"/>
      <c r="AB43" s="395">
        <f t="shared" si="13"/>
        <v>0</v>
      </c>
      <c r="AC43" s="396">
        <f t="shared" si="14"/>
        <v>0</v>
      </c>
      <c r="AD43" s="53"/>
      <c r="AE43" s="408">
        <f>IFERROR(VLOOKUP($C43,'Proposed Rates'!$B:$J,AE$11,FALSE),0)</f>
        <v>0.25</v>
      </c>
      <c r="AF43" s="409">
        <f>IF($D43="Monthly",1,IF($D43="per KWH",$F$10,0))</f>
        <v>1</v>
      </c>
      <c r="AG43" s="394">
        <f t="shared" si="61"/>
        <v>0.25</v>
      </c>
      <c r="AH43" s="138"/>
      <c r="AI43" s="395">
        <f t="shared" si="17"/>
        <v>0</v>
      </c>
      <c r="AJ43" s="396">
        <f t="shared" si="18"/>
        <v>0</v>
      </c>
      <c r="AK43" s="53"/>
      <c r="AL43" s="408">
        <f>IFERROR(VLOOKUP($C43,'Proposed Rates'!$B:$J,AL$11,FALSE),0)</f>
        <v>0.25</v>
      </c>
      <c r="AM43" s="409">
        <f>IF($D43="Monthly",1,IF($D43="per KWH",$F$10,0))</f>
        <v>1</v>
      </c>
      <c r="AN43" s="394">
        <f t="shared" si="63"/>
        <v>0.25</v>
      </c>
      <c r="AO43" s="138"/>
      <c r="AP43" s="395">
        <f t="shared" si="21"/>
        <v>0</v>
      </c>
      <c r="AQ43" s="396">
        <f t="shared" si="22"/>
        <v>0</v>
      </c>
      <c r="AR43" s="397"/>
      <c r="AS43" s="397"/>
      <c r="AT43" s="397"/>
      <c r="AU43" s="3"/>
      <c r="AV43" s="3"/>
      <c r="AW43" s="3"/>
      <c r="AX43" s="3"/>
      <c r="AY43" s="3"/>
      <c r="AZ43" s="3"/>
      <c r="BA43" s="3"/>
      <c r="BB43" s="3"/>
    </row>
    <row r="44" spans="1:54" ht="12.75" customHeight="1">
      <c r="A44" s="53"/>
      <c r="B44" s="328" t="s">
        <v>293</v>
      </c>
      <c r="C44" s="389" t="str">
        <f t="shared" si="51"/>
        <v>Residential.TOU - Off Peak</v>
      </c>
      <c r="D44" s="390" t="s">
        <v>337</v>
      </c>
      <c r="E44" s="328"/>
      <c r="F44" s="424">
        <f>VLOOKUP($B44,'Proposed Rates'!$D$255:$J$261,+F$11-2,FALSE)</f>
        <v>9.8000000000000004E-2</v>
      </c>
      <c r="G44" s="415">
        <f>$F$10*'Proposed Rates'!$K$256</f>
        <v>409.6</v>
      </c>
      <c r="H44" s="394">
        <f t="shared" si="53"/>
        <v>40.140800000000006</v>
      </c>
      <c r="I44" s="138"/>
      <c r="J44" s="424">
        <f>VLOOKUP($B44,'Proposed Rates'!$D$255:$J$261,+J$11-2,FALSE)</f>
        <v>9.8000000000000004E-2</v>
      </c>
      <c r="K44" s="415">
        <f>$F$10*'Proposed Rates'!$K$256</f>
        <v>409.6</v>
      </c>
      <c r="L44" s="394">
        <f t="shared" si="55"/>
        <v>40.140800000000006</v>
      </c>
      <c r="M44" s="138"/>
      <c r="N44" s="395">
        <f t="shared" si="36"/>
        <v>0</v>
      </c>
      <c r="O44" s="396">
        <f t="shared" si="37"/>
        <v>0</v>
      </c>
      <c r="P44" s="53"/>
      <c r="Q44" s="424">
        <f>VLOOKUP($B44,'Proposed Rates'!$D$255:$J$261,+Q$11-2,FALSE)</f>
        <v>9.8000000000000004E-2</v>
      </c>
      <c r="R44" s="415">
        <f>$F$10*'Proposed Rates'!$K$256</f>
        <v>409.6</v>
      </c>
      <c r="S44" s="394">
        <f t="shared" si="57"/>
        <v>40.140800000000006</v>
      </c>
      <c r="T44" s="138"/>
      <c r="U44" s="395">
        <f t="shared" si="9"/>
        <v>0</v>
      </c>
      <c r="V44" s="396">
        <f t="shared" si="10"/>
        <v>0</v>
      </c>
      <c r="W44" s="53"/>
      <c r="X44" s="424">
        <f>VLOOKUP($B44,'Proposed Rates'!$D$255:$J$261,+X$11-2,FALSE)</f>
        <v>9.8000000000000004E-2</v>
      </c>
      <c r="Y44" s="415">
        <f>$F$10*'Proposed Rates'!$K$256</f>
        <v>409.6</v>
      </c>
      <c r="Z44" s="394">
        <f t="shared" si="59"/>
        <v>40.140800000000006</v>
      </c>
      <c r="AA44" s="138"/>
      <c r="AB44" s="395">
        <f t="shared" si="13"/>
        <v>0</v>
      </c>
      <c r="AC44" s="396">
        <f t="shared" si="14"/>
        <v>0</v>
      </c>
      <c r="AD44" s="53"/>
      <c r="AE44" s="424">
        <f>VLOOKUP($B44,'Proposed Rates'!$D$255:$J$261,+AE$11-2,FALSE)</f>
        <v>9.8000000000000004E-2</v>
      </c>
      <c r="AF44" s="415">
        <f>$F$10*'Proposed Rates'!$K$256</f>
        <v>409.6</v>
      </c>
      <c r="AG44" s="394">
        <f t="shared" si="61"/>
        <v>40.140800000000006</v>
      </c>
      <c r="AH44" s="138"/>
      <c r="AI44" s="395">
        <f t="shared" si="17"/>
        <v>0</v>
      </c>
      <c r="AJ44" s="396">
        <f t="shared" si="18"/>
        <v>0</v>
      </c>
      <c r="AK44" s="53"/>
      <c r="AL44" s="424">
        <f>VLOOKUP($B44,'Proposed Rates'!$D$255:$J$261,+AL$11-2,FALSE)</f>
        <v>9.8000000000000004E-2</v>
      </c>
      <c r="AM44" s="415">
        <f>$F$10*'Proposed Rates'!$K$256</f>
        <v>409.6</v>
      </c>
      <c r="AN44" s="394">
        <f t="shared" si="63"/>
        <v>40.140800000000006</v>
      </c>
      <c r="AO44" s="138"/>
      <c r="AP44" s="395">
        <f t="shared" si="21"/>
        <v>0</v>
      </c>
      <c r="AQ44" s="396">
        <f t="shared" si="22"/>
        <v>0</v>
      </c>
      <c r="AR44" s="397"/>
      <c r="AS44" s="397"/>
      <c r="AT44" s="397"/>
      <c r="AU44" s="3"/>
      <c r="AV44" s="3"/>
      <c r="AW44" s="3"/>
      <c r="AX44" s="3"/>
      <c r="AY44" s="3"/>
      <c r="AZ44" s="3"/>
      <c r="BA44" s="3"/>
      <c r="BB44" s="3"/>
    </row>
    <row r="45" spans="1:54" ht="12.75" customHeight="1">
      <c r="A45" s="53"/>
      <c r="B45" s="328" t="s">
        <v>294</v>
      </c>
      <c r="C45" s="389" t="str">
        <f t="shared" si="51"/>
        <v>Residential.TOU - Mid Peak</v>
      </c>
      <c r="D45" s="390" t="s">
        <v>337</v>
      </c>
      <c r="E45" s="328"/>
      <c r="F45" s="424">
        <f>VLOOKUP($B45,'Proposed Rates'!$D$255:$J$261,+F$11-2,FALSE)</f>
        <v>0.157</v>
      </c>
      <c r="G45" s="415">
        <f>$F$10*'Proposed Rates'!$K$257</f>
        <v>115.19999999999999</v>
      </c>
      <c r="H45" s="394">
        <f t="shared" si="53"/>
        <v>18.086399999999998</v>
      </c>
      <c r="I45" s="138"/>
      <c r="J45" s="424">
        <f>VLOOKUP($B45,'Proposed Rates'!$D$255:$J$261,+J$11-2,FALSE)</f>
        <v>0.157</v>
      </c>
      <c r="K45" s="415">
        <f>$F$10*'Proposed Rates'!$K$257</f>
        <v>115.19999999999999</v>
      </c>
      <c r="L45" s="394">
        <f t="shared" si="55"/>
        <v>18.086399999999998</v>
      </c>
      <c r="M45" s="138"/>
      <c r="N45" s="395">
        <f t="shared" si="36"/>
        <v>0</v>
      </c>
      <c r="O45" s="396">
        <f t="shared" si="37"/>
        <v>0</v>
      </c>
      <c r="P45" s="53"/>
      <c r="Q45" s="424">
        <f>VLOOKUP($B45,'Proposed Rates'!$D$255:$J$261,+Q$11-2,FALSE)</f>
        <v>0.157</v>
      </c>
      <c r="R45" s="415">
        <f>$F$10*'Proposed Rates'!$K$257</f>
        <v>115.19999999999999</v>
      </c>
      <c r="S45" s="394">
        <f t="shared" si="57"/>
        <v>18.086399999999998</v>
      </c>
      <c r="T45" s="138"/>
      <c r="U45" s="395">
        <f t="shared" si="9"/>
        <v>0</v>
      </c>
      <c r="V45" s="396">
        <f t="shared" si="10"/>
        <v>0</v>
      </c>
      <c r="W45" s="53"/>
      <c r="X45" s="424">
        <f>VLOOKUP($B45,'Proposed Rates'!$D$255:$J$261,+X$11-2,FALSE)</f>
        <v>0.157</v>
      </c>
      <c r="Y45" s="415">
        <f>$F$10*'Proposed Rates'!$K$257</f>
        <v>115.19999999999999</v>
      </c>
      <c r="Z45" s="394">
        <f t="shared" si="59"/>
        <v>18.086399999999998</v>
      </c>
      <c r="AA45" s="138"/>
      <c r="AB45" s="395">
        <f t="shared" si="13"/>
        <v>0</v>
      </c>
      <c r="AC45" s="396">
        <f t="shared" si="14"/>
        <v>0</v>
      </c>
      <c r="AD45" s="53"/>
      <c r="AE45" s="424">
        <f>VLOOKUP($B45,'Proposed Rates'!$D$255:$J$261,+AE$11-2,FALSE)</f>
        <v>0.157</v>
      </c>
      <c r="AF45" s="415">
        <f>$F$10*'Proposed Rates'!$K$257</f>
        <v>115.19999999999999</v>
      </c>
      <c r="AG45" s="394">
        <f t="shared" si="61"/>
        <v>18.086399999999998</v>
      </c>
      <c r="AH45" s="138"/>
      <c r="AI45" s="395">
        <f t="shared" si="17"/>
        <v>0</v>
      </c>
      <c r="AJ45" s="396">
        <f t="shared" si="18"/>
        <v>0</v>
      </c>
      <c r="AK45" s="53"/>
      <c r="AL45" s="424">
        <f>VLOOKUP($B45,'Proposed Rates'!$D$255:$J$261,+AL$11-2,FALSE)</f>
        <v>0.157</v>
      </c>
      <c r="AM45" s="415">
        <f>$F$10*'Proposed Rates'!$K$257</f>
        <v>115.19999999999999</v>
      </c>
      <c r="AN45" s="394">
        <f t="shared" si="63"/>
        <v>18.086399999999998</v>
      </c>
      <c r="AO45" s="138"/>
      <c r="AP45" s="395">
        <f t="shared" si="21"/>
        <v>0</v>
      </c>
      <c r="AQ45" s="396">
        <f t="shared" si="22"/>
        <v>0</v>
      </c>
      <c r="AR45" s="397"/>
      <c r="AS45" s="397"/>
      <c r="AT45" s="397"/>
      <c r="AU45" s="3"/>
      <c r="AV45" s="3"/>
      <c r="AW45" s="3"/>
      <c r="AX45" s="3"/>
      <c r="AY45" s="3"/>
      <c r="AZ45" s="3"/>
      <c r="BA45" s="3"/>
      <c r="BB45" s="3"/>
    </row>
    <row r="46" spans="1:54" ht="12.75" customHeight="1">
      <c r="A46" s="53"/>
      <c r="B46" s="53" t="s">
        <v>295</v>
      </c>
      <c r="C46" s="389" t="str">
        <f t="shared" si="51"/>
        <v>Residential.TOU - On Peak</v>
      </c>
      <c r="D46" s="390" t="s">
        <v>337</v>
      </c>
      <c r="E46" s="328"/>
      <c r="F46" s="424">
        <f>VLOOKUP($B46,'Proposed Rates'!$D$255:$J$261,+F$11-2,FALSE)</f>
        <v>0.20300000000000001</v>
      </c>
      <c r="G46" s="415">
        <f>$F$10*'Proposed Rates'!$K$258</f>
        <v>115.19999999999999</v>
      </c>
      <c r="H46" s="394">
        <f t="shared" si="53"/>
        <v>23.3856</v>
      </c>
      <c r="I46" s="138"/>
      <c r="J46" s="424">
        <f>VLOOKUP($B46,'Proposed Rates'!$D$255:$J$261,+J$11-2,FALSE)</f>
        <v>0.20300000000000001</v>
      </c>
      <c r="K46" s="415">
        <f>$F$10*'Proposed Rates'!$K$258</f>
        <v>115.19999999999999</v>
      </c>
      <c r="L46" s="394">
        <f t="shared" si="55"/>
        <v>23.3856</v>
      </c>
      <c r="M46" s="138"/>
      <c r="N46" s="395">
        <f t="shared" si="36"/>
        <v>0</v>
      </c>
      <c r="O46" s="396">
        <f t="shared" si="37"/>
        <v>0</v>
      </c>
      <c r="P46" s="53"/>
      <c r="Q46" s="424">
        <f>VLOOKUP($B46,'Proposed Rates'!$D$255:$J$261,+Q$11-2,FALSE)</f>
        <v>0.20300000000000001</v>
      </c>
      <c r="R46" s="415">
        <f>$F$10*'Proposed Rates'!$K$258</f>
        <v>115.19999999999999</v>
      </c>
      <c r="S46" s="394">
        <f t="shared" si="57"/>
        <v>23.3856</v>
      </c>
      <c r="T46" s="138"/>
      <c r="U46" s="395">
        <f t="shared" si="9"/>
        <v>0</v>
      </c>
      <c r="V46" s="396">
        <f t="shared" si="10"/>
        <v>0</v>
      </c>
      <c r="W46" s="53"/>
      <c r="X46" s="424">
        <f>VLOOKUP($B46,'Proposed Rates'!$D$255:$J$261,+X$11-2,FALSE)</f>
        <v>0.20300000000000001</v>
      </c>
      <c r="Y46" s="415">
        <f>$F$10*'Proposed Rates'!$K$258</f>
        <v>115.19999999999999</v>
      </c>
      <c r="Z46" s="394">
        <f t="shared" si="59"/>
        <v>23.3856</v>
      </c>
      <c r="AA46" s="138"/>
      <c r="AB46" s="395">
        <f t="shared" si="13"/>
        <v>0</v>
      </c>
      <c r="AC46" s="396">
        <f t="shared" si="14"/>
        <v>0</v>
      </c>
      <c r="AD46" s="53"/>
      <c r="AE46" s="424">
        <f>VLOOKUP($B46,'Proposed Rates'!$D$255:$J$261,+AE$11-2,FALSE)</f>
        <v>0.20300000000000001</v>
      </c>
      <c r="AF46" s="415">
        <f>$F$10*'Proposed Rates'!$K$258</f>
        <v>115.19999999999999</v>
      </c>
      <c r="AG46" s="394">
        <f t="shared" si="61"/>
        <v>23.3856</v>
      </c>
      <c r="AH46" s="138"/>
      <c r="AI46" s="395">
        <f t="shared" si="17"/>
        <v>0</v>
      </c>
      <c r="AJ46" s="396">
        <f t="shared" si="18"/>
        <v>0</v>
      </c>
      <c r="AK46" s="53"/>
      <c r="AL46" s="424">
        <f>VLOOKUP($B46,'Proposed Rates'!$D$255:$J$261,+AL$11-2,FALSE)</f>
        <v>0.20300000000000001</v>
      </c>
      <c r="AM46" s="415">
        <f>$F$10*'Proposed Rates'!$K$258</f>
        <v>115.19999999999999</v>
      </c>
      <c r="AN46" s="394">
        <f t="shared" si="63"/>
        <v>23.3856</v>
      </c>
      <c r="AO46" s="138"/>
      <c r="AP46" s="395">
        <f t="shared" si="21"/>
        <v>0</v>
      </c>
      <c r="AQ46" s="396">
        <f t="shared" si="22"/>
        <v>0</v>
      </c>
      <c r="AR46" s="397"/>
      <c r="AS46" s="397"/>
      <c r="AT46" s="397"/>
      <c r="AU46" s="3"/>
      <c r="AV46" s="3"/>
      <c r="AW46" s="3"/>
      <c r="AX46" s="3"/>
      <c r="AY46" s="3"/>
      <c r="AZ46" s="3"/>
      <c r="BA46" s="3"/>
      <c r="BB46" s="3"/>
    </row>
    <row r="47" spans="1:54" ht="12.75" customHeight="1">
      <c r="A47" s="53"/>
      <c r="B47" s="328" t="s">
        <v>296</v>
      </c>
      <c r="C47" s="389" t="str">
        <f t="shared" si="51"/>
        <v>Residential.Energy - RPP - Tier 1</v>
      </c>
      <c r="D47" s="390" t="s">
        <v>337</v>
      </c>
      <c r="E47" s="328"/>
      <c r="F47" s="424">
        <f>VLOOKUP($B47,'Proposed Rates'!$D$255:$J$261,+F$11-2,FALSE)</f>
        <v>0.12</v>
      </c>
      <c r="G47" s="425">
        <f>IF(AND($S$2=1, $F$10&gt;=600), 600, IF(AND($S$2=1, AND($F$10&lt;600, $F$10&gt;=0)), $F$10, IF(AND($S$2=2, $F$10&gt;=1000), 1000, IF(AND($S$2=2, AND($F$10&lt;1000, $F$10&gt;=0)), $F$10))))</f>
        <v>600</v>
      </c>
      <c r="H47" s="394">
        <f t="shared" si="53"/>
        <v>72</v>
      </c>
      <c r="I47" s="138"/>
      <c r="J47" s="424">
        <f>VLOOKUP($B47,'Proposed Rates'!$D$255:$J$261,+J$11-2,FALSE)</f>
        <v>0.12</v>
      </c>
      <c r="K47" s="425">
        <f>IF(AND($S$2=1, $F$10&gt;=600), 600, IF(AND($S$2=1, AND($F$10&lt;600, $F$10&gt;=0)), $F$10, IF(AND($S$2=2, $F$10&gt;=1000), 1000, IF(AND($S$2=2, AND($F$10&lt;1000, $F$10&gt;=0)), $F$10))))</f>
        <v>600</v>
      </c>
      <c r="L47" s="394">
        <f t="shared" si="55"/>
        <v>72</v>
      </c>
      <c r="M47" s="138"/>
      <c r="N47" s="395">
        <f t="shared" si="36"/>
        <v>0</v>
      </c>
      <c r="O47" s="396">
        <f t="shared" si="37"/>
        <v>0</v>
      </c>
      <c r="P47" s="53"/>
      <c r="Q47" s="424">
        <f>VLOOKUP($B47,'Proposed Rates'!$D$255:$J$261,+Q$11-2,FALSE)</f>
        <v>0.12</v>
      </c>
      <c r="R47" s="425">
        <f>IF(AND($S$2=1, $F$10&gt;=600), 600, IF(AND($S$2=1, AND($F$10&lt;600, $F$10&gt;=0)), $F$10, IF(AND($S$2=2, $F$10&gt;=1000), 1000, IF(AND($S$2=2, AND($F$10&lt;1000, $F$10&gt;=0)), $F$10))))</f>
        <v>600</v>
      </c>
      <c r="S47" s="394">
        <f t="shared" si="57"/>
        <v>72</v>
      </c>
      <c r="T47" s="138"/>
      <c r="U47" s="395">
        <f t="shared" si="9"/>
        <v>0</v>
      </c>
      <c r="V47" s="396">
        <f t="shared" si="10"/>
        <v>0</v>
      </c>
      <c r="W47" s="53"/>
      <c r="X47" s="424">
        <f>VLOOKUP($B47,'Proposed Rates'!$D$255:$J$261,+X$11-2,FALSE)</f>
        <v>0.12</v>
      </c>
      <c r="Y47" s="425">
        <f>IF(AND($S$2=1, $F$10&gt;=600), 600, IF(AND($S$2=1, AND($F$10&lt;600, $F$10&gt;=0)), $F$10, IF(AND($S$2=2, $F$10&gt;=1000), 1000, IF(AND($S$2=2, AND($F$10&lt;1000, $F$10&gt;=0)), $F$10))))</f>
        <v>600</v>
      </c>
      <c r="Z47" s="394">
        <f t="shared" si="59"/>
        <v>72</v>
      </c>
      <c r="AA47" s="138"/>
      <c r="AB47" s="395">
        <f t="shared" si="13"/>
        <v>0</v>
      </c>
      <c r="AC47" s="396">
        <f t="shared" si="14"/>
        <v>0</v>
      </c>
      <c r="AD47" s="53"/>
      <c r="AE47" s="424">
        <f>VLOOKUP($B47,'Proposed Rates'!$D$255:$J$261,+AE$11-2,FALSE)</f>
        <v>0.12</v>
      </c>
      <c r="AF47" s="425">
        <f>IF(AND($S$2=1, $F$10&gt;=600), 600, IF(AND($S$2=1, AND($F$10&lt;600, $F$10&gt;=0)), $F$10, IF(AND($S$2=2, $F$10&gt;=1000), 1000, IF(AND($S$2=2, AND($F$10&lt;1000, $F$10&gt;=0)), $F$10))))</f>
        <v>600</v>
      </c>
      <c r="AG47" s="394">
        <f t="shared" si="61"/>
        <v>72</v>
      </c>
      <c r="AH47" s="138"/>
      <c r="AI47" s="395">
        <f t="shared" si="17"/>
        <v>0</v>
      </c>
      <c r="AJ47" s="396">
        <f t="shared" si="18"/>
        <v>0</v>
      </c>
      <c r="AK47" s="53"/>
      <c r="AL47" s="424">
        <f>VLOOKUP($B47,'Proposed Rates'!$D$255:$J$261,+AL$11-2,FALSE)</f>
        <v>0.12</v>
      </c>
      <c r="AM47" s="425">
        <f>IF(AND($S$2=1, $F$10&gt;=600), 600, IF(AND($S$2=1, AND($F$10&lt;600, $F$10&gt;=0)), $F$10, IF(AND($S$2=2, $F$10&gt;=1000), 1000, IF(AND($S$2=2, AND($F$10&lt;1000, $F$10&gt;=0)), $F$10))))</f>
        <v>600</v>
      </c>
      <c r="AN47" s="394">
        <f t="shared" si="63"/>
        <v>72</v>
      </c>
      <c r="AO47" s="138"/>
      <c r="AP47" s="395">
        <f t="shared" si="21"/>
        <v>0</v>
      </c>
      <c r="AQ47" s="396">
        <f t="shared" si="22"/>
        <v>0</v>
      </c>
      <c r="AR47" s="397"/>
      <c r="AS47" s="397"/>
      <c r="AT47" s="397"/>
      <c r="AU47" s="3"/>
      <c r="AV47" s="3"/>
      <c r="AW47" s="3"/>
      <c r="AX47" s="3"/>
      <c r="AY47" s="3"/>
      <c r="AZ47" s="3"/>
      <c r="BA47" s="3"/>
      <c r="BB47" s="3"/>
    </row>
    <row r="48" spans="1:54" ht="12.75" customHeight="1">
      <c r="A48" s="53"/>
      <c r="B48" s="328" t="s">
        <v>297</v>
      </c>
      <c r="C48" s="389" t="str">
        <f t="shared" si="51"/>
        <v>Residential.Energy - RPP - Tier 2</v>
      </c>
      <c r="D48" s="390" t="s">
        <v>337</v>
      </c>
      <c r="E48" s="328"/>
      <c r="F48" s="424">
        <f>VLOOKUP($B48,'Proposed Rates'!$D$255:$J$261,+F$11-2,FALSE)</f>
        <v>0.14199999999999999</v>
      </c>
      <c r="G48" s="427">
        <f>IF(AND($S$2=1, $F$10&gt;=600), $F$10-600, IF(AND($S$2=1, AND($F$10&lt;600, $F$10&gt;=0)), 0, IF(AND($S$2=2, $F$10&gt;=1000), $F$10-1000, IF(AND($S$2=2, AND($F$10&lt;1000, $F$10&gt;=0)), 0))))</f>
        <v>40</v>
      </c>
      <c r="H48" s="394">
        <f t="shared" si="53"/>
        <v>5.68</v>
      </c>
      <c r="I48" s="138"/>
      <c r="J48" s="424">
        <f>VLOOKUP($B48,'Proposed Rates'!$D$255:$J$261,+J$11-2,FALSE)</f>
        <v>0.14199999999999999</v>
      </c>
      <c r="K48" s="427">
        <f>IF(AND($S$2=1, $F$10&gt;=600), $F$10-600, IF(AND($S$2=1, AND($F$10&lt;600, $F$10&gt;=0)), 0, IF(AND($S$2=2, $F$10&gt;=1000), $F$10-1000, IF(AND($S$2=2, AND($F$10&lt;1000, $F$10&gt;=0)), 0))))</f>
        <v>40</v>
      </c>
      <c r="L48" s="394">
        <f t="shared" si="55"/>
        <v>5.68</v>
      </c>
      <c r="M48" s="138"/>
      <c r="N48" s="395">
        <f t="shared" si="36"/>
        <v>0</v>
      </c>
      <c r="O48" s="396">
        <f t="shared" si="37"/>
        <v>0</v>
      </c>
      <c r="P48" s="53"/>
      <c r="Q48" s="424">
        <f>VLOOKUP($B48,'Proposed Rates'!$D$255:$J$261,+Q$11-2,FALSE)</f>
        <v>0.14199999999999999</v>
      </c>
      <c r="R48" s="427">
        <f>IF(AND($S$2=1, $F$10&gt;=600), $F$10-600, IF(AND($S$2=1, AND($F$10&lt;600, $F$10&gt;=0)), 0, IF(AND($S$2=2, $F$10&gt;=1000), $F$10-1000, IF(AND($S$2=2, AND($F$10&lt;1000, $F$10&gt;=0)), 0))))</f>
        <v>40</v>
      </c>
      <c r="S48" s="394">
        <f t="shared" si="57"/>
        <v>5.68</v>
      </c>
      <c r="T48" s="138"/>
      <c r="U48" s="395">
        <f t="shared" si="9"/>
        <v>0</v>
      </c>
      <c r="V48" s="396">
        <f t="shared" si="10"/>
        <v>0</v>
      </c>
      <c r="W48" s="53"/>
      <c r="X48" s="424">
        <f>VLOOKUP($B48,'Proposed Rates'!$D$255:$J$261,+X$11-2,FALSE)</f>
        <v>0.14199999999999999</v>
      </c>
      <c r="Y48" s="427">
        <f>IF(AND($S$2=1, $F$10&gt;=600), $F$10-600, IF(AND($S$2=1, AND($F$10&lt;600, $F$10&gt;=0)), 0, IF(AND($S$2=2, $F$10&gt;=1000), $F$10-1000, IF(AND($S$2=2, AND($F$10&lt;1000, $F$10&gt;=0)), 0))))</f>
        <v>40</v>
      </c>
      <c r="Z48" s="394">
        <f t="shared" si="59"/>
        <v>5.68</v>
      </c>
      <c r="AA48" s="138"/>
      <c r="AB48" s="395">
        <f t="shared" si="13"/>
        <v>0</v>
      </c>
      <c r="AC48" s="396">
        <f t="shared" si="14"/>
        <v>0</v>
      </c>
      <c r="AD48" s="53"/>
      <c r="AE48" s="424">
        <f>VLOOKUP($B48,'Proposed Rates'!$D$255:$J$261,+AE$11-2,FALSE)</f>
        <v>0.14199999999999999</v>
      </c>
      <c r="AF48" s="427">
        <f>IF(AND($S$2=1, $F$10&gt;=600), $F$10-600, IF(AND($S$2=1, AND($F$10&lt;600, $F$10&gt;=0)), 0, IF(AND($S$2=2, $F$10&gt;=1000), $F$10-1000, IF(AND($S$2=2, AND($F$10&lt;1000, $F$10&gt;=0)), 0))))</f>
        <v>40</v>
      </c>
      <c r="AG48" s="394">
        <f t="shared" si="61"/>
        <v>5.68</v>
      </c>
      <c r="AH48" s="138"/>
      <c r="AI48" s="395">
        <f t="shared" si="17"/>
        <v>0</v>
      </c>
      <c r="AJ48" s="396">
        <f t="shared" si="18"/>
        <v>0</v>
      </c>
      <c r="AK48" s="53"/>
      <c r="AL48" s="424">
        <f>VLOOKUP($B48,'Proposed Rates'!$D$255:$J$261,+AL$11-2,FALSE)</f>
        <v>0.14199999999999999</v>
      </c>
      <c r="AM48" s="427">
        <f>IF(AND($S$2=1, $F$10&gt;=600), $F$10-600, IF(AND($S$2=1, AND($F$10&lt;600, $F$10&gt;=0)), 0, IF(AND($S$2=2, $F$10&gt;=1000), $F$10-1000, IF(AND($S$2=2, AND($F$10&lt;1000, $F$10&gt;=0)), 0))))</f>
        <v>40</v>
      </c>
      <c r="AN48" s="394">
        <f t="shared" si="63"/>
        <v>5.68</v>
      </c>
      <c r="AO48" s="138"/>
      <c r="AP48" s="395">
        <f t="shared" si="21"/>
        <v>0</v>
      </c>
      <c r="AQ48" s="396">
        <f t="shared" si="22"/>
        <v>0</v>
      </c>
      <c r="AR48" s="397"/>
      <c r="AS48" s="397"/>
      <c r="AT48" s="397"/>
      <c r="AU48" s="3"/>
      <c r="AV48" s="3"/>
      <c r="AW48" s="3"/>
      <c r="AX48" s="3"/>
      <c r="AY48" s="3"/>
      <c r="AZ48" s="3"/>
      <c r="BA48" s="3"/>
      <c r="BB48" s="3"/>
    </row>
    <row r="49" spans="1:54" ht="8.25"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397"/>
      <c r="AS49" s="397"/>
      <c r="AT49" s="397"/>
      <c r="AU49" s="3"/>
      <c r="AV49" s="3"/>
      <c r="AW49" s="3"/>
      <c r="AX49" s="3"/>
      <c r="AY49" s="3"/>
      <c r="AZ49" s="3"/>
      <c r="BA49" s="3"/>
      <c r="BB49" s="3"/>
    </row>
    <row r="50" spans="1:54" ht="12.75" customHeight="1">
      <c r="A50" s="53"/>
      <c r="B50" s="438" t="s">
        <v>344</v>
      </c>
      <c r="C50" s="328"/>
      <c r="D50" s="328"/>
      <c r="E50" s="328"/>
      <c r="F50" s="439"/>
      <c r="G50" s="483"/>
      <c r="H50" s="441">
        <f>SUM(H41:H46,H40)</f>
        <v>136.65449984000003</v>
      </c>
      <c r="I50" s="476"/>
      <c r="J50" s="439"/>
      <c r="K50" s="440"/>
      <c r="L50" s="441">
        <f>SUM(L41:L46,L40)</f>
        <v>142.48420351999999</v>
      </c>
      <c r="M50" s="443"/>
      <c r="N50" s="442">
        <f t="shared" ref="N50:N54" si="64">L50-H50</f>
        <v>5.829703679999966</v>
      </c>
      <c r="O50" s="444">
        <f t="shared" ref="O50:O54" si="65">IF((H50)=0,"",(N50/H50))</f>
        <v>4.266016623547407E-2</v>
      </c>
      <c r="P50" s="53"/>
      <c r="Q50" s="440"/>
      <c r="R50" s="440"/>
      <c r="S50" s="442">
        <f>SUM(S41:S46,S40)</f>
        <v>145.76620351999998</v>
      </c>
      <c r="T50" s="443"/>
      <c r="U50" s="442">
        <f t="shared" ref="U50:U54" si="66">S50-L50</f>
        <v>3.2819999999999823</v>
      </c>
      <c r="V50" s="444">
        <f t="shared" ref="V50:V54" si="67">IF((L50)=0,"",(U50/L50))</f>
        <v>2.3034132338321276E-2</v>
      </c>
      <c r="W50" s="53"/>
      <c r="X50" s="440"/>
      <c r="Y50" s="440"/>
      <c r="Z50" s="442">
        <f>SUM(Z41:Z46,Z40)</f>
        <v>146.77281599999998</v>
      </c>
      <c r="AA50" s="443"/>
      <c r="AB50" s="442">
        <f t="shared" ref="AB50:AB54" si="68">Z50-S50</f>
        <v>1.0066124800000011</v>
      </c>
      <c r="AC50" s="444">
        <f t="shared" ref="AC50:AC54" si="69">IF((S50)=0,"",(AB50/S50))</f>
        <v>6.9056643837327354E-3</v>
      </c>
      <c r="AD50" s="53"/>
      <c r="AE50" s="440"/>
      <c r="AF50" s="440"/>
      <c r="AG50" s="442">
        <f>SUM(AG41:AG46,AG40)</f>
        <v>148.27281599999998</v>
      </c>
      <c r="AH50" s="443"/>
      <c r="AI50" s="442">
        <f t="shared" ref="AI50:AI54" si="70">AG50-Z50</f>
        <v>1.5</v>
      </c>
      <c r="AJ50" s="444">
        <f t="shared" ref="AJ50:AJ54" si="71">IF((Z50)=0,"",(AI50/Z50))</f>
        <v>1.0219876138371565E-2</v>
      </c>
      <c r="AK50" s="53"/>
      <c r="AL50" s="440"/>
      <c r="AM50" s="440"/>
      <c r="AN50" s="442">
        <f>SUM(AN41:AN46,AN40)</f>
        <v>149.64281599999998</v>
      </c>
      <c r="AO50" s="443"/>
      <c r="AP50" s="442">
        <f t="shared" ref="AP50:AP54" si="72">AN50-AG50</f>
        <v>1.3700000000000045</v>
      </c>
      <c r="AQ50" s="444">
        <f t="shared" ref="AQ50:AQ54" si="73">IF((AG50)=0,"",(AP50/AG50))</f>
        <v>9.2397246977490785E-3</v>
      </c>
      <c r="AR50" s="445"/>
      <c r="AS50" s="445"/>
      <c r="AT50" s="445"/>
      <c r="AU50" s="3"/>
      <c r="AV50" s="3"/>
      <c r="AW50" s="3"/>
      <c r="AX50" s="3"/>
      <c r="AY50" s="3"/>
      <c r="AZ50" s="3"/>
      <c r="BA50" s="3"/>
      <c r="BB50" s="3"/>
    </row>
    <row r="51" spans="1:54" ht="12.75" customHeight="1">
      <c r="A51" s="53"/>
      <c r="B51" s="446" t="s">
        <v>345</v>
      </c>
      <c r="C51" s="328"/>
      <c r="D51" s="328"/>
      <c r="E51" s="328"/>
      <c r="F51" s="439">
        <v>0.13</v>
      </c>
      <c r="G51" s="138"/>
      <c r="H51" s="484">
        <f>H50*F51</f>
        <v>17.765084979200005</v>
      </c>
      <c r="I51" s="411"/>
      <c r="J51" s="439">
        <v>0.13</v>
      </c>
      <c r="K51" s="411"/>
      <c r="L51" s="394">
        <f>L50*J51</f>
        <v>18.5229464576</v>
      </c>
      <c r="M51" s="138"/>
      <c r="N51" s="395">
        <f t="shared" si="64"/>
        <v>0.75786147839999529</v>
      </c>
      <c r="O51" s="396">
        <f t="shared" si="65"/>
        <v>4.2660166235474049E-2</v>
      </c>
      <c r="P51" s="53"/>
      <c r="Q51" s="447">
        <v>0.13</v>
      </c>
      <c r="R51" s="411"/>
      <c r="S51" s="394">
        <f>S50*Q51</f>
        <v>18.949606457599998</v>
      </c>
      <c r="T51" s="138"/>
      <c r="U51" s="395">
        <f t="shared" si="66"/>
        <v>0.42665999999999826</v>
      </c>
      <c r="V51" s="396">
        <f t="shared" si="67"/>
        <v>2.3034132338321307E-2</v>
      </c>
      <c r="W51" s="53"/>
      <c r="X51" s="447">
        <v>0.13</v>
      </c>
      <c r="Y51" s="411"/>
      <c r="Z51" s="394">
        <f>Z50*X51</f>
        <v>19.080466079999997</v>
      </c>
      <c r="AA51" s="138"/>
      <c r="AB51" s="395">
        <f t="shared" si="68"/>
        <v>0.13085962239999915</v>
      </c>
      <c r="AC51" s="396">
        <f t="shared" si="69"/>
        <v>6.9056643837326825E-3</v>
      </c>
      <c r="AD51" s="53"/>
      <c r="AE51" s="447">
        <v>0.13</v>
      </c>
      <c r="AF51" s="411"/>
      <c r="AG51" s="394">
        <f>AG50*AE51</f>
        <v>19.275466079999998</v>
      </c>
      <c r="AH51" s="138"/>
      <c r="AI51" s="395">
        <f t="shared" si="70"/>
        <v>0.19500000000000028</v>
      </c>
      <c r="AJ51" s="396">
        <f t="shared" si="71"/>
        <v>1.0219876138371579E-2</v>
      </c>
      <c r="AK51" s="53"/>
      <c r="AL51" s="447">
        <v>0.13</v>
      </c>
      <c r="AM51" s="411"/>
      <c r="AN51" s="394">
        <f>AN50*AL51</f>
        <v>19.453566079999998</v>
      </c>
      <c r="AO51" s="138"/>
      <c r="AP51" s="395">
        <f t="shared" si="72"/>
        <v>0.17810000000000059</v>
      </c>
      <c r="AQ51" s="396">
        <f t="shared" si="73"/>
        <v>9.2397246977490785E-3</v>
      </c>
      <c r="AR51" s="397"/>
      <c r="AS51" s="397"/>
      <c r="AT51" s="397"/>
      <c r="AU51" s="3"/>
      <c r="AV51" s="3"/>
      <c r="AW51" s="3"/>
      <c r="AX51" s="3"/>
      <c r="AY51" s="3"/>
      <c r="AZ51" s="3"/>
      <c r="BA51" s="3"/>
      <c r="BB51" s="3"/>
    </row>
    <row r="52" spans="1:54" ht="12.75" customHeight="1">
      <c r="A52" s="53"/>
      <c r="B52" s="485" t="s">
        <v>377</v>
      </c>
      <c r="C52" s="328"/>
      <c r="D52" s="328"/>
      <c r="E52" s="328"/>
      <c r="F52" s="449"/>
      <c r="G52" s="138"/>
      <c r="H52" s="484">
        <f>H50+H51</f>
        <v>154.41958481920003</v>
      </c>
      <c r="I52" s="411"/>
      <c r="J52" s="449"/>
      <c r="K52" s="411"/>
      <c r="L52" s="394">
        <f>L50+L51</f>
        <v>161.00714997759999</v>
      </c>
      <c r="M52" s="138"/>
      <c r="N52" s="395">
        <f t="shared" si="64"/>
        <v>6.5875651583999684</v>
      </c>
      <c r="O52" s="396">
        <f t="shared" si="65"/>
        <v>4.2660166235474119E-2</v>
      </c>
      <c r="P52" s="53"/>
      <c r="Q52" s="411"/>
      <c r="R52" s="411"/>
      <c r="S52" s="394">
        <f>S50+S51</f>
        <v>164.71580997759997</v>
      </c>
      <c r="T52" s="138"/>
      <c r="U52" s="395">
        <f t="shared" si="66"/>
        <v>3.7086599999999805</v>
      </c>
      <c r="V52" s="396">
        <f t="shared" si="67"/>
        <v>2.303413233832128E-2</v>
      </c>
      <c r="W52" s="53"/>
      <c r="X52" s="411"/>
      <c r="Y52" s="411"/>
      <c r="Z52" s="394">
        <f>Z50+Z51</f>
        <v>165.85328207999999</v>
      </c>
      <c r="AA52" s="138"/>
      <c r="AB52" s="395">
        <f t="shared" si="68"/>
        <v>1.137472102400011</v>
      </c>
      <c r="AC52" s="396">
        <f t="shared" si="69"/>
        <v>6.9056643837327944E-3</v>
      </c>
      <c r="AD52" s="53"/>
      <c r="AE52" s="411"/>
      <c r="AF52" s="411"/>
      <c r="AG52" s="394">
        <f>AG50+AG51</f>
        <v>167.54828207999998</v>
      </c>
      <c r="AH52" s="138"/>
      <c r="AI52" s="395">
        <f t="shared" si="70"/>
        <v>1.6949999999999932</v>
      </c>
      <c r="AJ52" s="396">
        <f t="shared" si="71"/>
        <v>1.0219876138371524E-2</v>
      </c>
      <c r="AK52" s="53"/>
      <c r="AL52" s="411"/>
      <c r="AM52" s="411"/>
      <c r="AN52" s="394">
        <f>AN50+AN51</f>
        <v>169.09638207999998</v>
      </c>
      <c r="AO52" s="138"/>
      <c r="AP52" s="395">
        <f t="shared" si="72"/>
        <v>1.5481000000000051</v>
      </c>
      <c r="AQ52" s="396">
        <f t="shared" si="73"/>
        <v>9.2397246977490785E-3</v>
      </c>
      <c r="AR52" s="397"/>
      <c r="AS52" s="397"/>
      <c r="AT52" s="397"/>
      <c r="AU52" s="3"/>
      <c r="AV52" s="3"/>
      <c r="AW52" s="3"/>
      <c r="AX52" s="3"/>
      <c r="AY52" s="3"/>
      <c r="AZ52" s="3"/>
      <c r="BA52" s="3"/>
      <c r="BB52" s="3"/>
    </row>
    <row r="53" spans="1:54" ht="15.75" customHeight="1">
      <c r="A53" s="53"/>
      <c r="B53" s="626" t="s">
        <v>304</v>
      </c>
      <c r="C53" s="616"/>
      <c r="D53" s="616"/>
      <c r="E53" s="328"/>
      <c r="F53" s="450">
        <f>'Proposed Rates'!E293</f>
        <v>0.23499999999999999</v>
      </c>
      <c r="G53" s="138"/>
      <c r="H53" s="486">
        <f>F53*H50</f>
        <v>32.113807462400004</v>
      </c>
      <c r="I53" s="411"/>
      <c r="J53" s="450">
        <f>'Proposed Rates'!F293</f>
        <v>0.23499999999999999</v>
      </c>
      <c r="K53" s="411"/>
      <c r="L53" s="451">
        <f>J53*L50</f>
        <v>33.483787827199997</v>
      </c>
      <c r="M53" s="138"/>
      <c r="N53" s="451">
        <f t="shared" si="64"/>
        <v>1.3699803647999929</v>
      </c>
      <c r="O53" s="453">
        <f t="shared" si="65"/>
        <v>4.2660166235474098E-2</v>
      </c>
      <c r="P53" s="53"/>
      <c r="Q53" s="452">
        <f>'Proposed Rates'!G293</f>
        <v>0.23499999999999999</v>
      </c>
      <c r="R53" s="411"/>
      <c r="S53" s="451">
        <f>Q53*S50</f>
        <v>34.255057827199991</v>
      </c>
      <c r="T53" s="138"/>
      <c r="U53" s="451">
        <f t="shared" si="66"/>
        <v>0.77126999999999413</v>
      </c>
      <c r="V53" s="453">
        <f t="shared" si="67"/>
        <v>2.3034132338321228E-2</v>
      </c>
      <c r="W53" s="53"/>
      <c r="X53" s="452">
        <f>'Proposed Rates'!H293</f>
        <v>0.23499999999999999</v>
      </c>
      <c r="Y53" s="411"/>
      <c r="Z53" s="451">
        <f>X53*Z50</f>
        <v>34.491611759999991</v>
      </c>
      <c r="AA53" s="138"/>
      <c r="AB53" s="451">
        <f t="shared" si="68"/>
        <v>0.2365539327999997</v>
      </c>
      <c r="AC53" s="453">
        <f t="shared" si="69"/>
        <v>6.9056643837327198E-3</v>
      </c>
      <c r="AD53" s="53"/>
      <c r="AE53" s="452">
        <f>'Proposed Rates'!I293</f>
        <v>0.23499999999999999</v>
      </c>
      <c r="AF53" s="411"/>
      <c r="AG53" s="451">
        <f>AE53*AG50</f>
        <v>34.84411175999999</v>
      </c>
      <c r="AH53" s="138"/>
      <c r="AI53" s="451">
        <f t="shared" si="70"/>
        <v>0.35249999999999915</v>
      </c>
      <c r="AJ53" s="453">
        <f t="shared" si="71"/>
        <v>1.0219876138371541E-2</v>
      </c>
      <c r="AK53" s="53"/>
      <c r="AL53" s="452">
        <f>'Proposed Rates'!J293</f>
        <v>0.23499999999999999</v>
      </c>
      <c r="AM53" s="411"/>
      <c r="AN53" s="451">
        <f>AL53*AN50</f>
        <v>35.166061759999991</v>
      </c>
      <c r="AO53" s="138"/>
      <c r="AP53" s="451">
        <f t="shared" si="72"/>
        <v>0.32195000000000107</v>
      </c>
      <c r="AQ53" s="453">
        <f t="shared" si="73"/>
        <v>9.2397246977490802E-3</v>
      </c>
      <c r="AR53" s="454"/>
      <c r="AS53" s="454"/>
      <c r="AT53" s="454"/>
      <c r="AU53" s="3"/>
      <c r="AV53" s="3"/>
      <c r="AW53" s="3"/>
      <c r="AX53" s="3"/>
      <c r="AY53" s="3"/>
      <c r="AZ53" s="3"/>
      <c r="BA53" s="3"/>
      <c r="BB53" s="3"/>
    </row>
    <row r="54" spans="1:54" ht="12.75" customHeight="1">
      <c r="A54" s="53"/>
      <c r="B54" s="627" t="s">
        <v>347</v>
      </c>
      <c r="C54" s="608"/>
      <c r="D54" s="600"/>
      <c r="E54" s="455"/>
      <c r="F54" s="456"/>
      <c r="G54" s="487"/>
      <c r="H54" s="488">
        <f>H52-H53</f>
        <v>122.30577735680002</v>
      </c>
      <c r="I54" s="457"/>
      <c r="J54" s="456"/>
      <c r="K54" s="457"/>
      <c r="L54" s="458">
        <f>L52-L53</f>
        <v>127.5233621504</v>
      </c>
      <c r="M54" s="459"/>
      <c r="N54" s="460">
        <f t="shared" si="64"/>
        <v>5.2175847935999826</v>
      </c>
      <c r="O54" s="461">
        <f t="shared" si="65"/>
        <v>4.2660166235474181E-2</v>
      </c>
      <c r="P54" s="53"/>
      <c r="Q54" s="457"/>
      <c r="R54" s="457"/>
      <c r="S54" s="458">
        <f>S52-S53</f>
        <v>130.46075215039997</v>
      </c>
      <c r="T54" s="459"/>
      <c r="U54" s="460">
        <f t="shared" si="66"/>
        <v>2.9373899999999651</v>
      </c>
      <c r="V54" s="461">
        <f t="shared" si="67"/>
        <v>2.3034132338321127E-2</v>
      </c>
      <c r="W54" s="53"/>
      <c r="X54" s="457"/>
      <c r="Y54" s="457"/>
      <c r="Z54" s="458">
        <f>Z52-Z53</f>
        <v>131.36167032</v>
      </c>
      <c r="AA54" s="459"/>
      <c r="AB54" s="460">
        <f t="shared" si="68"/>
        <v>0.90091816960003257</v>
      </c>
      <c r="AC54" s="461">
        <f t="shared" si="69"/>
        <v>6.9056643837329783E-3</v>
      </c>
      <c r="AD54" s="53"/>
      <c r="AE54" s="457"/>
      <c r="AF54" s="457"/>
      <c r="AG54" s="458">
        <f>AG52-AG53</f>
        <v>132.70417032</v>
      </c>
      <c r="AH54" s="459"/>
      <c r="AI54" s="460">
        <f t="shared" si="70"/>
        <v>1.3425000000000011</v>
      </c>
      <c r="AJ54" s="461">
        <f t="shared" si="71"/>
        <v>1.0219876138371572E-2</v>
      </c>
      <c r="AK54" s="53"/>
      <c r="AL54" s="457"/>
      <c r="AM54" s="457"/>
      <c r="AN54" s="458">
        <f>AN52-AN53</f>
        <v>133.93032031999999</v>
      </c>
      <c r="AO54" s="459"/>
      <c r="AP54" s="460">
        <f t="shared" si="72"/>
        <v>1.2261499999999899</v>
      </c>
      <c r="AQ54" s="461">
        <f t="shared" si="73"/>
        <v>9.2397246977489692E-3</v>
      </c>
      <c r="AR54" s="445"/>
      <c r="AS54" s="445"/>
      <c r="AT54" s="445"/>
      <c r="AU54" s="3"/>
      <c r="AV54" s="3"/>
      <c r="AW54" s="3"/>
      <c r="AX54" s="3"/>
      <c r="AY54" s="3"/>
      <c r="AZ54" s="3"/>
      <c r="BA54" s="3"/>
      <c r="BB54" s="3"/>
    </row>
    <row r="55" spans="1:54" ht="8.25"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397"/>
      <c r="AS55" s="397"/>
      <c r="AT55" s="397"/>
      <c r="AU55" s="3"/>
      <c r="AV55" s="3"/>
      <c r="AW55" s="3"/>
      <c r="AX55" s="3"/>
      <c r="AY55" s="3"/>
      <c r="AZ55" s="3"/>
      <c r="BA55" s="3"/>
      <c r="BB55" s="3"/>
    </row>
    <row r="56" spans="1:54" ht="12.75" customHeight="1">
      <c r="A56" s="53"/>
      <c r="B56" s="438" t="s">
        <v>348</v>
      </c>
      <c r="C56" s="328"/>
      <c r="D56" s="328"/>
      <c r="E56" s="328"/>
      <c r="F56" s="439"/>
      <c r="G56" s="483"/>
      <c r="H56" s="441">
        <f>SUM(H47:H48,H40,H41:H43)</f>
        <v>132.72169983999999</v>
      </c>
      <c r="I56" s="476"/>
      <c r="J56" s="439"/>
      <c r="K56" s="440"/>
      <c r="L56" s="441">
        <f>SUM(L47:L48,L40,L41:L43)</f>
        <v>138.55140352000001</v>
      </c>
      <c r="M56" s="443"/>
      <c r="N56" s="442">
        <f t="shared" ref="N56:N60" si="74">L56-H56</f>
        <v>5.8297036800000228</v>
      </c>
      <c r="O56" s="444">
        <f t="shared" ref="O56:O60" si="75">IF((H56)=0,"",(N56/H56))</f>
        <v>4.3924269256857822E-2</v>
      </c>
      <c r="P56" s="53"/>
      <c r="Q56" s="440"/>
      <c r="R56" s="440"/>
      <c r="S56" s="442">
        <f>SUM(S47:S48,S40,S41:S43)</f>
        <v>141.83340352000002</v>
      </c>
      <c r="T56" s="443"/>
      <c r="U56" s="442">
        <f t="shared" ref="U56:U60" si="76">S56-L56</f>
        <v>3.2820000000000107</v>
      </c>
      <c r="V56" s="444">
        <f t="shared" ref="V56:V60" si="77">IF((L56)=0,"",(U56/L56))</f>
        <v>2.3687959245582462E-2</v>
      </c>
      <c r="W56" s="53"/>
      <c r="X56" s="440"/>
      <c r="Y56" s="440"/>
      <c r="Z56" s="442">
        <f>SUM(Z47:Z48,Z40,Z41:Z43)</f>
        <v>142.84001600000002</v>
      </c>
      <c r="AA56" s="443"/>
      <c r="AB56" s="442">
        <f t="shared" ref="AB56:AB60" si="78">Z56-S56</f>
        <v>1.0066124800000011</v>
      </c>
      <c r="AC56" s="444">
        <f t="shared" ref="AC56:AC60" si="79">IF((S56)=0,"",(AB56/S56))</f>
        <v>7.0971467582251037E-3</v>
      </c>
      <c r="AD56" s="53"/>
      <c r="AE56" s="440"/>
      <c r="AF56" s="440"/>
      <c r="AG56" s="442">
        <f>SUM(AG47:AG48,AG40,AG41:AG43)</f>
        <v>144.34001600000002</v>
      </c>
      <c r="AH56" s="443"/>
      <c r="AI56" s="442">
        <f t="shared" ref="AI56:AI60" si="80">AG56-Z56</f>
        <v>1.5</v>
      </c>
      <c r="AJ56" s="444">
        <f t="shared" ref="AJ56:AJ60" si="81">IF((Z56)=0,"",(AI56/Z56))</f>
        <v>1.0501258974935986E-2</v>
      </c>
      <c r="AK56" s="53"/>
      <c r="AL56" s="440"/>
      <c r="AM56" s="440"/>
      <c r="AN56" s="442">
        <f>SUM(AN47:AN48,AN40,AN41:AN43)</f>
        <v>145.71001600000002</v>
      </c>
      <c r="AO56" s="443"/>
      <c r="AP56" s="442">
        <f t="shared" ref="AP56:AP60" si="82">AN56-AG56</f>
        <v>1.3700000000000045</v>
      </c>
      <c r="AQ56" s="444">
        <f t="shared" ref="AQ56:AQ60" si="83">IF((AG56)=0,"",(AP56/AG56))</f>
        <v>9.4914774015267146E-3</v>
      </c>
      <c r="AR56" s="445"/>
      <c r="AS56" s="445"/>
      <c r="AT56" s="445"/>
      <c r="AU56" s="3"/>
      <c r="AV56" s="3"/>
      <c r="AW56" s="3"/>
      <c r="AX56" s="3"/>
      <c r="AY56" s="3"/>
      <c r="AZ56" s="3"/>
      <c r="BA56" s="3"/>
      <c r="BB56" s="3"/>
    </row>
    <row r="57" spans="1:54" ht="12.75" customHeight="1">
      <c r="A57" s="53"/>
      <c r="B57" s="446" t="s">
        <v>345</v>
      </c>
      <c r="C57" s="328"/>
      <c r="D57" s="328"/>
      <c r="E57" s="328"/>
      <c r="F57" s="439">
        <v>0.13</v>
      </c>
      <c r="G57" s="483"/>
      <c r="H57" s="484">
        <f>H56*F57</f>
        <v>17.2538209792</v>
      </c>
      <c r="I57" s="411"/>
      <c r="J57" s="439">
        <v>0.13</v>
      </c>
      <c r="K57" s="447"/>
      <c r="L57" s="394">
        <f>L56*J57</f>
        <v>18.011682457600003</v>
      </c>
      <c r="M57" s="138"/>
      <c r="N57" s="395">
        <f t="shared" si="74"/>
        <v>0.7578614784000024</v>
      </c>
      <c r="O57" s="396">
        <f t="shared" si="75"/>
        <v>4.392426925685778E-2</v>
      </c>
      <c r="P57" s="53"/>
      <c r="Q57" s="439">
        <v>0.13</v>
      </c>
      <c r="R57" s="447"/>
      <c r="S57" s="394">
        <f>S56*Q57</f>
        <v>18.438342457600005</v>
      </c>
      <c r="T57" s="138"/>
      <c r="U57" s="395">
        <f t="shared" si="76"/>
        <v>0.42666000000000182</v>
      </c>
      <c r="V57" s="396">
        <f t="shared" si="77"/>
        <v>2.3687959245582483E-2</v>
      </c>
      <c r="W57" s="53"/>
      <c r="X57" s="439">
        <v>0.13</v>
      </c>
      <c r="Y57" s="447"/>
      <c r="Z57" s="394">
        <f>Z56*X57</f>
        <v>18.569202080000004</v>
      </c>
      <c r="AA57" s="138"/>
      <c r="AB57" s="395">
        <f t="shared" si="78"/>
        <v>0.13085962239999915</v>
      </c>
      <c r="AC57" s="396">
        <f t="shared" si="79"/>
        <v>7.0971467582250491E-3</v>
      </c>
      <c r="AD57" s="53"/>
      <c r="AE57" s="439">
        <v>0.13</v>
      </c>
      <c r="AF57" s="447"/>
      <c r="AG57" s="394">
        <f>AG56*AE57</f>
        <v>18.764202080000004</v>
      </c>
      <c r="AH57" s="138"/>
      <c r="AI57" s="395">
        <f t="shared" si="80"/>
        <v>0.19500000000000028</v>
      </c>
      <c r="AJ57" s="396">
        <f t="shared" si="81"/>
        <v>1.0501258974936001E-2</v>
      </c>
      <c r="AK57" s="53"/>
      <c r="AL57" s="439">
        <v>0.13</v>
      </c>
      <c r="AM57" s="447"/>
      <c r="AN57" s="394">
        <f>AN56*AL57</f>
        <v>18.942302080000005</v>
      </c>
      <c r="AO57" s="138"/>
      <c r="AP57" s="395">
        <f t="shared" si="82"/>
        <v>0.17810000000000059</v>
      </c>
      <c r="AQ57" s="396">
        <f t="shared" si="83"/>
        <v>9.4914774015267128E-3</v>
      </c>
      <c r="AR57" s="397"/>
      <c r="AS57" s="397"/>
      <c r="AT57" s="397"/>
      <c r="AU57" s="3"/>
      <c r="AV57" s="3"/>
      <c r="AW57" s="3"/>
      <c r="AX57" s="3"/>
      <c r="AY57" s="3"/>
      <c r="AZ57" s="3"/>
      <c r="BA57" s="3"/>
      <c r="BB57" s="3"/>
    </row>
    <row r="58" spans="1:54" ht="12.75" customHeight="1">
      <c r="A58" s="53"/>
      <c r="B58" s="485" t="s">
        <v>378</v>
      </c>
      <c r="C58" s="328"/>
      <c r="D58" s="328"/>
      <c r="E58" s="328"/>
      <c r="F58" s="449"/>
      <c r="G58" s="138"/>
      <c r="H58" s="484">
        <f>H56+H57</f>
        <v>149.97552081919997</v>
      </c>
      <c r="I58" s="411"/>
      <c r="J58" s="449"/>
      <c r="K58" s="411"/>
      <c r="L58" s="394">
        <f>L56+L57</f>
        <v>156.5630859776</v>
      </c>
      <c r="M58" s="138"/>
      <c r="N58" s="395">
        <f t="shared" si="74"/>
        <v>6.5875651584000252</v>
      </c>
      <c r="O58" s="396">
        <f t="shared" si="75"/>
        <v>4.3924269256857822E-2</v>
      </c>
      <c r="P58" s="53"/>
      <c r="Q58" s="411"/>
      <c r="R58" s="411"/>
      <c r="S58" s="394">
        <f>S56+S57</f>
        <v>160.27174597760003</v>
      </c>
      <c r="T58" s="138"/>
      <c r="U58" s="395">
        <f t="shared" si="76"/>
        <v>3.7086600000000374</v>
      </c>
      <c r="V58" s="396">
        <f t="shared" si="77"/>
        <v>2.3687959245582625E-2</v>
      </c>
      <c r="W58" s="53"/>
      <c r="X58" s="411"/>
      <c r="Y58" s="411"/>
      <c r="Z58" s="394">
        <f>Z56+Z57</f>
        <v>161.40921808000002</v>
      </c>
      <c r="AA58" s="138"/>
      <c r="AB58" s="395">
        <f t="shared" si="78"/>
        <v>1.1374721023999825</v>
      </c>
      <c r="AC58" s="396">
        <f t="shared" si="79"/>
        <v>7.0971467582249858E-3</v>
      </c>
      <c r="AD58" s="53"/>
      <c r="AE58" s="411"/>
      <c r="AF58" s="411"/>
      <c r="AG58" s="394">
        <f>AG56+AG57</f>
        <v>163.10421808000001</v>
      </c>
      <c r="AH58" s="138"/>
      <c r="AI58" s="395">
        <f t="shared" si="80"/>
        <v>1.6949999999999932</v>
      </c>
      <c r="AJ58" s="396">
        <f t="shared" si="81"/>
        <v>1.0501258974935944E-2</v>
      </c>
      <c r="AK58" s="53"/>
      <c r="AL58" s="411"/>
      <c r="AM58" s="411"/>
      <c r="AN58" s="394">
        <f>AN56+AN57</f>
        <v>164.65231808000004</v>
      </c>
      <c r="AO58" s="138"/>
      <c r="AP58" s="395">
        <f t="shared" si="82"/>
        <v>1.5481000000000336</v>
      </c>
      <c r="AQ58" s="396">
        <f t="shared" si="83"/>
        <v>9.4914774015268898E-3</v>
      </c>
      <c r="AR58" s="397"/>
      <c r="AS58" s="397"/>
      <c r="AT58" s="397"/>
      <c r="AU58" s="3"/>
      <c r="AV58" s="3"/>
      <c r="AW58" s="3"/>
      <c r="AX58" s="3"/>
      <c r="AY58" s="3"/>
      <c r="AZ58" s="3"/>
      <c r="BA58" s="3"/>
      <c r="BB58" s="3"/>
    </row>
    <row r="59" spans="1:54" ht="15.75" customHeight="1">
      <c r="A59" s="53"/>
      <c r="B59" s="626" t="s">
        <v>304</v>
      </c>
      <c r="C59" s="616"/>
      <c r="D59" s="616"/>
      <c r="E59" s="328"/>
      <c r="F59" s="450">
        <f>F53</f>
        <v>0.23499999999999999</v>
      </c>
      <c r="G59" s="138"/>
      <c r="H59" s="486">
        <f>F59*H56</f>
        <v>31.189599462399993</v>
      </c>
      <c r="I59" s="411"/>
      <c r="J59" s="450">
        <f>J53</f>
        <v>0.23499999999999999</v>
      </c>
      <c r="K59" s="411"/>
      <c r="L59" s="451">
        <f>J59*L56</f>
        <v>32.559579827199997</v>
      </c>
      <c r="M59" s="138"/>
      <c r="N59" s="451">
        <f t="shared" si="74"/>
        <v>1.3699803648000035</v>
      </c>
      <c r="O59" s="453">
        <f t="shared" si="75"/>
        <v>4.3924269256857766E-2</v>
      </c>
      <c r="P59" s="53"/>
      <c r="Q59" s="452">
        <f>Q53</f>
        <v>0.23499999999999999</v>
      </c>
      <c r="R59" s="411"/>
      <c r="S59" s="451">
        <f>Q59*S56</f>
        <v>33.330849827200005</v>
      </c>
      <c r="T59" s="138"/>
      <c r="U59" s="451">
        <f t="shared" si="76"/>
        <v>0.77127000000000834</v>
      </c>
      <c r="V59" s="453">
        <f t="shared" si="77"/>
        <v>2.3687959245582646E-2</v>
      </c>
      <c r="W59" s="53"/>
      <c r="X59" s="452">
        <f>X53</f>
        <v>0.23499999999999999</v>
      </c>
      <c r="Y59" s="411"/>
      <c r="Z59" s="451">
        <f>X59*Z56</f>
        <v>33.567403760000005</v>
      </c>
      <c r="AA59" s="138"/>
      <c r="AB59" s="451">
        <f t="shared" si="78"/>
        <v>0.2365539327999997</v>
      </c>
      <c r="AC59" s="453">
        <f t="shared" si="79"/>
        <v>7.0971467582250864E-3</v>
      </c>
      <c r="AD59" s="53"/>
      <c r="AE59" s="452">
        <f>AE53</f>
        <v>0.23499999999999999</v>
      </c>
      <c r="AF59" s="411"/>
      <c r="AG59" s="451">
        <f>AE59*AG56</f>
        <v>33.919903760000004</v>
      </c>
      <c r="AH59" s="138"/>
      <c r="AI59" s="451">
        <f t="shared" si="80"/>
        <v>0.35249999999999915</v>
      </c>
      <c r="AJ59" s="453">
        <f t="shared" si="81"/>
        <v>1.050125897493596E-2</v>
      </c>
      <c r="AK59" s="53"/>
      <c r="AL59" s="452">
        <f>AL53</f>
        <v>0.23499999999999999</v>
      </c>
      <c r="AM59" s="411"/>
      <c r="AN59" s="451">
        <f>AL59*AN56</f>
        <v>34.241853760000005</v>
      </c>
      <c r="AO59" s="138"/>
      <c r="AP59" s="451">
        <f t="shared" si="82"/>
        <v>0.32195000000000107</v>
      </c>
      <c r="AQ59" s="453">
        <f t="shared" si="83"/>
        <v>9.4914774015267146E-3</v>
      </c>
      <c r="AR59" s="454"/>
      <c r="AS59" s="454"/>
      <c r="AT59" s="454"/>
      <c r="AU59" s="3"/>
      <c r="AV59" s="3"/>
      <c r="AW59" s="3"/>
      <c r="AX59" s="3"/>
      <c r="AY59" s="3"/>
      <c r="AZ59" s="3"/>
      <c r="BA59" s="3"/>
      <c r="BB59" s="3"/>
    </row>
    <row r="60" spans="1:54" ht="12.75" customHeight="1">
      <c r="A60" s="53"/>
      <c r="B60" s="627" t="s">
        <v>350</v>
      </c>
      <c r="C60" s="608"/>
      <c r="D60" s="600"/>
      <c r="E60" s="455"/>
      <c r="F60" s="463"/>
      <c r="G60" s="489"/>
      <c r="H60" s="490">
        <f>H58-H59</f>
        <v>118.78592135679997</v>
      </c>
      <c r="I60" s="464"/>
      <c r="J60" s="463"/>
      <c r="K60" s="464"/>
      <c r="L60" s="465">
        <f>L58-L59</f>
        <v>124.0035061504</v>
      </c>
      <c r="M60" s="466"/>
      <c r="N60" s="467">
        <f t="shared" si="74"/>
        <v>5.2175847936000253</v>
      </c>
      <c r="O60" s="468">
        <f t="shared" si="75"/>
        <v>4.3924269256857863E-2</v>
      </c>
      <c r="P60" s="53"/>
      <c r="Q60" s="464"/>
      <c r="R60" s="464"/>
      <c r="S60" s="465">
        <f>S58-S59</f>
        <v>126.94089615040002</v>
      </c>
      <c r="T60" s="466"/>
      <c r="U60" s="467">
        <f t="shared" si="76"/>
        <v>2.9373900000000219</v>
      </c>
      <c r="V60" s="468">
        <f t="shared" si="77"/>
        <v>2.3687959245582563E-2</v>
      </c>
      <c r="W60" s="53"/>
      <c r="X60" s="464"/>
      <c r="Y60" s="464"/>
      <c r="Z60" s="465">
        <f>Z58-Z59</f>
        <v>127.84181432000001</v>
      </c>
      <c r="AA60" s="466"/>
      <c r="AB60" s="467">
        <f t="shared" si="78"/>
        <v>0.90091816959998994</v>
      </c>
      <c r="AC60" s="468">
        <f t="shared" si="79"/>
        <v>7.0971467582250161E-3</v>
      </c>
      <c r="AD60" s="53"/>
      <c r="AE60" s="464"/>
      <c r="AF60" s="464"/>
      <c r="AG60" s="465">
        <f>AG58-AG59</f>
        <v>129.18431432</v>
      </c>
      <c r="AH60" s="466"/>
      <c r="AI60" s="467">
        <f t="shared" si="80"/>
        <v>1.3424999999999869</v>
      </c>
      <c r="AJ60" s="468">
        <f t="shared" si="81"/>
        <v>1.0501258974935883E-2</v>
      </c>
      <c r="AK60" s="53"/>
      <c r="AL60" s="464"/>
      <c r="AM60" s="464"/>
      <c r="AN60" s="465">
        <f>AN58-AN59</f>
        <v>130.41046432000005</v>
      </c>
      <c r="AO60" s="466"/>
      <c r="AP60" s="467">
        <f t="shared" si="82"/>
        <v>1.2261500000000467</v>
      </c>
      <c r="AQ60" s="468">
        <f t="shared" si="83"/>
        <v>9.4914774015270459E-3</v>
      </c>
      <c r="AR60" s="445"/>
      <c r="AS60" s="445"/>
      <c r="AT60" s="445"/>
      <c r="AU60" s="3"/>
      <c r="AV60" s="3"/>
      <c r="AW60" s="3"/>
      <c r="AX60" s="3"/>
      <c r="AY60" s="3"/>
      <c r="AZ60" s="3"/>
      <c r="BA60" s="3"/>
      <c r="BB60" s="3"/>
    </row>
    <row r="61" spans="1:54" ht="8.25"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397"/>
      <c r="AS61" s="397"/>
      <c r="AT61" s="397"/>
      <c r="AU61" s="3"/>
      <c r="AV61" s="3"/>
      <c r="AW61" s="3"/>
      <c r="AX61" s="3"/>
      <c r="AY61" s="3"/>
      <c r="AZ61" s="3"/>
      <c r="BA61" s="3"/>
      <c r="BB61" s="3"/>
    </row>
    <row r="62" spans="1:5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c r="AS62" s="53"/>
      <c r="AT62" s="53"/>
      <c r="AU62" s="3"/>
      <c r="AV62" s="3"/>
      <c r="AW62" s="3"/>
      <c r="AX62" s="3"/>
      <c r="AY62" s="3"/>
      <c r="AZ62" s="3"/>
      <c r="BA62" s="3"/>
      <c r="BB62" s="3"/>
    </row>
    <row r="63" spans="1:54" ht="12.75"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c r="AS63" s="53"/>
      <c r="AT63" s="53"/>
      <c r="AU63" s="3"/>
      <c r="AV63" s="3"/>
      <c r="AW63" s="3"/>
      <c r="AX63" s="3"/>
      <c r="AY63" s="3"/>
      <c r="AZ63" s="3"/>
      <c r="BA63" s="3"/>
      <c r="BB63" s="3"/>
    </row>
    <row r="64" spans="1:5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3"/>
      <c r="AV64" s="3"/>
      <c r="AW64" s="3"/>
      <c r="AX64" s="3"/>
      <c r="AY64" s="3"/>
      <c r="AZ64" s="3"/>
      <c r="BA64" s="3"/>
      <c r="BB64" s="3"/>
    </row>
    <row r="65" spans="1:54" ht="15.75" customHeight="1">
      <c r="A65" s="473" t="s">
        <v>379</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3"/>
      <c r="AV65" s="3"/>
      <c r="AW65" s="3"/>
      <c r="AX65" s="3"/>
      <c r="AY65" s="3"/>
      <c r="AZ65" s="3"/>
      <c r="BA65" s="3"/>
      <c r="BB65" s="3"/>
    </row>
    <row r="66" spans="1:5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3"/>
      <c r="AV66" s="3"/>
      <c r="AW66" s="3"/>
      <c r="AX66" s="3"/>
      <c r="AY66" s="3"/>
      <c r="AZ66" s="3"/>
      <c r="BA66" s="3"/>
      <c r="BB66" s="3"/>
    </row>
    <row r="67" spans="1:5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3"/>
      <c r="AV67" s="3"/>
      <c r="AW67" s="3"/>
      <c r="AX67" s="3"/>
      <c r="AY67" s="3"/>
      <c r="AZ67" s="3"/>
      <c r="BA67" s="3"/>
      <c r="BB67" s="3"/>
    </row>
    <row r="68" spans="1:5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3"/>
      <c r="AV68" s="3"/>
      <c r="AW68" s="3"/>
      <c r="AX68" s="3"/>
      <c r="AY68" s="3"/>
      <c r="AZ68" s="3"/>
      <c r="BA68" s="3"/>
      <c r="BB68" s="3"/>
    </row>
    <row r="69" spans="1:5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3"/>
      <c r="AV69" s="3"/>
      <c r="AW69" s="3"/>
      <c r="AX69" s="3"/>
      <c r="AY69" s="3"/>
      <c r="AZ69" s="3"/>
      <c r="BA69" s="3"/>
      <c r="BB69" s="3"/>
    </row>
    <row r="70" spans="1:5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3"/>
      <c r="AV70" s="3"/>
      <c r="AW70" s="3"/>
      <c r="AX70" s="3"/>
      <c r="AY70" s="3"/>
      <c r="AZ70" s="3"/>
      <c r="BA70" s="3"/>
      <c r="BB70" s="3"/>
    </row>
    <row r="71" spans="1:5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c r="AU71" s="3"/>
      <c r="AV71" s="3"/>
      <c r="AW71" s="3"/>
      <c r="AX71" s="3"/>
      <c r="AY71" s="3"/>
      <c r="AZ71" s="3"/>
      <c r="BA71" s="3"/>
      <c r="BB71" s="3"/>
    </row>
    <row r="72" spans="1:5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3"/>
      <c r="AV72" s="3"/>
      <c r="AW72" s="3"/>
      <c r="AX72" s="3"/>
      <c r="AY72" s="3"/>
      <c r="AZ72" s="3"/>
      <c r="BA72" s="3"/>
      <c r="BB72" s="3"/>
    </row>
    <row r="73" spans="1:5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3"/>
      <c r="AV73" s="3"/>
      <c r="AW73" s="3"/>
      <c r="AX73" s="3"/>
      <c r="AY73" s="3"/>
      <c r="AZ73" s="3"/>
      <c r="BA73" s="3"/>
      <c r="BB73" s="3"/>
    </row>
    <row r="74" spans="1:5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3"/>
      <c r="AV74" s="3"/>
      <c r="AW74" s="3"/>
      <c r="AX74" s="3"/>
      <c r="AY74" s="3"/>
      <c r="AZ74" s="3"/>
      <c r="BA74" s="3"/>
      <c r="BB74" s="3"/>
    </row>
    <row r="75" spans="1:5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3"/>
      <c r="AV75" s="3"/>
      <c r="AW75" s="3"/>
      <c r="AX75" s="3"/>
      <c r="AY75" s="3"/>
      <c r="AZ75" s="3"/>
      <c r="BA75" s="3"/>
      <c r="BB75" s="3"/>
    </row>
    <row r="76" spans="1:5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3"/>
      <c r="AV76" s="3"/>
      <c r="AW76" s="3"/>
      <c r="AX76" s="3"/>
      <c r="AY76" s="3"/>
      <c r="AZ76" s="3"/>
      <c r="BA76" s="3"/>
      <c r="BB76" s="3"/>
    </row>
    <row r="77" spans="1:5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3"/>
      <c r="AV77" s="3"/>
      <c r="AW77" s="3"/>
      <c r="AX77" s="3"/>
      <c r="AY77" s="3"/>
      <c r="AZ77" s="3"/>
      <c r="BA77" s="3"/>
      <c r="BB77" s="3"/>
    </row>
    <row r="78" spans="1:5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3"/>
      <c r="AV78" s="3"/>
      <c r="AW78" s="3"/>
      <c r="AX78" s="3"/>
      <c r="AY78" s="3"/>
      <c r="AZ78" s="3"/>
      <c r="BA78" s="3"/>
      <c r="BB78" s="3"/>
    </row>
    <row r="79" spans="1:54" ht="12.75" customHeight="1">
      <c r="A79" s="474"/>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3"/>
      <c r="AV79" s="3"/>
      <c r="AW79" s="3"/>
      <c r="AX79" s="3"/>
      <c r="AY79" s="3"/>
      <c r="AZ79" s="3"/>
      <c r="BA79" s="3"/>
      <c r="BB79" s="3"/>
    </row>
    <row r="80" spans="1:5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3"/>
      <c r="AV80" s="3"/>
      <c r="AW80" s="3"/>
      <c r="AX80" s="3"/>
      <c r="AY80" s="3"/>
      <c r="AZ80" s="3"/>
      <c r="BA80" s="3"/>
      <c r="BB80" s="3"/>
    </row>
    <row r="81" spans="1:5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3"/>
      <c r="AV81" s="3"/>
      <c r="AW81" s="3"/>
      <c r="AX81" s="3"/>
      <c r="AY81" s="3"/>
      <c r="AZ81" s="3"/>
      <c r="BA81" s="3"/>
      <c r="BB81" s="3"/>
    </row>
    <row r="82" spans="1:5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3"/>
      <c r="AV82" s="3"/>
      <c r="AW82" s="3"/>
      <c r="AX82" s="3"/>
      <c r="AY82" s="3"/>
      <c r="AZ82" s="3"/>
      <c r="BA82" s="3"/>
      <c r="BB82" s="3"/>
    </row>
    <row r="83" spans="1:5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3"/>
      <c r="AV83" s="3"/>
      <c r="AW83" s="3"/>
      <c r="AX83" s="3"/>
      <c r="AY83" s="3"/>
      <c r="AZ83" s="3"/>
      <c r="BA83" s="3"/>
      <c r="BB83" s="3"/>
    </row>
    <row r="84" spans="1:5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3"/>
      <c r="AV84" s="3"/>
      <c r="AW84" s="3"/>
      <c r="AX84" s="3"/>
      <c r="AY84" s="3"/>
      <c r="AZ84" s="3"/>
      <c r="BA84" s="3"/>
      <c r="BB84" s="3"/>
    </row>
    <row r="85" spans="1:5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3"/>
      <c r="AV85" s="3"/>
      <c r="AW85" s="3"/>
      <c r="AX85" s="3"/>
      <c r="AY85" s="3"/>
      <c r="AZ85" s="3"/>
      <c r="BA85" s="3"/>
      <c r="BB85" s="3"/>
    </row>
    <row r="86" spans="1:5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3"/>
      <c r="AV86" s="3"/>
      <c r="AW86" s="3"/>
      <c r="AX86" s="3"/>
      <c r="AY86" s="3"/>
      <c r="AZ86" s="3"/>
      <c r="BA86" s="3"/>
      <c r="BB86" s="3"/>
    </row>
    <row r="87" spans="1:5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3"/>
      <c r="AV87" s="3"/>
      <c r="AW87" s="3"/>
      <c r="AX87" s="3"/>
      <c r="AY87" s="3"/>
      <c r="AZ87" s="3"/>
      <c r="BA87" s="3"/>
      <c r="BB87" s="3"/>
    </row>
    <row r="88" spans="1:5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3"/>
      <c r="AV88" s="3"/>
      <c r="AW88" s="3"/>
      <c r="AX88" s="3"/>
      <c r="AY88" s="3"/>
      <c r="AZ88" s="3"/>
      <c r="BA88" s="3"/>
      <c r="BB88" s="3"/>
    </row>
    <row r="89" spans="1:5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3"/>
      <c r="AV89" s="3"/>
      <c r="AW89" s="3"/>
      <c r="AX89" s="3"/>
      <c r="AY89" s="3"/>
      <c r="AZ89" s="3"/>
      <c r="BA89" s="3"/>
      <c r="BB89" s="3"/>
    </row>
    <row r="90" spans="1:5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3"/>
      <c r="AV90" s="3"/>
      <c r="AW90" s="3"/>
      <c r="AX90" s="3"/>
      <c r="AY90" s="3"/>
      <c r="AZ90" s="3"/>
      <c r="BA90" s="3"/>
      <c r="BB90" s="3"/>
    </row>
    <row r="91" spans="1:5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3"/>
      <c r="AV91" s="3"/>
      <c r="AW91" s="3"/>
      <c r="AX91" s="3"/>
      <c r="AY91" s="3"/>
      <c r="AZ91" s="3"/>
      <c r="BA91" s="3"/>
      <c r="BB91" s="3"/>
    </row>
    <row r="92" spans="1:5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3"/>
      <c r="AV92" s="3"/>
      <c r="AW92" s="3"/>
      <c r="AX92" s="3"/>
      <c r="AY92" s="3"/>
      <c r="AZ92" s="3"/>
      <c r="BA92" s="3"/>
      <c r="BB92" s="3"/>
    </row>
    <row r="93" spans="1:5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3"/>
      <c r="AV93" s="3"/>
      <c r="AW93" s="3"/>
      <c r="AX93" s="3"/>
      <c r="AY93" s="3"/>
      <c r="AZ93" s="3"/>
      <c r="BA93" s="3"/>
      <c r="BB93" s="3"/>
    </row>
    <row r="94" spans="1:5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3"/>
      <c r="AV94" s="3"/>
      <c r="AW94" s="3"/>
      <c r="AX94" s="3"/>
      <c r="AY94" s="3"/>
      <c r="AZ94" s="3"/>
      <c r="BA94" s="3"/>
      <c r="BB94" s="3"/>
    </row>
    <row r="95" spans="1:5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3"/>
      <c r="AV95" s="3"/>
      <c r="AW95" s="3"/>
      <c r="AX95" s="3"/>
      <c r="AY95" s="3"/>
      <c r="AZ95" s="3"/>
      <c r="BA95" s="3"/>
      <c r="BB95" s="3"/>
    </row>
    <row r="96" spans="1:5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3"/>
      <c r="AV96" s="3"/>
      <c r="AW96" s="3"/>
      <c r="AX96" s="3"/>
      <c r="AY96" s="3"/>
      <c r="AZ96" s="3"/>
      <c r="BA96" s="3"/>
      <c r="BB96" s="3"/>
    </row>
    <row r="97" spans="1:5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c r="AT97" s="53"/>
      <c r="AU97" s="3"/>
      <c r="AV97" s="3"/>
      <c r="AW97" s="3"/>
      <c r="AX97" s="3"/>
      <c r="AY97" s="3"/>
      <c r="AZ97" s="3"/>
      <c r="BA97" s="3"/>
      <c r="BB97" s="3"/>
    </row>
    <row r="98" spans="1:5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c r="AT98" s="53"/>
      <c r="AU98" s="3"/>
      <c r="AV98" s="3"/>
      <c r="AW98" s="3"/>
      <c r="AX98" s="3"/>
      <c r="AY98" s="3"/>
      <c r="AZ98" s="3"/>
      <c r="BA98" s="3"/>
      <c r="BB98" s="3"/>
    </row>
    <row r="99" spans="1:5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3"/>
      <c r="AV99" s="3"/>
      <c r="AW99" s="3"/>
      <c r="AX99" s="3"/>
      <c r="AY99" s="3"/>
      <c r="AZ99" s="3"/>
      <c r="BA99" s="3"/>
      <c r="BB99" s="3"/>
    </row>
    <row r="100" spans="1:5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3"/>
      <c r="AV100" s="3"/>
      <c r="AW100" s="3"/>
      <c r="AX100" s="3"/>
      <c r="AY100" s="3"/>
      <c r="AZ100" s="3"/>
      <c r="BA100" s="3"/>
      <c r="BB100" s="3"/>
    </row>
    <row r="101" spans="1:5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3"/>
      <c r="AV101" s="3"/>
      <c r="AW101" s="3"/>
      <c r="AX101" s="3"/>
      <c r="AY101" s="3"/>
      <c r="AZ101" s="3"/>
      <c r="BA101" s="3"/>
      <c r="BB101" s="3"/>
    </row>
    <row r="102" spans="1:5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c r="AT102" s="53"/>
      <c r="AU102" s="3"/>
      <c r="AV102" s="3"/>
      <c r="AW102" s="3"/>
      <c r="AX102" s="3"/>
      <c r="AY102" s="3"/>
      <c r="AZ102" s="3"/>
      <c r="BA102" s="3"/>
      <c r="BB102" s="3"/>
    </row>
    <row r="103" spans="1:5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3"/>
      <c r="AV103" s="3"/>
      <c r="AW103" s="3"/>
      <c r="AX103" s="3"/>
      <c r="AY103" s="3"/>
      <c r="AZ103" s="3"/>
      <c r="BA103" s="3"/>
      <c r="BB103" s="3"/>
    </row>
    <row r="104" spans="1:5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3"/>
      <c r="AV104" s="3"/>
      <c r="AW104" s="3"/>
      <c r="AX104" s="3"/>
      <c r="AY104" s="3"/>
      <c r="AZ104" s="3"/>
      <c r="BA104" s="3"/>
      <c r="BB104" s="3"/>
    </row>
    <row r="105" spans="1:5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c r="AT105" s="53"/>
      <c r="AU105" s="3"/>
      <c r="AV105" s="3"/>
      <c r="AW105" s="3"/>
      <c r="AX105" s="3"/>
      <c r="AY105" s="3"/>
      <c r="AZ105" s="3"/>
      <c r="BA105" s="3"/>
      <c r="BB105" s="3"/>
    </row>
    <row r="106" spans="1:5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3"/>
      <c r="AV106" s="3"/>
      <c r="AW106" s="3"/>
      <c r="AX106" s="3"/>
      <c r="AY106" s="3"/>
      <c r="AZ106" s="3"/>
      <c r="BA106" s="3"/>
      <c r="BB106" s="3"/>
    </row>
    <row r="107" spans="1:5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3"/>
      <c r="AV107" s="3"/>
      <c r="AW107" s="3"/>
      <c r="AX107" s="3"/>
      <c r="AY107" s="3"/>
      <c r="AZ107" s="3"/>
      <c r="BA107" s="3"/>
      <c r="BB107" s="3"/>
    </row>
    <row r="108" spans="1:5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3"/>
      <c r="AV108" s="3"/>
      <c r="AW108" s="3"/>
      <c r="AX108" s="3"/>
      <c r="AY108" s="3"/>
      <c r="AZ108" s="3"/>
      <c r="BA108" s="3"/>
      <c r="BB108" s="3"/>
    </row>
    <row r="109" spans="1:5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3"/>
      <c r="AV109" s="3"/>
      <c r="AW109" s="3"/>
      <c r="AX109" s="3"/>
      <c r="AY109" s="3"/>
      <c r="AZ109" s="3"/>
      <c r="BA109" s="3"/>
      <c r="BB109" s="3"/>
    </row>
    <row r="110" spans="1:5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3"/>
      <c r="AV110" s="3"/>
      <c r="AW110" s="3"/>
      <c r="AX110" s="3"/>
      <c r="AY110" s="3"/>
      <c r="AZ110" s="3"/>
      <c r="BA110" s="3"/>
      <c r="BB110" s="3"/>
    </row>
    <row r="111" spans="1:5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3"/>
      <c r="AV111" s="3"/>
      <c r="AW111" s="3"/>
      <c r="AX111" s="3"/>
      <c r="AY111" s="3"/>
      <c r="AZ111" s="3"/>
      <c r="BA111" s="3"/>
      <c r="BB111" s="3"/>
    </row>
    <row r="112" spans="1:5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3"/>
      <c r="AV112" s="3"/>
      <c r="AW112" s="3"/>
      <c r="AX112" s="3"/>
      <c r="AY112" s="3"/>
      <c r="AZ112" s="3"/>
      <c r="BA112" s="3"/>
      <c r="BB112" s="3"/>
    </row>
    <row r="113" spans="1:5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3"/>
      <c r="AV113" s="3"/>
      <c r="AW113" s="3"/>
      <c r="AX113" s="3"/>
      <c r="AY113" s="3"/>
      <c r="AZ113" s="3"/>
      <c r="BA113" s="3"/>
      <c r="BB113" s="3"/>
    </row>
    <row r="114" spans="1:5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3"/>
      <c r="AV114" s="3"/>
      <c r="AW114" s="3"/>
      <c r="AX114" s="3"/>
      <c r="AY114" s="3"/>
      <c r="AZ114" s="3"/>
      <c r="BA114" s="3"/>
      <c r="BB114" s="3"/>
    </row>
    <row r="115" spans="1:5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3"/>
      <c r="AV115" s="3"/>
      <c r="AW115" s="3"/>
      <c r="AX115" s="3"/>
      <c r="AY115" s="3"/>
      <c r="AZ115" s="3"/>
      <c r="BA115" s="3"/>
      <c r="BB115" s="3"/>
    </row>
    <row r="116" spans="1:5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3"/>
      <c r="AV116" s="3"/>
      <c r="AW116" s="3"/>
      <c r="AX116" s="3"/>
      <c r="AY116" s="3"/>
      <c r="AZ116" s="3"/>
      <c r="BA116" s="3"/>
      <c r="BB116" s="3"/>
    </row>
    <row r="117" spans="1:5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3"/>
      <c r="AV117" s="3"/>
      <c r="AW117" s="3"/>
      <c r="AX117" s="3"/>
      <c r="AY117" s="3"/>
      <c r="AZ117" s="3"/>
      <c r="BA117" s="3"/>
      <c r="BB117" s="3"/>
    </row>
    <row r="118" spans="1:5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3"/>
      <c r="AV118" s="3"/>
      <c r="AW118" s="3"/>
      <c r="AX118" s="3"/>
      <c r="AY118" s="3"/>
      <c r="AZ118" s="3"/>
      <c r="BA118" s="3"/>
      <c r="BB118" s="3"/>
    </row>
    <row r="119" spans="1:5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3"/>
      <c r="AV119" s="3"/>
      <c r="AW119" s="3"/>
      <c r="AX119" s="3"/>
      <c r="AY119" s="3"/>
      <c r="AZ119" s="3"/>
      <c r="BA119" s="3"/>
      <c r="BB119" s="3"/>
    </row>
    <row r="120" spans="1:5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3"/>
      <c r="AV120" s="3"/>
      <c r="AW120" s="3"/>
      <c r="AX120" s="3"/>
      <c r="AY120" s="3"/>
      <c r="AZ120" s="3"/>
      <c r="BA120" s="3"/>
      <c r="BB120" s="3"/>
    </row>
    <row r="121" spans="1:5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3"/>
      <c r="AV121" s="3"/>
      <c r="AW121" s="3"/>
      <c r="AX121" s="3"/>
      <c r="AY121" s="3"/>
      <c r="AZ121" s="3"/>
      <c r="BA121" s="3"/>
      <c r="BB121" s="3"/>
    </row>
    <row r="122" spans="1:5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3"/>
      <c r="AV122" s="3"/>
      <c r="AW122" s="3"/>
      <c r="AX122" s="3"/>
      <c r="AY122" s="3"/>
      <c r="AZ122" s="3"/>
      <c r="BA122" s="3"/>
      <c r="BB122" s="3"/>
    </row>
    <row r="123" spans="1:5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3"/>
      <c r="AV123" s="3"/>
      <c r="AW123" s="3"/>
      <c r="AX123" s="3"/>
      <c r="AY123" s="3"/>
      <c r="AZ123" s="3"/>
      <c r="BA123" s="3"/>
      <c r="BB123" s="3"/>
    </row>
    <row r="124" spans="1:5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3"/>
      <c r="AV124" s="3"/>
      <c r="AW124" s="3"/>
      <c r="AX124" s="3"/>
      <c r="AY124" s="3"/>
      <c r="AZ124" s="3"/>
      <c r="BA124" s="3"/>
      <c r="BB124" s="3"/>
    </row>
    <row r="125" spans="1:5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3"/>
      <c r="AV125" s="3"/>
      <c r="AW125" s="3"/>
      <c r="AX125" s="3"/>
      <c r="AY125" s="3"/>
      <c r="AZ125" s="3"/>
      <c r="BA125" s="3"/>
      <c r="BB125" s="3"/>
    </row>
    <row r="126" spans="1:5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3"/>
      <c r="AV126" s="3"/>
      <c r="AW126" s="3"/>
      <c r="AX126" s="3"/>
      <c r="AY126" s="3"/>
      <c r="AZ126" s="3"/>
      <c r="BA126" s="3"/>
      <c r="BB126" s="3"/>
    </row>
    <row r="127" spans="1:5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3"/>
      <c r="AV127" s="3"/>
      <c r="AW127" s="3"/>
      <c r="AX127" s="3"/>
      <c r="AY127" s="3"/>
      <c r="AZ127" s="3"/>
      <c r="BA127" s="3"/>
      <c r="BB127" s="3"/>
    </row>
    <row r="128" spans="1:5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3"/>
      <c r="AV128" s="3"/>
      <c r="AW128" s="3"/>
      <c r="AX128" s="3"/>
      <c r="AY128" s="3"/>
      <c r="AZ128" s="3"/>
      <c r="BA128" s="3"/>
      <c r="BB128" s="3"/>
    </row>
    <row r="129" spans="1:5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3"/>
      <c r="AV129" s="3"/>
      <c r="AW129" s="3"/>
      <c r="AX129" s="3"/>
      <c r="AY129" s="3"/>
      <c r="AZ129" s="3"/>
      <c r="BA129" s="3"/>
      <c r="BB129" s="3"/>
    </row>
    <row r="130" spans="1:5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3"/>
      <c r="AV130" s="3"/>
      <c r="AW130" s="3"/>
      <c r="AX130" s="3"/>
      <c r="AY130" s="3"/>
      <c r="AZ130" s="3"/>
      <c r="BA130" s="3"/>
      <c r="BB130" s="3"/>
    </row>
    <row r="131" spans="1:5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3"/>
      <c r="AV131" s="3"/>
      <c r="AW131" s="3"/>
      <c r="AX131" s="3"/>
      <c r="AY131" s="3"/>
      <c r="AZ131" s="3"/>
      <c r="BA131" s="3"/>
      <c r="BB131" s="3"/>
    </row>
    <row r="132" spans="1:5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3"/>
      <c r="AV132" s="3"/>
      <c r="AW132" s="3"/>
      <c r="AX132" s="3"/>
      <c r="AY132" s="3"/>
      <c r="AZ132" s="3"/>
      <c r="BA132" s="3"/>
      <c r="BB132" s="3"/>
    </row>
    <row r="133" spans="1:5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3"/>
      <c r="AV133" s="3"/>
      <c r="AW133" s="3"/>
      <c r="AX133" s="3"/>
      <c r="AY133" s="3"/>
      <c r="AZ133" s="3"/>
      <c r="BA133" s="3"/>
      <c r="BB133" s="3"/>
    </row>
    <row r="134" spans="1:5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3"/>
      <c r="AV134" s="3"/>
      <c r="AW134" s="3"/>
      <c r="AX134" s="3"/>
      <c r="AY134" s="3"/>
      <c r="AZ134" s="3"/>
      <c r="BA134" s="3"/>
      <c r="BB134" s="3"/>
    </row>
    <row r="135" spans="1:5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3"/>
      <c r="AV135" s="3"/>
      <c r="AW135" s="3"/>
      <c r="AX135" s="3"/>
      <c r="AY135" s="3"/>
      <c r="AZ135" s="3"/>
      <c r="BA135" s="3"/>
      <c r="BB135" s="3"/>
    </row>
    <row r="136" spans="1:5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3"/>
      <c r="AV136" s="3"/>
      <c r="AW136" s="3"/>
      <c r="AX136" s="3"/>
      <c r="AY136" s="3"/>
      <c r="AZ136" s="3"/>
      <c r="BA136" s="3"/>
      <c r="BB136" s="3"/>
    </row>
    <row r="137" spans="1:5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3"/>
      <c r="AV137" s="3"/>
      <c r="AW137" s="3"/>
      <c r="AX137" s="3"/>
      <c r="AY137" s="3"/>
      <c r="AZ137" s="3"/>
      <c r="BA137" s="3"/>
      <c r="BB137" s="3"/>
    </row>
    <row r="138" spans="1:5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3"/>
      <c r="AV138" s="3"/>
      <c r="AW138" s="3"/>
      <c r="AX138" s="3"/>
      <c r="AY138" s="3"/>
      <c r="AZ138" s="3"/>
      <c r="BA138" s="3"/>
      <c r="BB138" s="3"/>
    </row>
    <row r="139" spans="1:5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3"/>
      <c r="AV139" s="3"/>
      <c r="AW139" s="3"/>
      <c r="AX139" s="3"/>
      <c r="AY139" s="3"/>
      <c r="AZ139" s="3"/>
      <c r="BA139" s="3"/>
      <c r="BB139" s="3"/>
    </row>
    <row r="140" spans="1:5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3"/>
      <c r="AV140" s="3"/>
      <c r="AW140" s="3"/>
      <c r="AX140" s="3"/>
      <c r="AY140" s="3"/>
      <c r="AZ140" s="3"/>
      <c r="BA140" s="3"/>
      <c r="BB140" s="3"/>
    </row>
    <row r="141" spans="1:5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3"/>
      <c r="AV141" s="3"/>
      <c r="AW141" s="3"/>
      <c r="AX141" s="3"/>
      <c r="AY141" s="3"/>
      <c r="AZ141" s="3"/>
      <c r="BA141" s="3"/>
      <c r="BB141" s="3"/>
    </row>
    <row r="142" spans="1:5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3"/>
      <c r="AV142" s="3"/>
      <c r="AW142" s="3"/>
      <c r="AX142" s="3"/>
      <c r="AY142" s="3"/>
      <c r="AZ142" s="3"/>
      <c r="BA142" s="3"/>
      <c r="BB142" s="3"/>
    </row>
    <row r="143" spans="1:5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3"/>
      <c r="AV143" s="3"/>
      <c r="AW143" s="3"/>
      <c r="AX143" s="3"/>
      <c r="AY143" s="3"/>
      <c r="AZ143" s="3"/>
      <c r="BA143" s="3"/>
      <c r="BB143" s="3"/>
    </row>
    <row r="144" spans="1:5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3"/>
      <c r="AV144" s="3"/>
      <c r="AW144" s="3"/>
      <c r="AX144" s="3"/>
      <c r="AY144" s="3"/>
      <c r="AZ144" s="3"/>
      <c r="BA144" s="3"/>
      <c r="BB144" s="3"/>
    </row>
    <row r="145" spans="1:5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3"/>
      <c r="AV145" s="3"/>
      <c r="AW145" s="3"/>
      <c r="AX145" s="3"/>
      <c r="AY145" s="3"/>
      <c r="AZ145" s="3"/>
      <c r="BA145" s="3"/>
      <c r="BB145" s="3"/>
    </row>
    <row r="146" spans="1:5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3"/>
      <c r="AV146" s="3"/>
      <c r="AW146" s="3"/>
      <c r="AX146" s="3"/>
      <c r="AY146" s="3"/>
      <c r="AZ146" s="3"/>
      <c r="BA146" s="3"/>
      <c r="BB146" s="3"/>
    </row>
    <row r="147" spans="1:5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3"/>
      <c r="AV147" s="3"/>
      <c r="AW147" s="3"/>
      <c r="AX147" s="3"/>
      <c r="AY147" s="3"/>
      <c r="AZ147" s="3"/>
      <c r="BA147" s="3"/>
      <c r="BB147" s="3"/>
    </row>
    <row r="148" spans="1:5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3"/>
      <c r="AV148" s="3"/>
      <c r="AW148" s="3"/>
      <c r="AX148" s="3"/>
      <c r="AY148" s="3"/>
      <c r="AZ148" s="3"/>
      <c r="BA148" s="3"/>
      <c r="BB148" s="3"/>
    </row>
    <row r="149" spans="1:5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3"/>
      <c r="AV149" s="3"/>
      <c r="AW149" s="3"/>
      <c r="AX149" s="3"/>
      <c r="AY149" s="3"/>
      <c r="AZ149" s="3"/>
      <c r="BA149" s="3"/>
      <c r="BB149" s="3"/>
    </row>
    <row r="150" spans="1:5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3"/>
      <c r="AV150" s="3"/>
      <c r="AW150" s="3"/>
      <c r="AX150" s="3"/>
      <c r="AY150" s="3"/>
      <c r="AZ150" s="3"/>
      <c r="BA150" s="3"/>
      <c r="BB150" s="3"/>
    </row>
    <row r="151" spans="1:5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3"/>
      <c r="AV151" s="3"/>
      <c r="AW151" s="3"/>
      <c r="AX151" s="3"/>
      <c r="AY151" s="3"/>
      <c r="AZ151" s="3"/>
      <c r="BA151" s="3"/>
      <c r="BB151" s="3"/>
    </row>
    <row r="152" spans="1:5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3"/>
      <c r="AV152" s="3"/>
      <c r="AW152" s="3"/>
      <c r="AX152" s="3"/>
      <c r="AY152" s="3"/>
      <c r="AZ152" s="3"/>
      <c r="BA152" s="3"/>
      <c r="BB152" s="3"/>
    </row>
    <row r="153" spans="1:5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3"/>
      <c r="AV153" s="3"/>
      <c r="AW153" s="3"/>
      <c r="AX153" s="3"/>
      <c r="AY153" s="3"/>
      <c r="AZ153" s="3"/>
      <c r="BA153" s="3"/>
      <c r="BB153" s="3"/>
    </row>
    <row r="154" spans="1:5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3"/>
      <c r="AV154" s="3"/>
      <c r="AW154" s="3"/>
      <c r="AX154" s="3"/>
      <c r="AY154" s="3"/>
      <c r="AZ154" s="3"/>
      <c r="BA154" s="3"/>
      <c r="BB154" s="3"/>
    </row>
    <row r="155" spans="1:5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3"/>
      <c r="AV155" s="3"/>
      <c r="AW155" s="3"/>
      <c r="AX155" s="3"/>
      <c r="AY155" s="3"/>
      <c r="AZ155" s="3"/>
      <c r="BA155" s="3"/>
      <c r="BB155" s="3"/>
    </row>
    <row r="156" spans="1:5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3"/>
      <c r="AV156" s="3"/>
      <c r="AW156" s="3"/>
      <c r="AX156" s="3"/>
      <c r="AY156" s="3"/>
      <c r="AZ156" s="3"/>
      <c r="BA156" s="3"/>
      <c r="BB156" s="3"/>
    </row>
    <row r="157" spans="1:5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3"/>
      <c r="AV157" s="3"/>
      <c r="AW157" s="3"/>
      <c r="AX157" s="3"/>
      <c r="AY157" s="3"/>
      <c r="AZ157" s="3"/>
      <c r="BA157" s="3"/>
      <c r="BB157" s="3"/>
    </row>
    <row r="158" spans="1:5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3"/>
      <c r="AV158" s="3"/>
      <c r="AW158" s="3"/>
      <c r="AX158" s="3"/>
      <c r="AY158" s="3"/>
      <c r="AZ158" s="3"/>
      <c r="BA158" s="3"/>
      <c r="BB158" s="3"/>
    </row>
    <row r="159" spans="1:5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3"/>
      <c r="AV159" s="3"/>
      <c r="AW159" s="3"/>
      <c r="AX159" s="3"/>
      <c r="AY159" s="3"/>
      <c r="AZ159" s="3"/>
      <c r="BA159" s="3"/>
      <c r="BB159" s="3"/>
    </row>
    <row r="160" spans="1:5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3"/>
      <c r="AV160" s="3"/>
      <c r="AW160" s="3"/>
      <c r="AX160" s="3"/>
      <c r="AY160" s="3"/>
      <c r="AZ160" s="3"/>
      <c r="BA160" s="3"/>
      <c r="BB160" s="3"/>
    </row>
    <row r="161" spans="1:5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3"/>
      <c r="AV161" s="3"/>
      <c r="AW161" s="3"/>
      <c r="AX161" s="3"/>
      <c r="AY161" s="3"/>
      <c r="AZ161" s="3"/>
      <c r="BA161" s="3"/>
      <c r="BB161" s="3"/>
    </row>
    <row r="162" spans="1:5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3"/>
      <c r="AV162" s="3"/>
      <c r="AW162" s="3"/>
      <c r="AX162" s="3"/>
      <c r="AY162" s="3"/>
      <c r="AZ162" s="3"/>
      <c r="BA162" s="3"/>
      <c r="BB162" s="3"/>
    </row>
    <row r="163" spans="1:5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3"/>
      <c r="AV163" s="3"/>
      <c r="AW163" s="3"/>
      <c r="AX163" s="3"/>
      <c r="AY163" s="3"/>
      <c r="AZ163" s="3"/>
      <c r="BA163" s="3"/>
      <c r="BB163" s="3"/>
    </row>
    <row r="164" spans="1:5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3"/>
      <c r="AV164" s="3"/>
      <c r="AW164" s="3"/>
      <c r="AX164" s="3"/>
      <c r="AY164" s="3"/>
      <c r="AZ164" s="3"/>
      <c r="BA164" s="3"/>
      <c r="BB164" s="3"/>
    </row>
    <row r="165" spans="1:5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3"/>
      <c r="AV165" s="3"/>
      <c r="AW165" s="3"/>
      <c r="AX165" s="3"/>
      <c r="AY165" s="3"/>
      <c r="AZ165" s="3"/>
      <c r="BA165" s="3"/>
      <c r="BB165" s="3"/>
    </row>
    <row r="166" spans="1:5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3"/>
      <c r="AV166" s="3"/>
      <c r="AW166" s="3"/>
      <c r="AX166" s="3"/>
      <c r="AY166" s="3"/>
      <c r="AZ166" s="3"/>
      <c r="BA166" s="3"/>
      <c r="BB166" s="3"/>
    </row>
    <row r="167" spans="1:5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3"/>
      <c r="AV167" s="3"/>
      <c r="AW167" s="3"/>
      <c r="AX167" s="3"/>
      <c r="AY167" s="3"/>
      <c r="AZ167" s="3"/>
      <c r="BA167" s="3"/>
      <c r="BB167" s="3"/>
    </row>
    <row r="168" spans="1:5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3"/>
      <c r="AV168" s="3"/>
      <c r="AW168" s="3"/>
      <c r="AX168" s="3"/>
      <c r="AY168" s="3"/>
      <c r="AZ168" s="3"/>
      <c r="BA168" s="3"/>
      <c r="BB168" s="3"/>
    </row>
    <row r="169" spans="1:5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3"/>
      <c r="AV169" s="3"/>
      <c r="AW169" s="3"/>
      <c r="AX169" s="3"/>
      <c r="AY169" s="3"/>
      <c r="AZ169" s="3"/>
      <c r="BA169" s="3"/>
      <c r="BB169" s="3"/>
    </row>
    <row r="170" spans="1:5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3"/>
      <c r="AV170" s="3"/>
      <c r="AW170" s="3"/>
      <c r="AX170" s="3"/>
      <c r="AY170" s="3"/>
      <c r="AZ170" s="3"/>
      <c r="BA170" s="3"/>
      <c r="BB170" s="3"/>
    </row>
    <row r="171" spans="1:5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3"/>
      <c r="AV171" s="3"/>
      <c r="AW171" s="3"/>
      <c r="AX171" s="3"/>
      <c r="AY171" s="3"/>
      <c r="AZ171" s="3"/>
      <c r="BA171" s="3"/>
      <c r="BB171" s="3"/>
    </row>
    <row r="172" spans="1:5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3"/>
      <c r="AV172" s="3"/>
      <c r="AW172" s="3"/>
      <c r="AX172" s="3"/>
      <c r="AY172" s="3"/>
      <c r="AZ172" s="3"/>
      <c r="BA172" s="3"/>
      <c r="BB172" s="3"/>
    </row>
    <row r="173" spans="1:5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3"/>
      <c r="AV173" s="3"/>
      <c r="AW173" s="3"/>
      <c r="AX173" s="3"/>
      <c r="AY173" s="3"/>
      <c r="AZ173" s="3"/>
      <c r="BA173" s="3"/>
      <c r="BB173" s="3"/>
    </row>
    <row r="174" spans="1:5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3"/>
      <c r="AV174" s="3"/>
      <c r="AW174" s="3"/>
      <c r="AX174" s="3"/>
      <c r="AY174" s="3"/>
      <c r="AZ174" s="3"/>
      <c r="BA174" s="3"/>
      <c r="BB174" s="3"/>
    </row>
    <row r="175" spans="1:5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3"/>
      <c r="AV175" s="3"/>
      <c r="AW175" s="3"/>
      <c r="AX175" s="3"/>
      <c r="AY175" s="3"/>
      <c r="AZ175" s="3"/>
      <c r="BA175" s="3"/>
      <c r="BB175" s="3"/>
    </row>
    <row r="176" spans="1:5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3"/>
      <c r="AV176" s="3"/>
      <c r="AW176" s="3"/>
      <c r="AX176" s="3"/>
      <c r="AY176" s="3"/>
      <c r="AZ176" s="3"/>
      <c r="BA176" s="3"/>
      <c r="BB176" s="3"/>
    </row>
    <row r="177" spans="1:5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3"/>
      <c r="AV177" s="3"/>
      <c r="AW177" s="3"/>
      <c r="AX177" s="3"/>
      <c r="AY177" s="3"/>
      <c r="AZ177" s="3"/>
      <c r="BA177" s="3"/>
      <c r="BB177" s="3"/>
    </row>
    <row r="178" spans="1:5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3"/>
      <c r="AV178" s="3"/>
      <c r="AW178" s="3"/>
      <c r="AX178" s="3"/>
      <c r="AY178" s="3"/>
      <c r="AZ178" s="3"/>
      <c r="BA178" s="3"/>
      <c r="BB178" s="3"/>
    </row>
    <row r="179" spans="1:5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3"/>
      <c r="AV179" s="3"/>
      <c r="AW179" s="3"/>
      <c r="AX179" s="3"/>
      <c r="AY179" s="3"/>
      <c r="AZ179" s="3"/>
      <c r="BA179" s="3"/>
      <c r="BB179" s="3"/>
    </row>
    <row r="180" spans="1:5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3"/>
      <c r="AV180" s="3"/>
      <c r="AW180" s="3"/>
      <c r="AX180" s="3"/>
      <c r="AY180" s="3"/>
      <c r="AZ180" s="3"/>
      <c r="BA180" s="3"/>
      <c r="BB180" s="3"/>
    </row>
    <row r="181" spans="1:5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3"/>
      <c r="AV181" s="3"/>
      <c r="AW181" s="3"/>
      <c r="AX181" s="3"/>
      <c r="AY181" s="3"/>
      <c r="AZ181" s="3"/>
      <c r="BA181" s="3"/>
      <c r="BB181" s="3"/>
    </row>
    <row r="182" spans="1:5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3"/>
      <c r="AV182" s="3"/>
      <c r="AW182" s="3"/>
      <c r="AX182" s="3"/>
      <c r="AY182" s="3"/>
      <c r="AZ182" s="3"/>
      <c r="BA182" s="3"/>
      <c r="BB182" s="3"/>
    </row>
    <row r="183" spans="1:5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3"/>
      <c r="AV183" s="3"/>
      <c r="AW183" s="3"/>
      <c r="AX183" s="3"/>
      <c r="AY183" s="3"/>
      <c r="AZ183" s="3"/>
      <c r="BA183" s="3"/>
      <c r="BB183" s="3"/>
    </row>
    <row r="184" spans="1:5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3"/>
      <c r="AV184" s="3"/>
      <c r="AW184" s="3"/>
      <c r="AX184" s="3"/>
      <c r="AY184" s="3"/>
      <c r="AZ184" s="3"/>
      <c r="BA184" s="3"/>
      <c r="BB184" s="3"/>
    </row>
    <row r="185" spans="1:5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3"/>
      <c r="AV185" s="3"/>
      <c r="AW185" s="3"/>
      <c r="AX185" s="3"/>
      <c r="AY185" s="3"/>
      <c r="AZ185" s="3"/>
      <c r="BA185" s="3"/>
      <c r="BB185" s="3"/>
    </row>
    <row r="186" spans="1:5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3"/>
      <c r="AV186" s="3"/>
      <c r="AW186" s="3"/>
      <c r="AX186" s="3"/>
      <c r="AY186" s="3"/>
      <c r="AZ186" s="3"/>
      <c r="BA186" s="3"/>
      <c r="BB186" s="3"/>
    </row>
    <row r="187" spans="1:5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3"/>
      <c r="AV187" s="3"/>
      <c r="AW187" s="3"/>
      <c r="AX187" s="3"/>
      <c r="AY187" s="3"/>
      <c r="AZ187" s="3"/>
      <c r="BA187" s="3"/>
      <c r="BB187" s="3"/>
    </row>
    <row r="188" spans="1:5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3"/>
      <c r="AV188" s="3"/>
      <c r="AW188" s="3"/>
      <c r="AX188" s="3"/>
      <c r="AY188" s="3"/>
      <c r="AZ188" s="3"/>
      <c r="BA188" s="3"/>
      <c r="BB188" s="3"/>
    </row>
    <row r="189" spans="1:5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3"/>
      <c r="AV189" s="3"/>
      <c r="AW189" s="3"/>
      <c r="AX189" s="3"/>
      <c r="AY189" s="3"/>
      <c r="AZ189" s="3"/>
      <c r="BA189" s="3"/>
      <c r="BB189" s="3"/>
    </row>
    <row r="190" spans="1:5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3"/>
      <c r="AV190" s="3"/>
      <c r="AW190" s="3"/>
      <c r="AX190" s="3"/>
      <c r="AY190" s="3"/>
      <c r="AZ190" s="3"/>
      <c r="BA190" s="3"/>
      <c r="BB190" s="3"/>
    </row>
    <row r="191" spans="1:5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3"/>
      <c r="AV191" s="3"/>
      <c r="AW191" s="3"/>
      <c r="AX191" s="3"/>
      <c r="AY191" s="3"/>
      <c r="AZ191" s="3"/>
      <c r="BA191" s="3"/>
      <c r="BB191" s="3"/>
    </row>
    <row r="192" spans="1:5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3"/>
      <c r="AV192" s="3"/>
      <c r="AW192" s="3"/>
      <c r="AX192" s="3"/>
      <c r="AY192" s="3"/>
      <c r="AZ192" s="3"/>
      <c r="BA192" s="3"/>
      <c r="BB192" s="3"/>
    </row>
    <row r="193" spans="1:5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3"/>
      <c r="AV193" s="3"/>
      <c r="AW193" s="3"/>
      <c r="AX193" s="3"/>
      <c r="AY193" s="3"/>
      <c r="AZ193" s="3"/>
      <c r="BA193" s="3"/>
      <c r="BB193" s="3"/>
    </row>
    <row r="194" spans="1:5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3"/>
      <c r="AV194" s="3"/>
      <c r="AW194" s="3"/>
      <c r="AX194" s="3"/>
      <c r="AY194" s="3"/>
      <c r="AZ194" s="3"/>
      <c r="BA194" s="3"/>
      <c r="BB194" s="3"/>
    </row>
    <row r="195" spans="1:5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3"/>
      <c r="AV195" s="3"/>
      <c r="AW195" s="3"/>
      <c r="AX195" s="3"/>
      <c r="AY195" s="3"/>
      <c r="AZ195" s="3"/>
      <c r="BA195" s="3"/>
      <c r="BB195" s="3"/>
    </row>
    <row r="196" spans="1:5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3"/>
      <c r="AV196" s="3"/>
      <c r="AW196" s="3"/>
      <c r="AX196" s="3"/>
      <c r="AY196" s="3"/>
      <c r="AZ196" s="3"/>
      <c r="BA196" s="3"/>
      <c r="BB196" s="3"/>
    </row>
    <row r="197" spans="1:5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3"/>
      <c r="AV197" s="3"/>
      <c r="AW197" s="3"/>
      <c r="AX197" s="3"/>
      <c r="AY197" s="3"/>
      <c r="AZ197" s="3"/>
      <c r="BA197" s="3"/>
      <c r="BB197" s="3"/>
    </row>
    <row r="198" spans="1:5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3"/>
      <c r="AV198" s="3"/>
      <c r="AW198" s="3"/>
      <c r="AX198" s="3"/>
      <c r="AY198" s="3"/>
      <c r="AZ198" s="3"/>
      <c r="BA198" s="3"/>
      <c r="BB198" s="3"/>
    </row>
    <row r="199" spans="1:5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3"/>
      <c r="AV199" s="3"/>
      <c r="AW199" s="3"/>
      <c r="AX199" s="3"/>
      <c r="AY199" s="3"/>
      <c r="AZ199" s="3"/>
      <c r="BA199" s="3"/>
      <c r="BB199" s="3"/>
    </row>
    <row r="200" spans="1:5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3"/>
      <c r="AV200" s="3"/>
      <c r="AW200" s="3"/>
      <c r="AX200" s="3"/>
      <c r="AY200" s="3"/>
      <c r="AZ200" s="3"/>
      <c r="BA200" s="3"/>
      <c r="BB200" s="3"/>
    </row>
    <row r="201" spans="1:5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3"/>
      <c r="AV201" s="3"/>
      <c r="AW201" s="3"/>
      <c r="AX201" s="3"/>
      <c r="AY201" s="3"/>
      <c r="AZ201" s="3"/>
      <c r="BA201" s="3"/>
      <c r="BB201" s="3"/>
    </row>
    <row r="202" spans="1:5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3"/>
      <c r="AV202" s="3"/>
      <c r="AW202" s="3"/>
      <c r="AX202" s="3"/>
      <c r="AY202" s="3"/>
      <c r="AZ202" s="3"/>
      <c r="BA202" s="3"/>
      <c r="BB202" s="3"/>
    </row>
    <row r="203" spans="1:5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3"/>
      <c r="AV203" s="3"/>
      <c r="AW203" s="3"/>
      <c r="AX203" s="3"/>
      <c r="AY203" s="3"/>
      <c r="AZ203" s="3"/>
      <c r="BA203" s="3"/>
      <c r="BB203" s="3"/>
    </row>
    <row r="204" spans="1:5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3"/>
      <c r="AV204" s="3"/>
      <c r="AW204" s="3"/>
      <c r="AX204" s="3"/>
      <c r="AY204" s="3"/>
      <c r="AZ204" s="3"/>
      <c r="BA204" s="3"/>
      <c r="BB204" s="3"/>
    </row>
    <row r="205" spans="1:5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3"/>
      <c r="AV205" s="3"/>
      <c r="AW205" s="3"/>
      <c r="AX205" s="3"/>
      <c r="AY205" s="3"/>
      <c r="AZ205" s="3"/>
      <c r="BA205" s="3"/>
      <c r="BB205" s="3"/>
    </row>
    <row r="206" spans="1:5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3"/>
      <c r="AV206" s="3"/>
      <c r="AW206" s="3"/>
      <c r="AX206" s="3"/>
      <c r="AY206" s="3"/>
      <c r="AZ206" s="3"/>
      <c r="BA206" s="3"/>
      <c r="BB206" s="3"/>
    </row>
    <row r="207" spans="1:5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3"/>
      <c r="AV207" s="3"/>
      <c r="AW207" s="3"/>
      <c r="AX207" s="3"/>
      <c r="AY207" s="3"/>
      <c r="AZ207" s="3"/>
      <c r="BA207" s="3"/>
      <c r="BB207" s="3"/>
    </row>
    <row r="208" spans="1:5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3"/>
      <c r="AV208" s="3"/>
      <c r="AW208" s="3"/>
      <c r="AX208" s="3"/>
      <c r="AY208" s="3"/>
      <c r="AZ208" s="3"/>
      <c r="BA208" s="3"/>
      <c r="BB208" s="3"/>
    </row>
    <row r="209" spans="1:5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3"/>
      <c r="AV209" s="3"/>
      <c r="AW209" s="3"/>
      <c r="AX209" s="3"/>
      <c r="AY209" s="3"/>
      <c r="AZ209" s="3"/>
      <c r="BA209" s="3"/>
      <c r="BB209" s="3"/>
    </row>
    <row r="210" spans="1:5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3"/>
      <c r="AV210" s="3"/>
      <c r="AW210" s="3"/>
      <c r="AX210" s="3"/>
      <c r="AY210" s="3"/>
      <c r="AZ210" s="3"/>
      <c r="BA210" s="3"/>
      <c r="BB210" s="3"/>
    </row>
    <row r="211" spans="1:5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3"/>
      <c r="AV211" s="3"/>
      <c r="AW211" s="3"/>
      <c r="AX211" s="3"/>
      <c r="AY211" s="3"/>
      <c r="AZ211" s="3"/>
      <c r="BA211" s="3"/>
      <c r="BB211" s="3"/>
    </row>
    <row r="212" spans="1:5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3"/>
      <c r="AV212" s="3"/>
      <c r="AW212" s="3"/>
      <c r="AX212" s="3"/>
      <c r="AY212" s="3"/>
      <c r="AZ212" s="3"/>
      <c r="BA212" s="3"/>
      <c r="BB212" s="3"/>
    </row>
    <row r="213" spans="1:5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3"/>
      <c r="AV213" s="3"/>
      <c r="AW213" s="3"/>
      <c r="AX213" s="3"/>
      <c r="AY213" s="3"/>
      <c r="AZ213" s="3"/>
      <c r="BA213" s="3"/>
      <c r="BB213" s="3"/>
    </row>
    <row r="214" spans="1:5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3"/>
      <c r="AV214" s="3"/>
      <c r="AW214" s="3"/>
      <c r="AX214" s="3"/>
      <c r="AY214" s="3"/>
      <c r="AZ214" s="3"/>
      <c r="BA214" s="3"/>
      <c r="BB214" s="3"/>
    </row>
    <row r="215" spans="1:5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3"/>
      <c r="AV215" s="3"/>
      <c r="AW215" s="3"/>
      <c r="AX215" s="3"/>
      <c r="AY215" s="3"/>
      <c r="AZ215" s="3"/>
      <c r="BA215" s="3"/>
      <c r="BB215" s="3"/>
    </row>
    <row r="216" spans="1:5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3"/>
      <c r="AV216" s="3"/>
      <c r="AW216" s="3"/>
      <c r="AX216" s="3"/>
      <c r="AY216" s="3"/>
      <c r="AZ216" s="3"/>
      <c r="BA216" s="3"/>
      <c r="BB216" s="3"/>
    </row>
    <row r="217" spans="1:5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3"/>
      <c r="AV217" s="3"/>
      <c r="AW217" s="3"/>
      <c r="AX217" s="3"/>
      <c r="AY217" s="3"/>
      <c r="AZ217" s="3"/>
      <c r="BA217" s="3"/>
      <c r="BB217" s="3"/>
    </row>
    <row r="218" spans="1:5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3"/>
      <c r="AV218" s="3"/>
      <c r="AW218" s="3"/>
      <c r="AX218" s="3"/>
      <c r="AY218" s="3"/>
      <c r="AZ218" s="3"/>
      <c r="BA218" s="3"/>
      <c r="BB218" s="3"/>
    </row>
    <row r="219" spans="1:5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3"/>
      <c r="AV219" s="3"/>
      <c r="AW219" s="3"/>
      <c r="AX219" s="3"/>
      <c r="AY219" s="3"/>
      <c r="AZ219" s="3"/>
      <c r="BA219" s="3"/>
      <c r="BB219" s="3"/>
    </row>
    <row r="220" spans="1:5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3"/>
      <c r="AV220" s="3"/>
      <c r="AW220" s="3"/>
      <c r="AX220" s="3"/>
      <c r="AY220" s="3"/>
      <c r="AZ220" s="3"/>
      <c r="BA220" s="3"/>
      <c r="BB220" s="3"/>
    </row>
    <row r="221" spans="1:5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3"/>
      <c r="AV221" s="3"/>
      <c r="AW221" s="3"/>
      <c r="AX221" s="3"/>
      <c r="AY221" s="3"/>
      <c r="AZ221" s="3"/>
      <c r="BA221" s="3"/>
      <c r="BB221" s="3"/>
    </row>
    <row r="222" spans="1:5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3"/>
      <c r="AV222" s="3"/>
      <c r="AW222" s="3"/>
      <c r="AX222" s="3"/>
      <c r="AY222" s="3"/>
      <c r="AZ222" s="3"/>
      <c r="BA222" s="3"/>
      <c r="BB222" s="3"/>
    </row>
    <row r="223" spans="1:5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3"/>
      <c r="AV223" s="3"/>
      <c r="AW223" s="3"/>
      <c r="AX223" s="3"/>
      <c r="AY223" s="3"/>
      <c r="AZ223" s="3"/>
      <c r="BA223" s="3"/>
      <c r="BB223" s="3"/>
    </row>
    <row r="224" spans="1:5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3"/>
      <c r="AV224" s="3"/>
      <c r="AW224" s="3"/>
      <c r="AX224" s="3"/>
      <c r="AY224" s="3"/>
      <c r="AZ224" s="3"/>
      <c r="BA224" s="3"/>
      <c r="BB224" s="3"/>
    </row>
    <row r="225" spans="1:5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3"/>
      <c r="AV225" s="3"/>
      <c r="AW225" s="3"/>
      <c r="AX225" s="3"/>
      <c r="AY225" s="3"/>
      <c r="AZ225" s="3"/>
      <c r="BA225" s="3"/>
      <c r="BB225" s="3"/>
    </row>
    <row r="226" spans="1:5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3"/>
      <c r="AV226" s="3"/>
      <c r="AW226" s="3"/>
      <c r="AX226" s="3"/>
      <c r="AY226" s="3"/>
      <c r="AZ226" s="3"/>
      <c r="BA226" s="3"/>
      <c r="BB226" s="3"/>
    </row>
    <row r="227" spans="1:5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3"/>
      <c r="AV227" s="3"/>
      <c r="AW227" s="3"/>
      <c r="AX227" s="3"/>
      <c r="AY227" s="3"/>
      <c r="AZ227" s="3"/>
      <c r="BA227" s="3"/>
      <c r="BB227" s="3"/>
    </row>
    <row r="228" spans="1:5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3"/>
      <c r="AV228" s="3"/>
      <c r="AW228" s="3"/>
      <c r="AX228" s="3"/>
      <c r="AY228" s="3"/>
      <c r="AZ228" s="3"/>
      <c r="BA228" s="3"/>
      <c r="BB228" s="3"/>
    </row>
    <row r="229" spans="1:5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3"/>
      <c r="AV229" s="3"/>
      <c r="AW229" s="3"/>
      <c r="AX229" s="3"/>
      <c r="AY229" s="3"/>
      <c r="AZ229" s="3"/>
      <c r="BA229" s="3"/>
      <c r="BB229" s="3"/>
    </row>
    <row r="230" spans="1:5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3"/>
      <c r="AV230" s="3"/>
      <c r="AW230" s="3"/>
      <c r="AX230" s="3"/>
      <c r="AY230" s="3"/>
      <c r="AZ230" s="3"/>
      <c r="BA230" s="3"/>
      <c r="BB230" s="3"/>
    </row>
    <row r="231" spans="1:5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3"/>
      <c r="AV231" s="3"/>
      <c r="AW231" s="3"/>
      <c r="AX231" s="3"/>
      <c r="AY231" s="3"/>
      <c r="AZ231" s="3"/>
      <c r="BA231" s="3"/>
      <c r="BB231" s="3"/>
    </row>
    <row r="232" spans="1:5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3"/>
      <c r="AV232" s="3"/>
      <c r="AW232" s="3"/>
      <c r="AX232" s="3"/>
      <c r="AY232" s="3"/>
      <c r="AZ232" s="3"/>
      <c r="BA232" s="3"/>
      <c r="BB232" s="3"/>
    </row>
    <row r="233" spans="1:5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3"/>
      <c r="AV233" s="3"/>
      <c r="AW233" s="3"/>
      <c r="AX233" s="3"/>
      <c r="AY233" s="3"/>
      <c r="AZ233" s="3"/>
      <c r="BA233" s="3"/>
      <c r="BB233" s="3"/>
    </row>
    <row r="234" spans="1:5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3"/>
      <c r="AV234" s="3"/>
      <c r="AW234" s="3"/>
      <c r="AX234" s="3"/>
      <c r="AY234" s="3"/>
      <c r="AZ234" s="3"/>
      <c r="BA234" s="3"/>
      <c r="BB234" s="3"/>
    </row>
    <row r="235" spans="1:5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3"/>
      <c r="AV235" s="3"/>
      <c r="AW235" s="3"/>
      <c r="AX235" s="3"/>
      <c r="AY235" s="3"/>
      <c r="AZ235" s="3"/>
      <c r="BA235" s="3"/>
      <c r="BB235" s="3"/>
    </row>
    <row r="236" spans="1:5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3"/>
      <c r="AV236" s="3"/>
      <c r="AW236" s="3"/>
      <c r="AX236" s="3"/>
      <c r="AY236" s="3"/>
      <c r="AZ236" s="3"/>
      <c r="BA236" s="3"/>
      <c r="BB236" s="3"/>
    </row>
    <row r="237" spans="1:5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3"/>
      <c r="AV237" s="3"/>
      <c r="AW237" s="3"/>
      <c r="AX237" s="3"/>
      <c r="AY237" s="3"/>
      <c r="AZ237" s="3"/>
      <c r="BA237" s="3"/>
      <c r="BB237" s="3"/>
    </row>
    <row r="238" spans="1:5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3"/>
      <c r="AV238" s="3"/>
      <c r="AW238" s="3"/>
      <c r="AX238" s="3"/>
      <c r="AY238" s="3"/>
      <c r="AZ238" s="3"/>
      <c r="BA238" s="3"/>
      <c r="BB238" s="3"/>
    </row>
    <row r="239" spans="1:5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3"/>
      <c r="AV239" s="3"/>
      <c r="AW239" s="3"/>
      <c r="AX239" s="3"/>
      <c r="AY239" s="3"/>
      <c r="AZ239" s="3"/>
      <c r="BA239" s="3"/>
      <c r="BB239" s="3"/>
    </row>
    <row r="240" spans="1:5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3"/>
      <c r="AV240" s="3"/>
      <c r="AW240" s="3"/>
      <c r="AX240" s="3"/>
      <c r="AY240" s="3"/>
      <c r="AZ240" s="3"/>
      <c r="BA240" s="3"/>
      <c r="BB240" s="3"/>
    </row>
    <row r="241" spans="1:5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3"/>
      <c r="AV241" s="3"/>
      <c r="AW241" s="3"/>
      <c r="AX241" s="3"/>
      <c r="AY241" s="3"/>
      <c r="AZ241" s="3"/>
      <c r="BA241" s="3"/>
      <c r="BB241" s="3"/>
    </row>
    <row r="242" spans="1:5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3"/>
      <c r="AV242" s="3"/>
      <c r="AW242" s="3"/>
      <c r="AX242" s="3"/>
      <c r="AY242" s="3"/>
      <c r="AZ242" s="3"/>
      <c r="BA242" s="3"/>
      <c r="BB242" s="3"/>
    </row>
    <row r="243" spans="1:5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3"/>
      <c r="AV243" s="3"/>
      <c r="AW243" s="3"/>
      <c r="AX243" s="3"/>
      <c r="AY243" s="3"/>
      <c r="AZ243" s="3"/>
      <c r="BA243" s="3"/>
      <c r="BB243" s="3"/>
    </row>
    <row r="244" spans="1:5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3"/>
      <c r="AV244" s="3"/>
      <c r="AW244" s="3"/>
      <c r="AX244" s="3"/>
      <c r="AY244" s="3"/>
      <c r="AZ244" s="3"/>
      <c r="BA244" s="3"/>
      <c r="BB244" s="3"/>
    </row>
    <row r="245" spans="1:5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3"/>
      <c r="AV245" s="3"/>
      <c r="AW245" s="3"/>
      <c r="AX245" s="3"/>
      <c r="AY245" s="3"/>
      <c r="AZ245" s="3"/>
      <c r="BA245" s="3"/>
      <c r="BB245" s="3"/>
    </row>
    <row r="246" spans="1:5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c r="AS246" s="53"/>
      <c r="AT246" s="53"/>
      <c r="AU246" s="3"/>
      <c r="AV246" s="3"/>
      <c r="AW246" s="3"/>
      <c r="AX246" s="3"/>
      <c r="AY246" s="3"/>
      <c r="AZ246" s="3"/>
      <c r="BA246" s="3"/>
      <c r="BB246" s="3"/>
    </row>
    <row r="247" spans="1:5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3"/>
      <c r="AV247" s="3"/>
      <c r="AW247" s="3"/>
      <c r="AX247" s="3"/>
      <c r="AY247" s="3"/>
      <c r="AZ247" s="3"/>
      <c r="BA247" s="3"/>
      <c r="BB247" s="3"/>
    </row>
    <row r="248" spans="1:5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c r="AS248" s="53"/>
      <c r="AT248" s="53"/>
      <c r="AU248" s="3"/>
      <c r="AV248" s="3"/>
      <c r="AW248" s="3"/>
      <c r="AX248" s="3"/>
      <c r="AY248" s="3"/>
      <c r="AZ248" s="3"/>
      <c r="BA248" s="3"/>
      <c r="BB248" s="3"/>
    </row>
    <row r="249" spans="1:5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c r="AS249" s="53"/>
      <c r="AT249" s="53"/>
      <c r="AU249" s="3"/>
      <c r="AV249" s="3"/>
      <c r="AW249" s="3"/>
      <c r="AX249" s="3"/>
      <c r="AY249" s="3"/>
      <c r="AZ249" s="3"/>
      <c r="BA249" s="3"/>
      <c r="BB249" s="3"/>
    </row>
    <row r="250" spans="1:5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c r="AS250" s="53"/>
      <c r="AT250" s="53"/>
      <c r="AU250" s="3"/>
      <c r="AV250" s="3"/>
      <c r="AW250" s="3"/>
      <c r="AX250" s="3"/>
      <c r="AY250" s="3"/>
      <c r="AZ250" s="3"/>
      <c r="BA250" s="3"/>
      <c r="BB250" s="3"/>
    </row>
    <row r="251" spans="1:5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c r="AS251" s="53"/>
      <c r="AT251" s="53"/>
      <c r="AU251" s="3"/>
      <c r="AV251" s="3"/>
      <c r="AW251" s="3"/>
      <c r="AX251" s="3"/>
      <c r="AY251" s="3"/>
      <c r="AZ251" s="3"/>
      <c r="BA251" s="3"/>
      <c r="BB251" s="3"/>
    </row>
    <row r="252" spans="1:5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c r="AS252" s="53"/>
      <c r="AT252" s="53"/>
      <c r="AU252" s="3"/>
      <c r="AV252" s="3"/>
      <c r="AW252" s="3"/>
      <c r="AX252" s="3"/>
      <c r="AY252" s="3"/>
      <c r="AZ252" s="3"/>
      <c r="BA252" s="3"/>
      <c r="BB252" s="3"/>
    </row>
    <row r="253" spans="1:5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c r="AS253" s="53"/>
      <c r="AT253" s="53"/>
      <c r="AU253" s="3"/>
      <c r="AV253" s="3"/>
      <c r="AW253" s="3"/>
      <c r="AX253" s="3"/>
      <c r="AY253" s="3"/>
      <c r="AZ253" s="3"/>
      <c r="BA253" s="3"/>
      <c r="BB253" s="3"/>
    </row>
    <row r="254" spans="1:5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c r="AS254" s="53"/>
      <c r="AT254" s="53"/>
      <c r="AU254" s="3"/>
      <c r="AV254" s="3"/>
      <c r="AW254" s="3"/>
      <c r="AX254" s="3"/>
      <c r="AY254" s="3"/>
      <c r="AZ254" s="3"/>
      <c r="BA254" s="3"/>
      <c r="BB254" s="3"/>
    </row>
    <row r="255" spans="1:5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c r="AS255" s="53"/>
      <c r="AT255" s="53"/>
      <c r="AU255" s="3"/>
      <c r="AV255" s="3"/>
      <c r="AW255" s="3"/>
      <c r="AX255" s="3"/>
      <c r="AY255" s="3"/>
      <c r="AZ255" s="3"/>
      <c r="BA255" s="3"/>
      <c r="BB255" s="3"/>
    </row>
    <row r="256" spans="1:5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c r="AS256" s="53"/>
      <c r="AT256" s="53"/>
      <c r="AU256" s="3"/>
      <c r="AV256" s="3"/>
      <c r="AW256" s="3"/>
      <c r="AX256" s="3"/>
      <c r="AY256" s="3"/>
      <c r="AZ256" s="3"/>
      <c r="BA256" s="3"/>
      <c r="BB256" s="3"/>
    </row>
    <row r="257" spans="1:5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c r="AS257" s="53"/>
      <c r="AT257" s="53"/>
      <c r="AU257" s="3"/>
      <c r="AV257" s="3"/>
      <c r="AW257" s="3"/>
      <c r="AX257" s="3"/>
      <c r="AY257" s="3"/>
      <c r="AZ257" s="3"/>
      <c r="BA257" s="3"/>
      <c r="BB257" s="3"/>
    </row>
    <row r="258" spans="1:5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c r="AS258" s="53"/>
      <c r="AT258" s="53"/>
      <c r="AU258" s="3"/>
      <c r="AV258" s="3"/>
      <c r="AW258" s="3"/>
      <c r="AX258" s="3"/>
      <c r="AY258" s="3"/>
      <c r="AZ258" s="3"/>
      <c r="BA258" s="3"/>
      <c r="BB258" s="3"/>
    </row>
    <row r="259" spans="1:5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c r="AS259" s="53"/>
      <c r="AT259" s="53"/>
      <c r="AU259" s="3"/>
      <c r="AV259" s="3"/>
      <c r="AW259" s="3"/>
      <c r="AX259" s="3"/>
      <c r="AY259" s="3"/>
      <c r="AZ259" s="3"/>
      <c r="BA259" s="3"/>
      <c r="BB259" s="3"/>
    </row>
    <row r="260" spans="1:5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c r="AS260" s="53"/>
      <c r="AT260" s="53"/>
      <c r="AU260" s="3"/>
      <c r="AV260" s="3"/>
      <c r="AW260" s="3"/>
      <c r="AX260" s="3"/>
      <c r="AY260" s="3"/>
      <c r="AZ260" s="3"/>
      <c r="BA260" s="3"/>
      <c r="BB260" s="3"/>
    </row>
    <row r="261" spans="1:5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c r="AS261" s="53"/>
      <c r="AT261" s="53"/>
      <c r="AU261" s="3"/>
      <c r="AV261" s="3"/>
      <c r="AW261" s="3"/>
      <c r="AX261" s="3"/>
      <c r="AY261" s="3"/>
      <c r="AZ261" s="3"/>
      <c r="BA261" s="3"/>
      <c r="BB261" s="3"/>
    </row>
    <row r="262" spans="1:5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c r="AS262" s="53"/>
      <c r="AT262" s="53"/>
      <c r="AU262" s="3"/>
      <c r="AV262" s="3"/>
      <c r="AW262" s="3"/>
      <c r="AX262" s="3"/>
      <c r="AY262" s="3"/>
      <c r="AZ262" s="3"/>
      <c r="BA262" s="3"/>
      <c r="BB262" s="3"/>
    </row>
    <row r="263" spans="1:5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3"/>
      <c r="AV263" s="3"/>
      <c r="AW263" s="3"/>
      <c r="AX263" s="3"/>
      <c r="AY263" s="3"/>
      <c r="AZ263" s="3"/>
      <c r="BA263" s="3"/>
      <c r="BB263" s="3"/>
    </row>
    <row r="264" spans="1:5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c r="AS264" s="53"/>
      <c r="AT264" s="53"/>
      <c r="AU264" s="3"/>
      <c r="AV264" s="3"/>
      <c r="AW264" s="3"/>
      <c r="AX264" s="3"/>
      <c r="AY264" s="3"/>
      <c r="AZ264" s="3"/>
      <c r="BA264" s="3"/>
      <c r="BB264" s="3"/>
    </row>
    <row r="265" spans="1:5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c r="AS265" s="53"/>
      <c r="AT265" s="53"/>
      <c r="AU265" s="3"/>
      <c r="AV265" s="3"/>
      <c r="AW265" s="3"/>
      <c r="AX265" s="3"/>
      <c r="AY265" s="3"/>
      <c r="AZ265" s="3"/>
      <c r="BA265" s="3"/>
      <c r="BB265" s="3"/>
    </row>
    <row r="266" spans="1:5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3"/>
      <c r="AV266" s="3"/>
      <c r="AW266" s="3"/>
      <c r="AX266" s="3"/>
      <c r="AY266" s="3"/>
      <c r="AZ266" s="3"/>
      <c r="BA266" s="3"/>
      <c r="BB266" s="3"/>
    </row>
    <row r="267" spans="1:5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c r="AS267" s="53"/>
      <c r="AT267" s="53"/>
      <c r="AU267" s="3"/>
      <c r="AV267" s="3"/>
      <c r="AW267" s="3"/>
      <c r="AX267" s="3"/>
      <c r="AY267" s="3"/>
      <c r="AZ267" s="3"/>
      <c r="BA267" s="3"/>
      <c r="BB267" s="3"/>
    </row>
    <row r="268" spans="1:5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c r="AS268" s="53"/>
      <c r="AT268" s="53"/>
      <c r="AU268" s="3"/>
      <c r="AV268" s="3"/>
      <c r="AW268" s="3"/>
      <c r="AX268" s="3"/>
      <c r="AY268" s="3"/>
      <c r="AZ268" s="3"/>
      <c r="BA268" s="3"/>
      <c r="BB268" s="3"/>
    </row>
    <row r="269" spans="1:5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3"/>
      <c r="AV269" s="3"/>
      <c r="AW269" s="3"/>
      <c r="AX269" s="3"/>
      <c r="AY269" s="3"/>
      <c r="AZ269" s="3"/>
      <c r="BA269" s="3"/>
      <c r="BB269" s="3"/>
    </row>
    <row r="270" spans="1:5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c r="AS270" s="53"/>
      <c r="AT270" s="53"/>
      <c r="AU270" s="3"/>
      <c r="AV270" s="3"/>
      <c r="AW270" s="3"/>
      <c r="AX270" s="3"/>
      <c r="AY270" s="3"/>
      <c r="AZ270" s="3"/>
      <c r="BA270" s="3"/>
      <c r="BB270" s="3"/>
    </row>
    <row r="271" spans="1:5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c r="AS271" s="53"/>
      <c r="AT271" s="53"/>
      <c r="AU271" s="3"/>
      <c r="AV271" s="3"/>
      <c r="AW271" s="3"/>
      <c r="AX271" s="3"/>
      <c r="AY271" s="3"/>
      <c r="AZ271" s="3"/>
      <c r="BA271" s="3"/>
      <c r="BB271" s="3"/>
    </row>
    <row r="272" spans="1:5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c r="AS272" s="53"/>
      <c r="AT272" s="53"/>
      <c r="AU272" s="3"/>
      <c r="AV272" s="3"/>
      <c r="AW272" s="3"/>
      <c r="AX272" s="3"/>
      <c r="AY272" s="3"/>
      <c r="AZ272" s="3"/>
      <c r="BA272" s="3"/>
      <c r="BB272" s="3"/>
    </row>
    <row r="273" spans="1:5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c r="AS273" s="53"/>
      <c r="AT273" s="53"/>
      <c r="AU273" s="3"/>
      <c r="AV273" s="3"/>
      <c r="AW273" s="3"/>
      <c r="AX273" s="3"/>
      <c r="AY273" s="3"/>
      <c r="AZ273" s="3"/>
      <c r="BA273" s="3"/>
      <c r="BB273" s="3"/>
    </row>
    <row r="274" spans="1:5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c r="AS274" s="53"/>
      <c r="AT274" s="53"/>
      <c r="AU274" s="3"/>
      <c r="AV274" s="3"/>
      <c r="AW274" s="3"/>
      <c r="AX274" s="3"/>
      <c r="AY274" s="3"/>
      <c r="AZ274" s="3"/>
      <c r="BA274" s="3"/>
      <c r="BB274" s="3"/>
    </row>
    <row r="275" spans="1:5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c r="AS275" s="53"/>
      <c r="AT275" s="53"/>
      <c r="AU275" s="3"/>
      <c r="AV275" s="3"/>
      <c r="AW275" s="3"/>
      <c r="AX275" s="3"/>
      <c r="AY275" s="3"/>
      <c r="AZ275" s="3"/>
      <c r="BA275" s="3"/>
      <c r="BB275" s="3"/>
    </row>
    <row r="276" spans="1:5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c r="AS276" s="53"/>
      <c r="AT276" s="53"/>
      <c r="AU276" s="3"/>
      <c r="AV276" s="3"/>
      <c r="AW276" s="3"/>
      <c r="AX276" s="3"/>
      <c r="AY276" s="3"/>
      <c r="AZ276" s="3"/>
      <c r="BA276" s="3"/>
      <c r="BB276" s="3"/>
    </row>
    <row r="277" spans="1:5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c r="AS277" s="53"/>
      <c r="AT277" s="53"/>
      <c r="AU277" s="3"/>
      <c r="AV277" s="3"/>
      <c r="AW277" s="3"/>
      <c r="AX277" s="3"/>
      <c r="AY277" s="3"/>
      <c r="AZ277" s="3"/>
      <c r="BA277" s="3"/>
      <c r="BB277" s="3"/>
    </row>
    <row r="278" spans="1:5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c r="AS278" s="53"/>
      <c r="AT278" s="53"/>
      <c r="AU278" s="3"/>
      <c r="AV278" s="3"/>
      <c r="AW278" s="3"/>
      <c r="AX278" s="3"/>
      <c r="AY278" s="3"/>
      <c r="AZ278" s="3"/>
      <c r="BA278" s="3"/>
      <c r="BB278" s="3"/>
    </row>
    <row r="279" spans="1:5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c r="AS279" s="53"/>
      <c r="AT279" s="53"/>
      <c r="AU279" s="3"/>
      <c r="AV279" s="3"/>
      <c r="AW279" s="3"/>
      <c r="AX279" s="3"/>
      <c r="AY279" s="3"/>
      <c r="AZ279" s="3"/>
      <c r="BA279" s="3"/>
      <c r="BB279" s="3"/>
    </row>
    <row r="280" spans="1:5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c r="AS280" s="53"/>
      <c r="AT280" s="53"/>
      <c r="AU280" s="3"/>
      <c r="AV280" s="3"/>
      <c r="AW280" s="3"/>
      <c r="AX280" s="3"/>
      <c r="AY280" s="3"/>
      <c r="AZ280" s="3"/>
      <c r="BA280" s="3"/>
      <c r="BB280" s="3"/>
    </row>
    <row r="281" spans="1:5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c r="AS281" s="53"/>
      <c r="AT281" s="53"/>
      <c r="AU281" s="3"/>
      <c r="AV281" s="3"/>
      <c r="AW281" s="3"/>
      <c r="AX281" s="3"/>
      <c r="AY281" s="3"/>
      <c r="AZ281" s="3"/>
      <c r="BA281" s="3"/>
      <c r="BB281" s="3"/>
    </row>
    <row r="282" spans="1:54" ht="15.75" customHeight="1"/>
    <row r="283" spans="1:54" ht="15.75" customHeight="1"/>
    <row r="284" spans="1:54" ht="15.75" customHeight="1"/>
    <row r="285" spans="1:54" ht="15.75" customHeight="1"/>
    <row r="286" spans="1:54" ht="15.75" customHeight="1"/>
    <row r="287" spans="1:54" ht="15.75" customHeight="1"/>
    <row r="288" spans="1:5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D00-000000000000}">
      <formula1>"TOU,non-TOU"</formula1>
    </dataValidation>
    <dataValidation type="list" allowBlank="1" showErrorMessage="1" sqref="E15:E28 E30:E36 E38:E39 E41:E49 E55 E61" xr:uid="{00000000-0002-0000-0D00-000001000000}">
      <formula1>#REF!</formula1>
    </dataValidation>
    <dataValidation type="list" allowBlank="1" showInputMessage="1" showErrorMessage="1" prompt="Select Charge Unit - monthly, per kWh, per kW" sqref="D15:D28 D30:D36 D38:D39 D41:D49 D55 D61" xr:uid="{00000000-0002-0000-0D00-000002000000}">
      <formula1>"Monthly,per kWh,per kW"</formula1>
    </dataValidation>
  </dataValidations>
  <pageMargins left="0.74803149606299213" right="0.74803149606299213" top="0.98425196850393704" bottom="0.98425196850393704"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R1000"/>
  <sheetViews>
    <sheetView showGridLines="0" workbookViewId="0">
      <pane xSplit="2" ySplit="14" topLeftCell="C15" activePane="bottomRight" state="frozen"/>
      <selection pane="topRight" activeCell="C1" sqref="C1"/>
      <selection pane="bottomLeft" activeCell="A15" sqref="A15"/>
      <selection pane="bottomRight" activeCell="C15" sqref="C15"/>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4257812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0.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2" customHeight="1">
      <c r="A1" s="3"/>
      <c r="B1" s="3"/>
      <c r="C1" s="3"/>
      <c r="D1" s="3"/>
      <c r="E1" s="3"/>
      <c r="F1" s="3"/>
      <c r="G1" s="3"/>
      <c r="H1" s="3"/>
      <c r="I1" s="3"/>
      <c r="J1" s="3"/>
      <c r="K1" s="3"/>
      <c r="L1" s="3"/>
      <c r="M1" s="3"/>
      <c r="N1" s="3"/>
      <c r="O1" s="3"/>
      <c r="P1" s="3"/>
      <c r="Q1" s="3"/>
      <c r="R1" s="3"/>
      <c r="S1" s="628" t="s">
        <v>319</v>
      </c>
      <c r="T1" s="629"/>
      <c r="U1" s="629"/>
      <c r="V1" s="629"/>
      <c r="W1" s="629"/>
      <c r="X1" s="629"/>
      <c r="Y1" s="630"/>
      <c r="Z1" s="3"/>
      <c r="AA1" s="3"/>
      <c r="AB1" s="3"/>
      <c r="AC1" s="3"/>
      <c r="AD1" s="3"/>
      <c r="AE1" s="3"/>
      <c r="AF1" s="3"/>
      <c r="AG1" s="3"/>
      <c r="AH1" s="3"/>
      <c r="AI1" s="3"/>
      <c r="AJ1" s="3"/>
      <c r="AK1" s="3"/>
      <c r="AL1" s="3"/>
      <c r="AM1" s="3"/>
      <c r="AN1" s="3"/>
      <c r="AO1" s="3"/>
      <c r="AP1" s="3"/>
      <c r="AQ1" s="3"/>
      <c r="AR1" s="3"/>
    </row>
    <row r="2" spans="1:44" ht="12"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4"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 customHeight="1">
      <c r="A6" s="53"/>
      <c r="B6" s="327" t="s">
        <v>323</v>
      </c>
      <c r="C6" s="53"/>
      <c r="D6" s="375" t="s">
        <v>247</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 customHeight="1">
      <c r="A10" s="53"/>
      <c r="B10" s="53"/>
      <c r="C10" s="53"/>
      <c r="D10" s="314" t="s">
        <v>326</v>
      </c>
      <c r="E10" s="314"/>
      <c r="F10" s="380">
        <v>750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4" ht="12"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4" ht="12"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4" ht="12"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4" ht="12" customHeight="1">
      <c r="A15" s="53"/>
      <c r="B15" s="328" t="s">
        <v>246</v>
      </c>
      <c r="C15" s="389" t="str">
        <f t="shared" ref="C15:C28" si="0">D$6&amp;"."&amp;B15</f>
        <v>Residential.Monthly Service Charge</v>
      </c>
      <c r="D15" s="390" t="s">
        <v>335</v>
      </c>
      <c r="E15" s="328"/>
      <c r="F15" s="391">
        <f>IFERROR(VLOOKUP($C15,'Proposed Rates'!$B:$J,F$11,FALSE),0)</f>
        <v>34.26</v>
      </c>
      <c r="G15" s="392">
        <f t="shared" ref="G15:G28" si="1">IF($D15="Monthly",1,IF($D15="per KWH",$F$10,0))</f>
        <v>1</v>
      </c>
      <c r="H15" s="394">
        <f t="shared" ref="H15:H28" si="2">G15*F15</f>
        <v>34.26</v>
      </c>
      <c r="I15" s="138"/>
      <c r="J15" s="391">
        <f>IFERROR(VLOOKUP($C15,'Proposed Rates'!$B:$J,J$11,FALSE),0)</f>
        <v>39.200000000000003</v>
      </c>
      <c r="K15" s="392">
        <f t="shared" ref="K15:K28" si="3">IF($D15="Monthly",1,IF($D15="per KWH",$F$10,0))</f>
        <v>1</v>
      </c>
      <c r="L15" s="394">
        <f t="shared" ref="L15:L28" si="4">K15*J15</f>
        <v>39.200000000000003</v>
      </c>
      <c r="M15" s="138"/>
      <c r="N15" s="395">
        <f t="shared" ref="N15:N48" si="5">L15-H15</f>
        <v>4.9400000000000048</v>
      </c>
      <c r="O15" s="396">
        <f t="shared" ref="O15:O48" si="6">IF((H15)=0,"",(N15/H15))</f>
        <v>0.14419147694103926</v>
      </c>
      <c r="P15" s="53"/>
      <c r="Q15" s="391">
        <f>IFERROR(VLOOKUP($C15,'Proposed Rates'!$B:$J,Q$11,FALSE),0)</f>
        <v>41.1</v>
      </c>
      <c r="R15" s="392">
        <f t="shared" ref="R15:R28" si="7">IF($D15="Monthly",1,IF($D15="per KWH",$F$10,0))</f>
        <v>1</v>
      </c>
      <c r="S15" s="394">
        <f t="shared" ref="S15:S28" si="8">R15*Q15</f>
        <v>41.1</v>
      </c>
      <c r="T15" s="138"/>
      <c r="U15" s="395">
        <f t="shared" ref="U15:U48" si="9">S15-L15</f>
        <v>1.8999999999999986</v>
      </c>
      <c r="V15" s="396">
        <f t="shared" ref="V15:V48" si="10">IF((L15)=0,"",(U15/L15))</f>
        <v>4.8469387755102004E-2</v>
      </c>
      <c r="W15" s="53"/>
      <c r="X15" s="391">
        <f>IFERROR(VLOOKUP($C15,'Proposed Rates'!$B:$J,X$11,FALSE),0)</f>
        <v>43.93</v>
      </c>
      <c r="Y15" s="392">
        <f t="shared" ref="Y15:Y28" si="11">IF($D15="Monthly",1,IF($D15="per KWH",$F$10,0))</f>
        <v>1</v>
      </c>
      <c r="Z15" s="394">
        <f t="shared" ref="Z15:Z28" si="12">Y15*X15</f>
        <v>43.93</v>
      </c>
      <c r="AA15" s="138"/>
      <c r="AB15" s="395">
        <f t="shared" ref="AB15:AB48" si="13">Z15-S15</f>
        <v>2.8299999999999983</v>
      </c>
      <c r="AC15" s="396">
        <f t="shared" ref="AC15:AC48" si="14">IF((S15)=0,"",(AB15/S15))</f>
        <v>6.8856447688564429E-2</v>
      </c>
      <c r="AD15" s="53"/>
      <c r="AE15" s="391">
        <f>IFERROR(VLOOKUP($C15,'Proposed Rates'!$B:$J,AE$11,FALSE),0)</f>
        <v>45.42</v>
      </c>
      <c r="AF15" s="392">
        <f t="shared" ref="AF15:AF28" si="15">IF($D15="Monthly",1,IF($D15="per KWH",$F$10,0))</f>
        <v>1</v>
      </c>
      <c r="AG15" s="394">
        <f t="shared" ref="AG15:AG28" si="16">AF15*AE15</f>
        <v>45.42</v>
      </c>
      <c r="AH15" s="138"/>
      <c r="AI15" s="395">
        <f t="shared" ref="AI15:AI48" si="17">AG15-Z15</f>
        <v>1.490000000000002</v>
      </c>
      <c r="AJ15" s="396">
        <f t="shared" ref="AJ15:AJ48" si="18">IF((Z15)=0,"",(AI15/Z15))</f>
        <v>3.3917596175734165E-2</v>
      </c>
      <c r="AK15" s="53"/>
      <c r="AL15" s="391">
        <f>IFERROR(VLOOKUP($C15,'Proposed Rates'!$B:$J,AL$11,FALSE),0)</f>
        <v>46.78</v>
      </c>
      <c r="AM15" s="392">
        <f t="shared" ref="AM15:AM28" si="19">IF($D15="Monthly",1,IF($D15="per KWH",$F$10,0))</f>
        <v>1</v>
      </c>
      <c r="AN15" s="394">
        <f t="shared" ref="AN15:AN28" si="20">AM15*AL15</f>
        <v>46.78</v>
      </c>
      <c r="AO15" s="138"/>
      <c r="AP15" s="395">
        <f t="shared" ref="AP15:AP48" si="21">AN15-AG15</f>
        <v>1.3599999999999994</v>
      </c>
      <c r="AQ15" s="396">
        <f t="shared" ref="AQ15:AQ48" si="22">IF((AG15)=0,"",(AP15/AG15))</f>
        <v>2.9942756494936138E-2</v>
      </c>
      <c r="AR15" s="397"/>
    </row>
    <row r="16" spans="1:44" ht="12" customHeight="1">
      <c r="A16" s="53"/>
      <c r="B16" s="328" t="s">
        <v>336</v>
      </c>
      <c r="C16" s="389" t="str">
        <f t="shared" si="0"/>
        <v>Residential.Smart Meter Rate Adder</v>
      </c>
      <c r="D16" s="390" t="s">
        <v>335</v>
      </c>
      <c r="E16" s="328"/>
      <c r="F16" s="391">
        <f>IFERROR(VLOOKUP($C16,'Proposed Rates'!$B:$J,F$11,FALSE),0)</f>
        <v>0</v>
      </c>
      <c r="G16" s="392">
        <f t="shared" si="1"/>
        <v>1</v>
      </c>
      <c r="H16" s="394">
        <f t="shared" si="2"/>
        <v>0</v>
      </c>
      <c r="I16" s="138"/>
      <c r="J16" s="391">
        <f>IFERROR(VLOOKUP($C16,'Proposed Rates'!$B:$J,J$11,FALSE),0)</f>
        <v>0</v>
      </c>
      <c r="K16" s="392">
        <f t="shared" si="3"/>
        <v>1</v>
      </c>
      <c r="L16" s="394">
        <f t="shared" si="4"/>
        <v>0</v>
      </c>
      <c r="M16" s="138"/>
      <c r="N16" s="395">
        <f t="shared" si="5"/>
        <v>0</v>
      </c>
      <c r="O16" s="396" t="str">
        <f t="shared" si="6"/>
        <v/>
      </c>
      <c r="P16" s="53"/>
      <c r="Q16" s="391">
        <f>IFERROR(VLOOKUP($C16,'Proposed Rates'!$B:$J,Q$11,FALSE),0)</f>
        <v>0</v>
      </c>
      <c r="R16" s="392">
        <f t="shared" si="7"/>
        <v>1</v>
      </c>
      <c r="S16" s="394">
        <f t="shared" si="8"/>
        <v>0</v>
      </c>
      <c r="T16" s="138"/>
      <c r="U16" s="395">
        <f t="shared" si="9"/>
        <v>0</v>
      </c>
      <c r="V16" s="396" t="str">
        <f t="shared" si="10"/>
        <v/>
      </c>
      <c r="W16" s="53"/>
      <c r="X16" s="391">
        <f>IFERROR(VLOOKUP($C16,'Proposed Rates'!$B:$J,X$11,FALSE),0)</f>
        <v>0</v>
      </c>
      <c r="Y16" s="392">
        <f t="shared" si="11"/>
        <v>1</v>
      </c>
      <c r="Z16" s="394">
        <f t="shared" si="12"/>
        <v>0</v>
      </c>
      <c r="AA16" s="138"/>
      <c r="AB16" s="395">
        <f t="shared" si="13"/>
        <v>0</v>
      </c>
      <c r="AC16" s="396" t="str">
        <f t="shared" si="14"/>
        <v/>
      </c>
      <c r="AD16" s="53"/>
      <c r="AE16" s="391">
        <f>IFERROR(VLOOKUP($C16,'Proposed Rates'!$B:$J,AE$11,FALSE),0)</f>
        <v>0</v>
      </c>
      <c r="AF16" s="392">
        <f t="shared" si="15"/>
        <v>1</v>
      </c>
      <c r="AG16" s="394">
        <f t="shared" si="16"/>
        <v>0</v>
      </c>
      <c r="AH16" s="138"/>
      <c r="AI16" s="395">
        <f t="shared" si="17"/>
        <v>0</v>
      </c>
      <c r="AJ16" s="396" t="str">
        <f t="shared" si="18"/>
        <v/>
      </c>
      <c r="AK16" s="53"/>
      <c r="AL16" s="391">
        <f>IFERROR(VLOOKUP($C16,'Proposed Rates'!$B:$J,AL$11,FALSE),0)</f>
        <v>0</v>
      </c>
      <c r="AM16" s="392">
        <f t="shared" si="19"/>
        <v>1</v>
      </c>
      <c r="AN16" s="394">
        <f t="shared" si="20"/>
        <v>0</v>
      </c>
      <c r="AO16" s="138"/>
      <c r="AP16" s="395">
        <f t="shared" si="21"/>
        <v>0</v>
      </c>
      <c r="AQ16" s="396" t="str">
        <f t="shared" si="22"/>
        <v/>
      </c>
      <c r="AR16" s="397"/>
    </row>
    <row r="17" spans="1:44" ht="12" customHeight="1">
      <c r="A17" s="53"/>
      <c r="B17" s="398" t="str">
        <f>'Proposed Rates'!C115</f>
        <v>Rate Rider Calculation for Forgone Revenue - variable</v>
      </c>
      <c r="C17" s="389" t="str">
        <f t="shared" si="0"/>
        <v>Residential.Rate Rider Calculation for Forgone Revenue - variable</v>
      </c>
      <c r="D17" s="390" t="s">
        <v>337</v>
      </c>
      <c r="E17" s="328"/>
      <c r="F17" s="391">
        <f>IFERROR(VLOOKUP($C17,'Proposed Rates'!$B:$J,F$11,FALSE),0)</f>
        <v>0</v>
      </c>
      <c r="G17" s="392">
        <f t="shared" si="1"/>
        <v>750</v>
      </c>
      <c r="H17" s="394">
        <f t="shared" si="2"/>
        <v>0</v>
      </c>
      <c r="I17" s="138"/>
      <c r="J17" s="391">
        <f>IFERROR(VLOOKUP($C17,'Proposed Rates'!$B:$J,J$11,FALSE),0)</f>
        <v>0</v>
      </c>
      <c r="K17" s="392">
        <f t="shared" si="3"/>
        <v>750</v>
      </c>
      <c r="L17" s="394">
        <f t="shared" si="4"/>
        <v>0</v>
      </c>
      <c r="M17" s="138"/>
      <c r="N17" s="395">
        <f t="shared" si="5"/>
        <v>0</v>
      </c>
      <c r="O17" s="396" t="str">
        <f t="shared" si="6"/>
        <v/>
      </c>
      <c r="P17" s="53"/>
      <c r="Q17" s="391">
        <f>IFERROR(VLOOKUP($C17,'Proposed Rates'!$B:$J,Q$11,FALSE),0)</f>
        <v>0</v>
      </c>
      <c r="R17" s="392">
        <f t="shared" si="7"/>
        <v>750</v>
      </c>
      <c r="S17" s="394">
        <f t="shared" si="8"/>
        <v>0</v>
      </c>
      <c r="T17" s="138"/>
      <c r="U17" s="395">
        <f t="shared" si="9"/>
        <v>0</v>
      </c>
      <c r="V17" s="396" t="str">
        <f t="shared" si="10"/>
        <v/>
      </c>
      <c r="W17" s="53"/>
      <c r="X17" s="391">
        <f>IFERROR(VLOOKUP($C17,'Proposed Rates'!$B:$J,X$11,FALSE),0)</f>
        <v>0</v>
      </c>
      <c r="Y17" s="392">
        <f t="shared" si="11"/>
        <v>750</v>
      </c>
      <c r="Z17" s="394">
        <f t="shared" si="12"/>
        <v>0</v>
      </c>
      <c r="AA17" s="138"/>
      <c r="AB17" s="395">
        <f t="shared" si="13"/>
        <v>0</v>
      </c>
      <c r="AC17" s="396" t="str">
        <f t="shared" si="14"/>
        <v/>
      </c>
      <c r="AD17" s="53"/>
      <c r="AE17" s="391">
        <f>IFERROR(VLOOKUP($C17,'Proposed Rates'!$B:$J,AE$11,FALSE),0)</f>
        <v>0</v>
      </c>
      <c r="AF17" s="392">
        <f t="shared" si="15"/>
        <v>750</v>
      </c>
      <c r="AG17" s="394">
        <f t="shared" si="16"/>
        <v>0</v>
      </c>
      <c r="AH17" s="138"/>
      <c r="AI17" s="395">
        <f t="shared" si="17"/>
        <v>0</v>
      </c>
      <c r="AJ17" s="396" t="str">
        <f t="shared" si="18"/>
        <v/>
      </c>
      <c r="AK17" s="53"/>
      <c r="AL17" s="391">
        <f>IFERROR(VLOOKUP($C17,'Proposed Rates'!$B:$J,AL$11,FALSE),0)</f>
        <v>0</v>
      </c>
      <c r="AM17" s="392">
        <f t="shared" si="19"/>
        <v>750</v>
      </c>
      <c r="AN17" s="394">
        <f t="shared" si="20"/>
        <v>0</v>
      </c>
      <c r="AO17" s="138"/>
      <c r="AP17" s="395">
        <f t="shared" si="21"/>
        <v>0</v>
      </c>
      <c r="AQ17" s="396" t="str">
        <f t="shared" si="22"/>
        <v/>
      </c>
      <c r="AR17" s="397"/>
    </row>
    <row r="18" spans="1:44" ht="12" customHeight="1">
      <c r="A18" s="53"/>
      <c r="B18" s="398" t="str">
        <f>'Proposed Rates'!C128</f>
        <v>Rate Rider Calculation for Forgone Revenue - fixed</v>
      </c>
      <c r="C18" s="389" t="str">
        <f t="shared" si="0"/>
        <v>Residential.Rate Rider Calculation for Forgone Revenue - fixed</v>
      </c>
      <c r="D18" s="390" t="s">
        <v>335</v>
      </c>
      <c r="E18" s="328"/>
      <c r="F18" s="391">
        <f>IFERROR(VLOOKUP($C18,'Proposed Rates'!$B:$J,F$11,FALSE),0)</f>
        <v>0</v>
      </c>
      <c r="G18" s="392">
        <f t="shared" si="1"/>
        <v>1</v>
      </c>
      <c r="H18" s="394">
        <f t="shared" si="2"/>
        <v>0</v>
      </c>
      <c r="I18" s="138"/>
      <c r="J18" s="391">
        <f>IFERROR(VLOOKUP($C18,'Proposed Rates'!$B:$J,J$11,FALSE),0)</f>
        <v>1.84</v>
      </c>
      <c r="K18" s="392">
        <f t="shared" si="3"/>
        <v>1</v>
      </c>
      <c r="L18" s="394">
        <f t="shared" si="4"/>
        <v>1.84</v>
      </c>
      <c r="M18" s="138"/>
      <c r="N18" s="395">
        <f t="shared" si="5"/>
        <v>1.84</v>
      </c>
      <c r="O18" s="396" t="str">
        <f t="shared" si="6"/>
        <v/>
      </c>
      <c r="P18" s="53"/>
      <c r="Q18" s="391">
        <f>IFERROR(VLOOKUP($C18,'Proposed Rates'!$B:$J,Q$11,FALSE),0)</f>
        <v>1.84</v>
      </c>
      <c r="R18" s="392">
        <f t="shared" si="7"/>
        <v>1</v>
      </c>
      <c r="S18" s="394">
        <f t="shared" si="8"/>
        <v>1.84</v>
      </c>
      <c r="T18" s="138"/>
      <c r="U18" s="395">
        <f t="shared" si="9"/>
        <v>0</v>
      </c>
      <c r="V18" s="396">
        <f t="shared" si="10"/>
        <v>0</v>
      </c>
      <c r="W18" s="53"/>
      <c r="X18" s="391">
        <f>IFERROR(VLOOKUP($C18,'Proposed Rates'!$B:$J,X$11,FALSE),0)</f>
        <v>0</v>
      </c>
      <c r="Y18" s="392">
        <f t="shared" si="11"/>
        <v>1</v>
      </c>
      <c r="Z18" s="394">
        <f t="shared" si="12"/>
        <v>0</v>
      </c>
      <c r="AA18" s="138"/>
      <c r="AB18" s="395">
        <f t="shared" si="13"/>
        <v>-1.84</v>
      </c>
      <c r="AC18" s="396">
        <f t="shared" si="14"/>
        <v>-1</v>
      </c>
      <c r="AD18" s="53"/>
      <c r="AE18" s="391">
        <f>IFERROR(VLOOKUP($C18,'Proposed Rates'!$B:$J,AE$11,FALSE),0)</f>
        <v>0</v>
      </c>
      <c r="AF18" s="392">
        <f t="shared" si="15"/>
        <v>1</v>
      </c>
      <c r="AG18" s="394">
        <f t="shared" si="16"/>
        <v>0</v>
      </c>
      <c r="AH18" s="138"/>
      <c r="AI18" s="395">
        <f t="shared" si="17"/>
        <v>0</v>
      </c>
      <c r="AJ18" s="396" t="str">
        <f t="shared" si="18"/>
        <v/>
      </c>
      <c r="AK18" s="53"/>
      <c r="AL18" s="391">
        <f>IFERROR(VLOOKUP($C18,'Proposed Rates'!$B:$J,AL$11,FALSE),0)</f>
        <v>0</v>
      </c>
      <c r="AM18" s="392">
        <f t="shared" si="19"/>
        <v>1</v>
      </c>
      <c r="AN18" s="394">
        <f t="shared" si="20"/>
        <v>0</v>
      </c>
      <c r="AO18" s="138"/>
      <c r="AP18" s="395">
        <f t="shared" si="21"/>
        <v>0</v>
      </c>
      <c r="AQ18" s="396" t="str">
        <f t="shared" si="22"/>
        <v/>
      </c>
      <c r="AR18" s="397"/>
    </row>
    <row r="19" spans="1:44" ht="12" customHeight="1">
      <c r="A19" s="53"/>
      <c r="B19" s="328" t="s">
        <v>62</v>
      </c>
      <c r="C19" s="389" t="str">
        <f t="shared" si="0"/>
        <v>Residential.Distribution Volumetric Rate</v>
      </c>
      <c r="D19" s="390" t="s">
        <v>337</v>
      </c>
      <c r="E19" s="328"/>
      <c r="F19" s="391">
        <f>IFERROR(VLOOKUP($C19,'Proposed Rates'!$B:$J,F$11,FALSE),0)</f>
        <v>0</v>
      </c>
      <c r="G19" s="392">
        <f t="shared" si="1"/>
        <v>750</v>
      </c>
      <c r="H19" s="394">
        <f t="shared" si="2"/>
        <v>0</v>
      </c>
      <c r="I19" s="138"/>
      <c r="J19" s="391">
        <f>IFERROR(VLOOKUP($C19,'Proposed Rates'!$B:$J,J$11,FALSE),0)</f>
        <v>0</v>
      </c>
      <c r="K19" s="392">
        <f t="shared" si="3"/>
        <v>750</v>
      </c>
      <c r="L19" s="394">
        <f t="shared" si="4"/>
        <v>0</v>
      </c>
      <c r="M19" s="138"/>
      <c r="N19" s="395">
        <f t="shared" si="5"/>
        <v>0</v>
      </c>
      <c r="O19" s="396" t="str">
        <f t="shared" si="6"/>
        <v/>
      </c>
      <c r="P19" s="53"/>
      <c r="Q19" s="391">
        <f>IFERROR(VLOOKUP($C19,'Proposed Rates'!$B:$J,Q$11,FALSE),0)</f>
        <v>0</v>
      </c>
      <c r="R19" s="392">
        <f t="shared" si="7"/>
        <v>750</v>
      </c>
      <c r="S19" s="394">
        <f t="shared" si="8"/>
        <v>0</v>
      </c>
      <c r="T19" s="138"/>
      <c r="U19" s="395">
        <f t="shared" si="9"/>
        <v>0</v>
      </c>
      <c r="V19" s="396" t="str">
        <f t="shared" si="10"/>
        <v/>
      </c>
      <c r="W19" s="53"/>
      <c r="X19" s="391">
        <f>IFERROR(VLOOKUP($C19,'Proposed Rates'!$B:$J,X$11,FALSE),0)</f>
        <v>0</v>
      </c>
      <c r="Y19" s="392">
        <f t="shared" si="11"/>
        <v>750</v>
      </c>
      <c r="Z19" s="394">
        <f t="shared" si="12"/>
        <v>0</v>
      </c>
      <c r="AA19" s="138"/>
      <c r="AB19" s="395">
        <f t="shared" si="13"/>
        <v>0</v>
      </c>
      <c r="AC19" s="396" t="str">
        <f t="shared" si="14"/>
        <v/>
      </c>
      <c r="AD19" s="53"/>
      <c r="AE19" s="391">
        <f>IFERROR(VLOOKUP($C19,'Proposed Rates'!$B:$J,AE$11,FALSE),0)</f>
        <v>0</v>
      </c>
      <c r="AF19" s="392">
        <f t="shared" si="15"/>
        <v>750</v>
      </c>
      <c r="AG19" s="394">
        <f t="shared" si="16"/>
        <v>0</v>
      </c>
      <c r="AH19" s="138"/>
      <c r="AI19" s="395">
        <f t="shared" si="17"/>
        <v>0</v>
      </c>
      <c r="AJ19" s="396" t="str">
        <f t="shared" si="18"/>
        <v/>
      </c>
      <c r="AK19" s="53"/>
      <c r="AL19" s="391">
        <f>IFERROR(VLOOKUP($C19,'Proposed Rates'!$B:$J,AL$11,FALSE),0)</f>
        <v>0</v>
      </c>
      <c r="AM19" s="392">
        <f t="shared" si="19"/>
        <v>750</v>
      </c>
      <c r="AN19" s="394">
        <f t="shared" si="20"/>
        <v>0</v>
      </c>
      <c r="AO19" s="138"/>
      <c r="AP19" s="395">
        <f t="shared" si="21"/>
        <v>0</v>
      </c>
      <c r="AQ19" s="396" t="str">
        <f t="shared" si="22"/>
        <v/>
      </c>
      <c r="AR19" s="397"/>
    </row>
    <row r="20" spans="1:44" ht="12" customHeight="1">
      <c r="A20" s="53"/>
      <c r="B20" s="328" t="s">
        <v>338</v>
      </c>
      <c r="C20" s="389" t="str">
        <f t="shared" si="0"/>
        <v>Residential.Smart Meter Disposition Rider</v>
      </c>
      <c r="D20" s="390" t="s">
        <v>337</v>
      </c>
      <c r="E20" s="328"/>
      <c r="F20" s="391">
        <f>IFERROR(VLOOKUP($C20,'Proposed Rates'!$B:$J,F$11,FALSE),0)</f>
        <v>0</v>
      </c>
      <c r="G20" s="392">
        <f t="shared" si="1"/>
        <v>750</v>
      </c>
      <c r="H20" s="394">
        <f t="shared" si="2"/>
        <v>0</v>
      </c>
      <c r="I20" s="138"/>
      <c r="J20" s="391">
        <f>IFERROR(VLOOKUP($C20,'Proposed Rates'!$B:$J,J$11,FALSE),0)</f>
        <v>0</v>
      </c>
      <c r="K20" s="392">
        <f t="shared" si="3"/>
        <v>750</v>
      </c>
      <c r="L20" s="394">
        <f t="shared" si="4"/>
        <v>0</v>
      </c>
      <c r="M20" s="138"/>
      <c r="N20" s="395">
        <f t="shared" si="5"/>
        <v>0</v>
      </c>
      <c r="O20" s="396" t="str">
        <f t="shared" si="6"/>
        <v/>
      </c>
      <c r="P20" s="53"/>
      <c r="Q20" s="391">
        <f>IFERROR(VLOOKUP($C20,'Proposed Rates'!$B:$J,Q$11,FALSE),0)</f>
        <v>0</v>
      </c>
      <c r="R20" s="392">
        <f t="shared" si="7"/>
        <v>750</v>
      </c>
      <c r="S20" s="394">
        <f t="shared" si="8"/>
        <v>0</v>
      </c>
      <c r="T20" s="138"/>
      <c r="U20" s="395">
        <f t="shared" si="9"/>
        <v>0</v>
      </c>
      <c r="V20" s="396" t="str">
        <f t="shared" si="10"/>
        <v/>
      </c>
      <c r="W20" s="53"/>
      <c r="X20" s="391">
        <f>IFERROR(VLOOKUP($C20,'Proposed Rates'!$B:$J,X$11,FALSE),0)</f>
        <v>0</v>
      </c>
      <c r="Y20" s="392">
        <f t="shared" si="11"/>
        <v>750</v>
      </c>
      <c r="Z20" s="394">
        <f t="shared" si="12"/>
        <v>0</v>
      </c>
      <c r="AA20" s="138"/>
      <c r="AB20" s="395">
        <f t="shared" si="13"/>
        <v>0</v>
      </c>
      <c r="AC20" s="396" t="str">
        <f t="shared" si="14"/>
        <v/>
      </c>
      <c r="AD20" s="53"/>
      <c r="AE20" s="391">
        <f>IFERROR(VLOOKUP($C20,'Proposed Rates'!$B:$J,AE$11,FALSE),0)</f>
        <v>0</v>
      </c>
      <c r="AF20" s="392">
        <f t="shared" si="15"/>
        <v>750</v>
      </c>
      <c r="AG20" s="394">
        <f t="shared" si="16"/>
        <v>0</v>
      </c>
      <c r="AH20" s="138"/>
      <c r="AI20" s="395">
        <f t="shared" si="17"/>
        <v>0</v>
      </c>
      <c r="AJ20" s="396" t="str">
        <f t="shared" si="18"/>
        <v/>
      </c>
      <c r="AK20" s="53"/>
      <c r="AL20" s="391">
        <f>IFERROR(VLOOKUP($C20,'Proposed Rates'!$B:$J,AL$11,FALSE),0)</f>
        <v>0</v>
      </c>
      <c r="AM20" s="392">
        <f t="shared" si="19"/>
        <v>750</v>
      </c>
      <c r="AN20" s="394">
        <f t="shared" si="20"/>
        <v>0</v>
      </c>
      <c r="AO20" s="138"/>
      <c r="AP20" s="395">
        <f t="shared" si="21"/>
        <v>0</v>
      </c>
      <c r="AQ20" s="396" t="str">
        <f t="shared" si="22"/>
        <v/>
      </c>
      <c r="AR20" s="397"/>
    </row>
    <row r="21" spans="1:44" ht="12" customHeight="1">
      <c r="A21" s="53"/>
      <c r="B21" s="328" t="s">
        <v>269</v>
      </c>
      <c r="C21" s="389" t="str">
        <f t="shared" si="0"/>
        <v>Residential.LRAM Rate Rider</v>
      </c>
      <c r="D21" s="390" t="s">
        <v>335</v>
      </c>
      <c r="E21" s="328"/>
      <c r="F21" s="391">
        <f>'Proposed Rates'!E77+'Proposed Rates'!E90</f>
        <v>0.25</v>
      </c>
      <c r="G21" s="392">
        <f t="shared" si="1"/>
        <v>1</v>
      </c>
      <c r="H21" s="393">
        <f t="shared" si="2"/>
        <v>0.25</v>
      </c>
      <c r="I21" s="53"/>
      <c r="J21" s="391">
        <f>'Proposed Rates'!F77+'Proposed Rates'!F90</f>
        <v>0</v>
      </c>
      <c r="K21" s="392">
        <f t="shared" si="3"/>
        <v>1</v>
      </c>
      <c r="L21" s="394">
        <f t="shared" si="4"/>
        <v>0</v>
      </c>
      <c r="M21" s="138"/>
      <c r="N21" s="395">
        <f t="shared" si="5"/>
        <v>-0.25</v>
      </c>
      <c r="O21" s="396">
        <f t="shared" si="6"/>
        <v>-1</v>
      </c>
      <c r="P21" s="53"/>
      <c r="Q21" s="391">
        <f>'Proposed Rates'!G77+'Proposed Rates'!G90</f>
        <v>0</v>
      </c>
      <c r="R21" s="392">
        <f t="shared" si="7"/>
        <v>1</v>
      </c>
      <c r="S21" s="394">
        <f t="shared" si="8"/>
        <v>0</v>
      </c>
      <c r="T21" s="138"/>
      <c r="U21" s="395">
        <f t="shared" si="9"/>
        <v>0</v>
      </c>
      <c r="V21" s="396" t="str">
        <f t="shared" si="10"/>
        <v/>
      </c>
      <c r="W21" s="53"/>
      <c r="X21" s="391">
        <f>IFERROR(VLOOKUP($C21,'Proposed Rates'!$B:$J,X$11,FALSE),0)</f>
        <v>0</v>
      </c>
      <c r="Y21" s="392">
        <f t="shared" si="11"/>
        <v>1</v>
      </c>
      <c r="Z21" s="394">
        <f t="shared" si="12"/>
        <v>0</v>
      </c>
      <c r="AA21" s="138"/>
      <c r="AB21" s="395">
        <f t="shared" si="13"/>
        <v>0</v>
      </c>
      <c r="AC21" s="396" t="str">
        <f t="shared" si="14"/>
        <v/>
      </c>
      <c r="AD21" s="53"/>
      <c r="AE21" s="391">
        <f>IFERROR(VLOOKUP($C21,'Proposed Rates'!$B:$J,AE$11,FALSE),0)</f>
        <v>0</v>
      </c>
      <c r="AF21" s="392">
        <f t="shared" si="15"/>
        <v>1</v>
      </c>
      <c r="AG21" s="394">
        <f t="shared" si="16"/>
        <v>0</v>
      </c>
      <c r="AH21" s="138"/>
      <c r="AI21" s="395">
        <f t="shared" si="17"/>
        <v>0</v>
      </c>
      <c r="AJ21" s="396" t="str">
        <f t="shared" si="18"/>
        <v/>
      </c>
      <c r="AK21" s="53"/>
      <c r="AL21" s="391">
        <f>IFERROR(VLOOKUP($C21,'Proposed Rates'!$B:$J,AL$11,FALSE),0)</f>
        <v>0</v>
      </c>
      <c r="AM21" s="392">
        <f t="shared" si="19"/>
        <v>1</v>
      </c>
      <c r="AN21" s="394">
        <f t="shared" si="20"/>
        <v>0</v>
      </c>
      <c r="AO21" s="138"/>
      <c r="AP21" s="395">
        <f t="shared" si="21"/>
        <v>0</v>
      </c>
      <c r="AQ21" s="396" t="str">
        <f t="shared" si="22"/>
        <v/>
      </c>
      <c r="AR21" s="397"/>
    </row>
    <row r="22" spans="1:44" ht="12" customHeight="1">
      <c r="A22" s="53"/>
      <c r="B22" s="398" t="s">
        <v>265</v>
      </c>
      <c r="C22" s="389" t="str">
        <f t="shared" si="0"/>
        <v>Residential.Deferral/Variance Account Disposition Rate Rider Group 2</v>
      </c>
      <c r="D22" s="390" t="s">
        <v>335</v>
      </c>
      <c r="E22" s="328"/>
      <c r="F22" s="391">
        <f>IFERROR(VLOOKUP($C22,'Proposed Rates'!$B:$J,F$11,FALSE),0)</f>
        <v>0</v>
      </c>
      <c r="G22" s="392">
        <f t="shared" si="1"/>
        <v>1</v>
      </c>
      <c r="H22" s="394">
        <f t="shared" si="2"/>
        <v>0</v>
      </c>
      <c r="I22" s="138"/>
      <c r="J22" s="391">
        <f>IFERROR(VLOOKUP($C22,'Proposed Rates'!$B:$J,J$11,FALSE),0)</f>
        <v>-1.19</v>
      </c>
      <c r="K22" s="392">
        <f t="shared" si="3"/>
        <v>1</v>
      </c>
      <c r="L22" s="394">
        <f t="shared" si="4"/>
        <v>-1.19</v>
      </c>
      <c r="M22" s="138"/>
      <c r="N22" s="395">
        <f t="shared" si="5"/>
        <v>-1.19</v>
      </c>
      <c r="O22" s="396" t="str">
        <f t="shared" si="6"/>
        <v/>
      </c>
      <c r="P22" s="53"/>
      <c r="Q22" s="391">
        <f>IFERROR(VLOOKUP($C22,'Proposed Rates'!$B:$J,Q$11,FALSE),0)</f>
        <v>0</v>
      </c>
      <c r="R22" s="392">
        <f t="shared" si="7"/>
        <v>1</v>
      </c>
      <c r="S22" s="394">
        <f t="shared" si="8"/>
        <v>0</v>
      </c>
      <c r="T22" s="138"/>
      <c r="U22" s="395">
        <f t="shared" si="9"/>
        <v>1.19</v>
      </c>
      <c r="V22" s="396">
        <f t="shared" si="10"/>
        <v>-1</v>
      </c>
      <c r="W22" s="53"/>
      <c r="X22" s="391">
        <f>IFERROR(VLOOKUP($C22,'Proposed Rates'!$B:$J,X$11,FALSE),0)</f>
        <v>0</v>
      </c>
      <c r="Y22" s="392">
        <f t="shared" si="11"/>
        <v>1</v>
      </c>
      <c r="Z22" s="394">
        <f t="shared" si="12"/>
        <v>0</v>
      </c>
      <c r="AA22" s="138"/>
      <c r="AB22" s="395">
        <f t="shared" si="13"/>
        <v>0</v>
      </c>
      <c r="AC22" s="396" t="str">
        <f t="shared" si="14"/>
        <v/>
      </c>
      <c r="AD22" s="53"/>
      <c r="AE22" s="391">
        <f>IFERROR(VLOOKUP($C22,'Proposed Rates'!$B:$J,AE$11,FALSE),0)</f>
        <v>0</v>
      </c>
      <c r="AF22" s="392">
        <f t="shared" si="15"/>
        <v>1</v>
      </c>
      <c r="AG22" s="394">
        <f t="shared" si="16"/>
        <v>0</v>
      </c>
      <c r="AH22" s="138"/>
      <c r="AI22" s="395">
        <f t="shared" si="17"/>
        <v>0</v>
      </c>
      <c r="AJ22" s="396" t="str">
        <f t="shared" si="18"/>
        <v/>
      </c>
      <c r="AK22" s="53"/>
      <c r="AL22" s="391">
        <f>IFERROR(VLOOKUP($C22,'Proposed Rates'!$B:$J,AL$11,FALSE),0)</f>
        <v>0</v>
      </c>
      <c r="AM22" s="392">
        <f t="shared" si="19"/>
        <v>1</v>
      </c>
      <c r="AN22" s="394">
        <f t="shared" si="20"/>
        <v>0</v>
      </c>
      <c r="AO22" s="138"/>
      <c r="AP22" s="395">
        <f t="shared" si="21"/>
        <v>0</v>
      </c>
      <c r="AQ22" s="396" t="str">
        <f t="shared" si="22"/>
        <v/>
      </c>
      <c r="AR22" s="397"/>
    </row>
    <row r="23" spans="1:44" ht="12" customHeight="1">
      <c r="A23" s="53"/>
      <c r="B23" s="398"/>
      <c r="C23" s="389" t="str">
        <f t="shared" si="0"/>
        <v>Residential.</v>
      </c>
      <c r="D23" s="390"/>
      <c r="E23" s="328"/>
      <c r="F23" s="391">
        <f>IFERROR(VLOOKUP($C23,'Proposed Rates'!$B:$J,F$11,FALSE),0)</f>
        <v>0</v>
      </c>
      <c r="G23" s="392">
        <f t="shared" si="1"/>
        <v>0</v>
      </c>
      <c r="H23" s="394">
        <f t="shared" si="2"/>
        <v>0</v>
      </c>
      <c r="I23" s="138"/>
      <c r="J23" s="391">
        <f>IFERROR(VLOOKUP($C23,'Proposed Rates'!$B:$J,J$11,FALSE),0)</f>
        <v>0</v>
      </c>
      <c r="K23" s="392">
        <f t="shared" si="3"/>
        <v>0</v>
      </c>
      <c r="L23" s="394">
        <f t="shared" si="4"/>
        <v>0</v>
      </c>
      <c r="M23" s="138"/>
      <c r="N23" s="395">
        <f t="shared" si="5"/>
        <v>0</v>
      </c>
      <c r="O23" s="396" t="str">
        <f t="shared" si="6"/>
        <v/>
      </c>
      <c r="P23" s="53"/>
      <c r="Q23" s="391">
        <f>IFERROR(VLOOKUP($C23,'Proposed Rates'!$B:$J,Q$11,FALSE),0)</f>
        <v>0</v>
      </c>
      <c r="R23" s="392">
        <f t="shared" si="7"/>
        <v>0</v>
      </c>
      <c r="S23" s="394">
        <f t="shared" si="8"/>
        <v>0</v>
      </c>
      <c r="T23" s="138"/>
      <c r="U23" s="395">
        <f t="shared" si="9"/>
        <v>0</v>
      </c>
      <c r="V23" s="396" t="str">
        <f t="shared" si="10"/>
        <v/>
      </c>
      <c r="W23" s="53"/>
      <c r="X23" s="391">
        <f>IFERROR(VLOOKUP($C23,'Proposed Rates'!$B:$J,X$11,FALSE),0)</f>
        <v>0</v>
      </c>
      <c r="Y23" s="392">
        <f t="shared" si="11"/>
        <v>0</v>
      </c>
      <c r="Z23" s="394">
        <f t="shared" si="12"/>
        <v>0</v>
      </c>
      <c r="AA23" s="138"/>
      <c r="AB23" s="395">
        <f t="shared" si="13"/>
        <v>0</v>
      </c>
      <c r="AC23" s="396" t="str">
        <f t="shared" si="14"/>
        <v/>
      </c>
      <c r="AD23" s="53"/>
      <c r="AE23" s="391">
        <f>IFERROR(VLOOKUP($C23,'Proposed Rates'!$B:$J,AE$11,FALSE),0)</f>
        <v>0</v>
      </c>
      <c r="AF23" s="392">
        <f t="shared" si="15"/>
        <v>0</v>
      </c>
      <c r="AG23" s="394">
        <f t="shared" si="16"/>
        <v>0</v>
      </c>
      <c r="AH23" s="138"/>
      <c r="AI23" s="395">
        <f t="shared" si="17"/>
        <v>0</v>
      </c>
      <c r="AJ23" s="396" t="str">
        <f t="shared" si="18"/>
        <v/>
      </c>
      <c r="AK23" s="53"/>
      <c r="AL23" s="391">
        <f>IFERROR(VLOOKUP($C23,'Proposed Rates'!$B:$J,AL$11,FALSE),0)</f>
        <v>0</v>
      </c>
      <c r="AM23" s="392">
        <f t="shared" si="19"/>
        <v>0</v>
      </c>
      <c r="AN23" s="394">
        <f t="shared" si="20"/>
        <v>0</v>
      </c>
      <c r="AO23" s="138"/>
      <c r="AP23" s="395">
        <f t="shared" si="21"/>
        <v>0</v>
      </c>
      <c r="AQ23" s="396" t="str">
        <f t="shared" si="22"/>
        <v/>
      </c>
      <c r="AR23" s="397"/>
    </row>
    <row r="24" spans="1:44" ht="12" customHeight="1">
      <c r="A24" s="53"/>
      <c r="B24" s="398"/>
      <c r="C24" s="389" t="str">
        <f t="shared" si="0"/>
        <v>Residential.</v>
      </c>
      <c r="D24" s="390"/>
      <c r="E24" s="328"/>
      <c r="F24" s="391">
        <f>IFERROR(VLOOKUP($C24,'Proposed Rates'!$B:$J,F$11,FALSE),0)</f>
        <v>0</v>
      </c>
      <c r="G24" s="392">
        <f t="shared" si="1"/>
        <v>0</v>
      </c>
      <c r="H24" s="394">
        <f t="shared" si="2"/>
        <v>0</v>
      </c>
      <c r="I24" s="138"/>
      <c r="J24" s="391">
        <f>IFERROR(VLOOKUP($C24,'Proposed Rates'!$B:$J,J$11,FALSE),0)</f>
        <v>0</v>
      </c>
      <c r="K24" s="392">
        <f t="shared" si="3"/>
        <v>0</v>
      </c>
      <c r="L24" s="394">
        <f t="shared" si="4"/>
        <v>0</v>
      </c>
      <c r="M24" s="138"/>
      <c r="N24" s="395">
        <f t="shared" si="5"/>
        <v>0</v>
      </c>
      <c r="O24" s="396" t="str">
        <f t="shared" si="6"/>
        <v/>
      </c>
      <c r="P24" s="53"/>
      <c r="Q24" s="391">
        <f>IFERROR(VLOOKUP($C24,'Proposed Rates'!$B:$J,Q$11,FALSE),0)</f>
        <v>0</v>
      </c>
      <c r="R24" s="392">
        <f t="shared" si="7"/>
        <v>0</v>
      </c>
      <c r="S24" s="394">
        <f t="shared" si="8"/>
        <v>0</v>
      </c>
      <c r="T24" s="138"/>
      <c r="U24" s="395">
        <f t="shared" si="9"/>
        <v>0</v>
      </c>
      <c r="V24" s="396" t="str">
        <f t="shared" si="10"/>
        <v/>
      </c>
      <c r="W24" s="53"/>
      <c r="X24" s="391">
        <f>IFERROR(VLOOKUP($C24,'Proposed Rates'!$B:$J,X$11,FALSE),0)</f>
        <v>0</v>
      </c>
      <c r="Y24" s="392">
        <f t="shared" si="11"/>
        <v>0</v>
      </c>
      <c r="Z24" s="394">
        <f t="shared" si="12"/>
        <v>0</v>
      </c>
      <c r="AA24" s="138"/>
      <c r="AB24" s="395">
        <f t="shared" si="13"/>
        <v>0</v>
      </c>
      <c r="AC24" s="396" t="str">
        <f t="shared" si="14"/>
        <v/>
      </c>
      <c r="AD24" s="53"/>
      <c r="AE24" s="391">
        <f>IFERROR(VLOOKUP($C24,'Proposed Rates'!$B:$J,AE$11,FALSE),0)</f>
        <v>0</v>
      </c>
      <c r="AF24" s="392">
        <f t="shared" si="15"/>
        <v>0</v>
      </c>
      <c r="AG24" s="394">
        <f t="shared" si="16"/>
        <v>0</v>
      </c>
      <c r="AH24" s="138"/>
      <c r="AI24" s="395">
        <f t="shared" si="17"/>
        <v>0</v>
      </c>
      <c r="AJ24" s="396" t="str">
        <f t="shared" si="18"/>
        <v/>
      </c>
      <c r="AK24" s="53"/>
      <c r="AL24" s="391">
        <f>IFERROR(VLOOKUP($C24,'Proposed Rates'!$B:$J,AL$11,FALSE),0)</f>
        <v>0</v>
      </c>
      <c r="AM24" s="392">
        <f t="shared" si="19"/>
        <v>0</v>
      </c>
      <c r="AN24" s="394">
        <f t="shared" si="20"/>
        <v>0</v>
      </c>
      <c r="AO24" s="138"/>
      <c r="AP24" s="395">
        <f t="shared" si="21"/>
        <v>0</v>
      </c>
      <c r="AQ24" s="396" t="str">
        <f t="shared" si="22"/>
        <v/>
      </c>
      <c r="AR24" s="397"/>
    </row>
    <row r="25" spans="1:44" ht="12" customHeight="1">
      <c r="A25" s="53"/>
      <c r="B25" s="398"/>
      <c r="C25" s="389" t="str">
        <f t="shared" si="0"/>
        <v>Residential.</v>
      </c>
      <c r="D25" s="390"/>
      <c r="E25" s="328"/>
      <c r="F25" s="391">
        <f>IFERROR(VLOOKUP($C25,'Proposed Rates'!$B:$J,F$11,FALSE),0)</f>
        <v>0</v>
      </c>
      <c r="G25" s="392">
        <f t="shared" si="1"/>
        <v>0</v>
      </c>
      <c r="H25" s="394">
        <f t="shared" si="2"/>
        <v>0</v>
      </c>
      <c r="I25" s="138"/>
      <c r="J25" s="391">
        <f>IFERROR(VLOOKUP($C25,'Proposed Rates'!$B:$J,J$11,FALSE),0)</f>
        <v>0</v>
      </c>
      <c r="K25" s="392">
        <f t="shared" si="3"/>
        <v>0</v>
      </c>
      <c r="L25" s="394">
        <f t="shared" si="4"/>
        <v>0</v>
      </c>
      <c r="M25" s="138"/>
      <c r="N25" s="395">
        <f t="shared" si="5"/>
        <v>0</v>
      </c>
      <c r="O25" s="396" t="str">
        <f t="shared" si="6"/>
        <v/>
      </c>
      <c r="P25" s="53"/>
      <c r="Q25" s="391">
        <f>IFERROR(VLOOKUP($C25,'Proposed Rates'!$B:$J,Q$11,FALSE),0)</f>
        <v>0</v>
      </c>
      <c r="R25" s="392">
        <f t="shared" si="7"/>
        <v>0</v>
      </c>
      <c r="S25" s="394">
        <f t="shared" si="8"/>
        <v>0</v>
      </c>
      <c r="T25" s="138"/>
      <c r="U25" s="395">
        <f t="shared" si="9"/>
        <v>0</v>
      </c>
      <c r="V25" s="396" t="str">
        <f t="shared" si="10"/>
        <v/>
      </c>
      <c r="W25" s="53"/>
      <c r="X25" s="391">
        <f>IFERROR(VLOOKUP($C25,'Proposed Rates'!$B:$J,X$11,FALSE),0)</f>
        <v>0</v>
      </c>
      <c r="Y25" s="392">
        <f t="shared" si="11"/>
        <v>0</v>
      </c>
      <c r="Z25" s="394">
        <f t="shared" si="12"/>
        <v>0</v>
      </c>
      <c r="AA25" s="138"/>
      <c r="AB25" s="395">
        <f t="shared" si="13"/>
        <v>0</v>
      </c>
      <c r="AC25" s="396" t="str">
        <f t="shared" si="14"/>
        <v/>
      </c>
      <c r="AD25" s="53"/>
      <c r="AE25" s="391">
        <f>IFERROR(VLOOKUP($C25,'Proposed Rates'!$B:$J,AE$11,FALSE),0)</f>
        <v>0</v>
      </c>
      <c r="AF25" s="392">
        <f t="shared" si="15"/>
        <v>0</v>
      </c>
      <c r="AG25" s="394">
        <f t="shared" si="16"/>
        <v>0</v>
      </c>
      <c r="AH25" s="138"/>
      <c r="AI25" s="395">
        <f t="shared" si="17"/>
        <v>0</v>
      </c>
      <c r="AJ25" s="396" t="str">
        <f t="shared" si="18"/>
        <v/>
      </c>
      <c r="AK25" s="53"/>
      <c r="AL25" s="391">
        <f>IFERROR(VLOOKUP($C25,'Proposed Rates'!$B:$J,AL$11,FALSE),0)</f>
        <v>0</v>
      </c>
      <c r="AM25" s="392">
        <f t="shared" si="19"/>
        <v>0</v>
      </c>
      <c r="AN25" s="394">
        <f t="shared" si="20"/>
        <v>0</v>
      </c>
      <c r="AO25" s="138"/>
      <c r="AP25" s="395">
        <f t="shared" si="21"/>
        <v>0</v>
      </c>
      <c r="AQ25" s="396" t="str">
        <f t="shared" si="22"/>
        <v/>
      </c>
      <c r="AR25" s="397"/>
    </row>
    <row r="26" spans="1:44" ht="12" customHeight="1">
      <c r="A26" s="53"/>
      <c r="B26" s="398"/>
      <c r="C26" s="389" t="str">
        <f t="shared" si="0"/>
        <v>Residential.</v>
      </c>
      <c r="D26" s="390"/>
      <c r="E26" s="328"/>
      <c r="F26" s="391">
        <f>IFERROR(VLOOKUP($C26,'Proposed Rates'!$B:$J,F$11,FALSE),0)</f>
        <v>0</v>
      </c>
      <c r="G26" s="392">
        <f t="shared" si="1"/>
        <v>0</v>
      </c>
      <c r="H26" s="394">
        <f t="shared" si="2"/>
        <v>0</v>
      </c>
      <c r="I26" s="138"/>
      <c r="J26" s="391">
        <f>IFERROR(VLOOKUP($C26,'Proposed Rates'!$B:$J,J$11,FALSE),0)</f>
        <v>0</v>
      </c>
      <c r="K26" s="392">
        <f t="shared" si="3"/>
        <v>0</v>
      </c>
      <c r="L26" s="394">
        <f t="shared" si="4"/>
        <v>0</v>
      </c>
      <c r="M26" s="138"/>
      <c r="N26" s="395">
        <f t="shared" si="5"/>
        <v>0</v>
      </c>
      <c r="O26" s="396" t="str">
        <f t="shared" si="6"/>
        <v/>
      </c>
      <c r="P26" s="53"/>
      <c r="Q26" s="391">
        <f>IFERROR(VLOOKUP($C26,'Proposed Rates'!$B:$J,Q$11,FALSE),0)</f>
        <v>0</v>
      </c>
      <c r="R26" s="392">
        <f t="shared" si="7"/>
        <v>0</v>
      </c>
      <c r="S26" s="394">
        <f t="shared" si="8"/>
        <v>0</v>
      </c>
      <c r="T26" s="138"/>
      <c r="U26" s="395">
        <f t="shared" si="9"/>
        <v>0</v>
      </c>
      <c r="V26" s="396" t="str">
        <f t="shared" si="10"/>
        <v/>
      </c>
      <c r="W26" s="53"/>
      <c r="X26" s="391">
        <f>IFERROR(VLOOKUP($C26,'Proposed Rates'!$B:$J,X$11,FALSE),0)</f>
        <v>0</v>
      </c>
      <c r="Y26" s="392">
        <f t="shared" si="11"/>
        <v>0</v>
      </c>
      <c r="Z26" s="394">
        <f t="shared" si="12"/>
        <v>0</v>
      </c>
      <c r="AA26" s="138"/>
      <c r="AB26" s="395">
        <f t="shared" si="13"/>
        <v>0</v>
      </c>
      <c r="AC26" s="396" t="str">
        <f t="shared" si="14"/>
        <v/>
      </c>
      <c r="AD26" s="53"/>
      <c r="AE26" s="391">
        <f>IFERROR(VLOOKUP($C26,'Proposed Rates'!$B:$J,AE$11,FALSE),0)</f>
        <v>0</v>
      </c>
      <c r="AF26" s="392">
        <f t="shared" si="15"/>
        <v>0</v>
      </c>
      <c r="AG26" s="394">
        <f t="shared" si="16"/>
        <v>0</v>
      </c>
      <c r="AH26" s="138"/>
      <c r="AI26" s="395">
        <f t="shared" si="17"/>
        <v>0</v>
      </c>
      <c r="AJ26" s="396" t="str">
        <f t="shared" si="18"/>
        <v/>
      </c>
      <c r="AK26" s="53"/>
      <c r="AL26" s="391">
        <f>IFERROR(VLOOKUP($C26,'Proposed Rates'!$B:$J,AL$11,FALSE),0)</f>
        <v>0</v>
      </c>
      <c r="AM26" s="392">
        <f t="shared" si="19"/>
        <v>0</v>
      </c>
      <c r="AN26" s="394">
        <f t="shared" si="20"/>
        <v>0</v>
      </c>
      <c r="AO26" s="138"/>
      <c r="AP26" s="395">
        <f t="shared" si="21"/>
        <v>0</v>
      </c>
      <c r="AQ26" s="396" t="str">
        <f t="shared" si="22"/>
        <v/>
      </c>
      <c r="AR26" s="397"/>
    </row>
    <row r="27" spans="1:44" ht="12" customHeight="1">
      <c r="A27" s="53"/>
      <c r="B27" s="398"/>
      <c r="C27" s="389" t="str">
        <f t="shared" si="0"/>
        <v>Residential.</v>
      </c>
      <c r="D27" s="390"/>
      <c r="E27" s="328"/>
      <c r="F27" s="391">
        <f>IFERROR(VLOOKUP($C27,'Proposed Rates'!$B:$J,F$11,FALSE),0)</f>
        <v>0</v>
      </c>
      <c r="G27" s="392">
        <f t="shared" si="1"/>
        <v>0</v>
      </c>
      <c r="H27" s="394">
        <f t="shared" si="2"/>
        <v>0</v>
      </c>
      <c r="I27" s="138"/>
      <c r="J27" s="391">
        <f>IFERROR(VLOOKUP($C27,'Proposed Rates'!$B:$J,J$11,FALSE),0)</f>
        <v>0</v>
      </c>
      <c r="K27" s="392">
        <f t="shared" si="3"/>
        <v>0</v>
      </c>
      <c r="L27" s="394">
        <f t="shared" si="4"/>
        <v>0</v>
      </c>
      <c r="M27" s="138"/>
      <c r="N27" s="395">
        <f t="shared" si="5"/>
        <v>0</v>
      </c>
      <c r="O27" s="396" t="str">
        <f t="shared" si="6"/>
        <v/>
      </c>
      <c r="P27" s="53"/>
      <c r="Q27" s="391">
        <f>IFERROR(VLOOKUP($C27,'Proposed Rates'!$B:$J,Q$11,FALSE),0)</f>
        <v>0</v>
      </c>
      <c r="R27" s="392">
        <f t="shared" si="7"/>
        <v>0</v>
      </c>
      <c r="S27" s="394">
        <f t="shared" si="8"/>
        <v>0</v>
      </c>
      <c r="T27" s="138"/>
      <c r="U27" s="395">
        <f t="shared" si="9"/>
        <v>0</v>
      </c>
      <c r="V27" s="396" t="str">
        <f t="shared" si="10"/>
        <v/>
      </c>
      <c r="W27" s="53"/>
      <c r="X27" s="391">
        <f>IFERROR(VLOOKUP($C27,'Proposed Rates'!$B:$J,X$11,FALSE),0)</f>
        <v>0</v>
      </c>
      <c r="Y27" s="392">
        <f t="shared" si="11"/>
        <v>0</v>
      </c>
      <c r="Z27" s="394">
        <f t="shared" si="12"/>
        <v>0</v>
      </c>
      <c r="AA27" s="138"/>
      <c r="AB27" s="395">
        <f t="shared" si="13"/>
        <v>0</v>
      </c>
      <c r="AC27" s="396" t="str">
        <f t="shared" si="14"/>
        <v/>
      </c>
      <c r="AD27" s="53"/>
      <c r="AE27" s="391">
        <f>IFERROR(VLOOKUP($C27,'Proposed Rates'!$B:$J,AE$11,FALSE),0)</f>
        <v>0</v>
      </c>
      <c r="AF27" s="392">
        <f t="shared" si="15"/>
        <v>0</v>
      </c>
      <c r="AG27" s="394">
        <f t="shared" si="16"/>
        <v>0</v>
      </c>
      <c r="AH27" s="138"/>
      <c r="AI27" s="395">
        <f t="shared" si="17"/>
        <v>0</v>
      </c>
      <c r="AJ27" s="396" t="str">
        <f t="shared" si="18"/>
        <v/>
      </c>
      <c r="AK27" s="53"/>
      <c r="AL27" s="391">
        <f>IFERROR(VLOOKUP($C27,'Proposed Rates'!$B:$J,AL$11,FALSE),0)</f>
        <v>0</v>
      </c>
      <c r="AM27" s="392">
        <f t="shared" si="19"/>
        <v>0</v>
      </c>
      <c r="AN27" s="394">
        <f t="shared" si="20"/>
        <v>0</v>
      </c>
      <c r="AO27" s="138"/>
      <c r="AP27" s="395">
        <f t="shared" si="21"/>
        <v>0</v>
      </c>
      <c r="AQ27" s="396" t="str">
        <f t="shared" si="22"/>
        <v/>
      </c>
      <c r="AR27" s="397"/>
    </row>
    <row r="28" spans="1:44" ht="12" customHeight="1">
      <c r="A28" s="53"/>
      <c r="B28" s="398"/>
      <c r="C28" s="389" t="str">
        <f t="shared" si="0"/>
        <v>Residential.</v>
      </c>
      <c r="D28" s="390"/>
      <c r="E28" s="328"/>
      <c r="F28" s="391">
        <f>IFERROR(VLOOKUP($C28,'Proposed Rates'!$B:$J,F$11,FALSE),0)</f>
        <v>0</v>
      </c>
      <c r="G28" s="392">
        <f t="shared" si="1"/>
        <v>0</v>
      </c>
      <c r="H28" s="394">
        <f t="shared" si="2"/>
        <v>0</v>
      </c>
      <c r="I28" s="138"/>
      <c r="J28" s="391">
        <f>IFERROR(VLOOKUP($C28,'Proposed Rates'!$B:$J,J$11,FALSE),0)</f>
        <v>0</v>
      </c>
      <c r="K28" s="392">
        <f t="shared" si="3"/>
        <v>0</v>
      </c>
      <c r="L28" s="394">
        <f t="shared" si="4"/>
        <v>0</v>
      </c>
      <c r="M28" s="138"/>
      <c r="N28" s="395">
        <f t="shared" si="5"/>
        <v>0</v>
      </c>
      <c r="O28" s="396" t="str">
        <f t="shared" si="6"/>
        <v/>
      </c>
      <c r="P28" s="53"/>
      <c r="Q28" s="391">
        <f>IFERROR(VLOOKUP($C28,'Proposed Rates'!$B:$J,Q$11,FALSE),0)</f>
        <v>0</v>
      </c>
      <c r="R28" s="392">
        <f t="shared" si="7"/>
        <v>0</v>
      </c>
      <c r="S28" s="394">
        <f t="shared" si="8"/>
        <v>0</v>
      </c>
      <c r="T28" s="138"/>
      <c r="U28" s="395">
        <f t="shared" si="9"/>
        <v>0</v>
      </c>
      <c r="V28" s="396" t="str">
        <f t="shared" si="10"/>
        <v/>
      </c>
      <c r="W28" s="53"/>
      <c r="X28" s="391">
        <f>IFERROR(VLOOKUP($C28,'Proposed Rates'!$B:$J,X$11,FALSE),0)</f>
        <v>0</v>
      </c>
      <c r="Y28" s="392">
        <f t="shared" si="11"/>
        <v>0</v>
      </c>
      <c r="Z28" s="394">
        <f t="shared" si="12"/>
        <v>0</v>
      </c>
      <c r="AA28" s="138"/>
      <c r="AB28" s="395">
        <f t="shared" si="13"/>
        <v>0</v>
      </c>
      <c r="AC28" s="396" t="str">
        <f t="shared" si="14"/>
        <v/>
      </c>
      <c r="AD28" s="53"/>
      <c r="AE28" s="391">
        <f>IFERROR(VLOOKUP($C28,'Proposed Rates'!$B:$J,AE$11,FALSE),0)</f>
        <v>0</v>
      </c>
      <c r="AF28" s="392">
        <f t="shared" si="15"/>
        <v>0</v>
      </c>
      <c r="AG28" s="394">
        <f t="shared" si="16"/>
        <v>0</v>
      </c>
      <c r="AH28" s="138"/>
      <c r="AI28" s="395">
        <f t="shared" si="17"/>
        <v>0</v>
      </c>
      <c r="AJ28" s="396" t="str">
        <f t="shared" si="18"/>
        <v/>
      </c>
      <c r="AK28" s="53"/>
      <c r="AL28" s="391">
        <f>IFERROR(VLOOKUP($C28,'Proposed Rates'!$B:$J,AL$11,FALSE),0)</f>
        <v>0</v>
      </c>
      <c r="AM28" s="392">
        <f t="shared" si="19"/>
        <v>0</v>
      </c>
      <c r="AN28" s="394">
        <f t="shared" si="20"/>
        <v>0</v>
      </c>
      <c r="AO28" s="138"/>
      <c r="AP28" s="395">
        <f t="shared" si="21"/>
        <v>0</v>
      </c>
      <c r="AQ28" s="396" t="str">
        <f t="shared" si="22"/>
        <v/>
      </c>
      <c r="AR28" s="397"/>
    </row>
    <row r="29" spans="1:44" ht="12" customHeight="1">
      <c r="A29" s="314"/>
      <c r="B29" s="399" t="s">
        <v>339</v>
      </c>
      <c r="C29" s="400"/>
      <c r="D29" s="400"/>
      <c r="E29" s="400"/>
      <c r="F29" s="401"/>
      <c r="G29" s="402"/>
      <c r="H29" s="403">
        <f>SUM(H15:H28)</f>
        <v>34.51</v>
      </c>
      <c r="I29" s="404"/>
      <c r="J29" s="401"/>
      <c r="K29" s="402"/>
      <c r="L29" s="403">
        <f>SUM(L15:L28)</f>
        <v>39.850000000000009</v>
      </c>
      <c r="M29" s="404"/>
      <c r="N29" s="405">
        <f t="shared" si="5"/>
        <v>5.3400000000000105</v>
      </c>
      <c r="O29" s="406">
        <f t="shared" si="6"/>
        <v>0.15473775717183458</v>
      </c>
      <c r="P29" s="314"/>
      <c r="Q29" s="401"/>
      <c r="R29" s="402"/>
      <c r="S29" s="403">
        <f>SUM(S15:S28)</f>
        <v>42.940000000000005</v>
      </c>
      <c r="T29" s="404"/>
      <c r="U29" s="405">
        <f t="shared" si="9"/>
        <v>3.0899999999999963</v>
      </c>
      <c r="V29" s="406">
        <f t="shared" si="10"/>
        <v>7.7540777917189357E-2</v>
      </c>
      <c r="W29" s="314"/>
      <c r="X29" s="401"/>
      <c r="Y29" s="402"/>
      <c r="Z29" s="403">
        <f>SUM(Z15:Z28)</f>
        <v>43.93</v>
      </c>
      <c r="AA29" s="404"/>
      <c r="AB29" s="405">
        <f t="shared" si="13"/>
        <v>0.98999999999999488</v>
      </c>
      <c r="AC29" s="406">
        <f t="shared" si="14"/>
        <v>2.3055426176059497E-2</v>
      </c>
      <c r="AD29" s="314"/>
      <c r="AE29" s="401"/>
      <c r="AF29" s="402"/>
      <c r="AG29" s="403">
        <f>SUM(AG15:AG28)</f>
        <v>45.42</v>
      </c>
      <c r="AH29" s="404"/>
      <c r="AI29" s="405">
        <f t="shared" si="17"/>
        <v>1.490000000000002</v>
      </c>
      <c r="AJ29" s="406">
        <f t="shared" si="18"/>
        <v>3.3917596175734165E-2</v>
      </c>
      <c r="AK29" s="314"/>
      <c r="AL29" s="401"/>
      <c r="AM29" s="402"/>
      <c r="AN29" s="403">
        <f>SUM(AN15:AN28)</f>
        <v>46.78</v>
      </c>
      <c r="AO29" s="404"/>
      <c r="AP29" s="405">
        <f t="shared" si="21"/>
        <v>1.3599999999999994</v>
      </c>
      <c r="AQ29" s="406">
        <f t="shared" si="22"/>
        <v>2.9942756494936138E-2</v>
      </c>
      <c r="AR29" s="407"/>
    </row>
    <row r="30" spans="1:44" ht="12" customHeight="1">
      <c r="A30" s="53"/>
      <c r="B30" s="398" t="s">
        <v>262</v>
      </c>
      <c r="C30" s="389" t="str">
        <f t="shared" ref="C30:C36" si="23">D$6&amp;"."&amp;B30</f>
        <v>Residential.DVA Disposition Rate Rider Group 1 -2025</v>
      </c>
      <c r="D30" s="390" t="s">
        <v>337</v>
      </c>
      <c r="E30" s="328"/>
      <c r="F30" s="408">
        <f>IFERROR(VLOOKUP($C30,'Proposed Rates'!$B:$J,F$11,FALSE),0)</f>
        <v>-2.0000000000000001E-4</v>
      </c>
      <c r="G30" s="409">
        <f t="shared" ref="G30:G33" si="24">IF($D30="Monthly",1,IF($D30="per KWH",$F$10,0))</f>
        <v>750</v>
      </c>
      <c r="H30" s="394">
        <f t="shared" ref="H30:H36" si="25">G30*F30</f>
        <v>-0.15</v>
      </c>
      <c r="I30" s="138"/>
      <c r="J30" s="408">
        <f>IFERROR(VLOOKUP($C30,'Proposed Rates'!$B:$J,J$11,FALSE),0)</f>
        <v>-1E-3</v>
      </c>
      <c r="K30" s="409">
        <f t="shared" ref="K30:K33" si="26">IF($D30="Monthly",1,IF($D30="per KWH",$F$10,0))</f>
        <v>750</v>
      </c>
      <c r="L30" s="394">
        <f t="shared" ref="L30:L36" si="27">K30*J30</f>
        <v>-0.75</v>
      </c>
      <c r="M30" s="138"/>
      <c r="N30" s="395">
        <f t="shared" si="5"/>
        <v>-0.6</v>
      </c>
      <c r="O30" s="396">
        <f t="shared" si="6"/>
        <v>4</v>
      </c>
      <c r="P30" s="53"/>
      <c r="Q30" s="408">
        <f>IFERROR(VLOOKUP($C30,'Proposed Rates'!$B:$J,Q$11,FALSE),0)</f>
        <v>0</v>
      </c>
      <c r="R30" s="409">
        <f t="shared" ref="R30:R33" si="28">IF($D30="Monthly",1,IF($D30="per KWH",$F$10,0))</f>
        <v>750</v>
      </c>
      <c r="S30" s="394">
        <f t="shared" ref="S30:S36" si="29">R30*Q30</f>
        <v>0</v>
      </c>
      <c r="T30" s="138"/>
      <c r="U30" s="395">
        <f t="shared" si="9"/>
        <v>0.75</v>
      </c>
      <c r="V30" s="396">
        <f t="shared" si="10"/>
        <v>-1</v>
      </c>
      <c r="W30" s="53"/>
      <c r="X30" s="408">
        <f>IFERROR(VLOOKUP($C30,'Proposed Rates'!$B:$J,X$11,FALSE),0)</f>
        <v>0</v>
      </c>
      <c r="Y30" s="409">
        <f t="shared" ref="Y30:Y33" si="30">IF($D30="Monthly",1,IF($D30="per KWH",$F$10,0))</f>
        <v>750</v>
      </c>
      <c r="Z30" s="394">
        <f t="shared" ref="Z30:Z36" si="31">Y30*X30</f>
        <v>0</v>
      </c>
      <c r="AA30" s="138"/>
      <c r="AB30" s="395">
        <f t="shared" si="13"/>
        <v>0</v>
      </c>
      <c r="AC30" s="396" t="str">
        <f t="shared" si="14"/>
        <v/>
      </c>
      <c r="AD30" s="53"/>
      <c r="AE30" s="408">
        <f>IFERROR(VLOOKUP($C30,'Proposed Rates'!$B:$J,AE$11,FALSE),0)</f>
        <v>0</v>
      </c>
      <c r="AF30" s="409">
        <f t="shared" ref="AF30:AF33" si="32">IF($D30="Monthly",1,IF($D30="per KWH",$F$10,0))</f>
        <v>750</v>
      </c>
      <c r="AG30" s="394">
        <f t="shared" ref="AG30:AG36" si="33">AF30*AE30</f>
        <v>0</v>
      </c>
      <c r="AH30" s="138"/>
      <c r="AI30" s="395">
        <f t="shared" si="17"/>
        <v>0</v>
      </c>
      <c r="AJ30" s="396" t="str">
        <f t="shared" si="18"/>
        <v/>
      </c>
      <c r="AK30" s="53"/>
      <c r="AL30" s="408">
        <f>IFERROR(VLOOKUP($C30,'Proposed Rates'!$B:$J,AL$11,FALSE),0)</f>
        <v>0</v>
      </c>
      <c r="AM30" s="409">
        <f t="shared" ref="AM30:AM33" si="34">IF($D30="Monthly",1,IF($D30="per KWH",$F$10,0))</f>
        <v>750</v>
      </c>
      <c r="AN30" s="394">
        <f t="shared" ref="AN30:AN36" si="35">AM30*AL30</f>
        <v>0</v>
      </c>
      <c r="AO30" s="138"/>
      <c r="AP30" s="395">
        <f t="shared" si="21"/>
        <v>0</v>
      </c>
      <c r="AQ30" s="396" t="str">
        <f t="shared" si="22"/>
        <v/>
      </c>
      <c r="AR30" s="397"/>
    </row>
    <row r="31" spans="1:44" ht="12" customHeight="1">
      <c r="A31" s="53"/>
      <c r="B31" s="398" t="s">
        <v>264</v>
      </c>
      <c r="C31" s="389" t="str">
        <f t="shared" si="23"/>
        <v>Residential.DVA Disposition Rate Rider Group 1 - 2024</v>
      </c>
      <c r="D31" s="390" t="s">
        <v>337</v>
      </c>
      <c r="E31" s="328"/>
      <c r="F31" s="408">
        <f>IFERROR(VLOOKUP($C31,'Proposed Rates'!$B:$J,F$11,FALSE),0)</f>
        <v>0</v>
      </c>
      <c r="G31" s="409">
        <f t="shared" si="24"/>
        <v>750</v>
      </c>
      <c r="H31" s="394">
        <f t="shared" si="25"/>
        <v>0</v>
      </c>
      <c r="I31" s="479"/>
      <c r="J31" s="408">
        <f>IFERROR(VLOOKUP($C31,'Proposed Rates'!$B:$J,J$11,FALSE),0)</f>
        <v>0</v>
      </c>
      <c r="K31" s="409">
        <f t="shared" si="26"/>
        <v>750</v>
      </c>
      <c r="L31" s="394">
        <f t="shared" si="27"/>
        <v>0</v>
      </c>
      <c r="M31" s="411"/>
      <c r="N31" s="395">
        <f t="shared" si="5"/>
        <v>0</v>
      </c>
      <c r="O31" s="396" t="str">
        <f t="shared" si="6"/>
        <v/>
      </c>
      <c r="P31" s="53"/>
      <c r="Q31" s="408">
        <f>IFERROR(VLOOKUP($C31,'Proposed Rates'!$B:$J,Q$11,FALSE),0)</f>
        <v>0</v>
      </c>
      <c r="R31" s="409">
        <f t="shared" si="28"/>
        <v>750</v>
      </c>
      <c r="S31" s="394">
        <f t="shared" si="29"/>
        <v>0</v>
      </c>
      <c r="T31" s="411"/>
      <c r="U31" s="395">
        <f t="shared" si="9"/>
        <v>0</v>
      </c>
      <c r="V31" s="396" t="str">
        <f t="shared" si="10"/>
        <v/>
      </c>
      <c r="W31" s="53"/>
      <c r="X31" s="408">
        <f>IFERROR(VLOOKUP($C31,'Proposed Rates'!$B:$J,X$11,FALSE),0)</f>
        <v>0</v>
      </c>
      <c r="Y31" s="409">
        <f t="shared" si="30"/>
        <v>750</v>
      </c>
      <c r="Z31" s="394">
        <f t="shared" si="31"/>
        <v>0</v>
      </c>
      <c r="AA31" s="411"/>
      <c r="AB31" s="395">
        <f t="shared" si="13"/>
        <v>0</v>
      </c>
      <c r="AC31" s="396" t="str">
        <f t="shared" si="14"/>
        <v/>
      </c>
      <c r="AD31" s="53"/>
      <c r="AE31" s="408">
        <f>IFERROR(VLOOKUP($C31,'Proposed Rates'!$B:$J,AE$11,FALSE),0)</f>
        <v>0</v>
      </c>
      <c r="AF31" s="409">
        <f t="shared" si="32"/>
        <v>750</v>
      </c>
      <c r="AG31" s="394">
        <f t="shared" si="33"/>
        <v>0</v>
      </c>
      <c r="AH31" s="411"/>
      <c r="AI31" s="395">
        <f t="shared" si="17"/>
        <v>0</v>
      </c>
      <c r="AJ31" s="396" t="str">
        <f t="shared" si="18"/>
        <v/>
      </c>
      <c r="AK31" s="53"/>
      <c r="AL31" s="408">
        <f>IFERROR(VLOOKUP($C31,'Proposed Rates'!$B:$J,AL$11,FALSE),0)</f>
        <v>0</v>
      </c>
      <c r="AM31" s="409">
        <f t="shared" si="34"/>
        <v>750</v>
      </c>
      <c r="AN31" s="394">
        <f t="shared" si="35"/>
        <v>0</v>
      </c>
      <c r="AO31" s="411"/>
      <c r="AP31" s="395">
        <f t="shared" si="21"/>
        <v>0</v>
      </c>
      <c r="AQ31" s="396" t="str">
        <f t="shared" si="22"/>
        <v/>
      </c>
      <c r="AR31" s="397"/>
    </row>
    <row r="32" spans="1:44" ht="12" customHeight="1">
      <c r="A32" s="53"/>
      <c r="B32" s="398" t="s">
        <v>272</v>
      </c>
      <c r="C32" s="389" t="str">
        <f t="shared" si="23"/>
        <v>Residential.CBR Class B Rate Riders</v>
      </c>
      <c r="D32" s="390" t="s">
        <v>337</v>
      </c>
      <c r="E32" s="328"/>
      <c r="F32" s="408">
        <f>IFERROR(VLOOKUP($C32,'Proposed Rates'!$B:$J,F$11,FALSE),0)</f>
        <v>2.0000000000000001E-4</v>
      </c>
      <c r="G32" s="409">
        <f t="shared" si="24"/>
        <v>750</v>
      </c>
      <c r="H32" s="394">
        <f t="shared" si="25"/>
        <v>0.15</v>
      </c>
      <c r="I32" s="479"/>
      <c r="J32" s="408">
        <f>IFERROR(VLOOKUP($C32,'Proposed Rates'!$B:$J,J$11,FALSE),0)</f>
        <v>6.9999999999999999E-4</v>
      </c>
      <c r="K32" s="409">
        <f t="shared" si="26"/>
        <v>750</v>
      </c>
      <c r="L32" s="394">
        <f t="shared" si="27"/>
        <v>0.52500000000000002</v>
      </c>
      <c r="M32" s="411"/>
      <c r="N32" s="395">
        <f t="shared" si="5"/>
        <v>0.375</v>
      </c>
      <c r="O32" s="396">
        <f t="shared" si="6"/>
        <v>2.5</v>
      </c>
      <c r="P32" s="53"/>
      <c r="Q32" s="408">
        <f>IFERROR(VLOOKUP($C32,'Proposed Rates'!$B:$J,Q$11,FALSE),0)</f>
        <v>0</v>
      </c>
      <c r="R32" s="409">
        <f t="shared" si="28"/>
        <v>750</v>
      </c>
      <c r="S32" s="394">
        <f t="shared" si="29"/>
        <v>0</v>
      </c>
      <c r="T32" s="411"/>
      <c r="U32" s="395">
        <f t="shared" si="9"/>
        <v>-0.52500000000000002</v>
      </c>
      <c r="V32" s="396">
        <f t="shared" si="10"/>
        <v>-1</v>
      </c>
      <c r="W32" s="53"/>
      <c r="X32" s="408">
        <f>IFERROR(VLOOKUP($C32,'Proposed Rates'!$B:$J,X$11,FALSE),0)</f>
        <v>0</v>
      </c>
      <c r="Y32" s="409">
        <f t="shared" si="30"/>
        <v>750</v>
      </c>
      <c r="Z32" s="394">
        <f t="shared" si="31"/>
        <v>0</v>
      </c>
      <c r="AA32" s="411"/>
      <c r="AB32" s="395">
        <f t="shared" si="13"/>
        <v>0</v>
      </c>
      <c r="AC32" s="396" t="str">
        <f t="shared" si="14"/>
        <v/>
      </c>
      <c r="AD32" s="53"/>
      <c r="AE32" s="408">
        <f>IFERROR(VLOOKUP($C32,'Proposed Rates'!$B:$J,AE$11,FALSE),0)</f>
        <v>0</v>
      </c>
      <c r="AF32" s="409">
        <f t="shared" si="32"/>
        <v>750</v>
      </c>
      <c r="AG32" s="394">
        <f t="shared" si="33"/>
        <v>0</v>
      </c>
      <c r="AH32" s="411"/>
      <c r="AI32" s="395">
        <f t="shared" si="17"/>
        <v>0</v>
      </c>
      <c r="AJ32" s="396" t="str">
        <f t="shared" si="18"/>
        <v/>
      </c>
      <c r="AK32" s="53"/>
      <c r="AL32" s="408">
        <f>IFERROR(VLOOKUP($C32,'Proposed Rates'!$B:$J,AL$11,FALSE),0)</f>
        <v>0</v>
      </c>
      <c r="AM32" s="409">
        <f t="shared" si="34"/>
        <v>750</v>
      </c>
      <c r="AN32" s="394">
        <f t="shared" si="35"/>
        <v>0</v>
      </c>
      <c r="AO32" s="411"/>
      <c r="AP32" s="395">
        <f t="shared" si="21"/>
        <v>0</v>
      </c>
      <c r="AQ32" s="396" t="str">
        <f t="shared" si="22"/>
        <v/>
      </c>
      <c r="AR32" s="397"/>
    </row>
    <row r="33" spans="1:44" ht="12" customHeight="1">
      <c r="A33" s="53"/>
      <c r="B33" s="398" t="s">
        <v>340</v>
      </c>
      <c r="C33" s="389" t="str">
        <f t="shared" si="23"/>
        <v>Residential.GA Disposition Rate Rider-NonRPP</v>
      </c>
      <c r="D33" s="390" t="s">
        <v>337</v>
      </c>
      <c r="E33" s="328"/>
      <c r="F33" s="408">
        <f>IFERROR(VLOOKUP($C33,'Proposed Rates'!$B:$J,F$11,FALSE),0)</f>
        <v>0</v>
      </c>
      <c r="G33" s="409">
        <f t="shared" si="24"/>
        <v>750</v>
      </c>
      <c r="H33" s="394">
        <f t="shared" si="25"/>
        <v>0</v>
      </c>
      <c r="I33" s="479"/>
      <c r="J33" s="408">
        <f>IFERROR(VLOOKUP($C33,'Proposed Rates'!$B:$J,J$11,FALSE),0)</f>
        <v>0</v>
      </c>
      <c r="K33" s="409">
        <f t="shared" si="26"/>
        <v>750</v>
      </c>
      <c r="L33" s="394">
        <f t="shared" si="27"/>
        <v>0</v>
      </c>
      <c r="M33" s="411"/>
      <c r="N33" s="395">
        <f t="shared" si="5"/>
        <v>0</v>
      </c>
      <c r="O33" s="396" t="str">
        <f t="shared" si="6"/>
        <v/>
      </c>
      <c r="P33" s="53"/>
      <c r="Q33" s="408">
        <f>IFERROR(VLOOKUP($C33,'Proposed Rates'!$B:$J,Q$11,FALSE),0)</f>
        <v>0</v>
      </c>
      <c r="R33" s="409">
        <f t="shared" si="28"/>
        <v>750</v>
      </c>
      <c r="S33" s="394">
        <f t="shared" si="29"/>
        <v>0</v>
      </c>
      <c r="T33" s="411"/>
      <c r="U33" s="395">
        <f t="shared" si="9"/>
        <v>0</v>
      </c>
      <c r="V33" s="396" t="str">
        <f t="shared" si="10"/>
        <v/>
      </c>
      <c r="W33" s="53"/>
      <c r="X33" s="408">
        <f>IFERROR(VLOOKUP($C33,'Proposed Rates'!$B:$J,X$11,FALSE),0)</f>
        <v>0</v>
      </c>
      <c r="Y33" s="409">
        <f t="shared" si="30"/>
        <v>750</v>
      </c>
      <c r="Z33" s="394">
        <f t="shared" si="31"/>
        <v>0</v>
      </c>
      <c r="AA33" s="411"/>
      <c r="AB33" s="395">
        <f t="shared" si="13"/>
        <v>0</v>
      </c>
      <c r="AC33" s="396" t="str">
        <f t="shared" si="14"/>
        <v/>
      </c>
      <c r="AD33" s="53"/>
      <c r="AE33" s="408">
        <f>IFERROR(VLOOKUP($C33,'Proposed Rates'!$B:$J,AE$11,FALSE),0)</f>
        <v>0</v>
      </c>
      <c r="AF33" s="409">
        <f t="shared" si="32"/>
        <v>750</v>
      </c>
      <c r="AG33" s="394">
        <f t="shared" si="33"/>
        <v>0</v>
      </c>
      <c r="AH33" s="411"/>
      <c r="AI33" s="395">
        <f t="shared" si="17"/>
        <v>0</v>
      </c>
      <c r="AJ33" s="396" t="str">
        <f t="shared" si="18"/>
        <v/>
      </c>
      <c r="AK33" s="53"/>
      <c r="AL33" s="408">
        <f>IFERROR(VLOOKUP($C33,'Proposed Rates'!$B:$J,AL$11,FALSE),0)</f>
        <v>0</v>
      </c>
      <c r="AM33" s="409">
        <f t="shared" si="34"/>
        <v>750</v>
      </c>
      <c r="AN33" s="394">
        <f t="shared" si="35"/>
        <v>0</v>
      </c>
      <c r="AO33" s="411"/>
      <c r="AP33" s="395">
        <f t="shared" si="21"/>
        <v>0</v>
      </c>
      <c r="AQ33" s="396" t="str">
        <f t="shared" si="22"/>
        <v/>
      </c>
      <c r="AR33" s="397"/>
    </row>
    <row r="34" spans="1:44" ht="12" customHeight="1">
      <c r="A34" s="53"/>
      <c r="B34" s="328" t="s">
        <v>300</v>
      </c>
      <c r="C34" s="389" t="str">
        <f t="shared" si="23"/>
        <v>Residential.Low Voltage Service Charge</v>
      </c>
      <c r="D34" s="390" t="s">
        <v>337</v>
      </c>
      <c r="E34" s="328"/>
      <c r="F34" s="412">
        <f>IFERROR(VLOOKUP($C34,'Proposed Rates'!$B:$J,F$11,FALSE),0)</f>
        <v>5.0000000000000002E-5</v>
      </c>
      <c r="G34" s="413">
        <f>$F$10*(1+F$63)</f>
        <v>775.35</v>
      </c>
      <c r="H34" s="394">
        <f t="shared" si="25"/>
        <v>3.8767500000000003E-2</v>
      </c>
      <c r="I34" s="138"/>
      <c r="J34" s="412">
        <f>IFERROR(VLOOKUP($C34,'Proposed Rates'!$B:$J,J$11,FALSE),0)</f>
        <v>6.9999999999999994E-5</v>
      </c>
      <c r="K34" s="413">
        <f>$F$10*(1+J$63)</f>
        <v>774.9</v>
      </c>
      <c r="L34" s="394">
        <f t="shared" si="27"/>
        <v>5.4242999999999993E-2</v>
      </c>
      <c r="M34" s="138"/>
      <c r="N34" s="395">
        <f t="shared" si="5"/>
        <v>1.5475499999999989E-2</v>
      </c>
      <c r="O34" s="396">
        <f t="shared" si="6"/>
        <v>0.3991874637260589</v>
      </c>
      <c r="P34" s="53"/>
      <c r="Q34" s="412">
        <f>IFERROR(VLOOKUP($C34,'Proposed Rates'!$B:$J,Q$11,FALSE),0)</f>
        <v>6.9999999999999994E-5</v>
      </c>
      <c r="R34" s="413">
        <f>$F$10*(1+Q$63)</f>
        <v>774.9</v>
      </c>
      <c r="S34" s="394">
        <f t="shared" si="29"/>
        <v>5.4242999999999993E-2</v>
      </c>
      <c r="T34" s="138"/>
      <c r="U34" s="395">
        <f t="shared" si="9"/>
        <v>0</v>
      </c>
      <c r="V34" s="396">
        <f t="shared" si="10"/>
        <v>0</v>
      </c>
      <c r="W34" s="53"/>
      <c r="X34" s="412">
        <f>IFERROR(VLOOKUP($C34,'Proposed Rates'!$B:$J,X$11,FALSE),0)</f>
        <v>8.0000000000000007E-5</v>
      </c>
      <c r="Y34" s="413">
        <f>$F$10*(1+X$63)</f>
        <v>774.9</v>
      </c>
      <c r="Z34" s="394">
        <f t="shared" si="31"/>
        <v>6.1992000000000005E-2</v>
      </c>
      <c r="AA34" s="138"/>
      <c r="AB34" s="395">
        <f t="shared" si="13"/>
        <v>7.7490000000000128E-3</v>
      </c>
      <c r="AC34" s="396">
        <f t="shared" si="14"/>
        <v>0.14285714285714313</v>
      </c>
      <c r="AD34" s="53"/>
      <c r="AE34" s="412">
        <f>IFERROR(VLOOKUP($C34,'Proposed Rates'!$B:$J,AE$11,FALSE),0)</f>
        <v>8.0000000000000007E-5</v>
      </c>
      <c r="AF34" s="413">
        <f>$F$10*(1+AE$63)</f>
        <v>774.9</v>
      </c>
      <c r="AG34" s="394">
        <f t="shared" si="33"/>
        <v>6.1992000000000005E-2</v>
      </c>
      <c r="AH34" s="138"/>
      <c r="AI34" s="395">
        <f t="shared" si="17"/>
        <v>0</v>
      </c>
      <c r="AJ34" s="396">
        <f t="shared" si="18"/>
        <v>0</v>
      </c>
      <c r="AK34" s="53"/>
      <c r="AL34" s="412">
        <f>IFERROR(VLOOKUP($C34,'Proposed Rates'!$B:$J,AL$11,FALSE),0)</f>
        <v>8.0000000000000007E-5</v>
      </c>
      <c r="AM34" s="413">
        <f>$F$10*(1+AL$63)</f>
        <v>774.9</v>
      </c>
      <c r="AN34" s="394">
        <f t="shared" si="35"/>
        <v>6.1992000000000005E-2</v>
      </c>
      <c r="AO34" s="138"/>
      <c r="AP34" s="395">
        <f t="shared" si="21"/>
        <v>0</v>
      </c>
      <c r="AQ34" s="396">
        <f t="shared" si="22"/>
        <v>0</v>
      </c>
      <c r="AR34" s="397"/>
    </row>
    <row r="35" spans="1:44" ht="12" customHeight="1">
      <c r="A35" s="53"/>
      <c r="B35" s="328" t="s">
        <v>341</v>
      </c>
      <c r="C35" s="389" t="str">
        <f t="shared" si="23"/>
        <v>Residential.Line Losses on Cost of Power</v>
      </c>
      <c r="D35" s="390" t="s">
        <v>337</v>
      </c>
      <c r="E35" s="328"/>
      <c r="F35" s="414">
        <f>'Proposed Rates'!$K$256*F$44+'Proposed Rates'!$K$257*F$45+'Proposed Rates'!$K$258*F$46</f>
        <v>0.12752000000000002</v>
      </c>
      <c r="G35" s="415">
        <f>$F$10*(1+F$63)-$F$10</f>
        <v>25.350000000000023</v>
      </c>
      <c r="H35" s="394">
        <f t="shared" si="25"/>
        <v>3.2326320000000033</v>
      </c>
      <c r="I35" s="138"/>
      <c r="J35" s="414">
        <f>'Proposed Rates'!$K$256*J$44+'Proposed Rates'!$K$257*J$45+'Proposed Rates'!$K$258*J$46</f>
        <v>0.12752000000000002</v>
      </c>
      <c r="K35" s="415">
        <f>$F$10*(1+J$63)-$F$10</f>
        <v>24.899999999999977</v>
      </c>
      <c r="L35" s="394">
        <f t="shared" si="27"/>
        <v>3.1752479999999976</v>
      </c>
      <c r="M35" s="138"/>
      <c r="N35" s="395">
        <f t="shared" si="5"/>
        <v>-5.7384000000005653E-2</v>
      </c>
      <c r="O35" s="396">
        <f t="shared" si="6"/>
        <v>-1.775147928994256E-2</v>
      </c>
      <c r="P35" s="53"/>
      <c r="Q35" s="414">
        <f>'Proposed Rates'!$K$256*Q$44+'Proposed Rates'!$K$257*Q$45+'Proposed Rates'!$K$258*Q$46</f>
        <v>0.12752000000000002</v>
      </c>
      <c r="R35" s="415">
        <f>$F$10*(1+Q$63)-$F$10</f>
        <v>24.899999999999977</v>
      </c>
      <c r="S35" s="394">
        <f t="shared" si="29"/>
        <v>3.1752479999999976</v>
      </c>
      <c r="T35" s="138"/>
      <c r="U35" s="395">
        <f t="shared" si="9"/>
        <v>0</v>
      </c>
      <c r="V35" s="396">
        <f t="shared" si="10"/>
        <v>0</v>
      </c>
      <c r="W35" s="53"/>
      <c r="X35" s="414">
        <f>'Proposed Rates'!$K$256*X$44+'Proposed Rates'!$K$257*X$45+'Proposed Rates'!$K$258*X$46</f>
        <v>0.12752000000000002</v>
      </c>
      <c r="Y35" s="415">
        <f>$F$10*(1+X$63)-$F$10</f>
        <v>24.899999999999977</v>
      </c>
      <c r="Z35" s="394">
        <f t="shared" si="31"/>
        <v>3.1752479999999976</v>
      </c>
      <c r="AA35" s="138"/>
      <c r="AB35" s="395">
        <f t="shared" si="13"/>
        <v>0</v>
      </c>
      <c r="AC35" s="396">
        <f t="shared" si="14"/>
        <v>0</v>
      </c>
      <c r="AD35" s="53"/>
      <c r="AE35" s="414">
        <f>'Proposed Rates'!$K$256*AE$44+'Proposed Rates'!$K$257*AE$45+'Proposed Rates'!$K$258*AE$46</f>
        <v>0.12752000000000002</v>
      </c>
      <c r="AF35" s="415">
        <f>$F$10*(1+AE$63)-$F$10</f>
        <v>24.899999999999977</v>
      </c>
      <c r="AG35" s="394">
        <f t="shared" si="33"/>
        <v>3.1752479999999976</v>
      </c>
      <c r="AH35" s="138"/>
      <c r="AI35" s="395">
        <f t="shared" si="17"/>
        <v>0</v>
      </c>
      <c r="AJ35" s="396">
        <f t="shared" si="18"/>
        <v>0</v>
      </c>
      <c r="AK35" s="53"/>
      <c r="AL35" s="414">
        <f>'Proposed Rates'!$K$256*AL$44+'Proposed Rates'!$K$257*AL$45+'Proposed Rates'!$K$258*AL$46</f>
        <v>0.12752000000000002</v>
      </c>
      <c r="AM35" s="415">
        <f>$F$10*(1+AL$63)-$F$10</f>
        <v>24.899999999999977</v>
      </c>
      <c r="AN35" s="394">
        <f t="shared" si="35"/>
        <v>3.1752479999999976</v>
      </c>
      <c r="AO35" s="138"/>
      <c r="AP35" s="395">
        <f t="shared" si="21"/>
        <v>0</v>
      </c>
      <c r="AQ35" s="396">
        <f t="shared" si="22"/>
        <v>0</v>
      </c>
      <c r="AR35" s="397"/>
    </row>
    <row r="36" spans="1:44" ht="12" customHeight="1">
      <c r="A36" s="53"/>
      <c r="B36" s="328" t="s">
        <v>302</v>
      </c>
      <c r="C36" s="389" t="str">
        <f t="shared" si="23"/>
        <v>Residential.Smart Meter Entity Charge</v>
      </c>
      <c r="D36" s="390" t="s">
        <v>335</v>
      </c>
      <c r="E36" s="328"/>
      <c r="F36" s="391">
        <f>IFERROR(VLOOKUP($C36,'Proposed Rates'!$B:$J,F$11,FALSE),0)</f>
        <v>0.42</v>
      </c>
      <c r="G36" s="409">
        <f>IF($D36="Monthly",1,IF($D36="per KWH",$F$10,0))</f>
        <v>1</v>
      </c>
      <c r="H36" s="394">
        <f t="shared" si="25"/>
        <v>0.42</v>
      </c>
      <c r="I36" s="138"/>
      <c r="J36" s="391">
        <f>IFERROR(VLOOKUP($C36,'Proposed Rates'!$B:$J,J$11,FALSE),0)</f>
        <v>0.42</v>
      </c>
      <c r="K36" s="409">
        <f>IF($D36="Monthly",1,IF($D36="per KWH",$F$10,0))</f>
        <v>1</v>
      </c>
      <c r="L36" s="394">
        <f t="shared" si="27"/>
        <v>0.42</v>
      </c>
      <c r="M36" s="138"/>
      <c r="N36" s="395">
        <f t="shared" si="5"/>
        <v>0</v>
      </c>
      <c r="O36" s="396">
        <f t="shared" si="6"/>
        <v>0</v>
      </c>
      <c r="P36" s="53"/>
      <c r="Q36" s="391">
        <f>IFERROR(VLOOKUP($C36,'Proposed Rates'!$B:$J,Q$11,FALSE),0)</f>
        <v>0.42</v>
      </c>
      <c r="R36" s="409">
        <f>IF($D36="Monthly",1,IF($D36="per KWH",$F$10,0))</f>
        <v>1</v>
      </c>
      <c r="S36" s="394">
        <f t="shared" si="29"/>
        <v>0.42</v>
      </c>
      <c r="T36" s="138"/>
      <c r="U36" s="395">
        <f t="shared" si="9"/>
        <v>0</v>
      </c>
      <c r="V36" s="396">
        <f t="shared" si="10"/>
        <v>0</v>
      </c>
      <c r="W36" s="53"/>
      <c r="X36" s="391">
        <f>IFERROR(VLOOKUP($C36,'Proposed Rates'!$B:$J,X$11,FALSE),0)</f>
        <v>0.43</v>
      </c>
      <c r="Y36" s="409">
        <f>IF($D36="Monthly",1,IF($D36="per KWH",$F$10,0))</f>
        <v>1</v>
      </c>
      <c r="Z36" s="394">
        <f t="shared" si="31"/>
        <v>0.43</v>
      </c>
      <c r="AA36" s="138"/>
      <c r="AB36" s="395">
        <f t="shared" si="13"/>
        <v>1.0000000000000009E-2</v>
      </c>
      <c r="AC36" s="396">
        <f t="shared" si="14"/>
        <v>2.3809523809523832E-2</v>
      </c>
      <c r="AD36" s="53"/>
      <c r="AE36" s="391">
        <f>IFERROR(VLOOKUP($C36,'Proposed Rates'!$B:$J,AE$11,FALSE),0)</f>
        <v>0.44</v>
      </c>
      <c r="AF36" s="409">
        <f>IF($D36="Monthly",1,IF($D36="per KWH",$F$10,0))</f>
        <v>1</v>
      </c>
      <c r="AG36" s="394">
        <f t="shared" si="33"/>
        <v>0.44</v>
      </c>
      <c r="AH36" s="138"/>
      <c r="AI36" s="395">
        <f t="shared" si="17"/>
        <v>1.0000000000000009E-2</v>
      </c>
      <c r="AJ36" s="396">
        <f t="shared" si="18"/>
        <v>2.3255813953488393E-2</v>
      </c>
      <c r="AK36" s="53"/>
      <c r="AL36" s="391">
        <f>IFERROR(VLOOKUP($C36,'Proposed Rates'!$B:$J,AL$11,FALSE),0)</f>
        <v>0.45</v>
      </c>
      <c r="AM36" s="409">
        <f>IF($D36="Monthly",1,IF($D36="per KWH",$F$10,0))</f>
        <v>1</v>
      </c>
      <c r="AN36" s="394">
        <f t="shared" si="35"/>
        <v>0.45</v>
      </c>
      <c r="AO36" s="138"/>
      <c r="AP36" s="395">
        <f t="shared" si="21"/>
        <v>1.0000000000000009E-2</v>
      </c>
      <c r="AQ36" s="396">
        <f t="shared" si="22"/>
        <v>2.2727272727272749E-2</v>
      </c>
      <c r="AR36" s="397"/>
    </row>
    <row r="37" spans="1:44" ht="12" customHeight="1">
      <c r="A37" s="53"/>
      <c r="B37" s="399" t="s">
        <v>342</v>
      </c>
      <c r="C37" s="416"/>
      <c r="D37" s="416"/>
      <c r="E37" s="416"/>
      <c r="F37" s="417"/>
      <c r="G37" s="418"/>
      <c r="H37" s="403">
        <f>SUM(H30:H36)+H29</f>
        <v>38.201399500000001</v>
      </c>
      <c r="I37" s="419"/>
      <c r="J37" s="417"/>
      <c r="K37" s="418"/>
      <c r="L37" s="496">
        <f>SUM(L30:L36)+L29</f>
        <v>43.274491000000005</v>
      </c>
      <c r="M37" s="419"/>
      <c r="N37" s="405">
        <f t="shared" si="5"/>
        <v>5.0730915000000039</v>
      </c>
      <c r="O37" s="406">
        <f t="shared" si="6"/>
        <v>0.13279857718301666</v>
      </c>
      <c r="P37" s="53"/>
      <c r="Q37" s="417"/>
      <c r="R37" s="418"/>
      <c r="S37" s="403">
        <f>SUM(S30:S36)+S29</f>
        <v>46.589491000000002</v>
      </c>
      <c r="T37" s="419"/>
      <c r="U37" s="405">
        <f t="shared" si="9"/>
        <v>3.3149999999999977</v>
      </c>
      <c r="V37" s="406">
        <f t="shared" si="10"/>
        <v>7.6604020599572095E-2</v>
      </c>
      <c r="W37" s="53"/>
      <c r="X37" s="417"/>
      <c r="Y37" s="418"/>
      <c r="Z37" s="403">
        <f>SUM(Z30:Z36)+Z29</f>
        <v>47.597239999999999</v>
      </c>
      <c r="AA37" s="419"/>
      <c r="AB37" s="405">
        <f t="shared" si="13"/>
        <v>1.0077489999999969</v>
      </c>
      <c r="AC37" s="406">
        <f t="shared" si="14"/>
        <v>2.1630393000000726E-2</v>
      </c>
      <c r="AD37" s="53"/>
      <c r="AE37" s="417"/>
      <c r="AF37" s="418"/>
      <c r="AG37" s="403">
        <f>SUM(AG30:AG36)+AG29</f>
        <v>49.097239999999999</v>
      </c>
      <c r="AH37" s="419"/>
      <c r="AI37" s="405">
        <f t="shared" si="17"/>
        <v>1.5</v>
      </c>
      <c r="AJ37" s="406">
        <f t="shared" si="18"/>
        <v>3.1514432349438751E-2</v>
      </c>
      <c r="AK37" s="53"/>
      <c r="AL37" s="417"/>
      <c r="AM37" s="418"/>
      <c r="AN37" s="403">
        <f>SUM(AN30:AN36)+AN29</f>
        <v>50.467239999999997</v>
      </c>
      <c r="AO37" s="419"/>
      <c r="AP37" s="405">
        <f t="shared" si="21"/>
        <v>1.3699999999999974</v>
      </c>
      <c r="AQ37" s="406">
        <f t="shared" si="22"/>
        <v>2.7903808849540166E-2</v>
      </c>
      <c r="AR37" s="407"/>
    </row>
    <row r="38" spans="1:44" ht="12" customHeight="1">
      <c r="A38" s="53"/>
      <c r="B38" s="138" t="s">
        <v>285</v>
      </c>
      <c r="C38" s="389" t="str">
        <f t="shared" ref="C38:C39" si="36">D$6&amp;"."&amp;B38</f>
        <v>Residential.RTSR - Network</v>
      </c>
      <c r="D38" s="420" t="s">
        <v>337</v>
      </c>
      <c r="E38" s="138"/>
      <c r="F38" s="408">
        <f>IFERROR(VLOOKUP($C38,'Proposed Rates'!$B:$J,F$11,FALSE),0)</f>
        <v>1.26E-2</v>
      </c>
      <c r="G38" s="413">
        <f t="shared" ref="G38:G39" si="37">$F$10*(1+F$63)</f>
        <v>775.35</v>
      </c>
      <c r="H38" s="394">
        <f t="shared" ref="H38:H39" si="38">G38*F38</f>
        <v>9.7694100000000006</v>
      </c>
      <c r="I38" s="138"/>
      <c r="J38" s="408">
        <f>IFERROR(VLOOKUP($C38,'Proposed Rates'!$B:$J,J$11,FALSE),0)</f>
        <v>1.38E-2</v>
      </c>
      <c r="K38" s="413">
        <f t="shared" ref="K38:K39" si="39">$F$10*(1+J$63)</f>
        <v>774.9</v>
      </c>
      <c r="L38" s="394">
        <f t="shared" ref="L38:L39" si="40">K38*J38</f>
        <v>10.693619999999999</v>
      </c>
      <c r="M38" s="138"/>
      <c r="N38" s="395">
        <f t="shared" si="5"/>
        <v>0.92420999999999864</v>
      </c>
      <c r="O38" s="396">
        <f t="shared" si="6"/>
        <v>9.4602437608821671E-2</v>
      </c>
      <c r="P38" s="53"/>
      <c r="Q38" s="408">
        <f>IFERROR(VLOOKUP($C38,'Proposed Rates'!$B:$J,Q$11,FALSE),0)</f>
        <v>1.38E-2</v>
      </c>
      <c r="R38" s="413">
        <f t="shared" ref="R38:R39" si="41">$F$10*(1+Q$63)</f>
        <v>774.9</v>
      </c>
      <c r="S38" s="394">
        <f t="shared" ref="S38:S39" si="42">R38*Q38</f>
        <v>10.693619999999999</v>
      </c>
      <c r="T38" s="138"/>
      <c r="U38" s="395">
        <f t="shared" si="9"/>
        <v>0</v>
      </c>
      <c r="V38" s="396">
        <f t="shared" si="10"/>
        <v>0</v>
      </c>
      <c r="W38" s="53"/>
      <c r="X38" s="408">
        <f>IFERROR(VLOOKUP($C38,'Proposed Rates'!$B:$J,X$11,FALSE),0)</f>
        <v>1.38E-2</v>
      </c>
      <c r="Y38" s="413">
        <f t="shared" ref="Y38:Y39" si="43">$F$10*(1+X$63)</f>
        <v>774.9</v>
      </c>
      <c r="Z38" s="394">
        <f t="shared" ref="Z38:Z39" si="44">Y38*X38</f>
        <v>10.693619999999999</v>
      </c>
      <c r="AA38" s="138"/>
      <c r="AB38" s="395">
        <f t="shared" si="13"/>
        <v>0</v>
      </c>
      <c r="AC38" s="396">
        <f t="shared" si="14"/>
        <v>0</v>
      </c>
      <c r="AD38" s="53"/>
      <c r="AE38" s="408">
        <f>IFERROR(VLOOKUP($C38,'Proposed Rates'!$B:$J,AE$11,FALSE),0)</f>
        <v>1.38E-2</v>
      </c>
      <c r="AF38" s="413">
        <f t="shared" ref="AF38:AF39" si="45">$F$10*(1+AE$63)</f>
        <v>774.9</v>
      </c>
      <c r="AG38" s="394">
        <f t="shared" ref="AG38:AG39" si="46">AF38*AE38</f>
        <v>10.693619999999999</v>
      </c>
      <c r="AH38" s="138"/>
      <c r="AI38" s="395">
        <f t="shared" si="17"/>
        <v>0</v>
      </c>
      <c r="AJ38" s="396">
        <f t="shared" si="18"/>
        <v>0</v>
      </c>
      <c r="AK38" s="53"/>
      <c r="AL38" s="408">
        <f>IFERROR(VLOOKUP($C38,'Proposed Rates'!$B:$J,AL$11,FALSE),0)</f>
        <v>1.38E-2</v>
      </c>
      <c r="AM38" s="413">
        <f t="shared" ref="AM38:AM39" si="47">$F$10*(1+AL$63)</f>
        <v>774.9</v>
      </c>
      <c r="AN38" s="394">
        <f t="shared" ref="AN38:AN39" si="48">AM38*AL38</f>
        <v>10.693619999999999</v>
      </c>
      <c r="AO38" s="138"/>
      <c r="AP38" s="395">
        <f t="shared" si="21"/>
        <v>0</v>
      </c>
      <c r="AQ38" s="396">
        <f t="shared" si="22"/>
        <v>0</v>
      </c>
      <c r="AR38" s="397"/>
    </row>
    <row r="39" spans="1:44" ht="12" customHeight="1">
      <c r="A39" s="53"/>
      <c r="B39" s="138" t="s">
        <v>288</v>
      </c>
      <c r="C39" s="389" t="str">
        <f t="shared" si="36"/>
        <v>Residential.RTSR - Line and Transformation Connection</v>
      </c>
      <c r="D39" s="420" t="s">
        <v>337</v>
      </c>
      <c r="E39" s="138"/>
      <c r="F39" s="408">
        <f>IFERROR(VLOOKUP($C39,'Proposed Rates'!$B:$J,F$11,FALSE),0)</f>
        <v>7.1999999999999998E-3</v>
      </c>
      <c r="G39" s="413">
        <f t="shared" si="37"/>
        <v>775.35</v>
      </c>
      <c r="H39" s="394">
        <f t="shared" si="38"/>
        <v>5.5825199999999997</v>
      </c>
      <c r="I39" s="138"/>
      <c r="J39" s="408">
        <f>IFERROR(VLOOKUP($C39,'Proposed Rates'!$B:$J,J$11,FALSE),0)</f>
        <v>7.7999999999999996E-3</v>
      </c>
      <c r="K39" s="413">
        <f t="shared" si="39"/>
        <v>774.9</v>
      </c>
      <c r="L39" s="394">
        <f t="shared" si="40"/>
        <v>6.0442199999999993</v>
      </c>
      <c r="M39" s="138"/>
      <c r="N39" s="395">
        <f t="shared" si="5"/>
        <v>0.46169999999999956</v>
      </c>
      <c r="O39" s="396">
        <f t="shared" si="6"/>
        <v>8.2704585026117161E-2</v>
      </c>
      <c r="P39" s="53"/>
      <c r="Q39" s="408">
        <f>IFERROR(VLOOKUP($C39,'Proposed Rates'!$B:$J,Q$11,FALSE),0)</f>
        <v>7.7999999999999996E-3</v>
      </c>
      <c r="R39" s="413">
        <f t="shared" si="41"/>
        <v>774.9</v>
      </c>
      <c r="S39" s="394">
        <f t="shared" si="42"/>
        <v>6.0442199999999993</v>
      </c>
      <c r="T39" s="138"/>
      <c r="U39" s="395">
        <f t="shared" si="9"/>
        <v>0</v>
      </c>
      <c r="V39" s="396">
        <f t="shared" si="10"/>
        <v>0</v>
      </c>
      <c r="W39" s="53"/>
      <c r="X39" s="408">
        <f>IFERROR(VLOOKUP($C39,'Proposed Rates'!$B:$J,X$11,FALSE),0)</f>
        <v>7.7999999999999996E-3</v>
      </c>
      <c r="Y39" s="413">
        <f t="shared" si="43"/>
        <v>774.9</v>
      </c>
      <c r="Z39" s="394">
        <f t="shared" si="44"/>
        <v>6.0442199999999993</v>
      </c>
      <c r="AA39" s="138"/>
      <c r="AB39" s="395">
        <f t="shared" si="13"/>
        <v>0</v>
      </c>
      <c r="AC39" s="396">
        <f t="shared" si="14"/>
        <v>0</v>
      </c>
      <c r="AD39" s="53"/>
      <c r="AE39" s="408">
        <f>IFERROR(VLOOKUP($C39,'Proposed Rates'!$B:$J,AE$11,FALSE),0)</f>
        <v>7.7999999999999996E-3</v>
      </c>
      <c r="AF39" s="413">
        <f t="shared" si="45"/>
        <v>774.9</v>
      </c>
      <c r="AG39" s="394">
        <f t="shared" si="46"/>
        <v>6.0442199999999993</v>
      </c>
      <c r="AH39" s="138"/>
      <c r="AI39" s="395">
        <f t="shared" si="17"/>
        <v>0</v>
      </c>
      <c r="AJ39" s="396">
        <f t="shared" si="18"/>
        <v>0</v>
      </c>
      <c r="AK39" s="53"/>
      <c r="AL39" s="408">
        <f>IFERROR(VLOOKUP($C39,'Proposed Rates'!$B:$J,AL$11,FALSE),0)</f>
        <v>7.7999999999999996E-3</v>
      </c>
      <c r="AM39" s="413">
        <f t="shared" si="47"/>
        <v>774.9</v>
      </c>
      <c r="AN39" s="394">
        <f t="shared" si="48"/>
        <v>6.0442199999999993</v>
      </c>
      <c r="AO39" s="138"/>
      <c r="AP39" s="395">
        <f t="shared" si="21"/>
        <v>0</v>
      </c>
      <c r="AQ39" s="396">
        <f t="shared" si="22"/>
        <v>0</v>
      </c>
      <c r="AR39" s="397"/>
    </row>
    <row r="40" spans="1:44" ht="12" customHeight="1">
      <c r="A40" s="53"/>
      <c r="B40" s="399" t="s">
        <v>343</v>
      </c>
      <c r="C40" s="421"/>
      <c r="D40" s="421"/>
      <c r="E40" s="421"/>
      <c r="F40" s="422"/>
      <c r="G40" s="423"/>
      <c r="H40" s="403">
        <f>SUM(H37:H39)</f>
        <v>53.553329500000004</v>
      </c>
      <c r="I40" s="404"/>
      <c r="J40" s="422"/>
      <c r="K40" s="423"/>
      <c r="L40" s="496">
        <f>SUM(L37:L39)</f>
        <v>60.012331000000003</v>
      </c>
      <c r="M40" s="404"/>
      <c r="N40" s="405">
        <f t="shared" si="5"/>
        <v>6.4590014999999994</v>
      </c>
      <c r="O40" s="406">
        <f t="shared" si="6"/>
        <v>0.1206087755944287</v>
      </c>
      <c r="P40" s="53"/>
      <c r="Q40" s="422"/>
      <c r="R40" s="423"/>
      <c r="S40" s="403">
        <f>SUM(S37:S39)</f>
        <v>63.327331000000001</v>
      </c>
      <c r="T40" s="404"/>
      <c r="U40" s="405">
        <f t="shared" si="9"/>
        <v>3.3149999999999977</v>
      </c>
      <c r="V40" s="406">
        <f t="shared" si="10"/>
        <v>5.5238647537286918E-2</v>
      </c>
      <c r="W40" s="53"/>
      <c r="X40" s="422"/>
      <c r="Y40" s="423"/>
      <c r="Z40" s="403">
        <f>SUM(Z37:Z39)</f>
        <v>64.335079999999991</v>
      </c>
      <c r="AA40" s="404"/>
      <c r="AB40" s="405">
        <f t="shared" si="13"/>
        <v>1.0077489999999898</v>
      </c>
      <c r="AC40" s="406">
        <f t="shared" si="14"/>
        <v>1.5913334481126164E-2</v>
      </c>
      <c r="AD40" s="53"/>
      <c r="AE40" s="422"/>
      <c r="AF40" s="423"/>
      <c r="AG40" s="403">
        <f>SUM(AG37:AG39)</f>
        <v>65.835079999999991</v>
      </c>
      <c r="AH40" s="404"/>
      <c r="AI40" s="405">
        <f t="shared" si="17"/>
        <v>1.5</v>
      </c>
      <c r="AJ40" s="406">
        <f t="shared" si="18"/>
        <v>2.3315429156223949E-2</v>
      </c>
      <c r="AK40" s="53"/>
      <c r="AL40" s="422"/>
      <c r="AM40" s="423"/>
      <c r="AN40" s="403">
        <f>SUM(AN37:AN39)</f>
        <v>67.205079999999995</v>
      </c>
      <c r="AO40" s="404"/>
      <c r="AP40" s="405">
        <f t="shared" si="21"/>
        <v>1.3700000000000045</v>
      </c>
      <c r="AQ40" s="406">
        <f t="shared" si="22"/>
        <v>2.080957447002426E-2</v>
      </c>
      <c r="AR40" s="407"/>
    </row>
    <row r="41" spans="1:44" ht="12" customHeight="1">
      <c r="A41" s="53"/>
      <c r="B41" s="328" t="s">
        <v>289</v>
      </c>
      <c r="C41" s="389" t="str">
        <f t="shared" ref="C41:C48" si="49">D$6&amp;"."&amp;B41</f>
        <v>Residential.Wholesale Market Service Charge (WMSC)</v>
      </c>
      <c r="D41" s="390" t="s">
        <v>337</v>
      </c>
      <c r="E41" s="328"/>
      <c r="F41" s="408">
        <f>IFERROR(VLOOKUP($C41,'Proposed Rates'!$B:$J,F$11,FALSE),0)</f>
        <v>4.4999999999999997E-3</v>
      </c>
      <c r="G41" s="413">
        <f t="shared" ref="G41:G42" si="50">$F$10*(1+F$63)</f>
        <v>775.35</v>
      </c>
      <c r="H41" s="394">
        <f t="shared" ref="H41:H48" si="51">G41*F41</f>
        <v>3.4890749999999997</v>
      </c>
      <c r="I41" s="138"/>
      <c r="J41" s="408">
        <f>IFERROR(VLOOKUP($C41,'Proposed Rates'!$B:$J,J$11,FALSE),0)</f>
        <v>4.7000000000000002E-3</v>
      </c>
      <c r="K41" s="413">
        <f t="shared" ref="K41:K42" si="52">$F$10*(1+J$63)</f>
        <v>774.9</v>
      </c>
      <c r="L41" s="394">
        <f t="shared" ref="L41:L48" si="53">K41*J41</f>
        <v>3.6420300000000001</v>
      </c>
      <c r="M41" s="138"/>
      <c r="N41" s="395">
        <f t="shared" si="5"/>
        <v>0.1529550000000004</v>
      </c>
      <c r="O41" s="396">
        <f t="shared" si="6"/>
        <v>4.3838266589282374E-2</v>
      </c>
      <c r="P41" s="53"/>
      <c r="Q41" s="408">
        <f>IFERROR(VLOOKUP($C41,'Proposed Rates'!$B:$J,Q$11,FALSE),0)</f>
        <v>4.7000000000000002E-3</v>
      </c>
      <c r="R41" s="413">
        <f t="shared" ref="R41:R42" si="54">$F$10*(1+Q$63)</f>
        <v>774.9</v>
      </c>
      <c r="S41" s="394">
        <f t="shared" ref="S41:S48" si="55">R41*Q41</f>
        <v>3.6420300000000001</v>
      </c>
      <c r="T41" s="138"/>
      <c r="U41" s="395">
        <f t="shared" si="9"/>
        <v>0</v>
      </c>
      <c r="V41" s="396">
        <f t="shared" si="10"/>
        <v>0</v>
      </c>
      <c r="W41" s="53"/>
      <c r="X41" s="408">
        <f>IFERROR(VLOOKUP($C41,'Proposed Rates'!$B:$J,X$11,FALSE),0)</f>
        <v>4.7000000000000002E-3</v>
      </c>
      <c r="Y41" s="413">
        <f t="shared" ref="Y41:Y42" si="56">$F$10*(1+X$63)</f>
        <v>774.9</v>
      </c>
      <c r="Z41" s="394">
        <f t="shared" ref="Z41:Z48" si="57">Y41*X41</f>
        <v>3.6420300000000001</v>
      </c>
      <c r="AA41" s="138"/>
      <c r="AB41" s="395">
        <f t="shared" si="13"/>
        <v>0</v>
      </c>
      <c r="AC41" s="396">
        <f t="shared" si="14"/>
        <v>0</v>
      </c>
      <c r="AD41" s="53"/>
      <c r="AE41" s="408">
        <f>IFERROR(VLOOKUP($C41,'Proposed Rates'!$B:$J,AE$11,FALSE),0)</f>
        <v>4.7000000000000002E-3</v>
      </c>
      <c r="AF41" s="413">
        <f t="shared" ref="AF41:AF42" si="58">$F$10*(1+AE$63)</f>
        <v>774.9</v>
      </c>
      <c r="AG41" s="394">
        <f t="shared" ref="AG41:AG48" si="59">AF41*AE41</f>
        <v>3.6420300000000001</v>
      </c>
      <c r="AH41" s="138"/>
      <c r="AI41" s="395">
        <f t="shared" si="17"/>
        <v>0</v>
      </c>
      <c r="AJ41" s="396">
        <f t="shared" si="18"/>
        <v>0</v>
      </c>
      <c r="AK41" s="53"/>
      <c r="AL41" s="408">
        <f>IFERROR(VLOOKUP($C41,'Proposed Rates'!$B:$J,AL$11,FALSE),0)</f>
        <v>4.7000000000000002E-3</v>
      </c>
      <c r="AM41" s="413">
        <f t="shared" ref="AM41:AM42" si="60">$F$10*(1+AL$63)</f>
        <v>774.9</v>
      </c>
      <c r="AN41" s="394">
        <f t="shared" ref="AN41:AN48" si="61">AM41*AL41</f>
        <v>3.6420300000000001</v>
      </c>
      <c r="AO41" s="138"/>
      <c r="AP41" s="395">
        <f t="shared" si="21"/>
        <v>0</v>
      </c>
      <c r="AQ41" s="396">
        <f t="shared" si="22"/>
        <v>0</v>
      </c>
      <c r="AR41" s="397"/>
    </row>
    <row r="42" spans="1:44" ht="12" customHeight="1">
      <c r="A42" s="53"/>
      <c r="B42" s="328" t="s">
        <v>290</v>
      </c>
      <c r="C42" s="389" t="str">
        <f t="shared" si="49"/>
        <v>Residential.Rural and Remote Rate Protection (RRRP)</v>
      </c>
      <c r="D42" s="390" t="s">
        <v>337</v>
      </c>
      <c r="E42" s="328"/>
      <c r="F42" s="408">
        <f>IFERROR(VLOOKUP($C42,'Proposed Rates'!$B:$J,F$11,FALSE),0)</f>
        <v>1.5E-3</v>
      </c>
      <c r="G42" s="413">
        <f t="shared" si="50"/>
        <v>775.35</v>
      </c>
      <c r="H42" s="394">
        <f t="shared" si="51"/>
        <v>1.163025</v>
      </c>
      <c r="I42" s="138"/>
      <c r="J42" s="408">
        <f>IFERROR(VLOOKUP($C42,'Proposed Rates'!$B:$J,J$11,FALSE),0)</f>
        <v>5.9999999999999995E-4</v>
      </c>
      <c r="K42" s="413">
        <f t="shared" si="52"/>
        <v>774.9</v>
      </c>
      <c r="L42" s="394">
        <f t="shared" si="53"/>
        <v>0.46493999999999996</v>
      </c>
      <c r="M42" s="138"/>
      <c r="N42" s="395">
        <f t="shared" si="5"/>
        <v>-0.69808500000000007</v>
      </c>
      <c r="O42" s="396">
        <f t="shared" si="6"/>
        <v>-0.600232153221126</v>
      </c>
      <c r="P42" s="53"/>
      <c r="Q42" s="408">
        <f>IFERROR(VLOOKUP($C42,'Proposed Rates'!$B:$J,Q$11,FALSE),0)</f>
        <v>5.9999999999999995E-4</v>
      </c>
      <c r="R42" s="413">
        <f t="shared" si="54"/>
        <v>774.9</v>
      </c>
      <c r="S42" s="394">
        <f t="shared" si="55"/>
        <v>0.46493999999999996</v>
      </c>
      <c r="T42" s="138"/>
      <c r="U42" s="395">
        <f t="shared" si="9"/>
        <v>0</v>
      </c>
      <c r="V42" s="396">
        <f t="shared" si="10"/>
        <v>0</v>
      </c>
      <c r="W42" s="53"/>
      <c r="X42" s="408">
        <f>IFERROR(VLOOKUP($C42,'Proposed Rates'!$B:$J,X$11,FALSE),0)</f>
        <v>5.9999999999999995E-4</v>
      </c>
      <c r="Y42" s="413">
        <f t="shared" si="56"/>
        <v>774.9</v>
      </c>
      <c r="Z42" s="394">
        <f t="shared" si="57"/>
        <v>0.46493999999999996</v>
      </c>
      <c r="AA42" s="138"/>
      <c r="AB42" s="395">
        <f t="shared" si="13"/>
        <v>0</v>
      </c>
      <c r="AC42" s="396">
        <f t="shared" si="14"/>
        <v>0</v>
      </c>
      <c r="AD42" s="53"/>
      <c r="AE42" s="408">
        <f>IFERROR(VLOOKUP($C42,'Proposed Rates'!$B:$J,AE$11,FALSE),0)</f>
        <v>5.9999999999999995E-4</v>
      </c>
      <c r="AF42" s="413">
        <f t="shared" si="58"/>
        <v>774.9</v>
      </c>
      <c r="AG42" s="394">
        <f t="shared" si="59"/>
        <v>0.46493999999999996</v>
      </c>
      <c r="AH42" s="138"/>
      <c r="AI42" s="395">
        <f t="shared" si="17"/>
        <v>0</v>
      </c>
      <c r="AJ42" s="396">
        <f t="shared" si="18"/>
        <v>0</v>
      </c>
      <c r="AK42" s="53"/>
      <c r="AL42" s="408">
        <f>IFERROR(VLOOKUP($C42,'Proposed Rates'!$B:$J,AL$11,FALSE),0)</f>
        <v>5.9999999999999995E-4</v>
      </c>
      <c r="AM42" s="413">
        <f t="shared" si="60"/>
        <v>774.9</v>
      </c>
      <c r="AN42" s="394">
        <f t="shared" si="61"/>
        <v>0.46493999999999996</v>
      </c>
      <c r="AO42" s="138"/>
      <c r="AP42" s="395">
        <f t="shared" si="21"/>
        <v>0</v>
      </c>
      <c r="AQ42" s="396">
        <f t="shared" si="22"/>
        <v>0</v>
      </c>
      <c r="AR42" s="397"/>
    </row>
    <row r="43" spans="1:44" ht="12" customHeight="1">
      <c r="A43" s="53"/>
      <c r="B43" s="328" t="s">
        <v>291</v>
      </c>
      <c r="C43" s="389" t="str">
        <f t="shared" si="49"/>
        <v>Residential.Standard Supply Service Charge</v>
      </c>
      <c r="D43" s="390" t="s">
        <v>335</v>
      </c>
      <c r="E43" s="328"/>
      <c r="F43" s="408">
        <f>IFERROR(VLOOKUP($C43,'Proposed Rates'!$B:$J,F$11,FALSE),0)</f>
        <v>0.25</v>
      </c>
      <c r="G43" s="409">
        <f>IF($D43="Monthly",1,IF($D43="per KWH",$F$10,0))</f>
        <v>1</v>
      </c>
      <c r="H43" s="394">
        <f t="shared" si="51"/>
        <v>0.25</v>
      </c>
      <c r="I43" s="138"/>
      <c r="J43" s="408">
        <f>IFERROR(VLOOKUP($C43,'Proposed Rates'!$B:$J,J$11,FALSE),0)</f>
        <v>0.25</v>
      </c>
      <c r="K43" s="409">
        <f>IF($D43="Monthly",1,IF($D43="per KWH",$F$10,0))</f>
        <v>1</v>
      </c>
      <c r="L43" s="394">
        <f t="shared" si="53"/>
        <v>0.25</v>
      </c>
      <c r="M43" s="138"/>
      <c r="N43" s="395">
        <f t="shared" si="5"/>
        <v>0</v>
      </c>
      <c r="O43" s="396">
        <f t="shared" si="6"/>
        <v>0</v>
      </c>
      <c r="P43" s="53"/>
      <c r="Q43" s="408">
        <f>IFERROR(VLOOKUP($C43,'Proposed Rates'!$B:$J,Q$11,FALSE),0)</f>
        <v>0.25</v>
      </c>
      <c r="R43" s="409">
        <f>IF($D43="Monthly",1,IF($D43="per KWH",$F$10,0))</f>
        <v>1</v>
      </c>
      <c r="S43" s="394">
        <f t="shared" si="55"/>
        <v>0.25</v>
      </c>
      <c r="T43" s="138"/>
      <c r="U43" s="395">
        <f t="shared" si="9"/>
        <v>0</v>
      </c>
      <c r="V43" s="396">
        <f t="shared" si="10"/>
        <v>0</v>
      </c>
      <c r="W43" s="53"/>
      <c r="X43" s="408">
        <f>IFERROR(VLOOKUP($C43,'Proposed Rates'!$B:$J,X$11,FALSE),0)</f>
        <v>0.25</v>
      </c>
      <c r="Y43" s="409">
        <f>IF($D43="Monthly",1,IF($D43="per KWH",$F$10,0))</f>
        <v>1</v>
      </c>
      <c r="Z43" s="394">
        <f t="shared" si="57"/>
        <v>0.25</v>
      </c>
      <c r="AA43" s="138"/>
      <c r="AB43" s="395">
        <f t="shared" si="13"/>
        <v>0</v>
      </c>
      <c r="AC43" s="396">
        <f t="shared" si="14"/>
        <v>0</v>
      </c>
      <c r="AD43" s="53"/>
      <c r="AE43" s="408">
        <f>IFERROR(VLOOKUP($C43,'Proposed Rates'!$B:$J,AE$11,FALSE),0)</f>
        <v>0.25</v>
      </c>
      <c r="AF43" s="409">
        <f>IF($D43="Monthly",1,IF($D43="per KWH",$F$10,0))</f>
        <v>1</v>
      </c>
      <c r="AG43" s="394">
        <f t="shared" si="59"/>
        <v>0.25</v>
      </c>
      <c r="AH43" s="138"/>
      <c r="AI43" s="395">
        <f t="shared" si="17"/>
        <v>0</v>
      </c>
      <c r="AJ43" s="396">
        <f t="shared" si="18"/>
        <v>0</v>
      </c>
      <c r="AK43" s="53"/>
      <c r="AL43" s="408">
        <f>IFERROR(VLOOKUP($C43,'Proposed Rates'!$B:$J,AL$11,FALSE),0)</f>
        <v>0.25</v>
      </c>
      <c r="AM43" s="409">
        <f>IF($D43="Monthly",1,IF($D43="per KWH",$F$10,0))</f>
        <v>1</v>
      </c>
      <c r="AN43" s="394">
        <f t="shared" si="61"/>
        <v>0.25</v>
      </c>
      <c r="AO43" s="138"/>
      <c r="AP43" s="395">
        <f t="shared" si="21"/>
        <v>0</v>
      </c>
      <c r="AQ43" s="396">
        <f t="shared" si="22"/>
        <v>0</v>
      </c>
      <c r="AR43" s="397"/>
    </row>
    <row r="44" spans="1:44" ht="12" customHeight="1">
      <c r="A44" s="53"/>
      <c r="B44" s="328" t="s">
        <v>293</v>
      </c>
      <c r="C44" s="389" t="str">
        <f t="shared" si="49"/>
        <v>Residential.TOU - Off Peak</v>
      </c>
      <c r="D44" s="390" t="s">
        <v>337</v>
      </c>
      <c r="E44" s="328"/>
      <c r="F44" s="424">
        <f>VLOOKUP($B44,'Proposed Rates'!$D$255:$J$261,+F$11-2,FALSE)</f>
        <v>9.8000000000000004E-2</v>
      </c>
      <c r="G44" s="415">
        <f>$F$10*'Proposed Rates'!$K$256</f>
        <v>480</v>
      </c>
      <c r="H44" s="394">
        <f t="shared" si="51"/>
        <v>47.04</v>
      </c>
      <c r="I44" s="138"/>
      <c r="J44" s="424">
        <f>VLOOKUP($B44,'Proposed Rates'!$D$255:$J$261,+J$11-2,FALSE)</f>
        <v>9.8000000000000004E-2</v>
      </c>
      <c r="K44" s="415">
        <f>$F$10*'Proposed Rates'!$K$256</f>
        <v>480</v>
      </c>
      <c r="L44" s="394">
        <f t="shared" si="53"/>
        <v>47.04</v>
      </c>
      <c r="M44" s="138"/>
      <c r="N44" s="395">
        <f t="shared" si="5"/>
        <v>0</v>
      </c>
      <c r="O44" s="396">
        <f t="shared" si="6"/>
        <v>0</v>
      </c>
      <c r="P44" s="53"/>
      <c r="Q44" s="424">
        <f>VLOOKUP($B44,'Proposed Rates'!$D$255:$J$261,+Q$11-2,FALSE)</f>
        <v>9.8000000000000004E-2</v>
      </c>
      <c r="R44" s="415">
        <f>$F$10*'Proposed Rates'!$K$256</f>
        <v>480</v>
      </c>
      <c r="S44" s="394">
        <f t="shared" si="55"/>
        <v>47.04</v>
      </c>
      <c r="T44" s="138"/>
      <c r="U44" s="395">
        <f t="shared" si="9"/>
        <v>0</v>
      </c>
      <c r="V44" s="396">
        <f t="shared" si="10"/>
        <v>0</v>
      </c>
      <c r="W44" s="53"/>
      <c r="X44" s="424">
        <f>VLOOKUP($B44,'Proposed Rates'!$D$255:$J$261,+X$11-2,FALSE)</f>
        <v>9.8000000000000004E-2</v>
      </c>
      <c r="Y44" s="415">
        <f>$F$10*'Proposed Rates'!$K$256</f>
        <v>480</v>
      </c>
      <c r="Z44" s="394">
        <f t="shared" si="57"/>
        <v>47.04</v>
      </c>
      <c r="AA44" s="138"/>
      <c r="AB44" s="395">
        <f t="shared" si="13"/>
        <v>0</v>
      </c>
      <c r="AC44" s="396">
        <f t="shared" si="14"/>
        <v>0</v>
      </c>
      <c r="AD44" s="53"/>
      <c r="AE44" s="424">
        <f>VLOOKUP($B44,'Proposed Rates'!$D$255:$J$261,+AE$11-2,FALSE)</f>
        <v>9.8000000000000004E-2</v>
      </c>
      <c r="AF44" s="415">
        <f>$F$10*'Proposed Rates'!$K$256</f>
        <v>480</v>
      </c>
      <c r="AG44" s="394">
        <f t="shared" si="59"/>
        <v>47.04</v>
      </c>
      <c r="AH44" s="138"/>
      <c r="AI44" s="395">
        <f t="shared" si="17"/>
        <v>0</v>
      </c>
      <c r="AJ44" s="396">
        <f t="shared" si="18"/>
        <v>0</v>
      </c>
      <c r="AK44" s="53"/>
      <c r="AL44" s="424">
        <f>VLOOKUP($B44,'Proposed Rates'!$D$255:$J$261,+AL$11-2,FALSE)</f>
        <v>9.8000000000000004E-2</v>
      </c>
      <c r="AM44" s="415">
        <f>$F$10*'Proposed Rates'!$K$256</f>
        <v>480</v>
      </c>
      <c r="AN44" s="394">
        <f t="shared" si="61"/>
        <v>47.04</v>
      </c>
      <c r="AO44" s="138"/>
      <c r="AP44" s="395">
        <f t="shared" si="21"/>
        <v>0</v>
      </c>
      <c r="AQ44" s="396">
        <f t="shared" si="22"/>
        <v>0</v>
      </c>
      <c r="AR44" s="397"/>
    </row>
    <row r="45" spans="1:44" ht="12" customHeight="1">
      <c r="A45" s="53"/>
      <c r="B45" s="328" t="s">
        <v>294</v>
      </c>
      <c r="C45" s="389" t="str">
        <f t="shared" si="49"/>
        <v>Residential.TOU - Mid Peak</v>
      </c>
      <c r="D45" s="390" t="s">
        <v>337</v>
      </c>
      <c r="E45" s="328"/>
      <c r="F45" s="424">
        <f>VLOOKUP($B45,'Proposed Rates'!$D$255:$J$261,+F$11-2,FALSE)</f>
        <v>0.157</v>
      </c>
      <c r="G45" s="415">
        <f>$F$10*'Proposed Rates'!$K$257</f>
        <v>135</v>
      </c>
      <c r="H45" s="394">
        <f t="shared" si="51"/>
        <v>21.195</v>
      </c>
      <c r="I45" s="138"/>
      <c r="J45" s="424">
        <f>VLOOKUP($B45,'Proposed Rates'!$D$255:$J$261,+J$11-2,FALSE)</f>
        <v>0.157</v>
      </c>
      <c r="K45" s="415">
        <f>$F$10*'Proposed Rates'!$K$257</f>
        <v>135</v>
      </c>
      <c r="L45" s="394">
        <f t="shared" si="53"/>
        <v>21.195</v>
      </c>
      <c r="M45" s="138"/>
      <c r="N45" s="395">
        <f t="shared" si="5"/>
        <v>0</v>
      </c>
      <c r="O45" s="396">
        <f t="shared" si="6"/>
        <v>0</v>
      </c>
      <c r="P45" s="53"/>
      <c r="Q45" s="424">
        <f>VLOOKUP($B45,'Proposed Rates'!$D$255:$J$261,+Q$11-2,FALSE)</f>
        <v>0.157</v>
      </c>
      <c r="R45" s="415">
        <f>$F$10*'Proposed Rates'!$K$257</f>
        <v>135</v>
      </c>
      <c r="S45" s="394">
        <f t="shared" si="55"/>
        <v>21.195</v>
      </c>
      <c r="T45" s="138"/>
      <c r="U45" s="395">
        <f t="shared" si="9"/>
        <v>0</v>
      </c>
      <c r="V45" s="396">
        <f t="shared" si="10"/>
        <v>0</v>
      </c>
      <c r="W45" s="53"/>
      <c r="X45" s="424">
        <f>VLOOKUP($B45,'Proposed Rates'!$D$255:$J$261,+X$11-2,FALSE)</f>
        <v>0.157</v>
      </c>
      <c r="Y45" s="415">
        <f>$F$10*'Proposed Rates'!$K$257</f>
        <v>135</v>
      </c>
      <c r="Z45" s="394">
        <f t="shared" si="57"/>
        <v>21.195</v>
      </c>
      <c r="AA45" s="138"/>
      <c r="AB45" s="395">
        <f t="shared" si="13"/>
        <v>0</v>
      </c>
      <c r="AC45" s="396">
        <f t="shared" si="14"/>
        <v>0</v>
      </c>
      <c r="AD45" s="53"/>
      <c r="AE45" s="424">
        <f>VLOOKUP($B45,'Proposed Rates'!$D$255:$J$261,+AE$11-2,FALSE)</f>
        <v>0.157</v>
      </c>
      <c r="AF45" s="415">
        <f>$F$10*'Proposed Rates'!$K$257</f>
        <v>135</v>
      </c>
      <c r="AG45" s="394">
        <f t="shared" si="59"/>
        <v>21.195</v>
      </c>
      <c r="AH45" s="138"/>
      <c r="AI45" s="395">
        <f t="shared" si="17"/>
        <v>0</v>
      </c>
      <c r="AJ45" s="396">
        <f t="shared" si="18"/>
        <v>0</v>
      </c>
      <c r="AK45" s="53"/>
      <c r="AL45" s="424">
        <f>VLOOKUP($B45,'Proposed Rates'!$D$255:$J$261,+AL$11-2,FALSE)</f>
        <v>0.157</v>
      </c>
      <c r="AM45" s="415">
        <f>$F$10*'Proposed Rates'!$K$257</f>
        <v>135</v>
      </c>
      <c r="AN45" s="394">
        <f t="shared" si="61"/>
        <v>21.195</v>
      </c>
      <c r="AO45" s="138"/>
      <c r="AP45" s="395">
        <f t="shared" si="21"/>
        <v>0</v>
      </c>
      <c r="AQ45" s="396">
        <f t="shared" si="22"/>
        <v>0</v>
      </c>
      <c r="AR45" s="397"/>
    </row>
    <row r="46" spans="1:44" ht="12" customHeight="1">
      <c r="A46" s="53"/>
      <c r="B46" s="53" t="s">
        <v>295</v>
      </c>
      <c r="C46" s="389" t="str">
        <f t="shared" si="49"/>
        <v>Residential.TOU - On Peak</v>
      </c>
      <c r="D46" s="390" t="s">
        <v>337</v>
      </c>
      <c r="E46" s="328"/>
      <c r="F46" s="424">
        <f>VLOOKUP($B46,'Proposed Rates'!$D$255:$J$261,+F$11-2,FALSE)</f>
        <v>0.20300000000000001</v>
      </c>
      <c r="G46" s="415">
        <f>$F$10*'Proposed Rates'!$K$258</f>
        <v>135</v>
      </c>
      <c r="H46" s="394">
        <f t="shared" si="51"/>
        <v>27.405000000000001</v>
      </c>
      <c r="I46" s="138"/>
      <c r="J46" s="424">
        <f>VLOOKUP($B46,'Proposed Rates'!$D$255:$J$261,+J$11-2,FALSE)</f>
        <v>0.20300000000000001</v>
      </c>
      <c r="K46" s="415">
        <f>$F$10*'Proposed Rates'!$K$258</f>
        <v>135</v>
      </c>
      <c r="L46" s="394">
        <f t="shared" si="53"/>
        <v>27.405000000000001</v>
      </c>
      <c r="M46" s="138"/>
      <c r="N46" s="395">
        <f t="shared" si="5"/>
        <v>0</v>
      </c>
      <c r="O46" s="396">
        <f t="shared" si="6"/>
        <v>0</v>
      </c>
      <c r="P46" s="53"/>
      <c r="Q46" s="424">
        <f>VLOOKUP($B46,'Proposed Rates'!$D$255:$J$261,+Q$11-2,FALSE)</f>
        <v>0.20300000000000001</v>
      </c>
      <c r="R46" s="415">
        <f>$F$10*'Proposed Rates'!$K$258</f>
        <v>135</v>
      </c>
      <c r="S46" s="394">
        <f t="shared" si="55"/>
        <v>27.405000000000001</v>
      </c>
      <c r="T46" s="138"/>
      <c r="U46" s="395">
        <f t="shared" si="9"/>
        <v>0</v>
      </c>
      <c r="V46" s="396">
        <f t="shared" si="10"/>
        <v>0</v>
      </c>
      <c r="W46" s="53"/>
      <c r="X46" s="424">
        <f>VLOOKUP($B46,'Proposed Rates'!$D$255:$J$261,+X$11-2,FALSE)</f>
        <v>0.20300000000000001</v>
      </c>
      <c r="Y46" s="415">
        <f>$F$10*'Proposed Rates'!$K$258</f>
        <v>135</v>
      </c>
      <c r="Z46" s="394">
        <f t="shared" si="57"/>
        <v>27.405000000000001</v>
      </c>
      <c r="AA46" s="138"/>
      <c r="AB46" s="395">
        <f t="shared" si="13"/>
        <v>0</v>
      </c>
      <c r="AC46" s="396">
        <f t="shared" si="14"/>
        <v>0</v>
      </c>
      <c r="AD46" s="53"/>
      <c r="AE46" s="424">
        <f>VLOOKUP($B46,'Proposed Rates'!$D$255:$J$261,+AE$11-2,FALSE)</f>
        <v>0.20300000000000001</v>
      </c>
      <c r="AF46" s="415">
        <f>$F$10*'Proposed Rates'!$K$258</f>
        <v>135</v>
      </c>
      <c r="AG46" s="394">
        <f t="shared" si="59"/>
        <v>27.405000000000001</v>
      </c>
      <c r="AH46" s="138"/>
      <c r="AI46" s="395">
        <f t="shared" si="17"/>
        <v>0</v>
      </c>
      <c r="AJ46" s="396">
        <f t="shared" si="18"/>
        <v>0</v>
      </c>
      <c r="AK46" s="53"/>
      <c r="AL46" s="424">
        <f>VLOOKUP($B46,'Proposed Rates'!$D$255:$J$261,+AL$11-2,FALSE)</f>
        <v>0.20300000000000001</v>
      </c>
      <c r="AM46" s="415">
        <f>$F$10*'Proposed Rates'!$K$258</f>
        <v>135</v>
      </c>
      <c r="AN46" s="394">
        <f t="shared" si="61"/>
        <v>27.405000000000001</v>
      </c>
      <c r="AO46" s="138"/>
      <c r="AP46" s="395">
        <f t="shared" si="21"/>
        <v>0</v>
      </c>
      <c r="AQ46" s="396">
        <f t="shared" si="22"/>
        <v>0</v>
      </c>
      <c r="AR46" s="397"/>
    </row>
    <row r="47" spans="1:44" ht="12" customHeight="1">
      <c r="A47" s="53"/>
      <c r="B47" s="328" t="s">
        <v>296</v>
      </c>
      <c r="C47" s="389" t="str">
        <f t="shared" si="49"/>
        <v>Residential.Energy - RPP - Tier 1</v>
      </c>
      <c r="D47" s="390" t="s">
        <v>337</v>
      </c>
      <c r="E47" s="328"/>
      <c r="F47" s="424">
        <f>VLOOKUP($B47,'Proposed Rates'!$D$255:$J$261,+F$11-2,FALSE)</f>
        <v>0.12</v>
      </c>
      <c r="G47" s="425">
        <f>IF(AND($S$2=1, $F$10&gt;=600), 600, IF(AND($S$2=1, AND($F$10&lt;600, $F$10&gt;=0)), $F$10, IF(AND($S$2=2, $F$10&gt;=1000), 1000, IF(AND($S$2=2, AND($F$10&lt;1000, $F$10&gt;=0)), $F$10))))</f>
        <v>600</v>
      </c>
      <c r="H47" s="394">
        <f t="shared" si="51"/>
        <v>72</v>
      </c>
      <c r="I47" s="138"/>
      <c r="J47" s="424">
        <f>VLOOKUP($B47,'Proposed Rates'!$D$255:$J$261,+J$11-2,FALSE)</f>
        <v>0.12</v>
      </c>
      <c r="K47" s="425">
        <f>IF(AND($S$2=1, $F$10&gt;=600), 600, IF(AND($S$2=1, AND($F$10&lt;600, $F$10&gt;=0)), $F$10, IF(AND($S$2=2, $F$10&gt;=1000), 1000, IF(AND($S$2=2, AND($F$10&lt;1000, $F$10&gt;=0)), $F$10))))</f>
        <v>600</v>
      </c>
      <c r="L47" s="394">
        <f t="shared" si="53"/>
        <v>72</v>
      </c>
      <c r="M47" s="138"/>
      <c r="N47" s="395">
        <f t="shared" si="5"/>
        <v>0</v>
      </c>
      <c r="O47" s="396">
        <f t="shared" si="6"/>
        <v>0</v>
      </c>
      <c r="P47" s="53"/>
      <c r="Q47" s="424">
        <f>VLOOKUP($B47,'Proposed Rates'!$D$255:$J$261,+Q$11-2,FALSE)</f>
        <v>0.12</v>
      </c>
      <c r="R47" s="425">
        <f>IF(AND($S$2=1, $F$10&gt;=600), 600, IF(AND($S$2=1, AND($F$10&lt;600, $F$10&gt;=0)), $F$10, IF(AND($S$2=2, $F$10&gt;=1000), 1000, IF(AND($S$2=2, AND($F$10&lt;1000, $F$10&gt;=0)), $F$10))))</f>
        <v>600</v>
      </c>
      <c r="S47" s="394">
        <f t="shared" si="55"/>
        <v>72</v>
      </c>
      <c r="T47" s="138"/>
      <c r="U47" s="395">
        <f t="shared" si="9"/>
        <v>0</v>
      </c>
      <c r="V47" s="396">
        <f t="shared" si="10"/>
        <v>0</v>
      </c>
      <c r="W47" s="53"/>
      <c r="X47" s="424">
        <f>VLOOKUP($B47,'Proposed Rates'!$D$255:$J$261,+X$11-2,FALSE)</f>
        <v>0.12</v>
      </c>
      <c r="Y47" s="425">
        <f>IF(AND($S$2=1, $F$10&gt;=600), 600, IF(AND($S$2=1, AND($F$10&lt;600, $F$10&gt;=0)), $F$10, IF(AND($S$2=2, $F$10&gt;=1000), 1000, IF(AND($S$2=2, AND($F$10&lt;1000, $F$10&gt;=0)), $F$10))))</f>
        <v>600</v>
      </c>
      <c r="Z47" s="394">
        <f t="shared" si="57"/>
        <v>72</v>
      </c>
      <c r="AA47" s="138"/>
      <c r="AB47" s="395">
        <f t="shared" si="13"/>
        <v>0</v>
      </c>
      <c r="AC47" s="396">
        <f t="shared" si="14"/>
        <v>0</v>
      </c>
      <c r="AD47" s="53"/>
      <c r="AE47" s="424">
        <f>VLOOKUP($B47,'Proposed Rates'!$D$255:$J$261,+AE$11-2,FALSE)</f>
        <v>0.12</v>
      </c>
      <c r="AF47" s="425">
        <f>IF(AND($S$2=1, $F$10&gt;=600), 600, IF(AND($S$2=1, AND($F$10&lt;600, $F$10&gt;=0)), $F$10, IF(AND($S$2=2, $F$10&gt;=1000), 1000, IF(AND($S$2=2, AND($F$10&lt;1000, $F$10&gt;=0)), $F$10))))</f>
        <v>600</v>
      </c>
      <c r="AG47" s="394">
        <f t="shared" si="59"/>
        <v>72</v>
      </c>
      <c r="AH47" s="138"/>
      <c r="AI47" s="395">
        <f t="shared" si="17"/>
        <v>0</v>
      </c>
      <c r="AJ47" s="396">
        <f t="shared" si="18"/>
        <v>0</v>
      </c>
      <c r="AK47" s="53"/>
      <c r="AL47" s="424">
        <f>VLOOKUP($B47,'Proposed Rates'!$D$255:$J$261,+AL$11-2,FALSE)</f>
        <v>0.12</v>
      </c>
      <c r="AM47" s="425">
        <f>IF(AND($S$2=1, $F$10&gt;=600), 600, IF(AND($S$2=1, AND($F$10&lt;600, $F$10&gt;=0)), $F$10, IF(AND($S$2=2, $F$10&gt;=1000), 1000, IF(AND($S$2=2, AND($F$10&lt;1000, $F$10&gt;=0)), $F$10))))</f>
        <v>600</v>
      </c>
      <c r="AN47" s="394">
        <f t="shared" si="61"/>
        <v>72</v>
      </c>
      <c r="AO47" s="138"/>
      <c r="AP47" s="395">
        <f t="shared" si="21"/>
        <v>0</v>
      </c>
      <c r="AQ47" s="396">
        <f t="shared" si="22"/>
        <v>0</v>
      </c>
      <c r="AR47" s="397"/>
    </row>
    <row r="48" spans="1:44" ht="12" customHeight="1">
      <c r="A48" s="53"/>
      <c r="B48" s="328" t="s">
        <v>297</v>
      </c>
      <c r="C48" s="389" t="str">
        <f t="shared" si="49"/>
        <v>Residential.Energy - RPP - Tier 2</v>
      </c>
      <c r="D48" s="390" t="s">
        <v>337</v>
      </c>
      <c r="E48" s="328"/>
      <c r="F48" s="424">
        <f>VLOOKUP($B48,'Proposed Rates'!$D$255:$J$261,+F$11-2,FALSE)</f>
        <v>0.14199999999999999</v>
      </c>
      <c r="G48" s="427">
        <f>IF(AND($S$2=1, $F$10&gt;=600), $F$10-600, IF(AND($S$2=1, AND($F$10&lt;600, $F$10&gt;=0)), 0, IF(AND($S$2=2, $F$10&gt;=1000), $F$10-1000, IF(AND($S$2=2, AND($F$10&lt;1000, $F$10&gt;=0)), 0))))</f>
        <v>150</v>
      </c>
      <c r="H48" s="394">
        <f t="shared" si="51"/>
        <v>21.299999999999997</v>
      </c>
      <c r="I48" s="138"/>
      <c r="J48" s="424">
        <f>VLOOKUP($B48,'Proposed Rates'!$D$255:$J$261,+J$11-2,FALSE)</f>
        <v>0.14199999999999999</v>
      </c>
      <c r="K48" s="427">
        <f>IF(AND($S$2=1, $F$10&gt;=600), $F$10-600, IF(AND($S$2=1, AND($F$10&lt;600, $F$10&gt;=0)), 0, IF(AND($S$2=2, $F$10&gt;=1000), $F$10-1000, IF(AND($S$2=2, AND($F$10&lt;1000, $F$10&gt;=0)), 0))))</f>
        <v>150</v>
      </c>
      <c r="L48" s="394">
        <f t="shared" si="53"/>
        <v>21.299999999999997</v>
      </c>
      <c r="M48" s="138"/>
      <c r="N48" s="395">
        <f t="shared" si="5"/>
        <v>0</v>
      </c>
      <c r="O48" s="396">
        <f t="shared" si="6"/>
        <v>0</v>
      </c>
      <c r="P48" s="53"/>
      <c r="Q48" s="424">
        <f>VLOOKUP($B48,'Proposed Rates'!$D$255:$J$261,+Q$11-2,FALSE)</f>
        <v>0.14199999999999999</v>
      </c>
      <c r="R48" s="427">
        <f>IF(AND($S$2=1, $F$10&gt;=600), $F$10-600, IF(AND($S$2=1, AND($F$10&lt;600, $F$10&gt;=0)), 0, IF(AND($S$2=2, $F$10&gt;=1000), $F$10-1000, IF(AND($S$2=2, AND($F$10&lt;1000, $F$10&gt;=0)), 0))))</f>
        <v>150</v>
      </c>
      <c r="S48" s="394">
        <f t="shared" si="55"/>
        <v>21.299999999999997</v>
      </c>
      <c r="T48" s="138"/>
      <c r="U48" s="395">
        <f t="shared" si="9"/>
        <v>0</v>
      </c>
      <c r="V48" s="396">
        <f t="shared" si="10"/>
        <v>0</v>
      </c>
      <c r="W48" s="53"/>
      <c r="X48" s="424">
        <f>VLOOKUP($B48,'Proposed Rates'!$D$255:$J$261,+X$11-2,FALSE)</f>
        <v>0.14199999999999999</v>
      </c>
      <c r="Y48" s="427">
        <f>IF(AND($S$2=1, $F$10&gt;=600), $F$10-600, IF(AND($S$2=1, AND($F$10&lt;600, $F$10&gt;=0)), 0, IF(AND($S$2=2, $F$10&gt;=1000), $F$10-1000, IF(AND($S$2=2, AND($F$10&lt;1000, $F$10&gt;=0)), 0))))</f>
        <v>150</v>
      </c>
      <c r="Z48" s="394">
        <f t="shared" si="57"/>
        <v>21.299999999999997</v>
      </c>
      <c r="AA48" s="138"/>
      <c r="AB48" s="395">
        <f t="shared" si="13"/>
        <v>0</v>
      </c>
      <c r="AC48" s="396">
        <f t="shared" si="14"/>
        <v>0</v>
      </c>
      <c r="AD48" s="53"/>
      <c r="AE48" s="424">
        <f>VLOOKUP($B48,'Proposed Rates'!$D$255:$J$261,+AE$11-2,FALSE)</f>
        <v>0.14199999999999999</v>
      </c>
      <c r="AF48" s="427">
        <f>IF(AND($S$2=1, $F$10&gt;=600), $F$10-600, IF(AND($S$2=1, AND($F$10&lt;600, $F$10&gt;=0)), 0, IF(AND($S$2=2, $F$10&gt;=1000), $F$10-1000, IF(AND($S$2=2, AND($F$10&lt;1000, $F$10&gt;=0)), 0))))</f>
        <v>150</v>
      </c>
      <c r="AG48" s="394">
        <f t="shared" si="59"/>
        <v>21.299999999999997</v>
      </c>
      <c r="AH48" s="138"/>
      <c r="AI48" s="395">
        <f t="shared" si="17"/>
        <v>0</v>
      </c>
      <c r="AJ48" s="396">
        <f t="shared" si="18"/>
        <v>0</v>
      </c>
      <c r="AK48" s="53"/>
      <c r="AL48" s="424">
        <f>VLOOKUP($B48,'Proposed Rates'!$D$255:$J$261,+AL$11-2,FALSE)</f>
        <v>0.14199999999999999</v>
      </c>
      <c r="AM48" s="427">
        <f>IF(AND($S$2=1, $F$10&gt;=600), $F$10-600, IF(AND($S$2=1, AND($F$10&lt;600, $F$10&gt;=0)), 0, IF(AND($S$2=2, $F$10&gt;=1000), $F$10-1000, IF(AND($S$2=2, AND($F$10&lt;1000, $F$10&gt;=0)), 0))))</f>
        <v>150</v>
      </c>
      <c r="AN48" s="394">
        <f t="shared" si="61"/>
        <v>21.299999999999997</v>
      </c>
      <c r="AO48" s="138"/>
      <c r="AP48" s="395">
        <f t="shared" si="21"/>
        <v>0</v>
      </c>
      <c r="AQ48" s="396">
        <f t="shared" si="22"/>
        <v>0</v>
      </c>
      <c r="AR48" s="397"/>
    </row>
    <row r="49" spans="1:44" ht="12"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 customHeight="1">
      <c r="A50" s="53"/>
      <c r="B50" s="438" t="s">
        <v>344</v>
      </c>
      <c r="C50" s="328"/>
      <c r="D50" s="328"/>
      <c r="E50" s="328"/>
      <c r="F50" s="439"/>
      <c r="G50" s="483"/>
      <c r="H50" s="441">
        <f>SUM(H41:H46,H40)</f>
        <v>154.09542950000002</v>
      </c>
      <c r="I50" s="476"/>
      <c r="J50" s="439"/>
      <c r="K50" s="440"/>
      <c r="L50" s="441">
        <f>SUM(L41:L46,L40)</f>
        <v>160.00930099999999</v>
      </c>
      <c r="M50" s="443"/>
      <c r="N50" s="442">
        <f t="shared" ref="N50:N54" si="62">L50-H50</f>
        <v>5.9138714999999706</v>
      </c>
      <c r="O50" s="444">
        <f t="shared" ref="O50:O54" si="63">IF((H50)=0,"",(N50/H50))</f>
        <v>3.8377981223641479E-2</v>
      </c>
      <c r="P50" s="53"/>
      <c r="Q50" s="440"/>
      <c r="R50" s="440"/>
      <c r="S50" s="442">
        <f>SUM(S41:S46,S40)</f>
        <v>163.32430099999999</v>
      </c>
      <c r="T50" s="443"/>
      <c r="U50" s="442">
        <f t="shared" ref="U50:U54" si="64">S50-L50</f>
        <v>3.3149999999999977</v>
      </c>
      <c r="V50" s="444">
        <f t="shared" ref="V50:V54" si="65">IF((L50)=0,"",(U50/L50))</f>
        <v>2.0717545663173655E-2</v>
      </c>
      <c r="W50" s="53"/>
      <c r="X50" s="440"/>
      <c r="Y50" s="440"/>
      <c r="Z50" s="442">
        <f>SUM(Z41:Z46,Z40)</f>
        <v>164.33204999999998</v>
      </c>
      <c r="AA50" s="443"/>
      <c r="AB50" s="442">
        <f t="shared" ref="AB50:AB54" si="66">Z50-S50</f>
        <v>1.0077489999999898</v>
      </c>
      <c r="AC50" s="444">
        <f t="shared" ref="AC50:AC54" si="67">IF((S50)=0,"",(AB50/S50))</f>
        <v>6.1702330506223308E-3</v>
      </c>
      <c r="AD50" s="53"/>
      <c r="AE50" s="440"/>
      <c r="AF50" s="440"/>
      <c r="AG50" s="442">
        <f>SUM(AG41:AG46,AG40)</f>
        <v>165.83204999999998</v>
      </c>
      <c r="AH50" s="443"/>
      <c r="AI50" s="442">
        <f t="shared" ref="AI50:AI54" si="68">AG50-Z50</f>
        <v>1.5</v>
      </c>
      <c r="AJ50" s="444">
        <f t="shared" ref="AJ50:AJ54" si="69">IF((Z50)=0,"",(AI50/Z50))</f>
        <v>9.1278603291323895E-3</v>
      </c>
      <c r="AK50" s="53"/>
      <c r="AL50" s="440"/>
      <c r="AM50" s="440"/>
      <c r="AN50" s="442">
        <f>SUM(AN41:AN46,AN40)</f>
        <v>167.20204999999999</v>
      </c>
      <c r="AO50" s="443"/>
      <c r="AP50" s="442">
        <f t="shared" ref="AP50:AP54" si="70">AN50-AG50</f>
        <v>1.3700000000000045</v>
      </c>
      <c r="AQ50" s="444">
        <f t="shared" ref="AQ50:AQ54" si="71">IF((AG50)=0,"",(AP50/AG50))</f>
        <v>8.2613704648769933E-3</v>
      </c>
      <c r="AR50" s="445"/>
    </row>
    <row r="51" spans="1:44" ht="12" customHeight="1">
      <c r="A51" s="53"/>
      <c r="B51" s="446" t="s">
        <v>345</v>
      </c>
      <c r="C51" s="328"/>
      <c r="D51" s="328"/>
      <c r="E51" s="328"/>
      <c r="F51" s="439">
        <v>0.13</v>
      </c>
      <c r="G51" s="138"/>
      <c r="H51" s="484">
        <f>H50*F51</f>
        <v>20.032405835000002</v>
      </c>
      <c r="I51" s="411"/>
      <c r="J51" s="439">
        <v>0.13</v>
      </c>
      <c r="K51" s="411"/>
      <c r="L51" s="394">
        <f>L50*J51</f>
        <v>20.80120913</v>
      </c>
      <c r="M51" s="138"/>
      <c r="N51" s="395">
        <f t="shared" si="62"/>
        <v>0.76880329499999789</v>
      </c>
      <c r="O51" s="396">
        <f t="shared" si="63"/>
        <v>3.8377981223641569E-2</v>
      </c>
      <c r="P51" s="53"/>
      <c r="Q51" s="447">
        <v>0.13</v>
      </c>
      <c r="R51" s="411"/>
      <c r="S51" s="394">
        <f>S50*Q51</f>
        <v>21.232159129999999</v>
      </c>
      <c r="T51" s="138"/>
      <c r="U51" s="395">
        <f t="shared" si="64"/>
        <v>0.43094999999999928</v>
      </c>
      <c r="V51" s="396">
        <f t="shared" si="65"/>
        <v>2.0717545663173634E-2</v>
      </c>
      <c r="W51" s="53"/>
      <c r="X51" s="447">
        <v>0.13</v>
      </c>
      <c r="Y51" s="411"/>
      <c r="Z51" s="394">
        <f>Z50*X51</f>
        <v>21.363166499999998</v>
      </c>
      <c r="AA51" s="138"/>
      <c r="AB51" s="395">
        <f t="shared" si="66"/>
        <v>0.13100736999999896</v>
      </c>
      <c r="AC51" s="396">
        <f t="shared" si="67"/>
        <v>6.1702330506223447E-3</v>
      </c>
      <c r="AD51" s="53"/>
      <c r="AE51" s="447">
        <v>0.13</v>
      </c>
      <c r="AF51" s="411"/>
      <c r="AG51" s="394">
        <f>AG50*AE51</f>
        <v>21.558166499999999</v>
      </c>
      <c r="AH51" s="138"/>
      <c r="AI51" s="395">
        <f t="shared" si="68"/>
        <v>0.19500000000000028</v>
      </c>
      <c r="AJ51" s="396">
        <f t="shared" si="69"/>
        <v>9.1278603291324017E-3</v>
      </c>
      <c r="AK51" s="53"/>
      <c r="AL51" s="447">
        <v>0.13</v>
      </c>
      <c r="AM51" s="411"/>
      <c r="AN51" s="394">
        <f>AN50*AL51</f>
        <v>21.736266499999999</v>
      </c>
      <c r="AO51" s="138"/>
      <c r="AP51" s="395">
        <f t="shared" si="70"/>
        <v>0.17810000000000059</v>
      </c>
      <c r="AQ51" s="396">
        <f t="shared" si="71"/>
        <v>8.2613704648769916E-3</v>
      </c>
      <c r="AR51" s="397"/>
    </row>
    <row r="52" spans="1:44" ht="12" customHeight="1">
      <c r="A52" s="53"/>
      <c r="B52" s="448" t="s">
        <v>380</v>
      </c>
      <c r="C52" s="328"/>
      <c r="D52" s="328"/>
      <c r="E52" s="328"/>
      <c r="F52" s="449"/>
      <c r="G52" s="138"/>
      <c r="H52" s="484">
        <f>H50+H51</f>
        <v>174.12783533500001</v>
      </c>
      <c r="I52" s="411"/>
      <c r="J52" s="449"/>
      <c r="K52" s="411"/>
      <c r="L52" s="394">
        <f>L50+L51</f>
        <v>180.81051012999998</v>
      </c>
      <c r="M52" s="138"/>
      <c r="N52" s="395">
        <f t="shared" si="62"/>
        <v>6.6826747949999685</v>
      </c>
      <c r="O52" s="396">
        <f t="shared" si="63"/>
        <v>3.8377981223641493E-2</v>
      </c>
      <c r="P52" s="53"/>
      <c r="Q52" s="411"/>
      <c r="R52" s="411"/>
      <c r="S52" s="394">
        <f>S50+S51</f>
        <v>184.55646013</v>
      </c>
      <c r="T52" s="138"/>
      <c r="U52" s="395">
        <f t="shared" si="64"/>
        <v>3.7459500000000219</v>
      </c>
      <c r="V52" s="396">
        <f t="shared" si="65"/>
        <v>2.0717545663173791E-2</v>
      </c>
      <c r="W52" s="53"/>
      <c r="X52" s="411"/>
      <c r="Y52" s="411"/>
      <c r="Z52" s="394">
        <f>Z50+Z51</f>
        <v>185.69521649999999</v>
      </c>
      <c r="AA52" s="138"/>
      <c r="AB52" s="395">
        <f t="shared" si="66"/>
        <v>1.1387563699999816</v>
      </c>
      <c r="AC52" s="396">
        <f t="shared" si="67"/>
        <v>6.1702330506222935E-3</v>
      </c>
      <c r="AD52" s="53"/>
      <c r="AE52" s="411"/>
      <c r="AF52" s="411"/>
      <c r="AG52" s="394">
        <f>AG50+AG51</f>
        <v>187.39021649999998</v>
      </c>
      <c r="AH52" s="138"/>
      <c r="AI52" s="395">
        <f t="shared" si="68"/>
        <v>1.6949999999999932</v>
      </c>
      <c r="AJ52" s="396">
        <f t="shared" si="69"/>
        <v>9.1278603291323514E-3</v>
      </c>
      <c r="AK52" s="53"/>
      <c r="AL52" s="411"/>
      <c r="AM52" s="411"/>
      <c r="AN52" s="394">
        <f>AN50+AN51</f>
        <v>188.93831649999998</v>
      </c>
      <c r="AO52" s="138"/>
      <c r="AP52" s="395">
        <f t="shared" si="70"/>
        <v>1.5481000000000051</v>
      </c>
      <c r="AQ52" s="396">
        <f t="shared" si="71"/>
        <v>8.2613704648769933E-3</v>
      </c>
      <c r="AR52" s="397"/>
    </row>
    <row r="53" spans="1:44" ht="12" customHeight="1">
      <c r="A53" s="53"/>
      <c r="B53" s="626" t="s">
        <v>304</v>
      </c>
      <c r="C53" s="616"/>
      <c r="D53" s="616"/>
      <c r="E53" s="328"/>
      <c r="F53" s="450">
        <f>'Proposed Rates'!E293</f>
        <v>0.23499999999999999</v>
      </c>
      <c r="G53" s="138"/>
      <c r="H53" s="486">
        <f>F53*H50</f>
        <v>36.212425932500004</v>
      </c>
      <c r="I53" s="411"/>
      <c r="J53" s="450">
        <f>'Proposed Rates'!F293</f>
        <v>0.23499999999999999</v>
      </c>
      <c r="K53" s="411"/>
      <c r="L53" s="451">
        <f>J53*L50</f>
        <v>37.602185734999999</v>
      </c>
      <c r="M53" s="138"/>
      <c r="N53" s="451">
        <f t="shared" si="62"/>
        <v>1.3897598024999951</v>
      </c>
      <c r="O53" s="453">
        <f t="shared" si="63"/>
        <v>3.8377981223641541E-2</v>
      </c>
      <c r="P53" s="53"/>
      <c r="Q53" s="452">
        <f>'Proposed Rates'!G293</f>
        <v>0.23499999999999999</v>
      </c>
      <c r="R53" s="411"/>
      <c r="S53" s="451">
        <f>Q53*S50</f>
        <v>38.381210734999996</v>
      </c>
      <c r="T53" s="138"/>
      <c r="U53" s="451">
        <f t="shared" si="64"/>
        <v>0.77902499999999719</v>
      </c>
      <c r="V53" s="453">
        <f t="shared" si="65"/>
        <v>2.0717545663173593E-2</v>
      </c>
      <c r="W53" s="53"/>
      <c r="X53" s="452">
        <f>'Proposed Rates'!H293</f>
        <v>0.23499999999999999</v>
      </c>
      <c r="Y53" s="411"/>
      <c r="Z53" s="451">
        <f>X53*Z50</f>
        <v>38.618031749999993</v>
      </c>
      <c r="AA53" s="138"/>
      <c r="AB53" s="451">
        <f t="shared" si="66"/>
        <v>0.23682101499999675</v>
      </c>
      <c r="AC53" s="453">
        <f t="shared" si="67"/>
        <v>6.1702330506223091E-3</v>
      </c>
      <c r="AD53" s="53"/>
      <c r="AE53" s="452">
        <f>'Proposed Rates'!I293</f>
        <v>0.23499999999999999</v>
      </c>
      <c r="AF53" s="411"/>
      <c r="AG53" s="451">
        <f>AE53*AG50</f>
        <v>38.970531749999992</v>
      </c>
      <c r="AH53" s="138"/>
      <c r="AI53" s="451">
        <f t="shared" si="68"/>
        <v>0.35249999999999915</v>
      </c>
      <c r="AJ53" s="453">
        <f t="shared" si="69"/>
        <v>9.127860329132367E-3</v>
      </c>
      <c r="AK53" s="53"/>
      <c r="AL53" s="452">
        <f>'Proposed Rates'!J293</f>
        <v>0.23499999999999999</v>
      </c>
      <c r="AM53" s="411"/>
      <c r="AN53" s="451">
        <f>AL53*AN50</f>
        <v>39.292481749999993</v>
      </c>
      <c r="AO53" s="138"/>
      <c r="AP53" s="451">
        <f t="shared" si="70"/>
        <v>0.32195000000000107</v>
      </c>
      <c r="AQ53" s="453">
        <f t="shared" si="71"/>
        <v>8.2613704648769933E-3</v>
      </c>
      <c r="AR53" s="454"/>
    </row>
    <row r="54" spans="1:44" ht="12" customHeight="1">
      <c r="A54" s="53"/>
      <c r="B54" s="627" t="s">
        <v>347</v>
      </c>
      <c r="C54" s="608"/>
      <c r="D54" s="600"/>
      <c r="E54" s="455"/>
      <c r="F54" s="456"/>
      <c r="G54" s="487"/>
      <c r="H54" s="488">
        <f>H52-H53</f>
        <v>137.91540940250002</v>
      </c>
      <c r="I54" s="457"/>
      <c r="J54" s="456"/>
      <c r="K54" s="457"/>
      <c r="L54" s="458">
        <f>L52-L53</f>
        <v>143.20832439499998</v>
      </c>
      <c r="M54" s="459"/>
      <c r="N54" s="460">
        <f t="shared" si="62"/>
        <v>5.2929149924999592</v>
      </c>
      <c r="O54" s="461">
        <f t="shared" si="63"/>
        <v>3.8377981223641375E-2</v>
      </c>
      <c r="P54" s="53"/>
      <c r="Q54" s="457"/>
      <c r="R54" s="457"/>
      <c r="S54" s="458">
        <f>S52-S53</f>
        <v>146.17524939500001</v>
      </c>
      <c r="T54" s="459"/>
      <c r="U54" s="460">
        <f t="shared" si="64"/>
        <v>2.9669250000000318</v>
      </c>
      <c r="V54" s="461">
        <f t="shared" si="65"/>
        <v>2.0717545663173891E-2</v>
      </c>
      <c r="W54" s="53"/>
      <c r="X54" s="457"/>
      <c r="Y54" s="457"/>
      <c r="Z54" s="458">
        <f>Z52-Z53</f>
        <v>147.07718474999999</v>
      </c>
      <c r="AA54" s="459"/>
      <c r="AB54" s="460">
        <f t="shared" si="66"/>
        <v>0.90193535499997779</v>
      </c>
      <c r="AC54" s="461">
        <f t="shared" si="67"/>
        <v>6.1702330506222406E-3</v>
      </c>
      <c r="AD54" s="53"/>
      <c r="AE54" s="457"/>
      <c r="AF54" s="457"/>
      <c r="AG54" s="458">
        <f>AG52-AG53</f>
        <v>148.41968474999999</v>
      </c>
      <c r="AH54" s="459"/>
      <c r="AI54" s="460">
        <f t="shared" si="68"/>
        <v>1.3425000000000011</v>
      </c>
      <c r="AJ54" s="461">
        <f t="shared" si="69"/>
        <v>9.1278603291323965E-3</v>
      </c>
      <c r="AK54" s="53"/>
      <c r="AL54" s="457"/>
      <c r="AM54" s="457"/>
      <c r="AN54" s="458">
        <f>AN52-AN53</f>
        <v>149.64583475000001</v>
      </c>
      <c r="AO54" s="459"/>
      <c r="AP54" s="460">
        <f t="shared" si="70"/>
        <v>1.2261500000000183</v>
      </c>
      <c r="AQ54" s="461">
        <f t="shared" si="71"/>
        <v>8.2613704648770887E-3</v>
      </c>
      <c r="AR54" s="462"/>
    </row>
    <row r="55" spans="1:44" ht="12"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 customHeight="1">
      <c r="A56" s="53"/>
      <c r="B56" s="438" t="s">
        <v>348</v>
      </c>
      <c r="C56" s="328"/>
      <c r="D56" s="328"/>
      <c r="E56" s="328"/>
      <c r="F56" s="439"/>
      <c r="G56" s="483"/>
      <c r="H56" s="441">
        <f>SUM(H47:H48,H40,H41:H43)</f>
        <v>151.75542949999999</v>
      </c>
      <c r="I56" s="476"/>
      <c r="J56" s="439"/>
      <c r="K56" s="440"/>
      <c r="L56" s="441">
        <f>SUM(L47:L48,L40,L41:L43)</f>
        <v>157.66930100000002</v>
      </c>
      <c r="M56" s="443"/>
      <c r="N56" s="442">
        <f t="shared" ref="N56:N60" si="72">L56-H56</f>
        <v>5.9138715000000275</v>
      </c>
      <c r="O56" s="444">
        <f t="shared" ref="O56:O60" si="73">IF((H56)=0,"",(N56/H56))</f>
        <v>3.8969752314529399E-2</v>
      </c>
      <c r="P56" s="53"/>
      <c r="Q56" s="440"/>
      <c r="R56" s="440"/>
      <c r="S56" s="442">
        <f>SUM(S47:S48,S40,S41:S43)</f>
        <v>160.98430100000002</v>
      </c>
      <c r="T56" s="443"/>
      <c r="U56" s="442">
        <f t="shared" ref="U56:U60" si="74">S56-L56</f>
        <v>3.3149999999999977</v>
      </c>
      <c r="V56" s="444">
        <f t="shared" ref="V56:V60" si="75">IF((L56)=0,"",(U56/L56))</f>
        <v>2.1025018687689859E-2</v>
      </c>
      <c r="W56" s="53"/>
      <c r="X56" s="440"/>
      <c r="Y56" s="440"/>
      <c r="Z56" s="442">
        <f>SUM(Z47:Z48,Z40,Z41:Z43)</f>
        <v>161.99205000000001</v>
      </c>
      <c r="AA56" s="443"/>
      <c r="AB56" s="442">
        <f t="shared" ref="AB56:AB60" si="76">Z56-S56</f>
        <v>1.0077489999999898</v>
      </c>
      <c r="AC56" s="444">
        <f t="shared" ref="AC56:AC60" si="77">IF((S56)=0,"",(AB56/S56))</f>
        <v>6.2599209596219552E-3</v>
      </c>
      <c r="AD56" s="53"/>
      <c r="AE56" s="440"/>
      <c r="AF56" s="440"/>
      <c r="AG56" s="442">
        <f>SUM(AG47:AG48,AG40,AG41:AG43)</f>
        <v>163.49205000000001</v>
      </c>
      <c r="AH56" s="443"/>
      <c r="AI56" s="442">
        <f t="shared" ref="AI56:AI60" si="78">AG56-Z56</f>
        <v>1.5</v>
      </c>
      <c r="AJ56" s="444">
        <f t="shared" ref="AJ56:AJ60" si="79">IF((Z56)=0,"",(AI56/Z56))</f>
        <v>9.2597136711338613E-3</v>
      </c>
      <c r="AK56" s="53"/>
      <c r="AL56" s="440"/>
      <c r="AM56" s="440"/>
      <c r="AN56" s="442">
        <f>SUM(AN47:AN48,AN40,AN41:AN43)</f>
        <v>164.86205000000001</v>
      </c>
      <c r="AO56" s="443"/>
      <c r="AP56" s="442">
        <f t="shared" ref="AP56:AP60" si="80">AN56-AG56</f>
        <v>1.3700000000000045</v>
      </c>
      <c r="AQ56" s="444">
        <f t="shared" ref="AQ56:AQ60" si="81">IF((AG56)=0,"",(AP56/AG56))</f>
        <v>8.3796123420068706E-3</v>
      </c>
      <c r="AR56" s="445"/>
    </row>
    <row r="57" spans="1:44" ht="12" customHeight="1">
      <c r="A57" s="53"/>
      <c r="B57" s="446" t="s">
        <v>345</v>
      </c>
      <c r="C57" s="328"/>
      <c r="D57" s="328"/>
      <c r="E57" s="328"/>
      <c r="F57" s="439">
        <v>0.13</v>
      </c>
      <c r="G57" s="483"/>
      <c r="H57" s="484">
        <f>H56*F57</f>
        <v>19.728205835000001</v>
      </c>
      <c r="I57" s="411"/>
      <c r="J57" s="439">
        <v>0.13</v>
      </c>
      <c r="K57" s="447"/>
      <c r="L57" s="394">
        <f>L56*J57</f>
        <v>20.497009130000002</v>
      </c>
      <c r="M57" s="138"/>
      <c r="N57" s="395">
        <f t="shared" si="72"/>
        <v>0.76880329500000144</v>
      </c>
      <c r="O57" s="396">
        <f t="shared" si="73"/>
        <v>3.8969752314529288E-2</v>
      </c>
      <c r="P57" s="53"/>
      <c r="Q57" s="439">
        <v>0.13</v>
      </c>
      <c r="R57" s="447"/>
      <c r="S57" s="394">
        <f>S56*Q57</f>
        <v>20.927959130000001</v>
      </c>
      <c r="T57" s="138"/>
      <c r="U57" s="395">
        <f t="shared" si="74"/>
        <v>0.43094999999999928</v>
      </c>
      <c r="V57" s="396">
        <f t="shared" si="75"/>
        <v>2.1025018687689839E-2</v>
      </c>
      <c r="W57" s="53"/>
      <c r="X57" s="439">
        <v>0.13</v>
      </c>
      <c r="Y57" s="447"/>
      <c r="Z57" s="394">
        <f>Z56*X57</f>
        <v>21.0589665</v>
      </c>
      <c r="AA57" s="138"/>
      <c r="AB57" s="395">
        <f t="shared" si="76"/>
        <v>0.13100736999999896</v>
      </c>
      <c r="AC57" s="396">
        <f t="shared" si="77"/>
        <v>6.2599209596219691E-3</v>
      </c>
      <c r="AD57" s="53"/>
      <c r="AE57" s="439">
        <v>0.13</v>
      </c>
      <c r="AF57" s="447"/>
      <c r="AG57" s="394">
        <f>AG56*AE57</f>
        <v>21.253966500000001</v>
      </c>
      <c r="AH57" s="138"/>
      <c r="AI57" s="395">
        <f t="shared" si="78"/>
        <v>0.19500000000000028</v>
      </c>
      <c r="AJ57" s="396">
        <f t="shared" si="79"/>
        <v>9.2597136711338752E-3</v>
      </c>
      <c r="AK57" s="53"/>
      <c r="AL57" s="439">
        <v>0.13</v>
      </c>
      <c r="AM57" s="447"/>
      <c r="AN57" s="394">
        <f>AN56*AL57</f>
        <v>21.432066500000001</v>
      </c>
      <c r="AO57" s="138"/>
      <c r="AP57" s="395">
        <f t="shared" si="80"/>
        <v>0.17810000000000059</v>
      </c>
      <c r="AQ57" s="396">
        <f t="shared" si="81"/>
        <v>8.3796123420068706E-3</v>
      </c>
      <c r="AR57" s="397"/>
    </row>
    <row r="58" spans="1:44" ht="12" customHeight="1">
      <c r="A58" s="53"/>
      <c r="B58" s="448" t="s">
        <v>381</v>
      </c>
      <c r="C58" s="328"/>
      <c r="D58" s="328"/>
      <c r="E58" s="328"/>
      <c r="F58" s="449"/>
      <c r="G58" s="138"/>
      <c r="H58" s="484">
        <f>H56+H57</f>
        <v>171.483635335</v>
      </c>
      <c r="I58" s="411"/>
      <c r="J58" s="449"/>
      <c r="K58" s="411"/>
      <c r="L58" s="394">
        <f>L56+L57</f>
        <v>178.16631013000003</v>
      </c>
      <c r="M58" s="138"/>
      <c r="N58" s="395">
        <f t="shared" si="72"/>
        <v>6.6826747950000254</v>
      </c>
      <c r="O58" s="396">
        <f t="shared" si="73"/>
        <v>3.8969752314529364E-2</v>
      </c>
      <c r="P58" s="53"/>
      <c r="Q58" s="411"/>
      <c r="R58" s="411"/>
      <c r="S58" s="394">
        <f>S56+S57</f>
        <v>181.91226013000002</v>
      </c>
      <c r="T58" s="138"/>
      <c r="U58" s="395">
        <f t="shared" si="74"/>
        <v>3.7459499999999935</v>
      </c>
      <c r="V58" s="396">
        <f t="shared" si="75"/>
        <v>2.1025018687689835E-2</v>
      </c>
      <c r="W58" s="53"/>
      <c r="X58" s="411"/>
      <c r="Y58" s="411"/>
      <c r="Z58" s="394">
        <f>Z56+Z57</f>
        <v>183.0510165</v>
      </c>
      <c r="AA58" s="138"/>
      <c r="AB58" s="395">
        <f t="shared" si="76"/>
        <v>1.1387563699999816</v>
      </c>
      <c r="AC58" s="396">
        <f t="shared" si="77"/>
        <v>6.2599209596219179E-3</v>
      </c>
      <c r="AD58" s="53"/>
      <c r="AE58" s="411"/>
      <c r="AF58" s="411"/>
      <c r="AG58" s="394">
        <f>AG56+AG57</f>
        <v>184.7460165</v>
      </c>
      <c r="AH58" s="138"/>
      <c r="AI58" s="395">
        <f t="shared" si="78"/>
        <v>1.6949999999999932</v>
      </c>
      <c r="AJ58" s="396">
        <f t="shared" si="79"/>
        <v>9.2597136711338231E-3</v>
      </c>
      <c r="AK58" s="53"/>
      <c r="AL58" s="411"/>
      <c r="AM58" s="411"/>
      <c r="AN58" s="394">
        <f>AN56+AN57</f>
        <v>186.2941165</v>
      </c>
      <c r="AO58" s="138"/>
      <c r="AP58" s="395">
        <f t="shared" si="80"/>
        <v>1.5481000000000051</v>
      </c>
      <c r="AQ58" s="396">
        <f t="shared" si="81"/>
        <v>8.3796123420068723E-3</v>
      </c>
      <c r="AR58" s="397"/>
    </row>
    <row r="59" spans="1:44" ht="12" customHeight="1">
      <c r="A59" s="53"/>
      <c r="B59" s="626" t="s">
        <v>304</v>
      </c>
      <c r="C59" s="616"/>
      <c r="D59" s="616"/>
      <c r="E59" s="328"/>
      <c r="F59" s="450">
        <f>F53</f>
        <v>0.23499999999999999</v>
      </c>
      <c r="G59" s="138"/>
      <c r="H59" s="486">
        <f>F59*H56</f>
        <v>35.662525932499996</v>
      </c>
      <c r="I59" s="411"/>
      <c r="J59" s="450">
        <f>J53</f>
        <v>0.23499999999999999</v>
      </c>
      <c r="K59" s="411"/>
      <c r="L59" s="451">
        <f>J59*L56</f>
        <v>37.052285735000005</v>
      </c>
      <c r="M59" s="138"/>
      <c r="N59" s="451">
        <f t="shared" si="72"/>
        <v>1.3897598025000093</v>
      </c>
      <c r="O59" s="453">
        <f t="shared" si="73"/>
        <v>3.8969752314529482E-2</v>
      </c>
      <c r="P59" s="53"/>
      <c r="Q59" s="452">
        <f>Q53</f>
        <v>0.23499999999999999</v>
      </c>
      <c r="R59" s="411"/>
      <c r="S59" s="451">
        <f>Q59*S56</f>
        <v>37.831310735000002</v>
      </c>
      <c r="T59" s="138"/>
      <c r="U59" s="451">
        <f t="shared" si="74"/>
        <v>0.77902499999999719</v>
      </c>
      <c r="V59" s="453">
        <f t="shared" si="75"/>
        <v>2.1025018687689797E-2</v>
      </c>
      <c r="W59" s="53"/>
      <c r="X59" s="452">
        <f>X53</f>
        <v>0.23499999999999999</v>
      </c>
      <c r="Y59" s="411"/>
      <c r="Z59" s="451">
        <f>X59*Z56</f>
        <v>38.068131749999999</v>
      </c>
      <c r="AA59" s="138"/>
      <c r="AB59" s="451">
        <f t="shared" si="76"/>
        <v>0.23682101499999675</v>
      </c>
      <c r="AC59" s="453">
        <f t="shared" si="77"/>
        <v>6.2599209596219327E-3</v>
      </c>
      <c r="AD59" s="53"/>
      <c r="AE59" s="452">
        <f>AE53</f>
        <v>0.23499999999999999</v>
      </c>
      <c r="AF59" s="411"/>
      <c r="AG59" s="451">
        <f>AE59*AG56</f>
        <v>38.420631749999998</v>
      </c>
      <c r="AH59" s="138"/>
      <c r="AI59" s="451">
        <f t="shared" si="78"/>
        <v>0.35249999999999915</v>
      </c>
      <c r="AJ59" s="453">
        <f t="shared" si="79"/>
        <v>9.2597136711338388E-3</v>
      </c>
      <c r="AK59" s="53"/>
      <c r="AL59" s="452">
        <f>AL53</f>
        <v>0.23499999999999999</v>
      </c>
      <c r="AM59" s="411"/>
      <c r="AN59" s="451">
        <f>AL59*AN56</f>
        <v>38.742581749999999</v>
      </c>
      <c r="AO59" s="138"/>
      <c r="AP59" s="451">
        <f t="shared" si="80"/>
        <v>0.32195000000000107</v>
      </c>
      <c r="AQ59" s="453">
        <f t="shared" si="81"/>
        <v>8.3796123420068723E-3</v>
      </c>
      <c r="AR59" s="454"/>
    </row>
    <row r="60" spans="1:44" ht="12" customHeight="1">
      <c r="A60" s="53"/>
      <c r="B60" s="627" t="s">
        <v>350</v>
      </c>
      <c r="C60" s="608"/>
      <c r="D60" s="600"/>
      <c r="E60" s="455"/>
      <c r="F60" s="463"/>
      <c r="G60" s="489"/>
      <c r="H60" s="490">
        <f>H58-H59</f>
        <v>135.82110940250001</v>
      </c>
      <c r="I60" s="464"/>
      <c r="J60" s="463"/>
      <c r="K60" s="464"/>
      <c r="L60" s="465">
        <f>L58-L59</f>
        <v>141.11402439500003</v>
      </c>
      <c r="M60" s="466"/>
      <c r="N60" s="467">
        <f t="shared" si="72"/>
        <v>5.2929149925000161</v>
      </c>
      <c r="O60" s="468">
        <f t="shared" si="73"/>
        <v>3.896975231452933E-2</v>
      </c>
      <c r="P60" s="53"/>
      <c r="Q60" s="464"/>
      <c r="R60" s="464"/>
      <c r="S60" s="465">
        <f>S58-S59</f>
        <v>144.080949395</v>
      </c>
      <c r="T60" s="466"/>
      <c r="U60" s="467">
        <f t="shared" si="74"/>
        <v>2.9669249999999749</v>
      </c>
      <c r="V60" s="468">
        <f t="shared" si="75"/>
        <v>2.1025018687689693E-2</v>
      </c>
      <c r="W60" s="53"/>
      <c r="X60" s="464"/>
      <c r="Y60" s="464"/>
      <c r="Z60" s="465">
        <f>Z58-Z59</f>
        <v>144.98288475000001</v>
      </c>
      <c r="AA60" s="466"/>
      <c r="AB60" s="467">
        <f t="shared" si="76"/>
        <v>0.90193535500000621</v>
      </c>
      <c r="AC60" s="468">
        <f t="shared" si="77"/>
        <v>6.2599209596220619E-3</v>
      </c>
      <c r="AD60" s="53"/>
      <c r="AE60" s="464"/>
      <c r="AF60" s="464"/>
      <c r="AG60" s="465">
        <f>AG58-AG59</f>
        <v>146.32538475000001</v>
      </c>
      <c r="AH60" s="466"/>
      <c r="AI60" s="467">
        <f t="shared" si="78"/>
        <v>1.3425000000000011</v>
      </c>
      <c r="AJ60" s="468">
        <f t="shared" si="79"/>
        <v>9.2597136711338682E-3</v>
      </c>
      <c r="AK60" s="53"/>
      <c r="AL60" s="464"/>
      <c r="AM60" s="464"/>
      <c r="AN60" s="465">
        <f>AN58-AN59</f>
        <v>147.55153475</v>
      </c>
      <c r="AO60" s="466"/>
      <c r="AP60" s="467">
        <f t="shared" si="80"/>
        <v>1.2261499999999899</v>
      </c>
      <c r="AQ60" s="468">
        <f t="shared" si="81"/>
        <v>8.3796123420067734E-3</v>
      </c>
      <c r="AR60" s="462"/>
    </row>
    <row r="61" spans="1:44" ht="12" customHeight="1">
      <c r="A61" s="53"/>
      <c r="B61" s="497"/>
      <c r="C61" s="498"/>
      <c r="D61" s="498"/>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473" t="s">
        <v>382</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474"/>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E00-000000000000}">
      <formula1>"TOU,non-TOU"</formula1>
    </dataValidation>
    <dataValidation type="list" allowBlank="1" showErrorMessage="1" sqref="E15:E28 E30:E36 E38:E39 E41:E49 E55 E61" xr:uid="{00000000-0002-0000-0E00-000001000000}">
      <formula1>#REF!</formula1>
    </dataValidation>
    <dataValidation type="list" allowBlank="1" showInputMessage="1" showErrorMessage="1" prompt="Select Charge Unit - monthly, per kWh, per kW" sqref="D15:D28 D30:D36 D38:D39 D41:D49 D55 D61" xr:uid="{00000000-0002-0000-0E00-000002000000}">
      <formula1>"Monthly,per kWh,per kW"</formula1>
    </dataValidation>
  </dataValidations>
  <pageMargins left="0.74803149606299213" right="0.74803149606299213" top="0.98425196850393704" bottom="0.98425196850393704"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71093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 min="45" max="45" width="12.42578125" customWidth="1"/>
  </cols>
  <sheetData>
    <row r="1" spans="1:45" ht="15" customHeight="1">
      <c r="A1" s="3"/>
      <c r="B1" s="3"/>
      <c r="C1" s="3"/>
      <c r="D1" s="3"/>
      <c r="E1" s="3"/>
      <c r="F1" s="3"/>
      <c r="G1" s="3"/>
      <c r="H1" s="3"/>
      <c r="I1" s="3"/>
      <c r="J1" s="3"/>
      <c r="K1" s="3"/>
      <c r="L1" s="3"/>
      <c r="M1" s="3"/>
      <c r="N1" s="3"/>
      <c r="O1" s="3"/>
      <c r="P1" s="3"/>
      <c r="Q1" s="3"/>
      <c r="R1" s="3"/>
      <c r="S1" s="628" t="s">
        <v>319</v>
      </c>
      <c r="T1" s="629"/>
      <c r="U1" s="629"/>
      <c r="V1" s="629"/>
      <c r="W1" s="629"/>
      <c r="X1" s="629"/>
      <c r="Y1" s="630"/>
      <c r="Z1" s="3"/>
      <c r="AA1" s="3"/>
      <c r="AB1" s="3"/>
      <c r="AC1" s="3"/>
      <c r="AD1" s="3"/>
      <c r="AE1" s="3"/>
      <c r="AF1" s="3"/>
      <c r="AG1" s="3"/>
      <c r="AH1" s="3"/>
      <c r="AI1" s="3"/>
      <c r="AJ1" s="3"/>
      <c r="AK1" s="3"/>
      <c r="AL1" s="3"/>
      <c r="AM1" s="3"/>
      <c r="AN1" s="3"/>
      <c r="AO1" s="3"/>
      <c r="AP1" s="3"/>
      <c r="AQ1" s="3"/>
      <c r="AR1" s="3"/>
      <c r="AS1" s="3"/>
    </row>
    <row r="2" spans="1:45" ht="18.75"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5" ht="18.75"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75" customHeight="1">
      <c r="A6" s="53"/>
      <c r="B6" s="327" t="s">
        <v>323</v>
      </c>
      <c r="C6" s="53"/>
      <c r="D6" s="375" t="s">
        <v>247</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7.5"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5" ht="12.75"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75"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75" customHeight="1">
      <c r="A10" s="53"/>
      <c r="B10" s="53"/>
      <c r="C10" s="53"/>
      <c r="D10" s="314" t="s">
        <v>326</v>
      </c>
      <c r="E10" s="314"/>
      <c r="F10" s="380">
        <v>1000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75"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5" ht="12.75"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5" ht="12.75"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5" ht="12.75"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5" ht="12.75" customHeight="1">
      <c r="A15" s="53"/>
      <c r="B15" s="328" t="s">
        <v>246</v>
      </c>
      <c r="C15" s="389" t="str">
        <f t="shared" ref="C15:C28" si="0">D$6&amp;"."&amp;B15</f>
        <v>Residential.Monthly Service Charge</v>
      </c>
      <c r="D15" s="390" t="s">
        <v>335</v>
      </c>
      <c r="E15" s="328"/>
      <c r="F15" s="391">
        <f>IFERROR(VLOOKUP($C15,'Proposed Rates'!$B:$J,F$11,FALSE),0)</f>
        <v>34.26</v>
      </c>
      <c r="G15" s="392">
        <f t="shared" ref="G15:G28" si="1">IF($D15="Monthly",1,IF($D15="per KWH",$F$10,0))</f>
        <v>1</v>
      </c>
      <c r="H15" s="394">
        <f t="shared" ref="H15:H28" si="2">G15*F15</f>
        <v>34.26</v>
      </c>
      <c r="I15" s="138"/>
      <c r="J15" s="391">
        <f>IFERROR(VLOOKUP($C15,'Proposed Rates'!$B:$J,J$11,FALSE),0)</f>
        <v>39.200000000000003</v>
      </c>
      <c r="K15" s="392">
        <f t="shared" ref="K15:K28" si="3">IF($D15="Monthly",1,IF($D15="per KWH",$F$10,0))</f>
        <v>1</v>
      </c>
      <c r="L15" s="394">
        <f t="shared" ref="L15:L28" si="4">K15*J15</f>
        <v>39.200000000000003</v>
      </c>
      <c r="M15" s="138"/>
      <c r="N15" s="395">
        <f t="shared" ref="N15:N48" si="5">L15-H15</f>
        <v>4.9400000000000048</v>
      </c>
      <c r="O15" s="396">
        <f t="shared" ref="O15:O48" si="6">IF((H15)=0,"",(N15/H15))</f>
        <v>0.14419147694103926</v>
      </c>
      <c r="P15" s="53"/>
      <c r="Q15" s="391">
        <f>IFERROR(VLOOKUP($C15,'Proposed Rates'!$B:$J,Q$11,FALSE),0)</f>
        <v>41.1</v>
      </c>
      <c r="R15" s="392">
        <f t="shared" ref="R15:R28" si="7">IF($D15="Monthly",1,IF($D15="per KWH",$F$10,0))</f>
        <v>1</v>
      </c>
      <c r="S15" s="394">
        <f t="shared" ref="S15:S28" si="8">R15*Q15</f>
        <v>41.1</v>
      </c>
      <c r="T15" s="138"/>
      <c r="U15" s="395">
        <f t="shared" ref="U15:U48" si="9">S15-L15</f>
        <v>1.8999999999999986</v>
      </c>
      <c r="V15" s="396">
        <f t="shared" ref="V15:V48" si="10">IF((L15)=0,"",(U15/L15))</f>
        <v>4.8469387755102004E-2</v>
      </c>
      <c r="W15" s="53"/>
      <c r="X15" s="391">
        <f>IFERROR(VLOOKUP($C15,'Proposed Rates'!$B:$J,X$11,FALSE),0)</f>
        <v>43.93</v>
      </c>
      <c r="Y15" s="392">
        <f t="shared" ref="Y15:Y28" si="11">IF($D15="Monthly",1,IF($D15="per KWH",$F$10,0))</f>
        <v>1</v>
      </c>
      <c r="Z15" s="394">
        <f t="shared" ref="Z15:Z28" si="12">Y15*X15</f>
        <v>43.93</v>
      </c>
      <c r="AA15" s="138"/>
      <c r="AB15" s="395">
        <f t="shared" ref="AB15:AB48" si="13">Z15-S15</f>
        <v>2.8299999999999983</v>
      </c>
      <c r="AC15" s="396">
        <f t="shared" ref="AC15:AC48" si="14">IF((S15)=0,"",(AB15/S15))</f>
        <v>6.8856447688564429E-2</v>
      </c>
      <c r="AD15" s="53"/>
      <c r="AE15" s="391">
        <f>IFERROR(VLOOKUP($C15,'Proposed Rates'!$B:$J,AE$11,FALSE),0)</f>
        <v>45.42</v>
      </c>
      <c r="AF15" s="392">
        <f t="shared" ref="AF15:AF28" si="15">IF($D15="Monthly",1,IF($D15="per KWH",$F$10,0))</f>
        <v>1</v>
      </c>
      <c r="AG15" s="394">
        <f t="shared" ref="AG15:AG28" si="16">AF15*AE15</f>
        <v>45.42</v>
      </c>
      <c r="AH15" s="138"/>
      <c r="AI15" s="395">
        <f t="shared" ref="AI15:AI48" si="17">AG15-Z15</f>
        <v>1.490000000000002</v>
      </c>
      <c r="AJ15" s="396">
        <f t="shared" ref="AJ15:AJ48" si="18">IF((Z15)=0,"",(AI15/Z15))</f>
        <v>3.3917596175734165E-2</v>
      </c>
      <c r="AK15" s="53"/>
      <c r="AL15" s="391">
        <f>IFERROR(VLOOKUP($C15,'Proposed Rates'!$B:$J,AL$11,FALSE),0)</f>
        <v>46.78</v>
      </c>
      <c r="AM15" s="392">
        <f t="shared" ref="AM15:AM28" si="19">IF($D15="Monthly",1,IF($D15="per KWH",$F$10,0))</f>
        <v>1</v>
      </c>
      <c r="AN15" s="394">
        <f t="shared" ref="AN15:AN28" si="20">AM15*AL15</f>
        <v>46.78</v>
      </c>
      <c r="AO15" s="138"/>
      <c r="AP15" s="395">
        <f t="shared" ref="AP15:AP48" si="21">AN15-AG15</f>
        <v>1.3599999999999994</v>
      </c>
      <c r="AQ15" s="396">
        <f t="shared" ref="AQ15:AQ48" si="22">IF((AG15)=0,"",(AP15/AG15))</f>
        <v>2.9942756494936138E-2</v>
      </c>
      <c r="AR15" s="397"/>
    </row>
    <row r="16" spans="1:45" ht="12.75" customHeight="1">
      <c r="A16" s="53"/>
      <c r="B16" s="328" t="s">
        <v>336</v>
      </c>
      <c r="C16" s="389" t="str">
        <f t="shared" si="0"/>
        <v>Residential.Smart Meter Rate Adder</v>
      </c>
      <c r="D16" s="390" t="s">
        <v>335</v>
      </c>
      <c r="E16" s="328"/>
      <c r="F16" s="391">
        <f>IFERROR(VLOOKUP($C16,'Proposed Rates'!$B:$J,F$11,FALSE),0)</f>
        <v>0</v>
      </c>
      <c r="G16" s="392">
        <f t="shared" si="1"/>
        <v>1</v>
      </c>
      <c r="H16" s="394">
        <f t="shared" si="2"/>
        <v>0</v>
      </c>
      <c r="I16" s="138"/>
      <c r="J16" s="391">
        <f>IFERROR(VLOOKUP($C16,'Proposed Rates'!$B:$J,J$11,FALSE),0)</f>
        <v>0</v>
      </c>
      <c r="K16" s="392">
        <f t="shared" si="3"/>
        <v>1</v>
      </c>
      <c r="L16" s="394">
        <f t="shared" si="4"/>
        <v>0</v>
      </c>
      <c r="M16" s="138"/>
      <c r="N16" s="395">
        <f t="shared" si="5"/>
        <v>0</v>
      </c>
      <c r="O16" s="396" t="str">
        <f t="shared" si="6"/>
        <v/>
      </c>
      <c r="P16" s="53"/>
      <c r="Q16" s="391">
        <f>IFERROR(VLOOKUP($C16,'Proposed Rates'!$B:$J,Q$11,FALSE),0)</f>
        <v>0</v>
      </c>
      <c r="R16" s="392">
        <f t="shared" si="7"/>
        <v>1</v>
      </c>
      <c r="S16" s="394">
        <f t="shared" si="8"/>
        <v>0</v>
      </c>
      <c r="T16" s="138"/>
      <c r="U16" s="395">
        <f t="shared" si="9"/>
        <v>0</v>
      </c>
      <c r="V16" s="396" t="str">
        <f t="shared" si="10"/>
        <v/>
      </c>
      <c r="W16" s="53"/>
      <c r="X16" s="391">
        <f>IFERROR(VLOOKUP($C16,'Proposed Rates'!$B:$J,X$11,FALSE),0)</f>
        <v>0</v>
      </c>
      <c r="Y16" s="392">
        <f t="shared" si="11"/>
        <v>1</v>
      </c>
      <c r="Z16" s="394">
        <f t="shared" si="12"/>
        <v>0</v>
      </c>
      <c r="AA16" s="138"/>
      <c r="AB16" s="395">
        <f t="shared" si="13"/>
        <v>0</v>
      </c>
      <c r="AC16" s="396" t="str">
        <f t="shared" si="14"/>
        <v/>
      </c>
      <c r="AD16" s="53"/>
      <c r="AE16" s="391">
        <f>IFERROR(VLOOKUP($C16,'Proposed Rates'!$B:$J,AE$11,FALSE),0)</f>
        <v>0</v>
      </c>
      <c r="AF16" s="392">
        <f t="shared" si="15"/>
        <v>1</v>
      </c>
      <c r="AG16" s="394">
        <f t="shared" si="16"/>
        <v>0</v>
      </c>
      <c r="AH16" s="138"/>
      <c r="AI16" s="395">
        <f t="shared" si="17"/>
        <v>0</v>
      </c>
      <c r="AJ16" s="396" t="str">
        <f t="shared" si="18"/>
        <v/>
      </c>
      <c r="AK16" s="53"/>
      <c r="AL16" s="391">
        <f>IFERROR(VLOOKUP($C16,'Proposed Rates'!$B:$J,AL$11,FALSE),0)</f>
        <v>0</v>
      </c>
      <c r="AM16" s="392">
        <f t="shared" si="19"/>
        <v>1</v>
      </c>
      <c r="AN16" s="394">
        <f t="shared" si="20"/>
        <v>0</v>
      </c>
      <c r="AO16" s="138"/>
      <c r="AP16" s="395">
        <f t="shared" si="21"/>
        <v>0</v>
      </c>
      <c r="AQ16" s="396" t="str">
        <f t="shared" si="22"/>
        <v/>
      </c>
      <c r="AR16" s="397"/>
    </row>
    <row r="17" spans="1:44" ht="12.75" customHeight="1">
      <c r="A17" s="53"/>
      <c r="B17" s="398" t="str">
        <f>'Proposed Rates'!C115</f>
        <v>Rate Rider Calculation for Forgone Revenue - variable</v>
      </c>
      <c r="C17" s="389" t="str">
        <f t="shared" si="0"/>
        <v>Residential.Rate Rider Calculation for Forgone Revenue - variable</v>
      </c>
      <c r="D17" s="390" t="s">
        <v>337</v>
      </c>
      <c r="E17" s="328"/>
      <c r="F17" s="391">
        <f>IFERROR(VLOOKUP($C17,'Proposed Rates'!$B:$J,F$11,FALSE),0)</f>
        <v>0</v>
      </c>
      <c r="G17" s="392">
        <f t="shared" si="1"/>
        <v>1000</v>
      </c>
      <c r="H17" s="394">
        <f t="shared" si="2"/>
        <v>0</v>
      </c>
      <c r="I17" s="138"/>
      <c r="J17" s="391">
        <f>IFERROR(VLOOKUP($C17,'Proposed Rates'!$B:$J,J$11,FALSE),0)</f>
        <v>0</v>
      </c>
      <c r="K17" s="392">
        <f t="shared" si="3"/>
        <v>1000</v>
      </c>
      <c r="L17" s="394">
        <f t="shared" si="4"/>
        <v>0</v>
      </c>
      <c r="M17" s="138"/>
      <c r="N17" s="395">
        <f t="shared" si="5"/>
        <v>0</v>
      </c>
      <c r="O17" s="396" t="str">
        <f t="shared" si="6"/>
        <v/>
      </c>
      <c r="P17" s="53"/>
      <c r="Q17" s="391">
        <f>IFERROR(VLOOKUP($C17,'Proposed Rates'!$B:$J,Q$11,FALSE),0)</f>
        <v>0</v>
      </c>
      <c r="R17" s="392">
        <f t="shared" si="7"/>
        <v>1000</v>
      </c>
      <c r="S17" s="394">
        <f t="shared" si="8"/>
        <v>0</v>
      </c>
      <c r="T17" s="138"/>
      <c r="U17" s="395">
        <f t="shared" si="9"/>
        <v>0</v>
      </c>
      <c r="V17" s="396" t="str">
        <f t="shared" si="10"/>
        <v/>
      </c>
      <c r="W17" s="53"/>
      <c r="X17" s="391">
        <f>IFERROR(VLOOKUP($C17,'Proposed Rates'!$B:$J,X$11,FALSE),0)</f>
        <v>0</v>
      </c>
      <c r="Y17" s="392">
        <f t="shared" si="11"/>
        <v>1000</v>
      </c>
      <c r="Z17" s="394">
        <f t="shared" si="12"/>
        <v>0</v>
      </c>
      <c r="AA17" s="138"/>
      <c r="AB17" s="395">
        <f t="shared" si="13"/>
        <v>0</v>
      </c>
      <c r="AC17" s="396" t="str">
        <f t="shared" si="14"/>
        <v/>
      </c>
      <c r="AD17" s="53"/>
      <c r="AE17" s="391">
        <f>IFERROR(VLOOKUP($C17,'Proposed Rates'!$B:$J,AE$11,FALSE),0)</f>
        <v>0</v>
      </c>
      <c r="AF17" s="392">
        <f t="shared" si="15"/>
        <v>1000</v>
      </c>
      <c r="AG17" s="394">
        <f t="shared" si="16"/>
        <v>0</v>
      </c>
      <c r="AH17" s="138"/>
      <c r="AI17" s="395">
        <f t="shared" si="17"/>
        <v>0</v>
      </c>
      <c r="AJ17" s="396" t="str">
        <f t="shared" si="18"/>
        <v/>
      </c>
      <c r="AK17" s="53"/>
      <c r="AL17" s="391">
        <f>IFERROR(VLOOKUP($C17,'Proposed Rates'!$B:$J,AL$11,FALSE),0)</f>
        <v>0</v>
      </c>
      <c r="AM17" s="392">
        <f t="shared" si="19"/>
        <v>1000</v>
      </c>
      <c r="AN17" s="394">
        <f t="shared" si="20"/>
        <v>0</v>
      </c>
      <c r="AO17" s="138"/>
      <c r="AP17" s="395">
        <f t="shared" si="21"/>
        <v>0</v>
      </c>
      <c r="AQ17" s="396" t="str">
        <f t="shared" si="22"/>
        <v/>
      </c>
      <c r="AR17" s="397"/>
    </row>
    <row r="18" spans="1:44" ht="12.75" customHeight="1">
      <c r="A18" s="53"/>
      <c r="B18" s="398" t="str">
        <f>'Proposed Rates'!C128</f>
        <v>Rate Rider Calculation for Forgone Revenue - fixed</v>
      </c>
      <c r="C18" s="389" t="str">
        <f t="shared" si="0"/>
        <v>Residential.Rate Rider Calculation for Forgone Revenue - fixed</v>
      </c>
      <c r="D18" s="390" t="s">
        <v>335</v>
      </c>
      <c r="E18" s="328"/>
      <c r="F18" s="391">
        <f>IFERROR(VLOOKUP($C18,'Proposed Rates'!$B:$J,F$11,FALSE),0)</f>
        <v>0</v>
      </c>
      <c r="G18" s="392">
        <f t="shared" si="1"/>
        <v>1</v>
      </c>
      <c r="H18" s="394">
        <f t="shared" si="2"/>
        <v>0</v>
      </c>
      <c r="I18" s="138"/>
      <c r="J18" s="391">
        <f>IFERROR(VLOOKUP($C18,'Proposed Rates'!$B:$J,J$11,FALSE),0)</f>
        <v>1.84</v>
      </c>
      <c r="K18" s="392">
        <f t="shared" si="3"/>
        <v>1</v>
      </c>
      <c r="L18" s="394">
        <f t="shared" si="4"/>
        <v>1.84</v>
      </c>
      <c r="M18" s="138"/>
      <c r="N18" s="395">
        <f t="shared" si="5"/>
        <v>1.84</v>
      </c>
      <c r="O18" s="396" t="str">
        <f t="shared" si="6"/>
        <v/>
      </c>
      <c r="P18" s="53"/>
      <c r="Q18" s="391">
        <f>IFERROR(VLOOKUP($C18,'Proposed Rates'!$B:$J,Q$11,FALSE),0)</f>
        <v>1.84</v>
      </c>
      <c r="R18" s="392">
        <f t="shared" si="7"/>
        <v>1</v>
      </c>
      <c r="S18" s="394">
        <f t="shared" si="8"/>
        <v>1.84</v>
      </c>
      <c r="T18" s="138"/>
      <c r="U18" s="395">
        <f t="shared" si="9"/>
        <v>0</v>
      </c>
      <c r="V18" s="396">
        <f t="shared" si="10"/>
        <v>0</v>
      </c>
      <c r="W18" s="53"/>
      <c r="X18" s="391">
        <f>IFERROR(VLOOKUP($C18,'Proposed Rates'!$B:$J,X$11,FALSE),0)</f>
        <v>0</v>
      </c>
      <c r="Y18" s="392">
        <f t="shared" si="11"/>
        <v>1</v>
      </c>
      <c r="Z18" s="394">
        <f t="shared" si="12"/>
        <v>0</v>
      </c>
      <c r="AA18" s="138"/>
      <c r="AB18" s="395">
        <f t="shared" si="13"/>
        <v>-1.84</v>
      </c>
      <c r="AC18" s="396">
        <f t="shared" si="14"/>
        <v>-1</v>
      </c>
      <c r="AD18" s="53"/>
      <c r="AE18" s="391">
        <f>IFERROR(VLOOKUP($C18,'Proposed Rates'!$B:$J,AE$11,FALSE),0)</f>
        <v>0</v>
      </c>
      <c r="AF18" s="392">
        <f t="shared" si="15"/>
        <v>1</v>
      </c>
      <c r="AG18" s="394">
        <f t="shared" si="16"/>
        <v>0</v>
      </c>
      <c r="AH18" s="138"/>
      <c r="AI18" s="395">
        <f t="shared" si="17"/>
        <v>0</v>
      </c>
      <c r="AJ18" s="396" t="str">
        <f t="shared" si="18"/>
        <v/>
      </c>
      <c r="AK18" s="53"/>
      <c r="AL18" s="391">
        <f>IFERROR(VLOOKUP($C18,'Proposed Rates'!$B:$J,AL$11,FALSE),0)</f>
        <v>0</v>
      </c>
      <c r="AM18" s="392">
        <f t="shared" si="19"/>
        <v>1</v>
      </c>
      <c r="AN18" s="394">
        <f t="shared" si="20"/>
        <v>0</v>
      </c>
      <c r="AO18" s="138"/>
      <c r="AP18" s="395">
        <f t="shared" si="21"/>
        <v>0</v>
      </c>
      <c r="AQ18" s="396" t="str">
        <f t="shared" si="22"/>
        <v/>
      </c>
      <c r="AR18" s="397"/>
    </row>
    <row r="19" spans="1:44" ht="12.75" customHeight="1">
      <c r="A19" s="53"/>
      <c r="B19" s="328" t="s">
        <v>62</v>
      </c>
      <c r="C19" s="389" t="str">
        <f t="shared" si="0"/>
        <v>Residential.Distribution Volumetric Rate</v>
      </c>
      <c r="D19" s="390" t="s">
        <v>337</v>
      </c>
      <c r="E19" s="328"/>
      <c r="F19" s="391">
        <f>IFERROR(VLOOKUP($C19,'Proposed Rates'!$B:$J,F$11,FALSE),0)</f>
        <v>0</v>
      </c>
      <c r="G19" s="392">
        <f t="shared" si="1"/>
        <v>1000</v>
      </c>
      <c r="H19" s="394">
        <f t="shared" si="2"/>
        <v>0</v>
      </c>
      <c r="I19" s="138"/>
      <c r="J19" s="391">
        <f>IFERROR(VLOOKUP($C19,'Proposed Rates'!$B:$J,J$11,FALSE),0)</f>
        <v>0</v>
      </c>
      <c r="K19" s="392">
        <f t="shared" si="3"/>
        <v>1000</v>
      </c>
      <c r="L19" s="394">
        <f t="shared" si="4"/>
        <v>0</v>
      </c>
      <c r="M19" s="138"/>
      <c r="N19" s="395">
        <f t="shared" si="5"/>
        <v>0</v>
      </c>
      <c r="O19" s="396" t="str">
        <f t="shared" si="6"/>
        <v/>
      </c>
      <c r="P19" s="53"/>
      <c r="Q19" s="391">
        <f>IFERROR(VLOOKUP($C19,'Proposed Rates'!$B:$J,Q$11,FALSE),0)</f>
        <v>0</v>
      </c>
      <c r="R19" s="392">
        <f t="shared" si="7"/>
        <v>1000</v>
      </c>
      <c r="S19" s="394">
        <f t="shared" si="8"/>
        <v>0</v>
      </c>
      <c r="T19" s="138"/>
      <c r="U19" s="395">
        <f t="shared" si="9"/>
        <v>0</v>
      </c>
      <c r="V19" s="396" t="str">
        <f t="shared" si="10"/>
        <v/>
      </c>
      <c r="W19" s="53"/>
      <c r="X19" s="391">
        <f>IFERROR(VLOOKUP($C19,'Proposed Rates'!$B:$J,X$11,FALSE),0)</f>
        <v>0</v>
      </c>
      <c r="Y19" s="392">
        <f t="shared" si="11"/>
        <v>1000</v>
      </c>
      <c r="Z19" s="394">
        <f t="shared" si="12"/>
        <v>0</v>
      </c>
      <c r="AA19" s="138"/>
      <c r="AB19" s="395">
        <f t="shared" si="13"/>
        <v>0</v>
      </c>
      <c r="AC19" s="396" t="str">
        <f t="shared" si="14"/>
        <v/>
      </c>
      <c r="AD19" s="53"/>
      <c r="AE19" s="391">
        <f>IFERROR(VLOOKUP($C19,'Proposed Rates'!$B:$J,AE$11,FALSE),0)</f>
        <v>0</v>
      </c>
      <c r="AF19" s="392">
        <f t="shared" si="15"/>
        <v>1000</v>
      </c>
      <c r="AG19" s="394">
        <f t="shared" si="16"/>
        <v>0</v>
      </c>
      <c r="AH19" s="138"/>
      <c r="AI19" s="395">
        <f t="shared" si="17"/>
        <v>0</v>
      </c>
      <c r="AJ19" s="396" t="str">
        <f t="shared" si="18"/>
        <v/>
      </c>
      <c r="AK19" s="53"/>
      <c r="AL19" s="391">
        <f>IFERROR(VLOOKUP($C19,'Proposed Rates'!$B:$J,AL$11,FALSE),0)</f>
        <v>0</v>
      </c>
      <c r="AM19" s="392">
        <f t="shared" si="19"/>
        <v>1000</v>
      </c>
      <c r="AN19" s="394">
        <f t="shared" si="20"/>
        <v>0</v>
      </c>
      <c r="AO19" s="138"/>
      <c r="AP19" s="395">
        <f t="shared" si="21"/>
        <v>0</v>
      </c>
      <c r="AQ19" s="396" t="str">
        <f t="shared" si="22"/>
        <v/>
      </c>
      <c r="AR19" s="397"/>
    </row>
    <row r="20" spans="1:44" ht="12.75" customHeight="1">
      <c r="A20" s="53"/>
      <c r="B20" s="328" t="s">
        <v>338</v>
      </c>
      <c r="C20" s="389" t="str">
        <f t="shared" si="0"/>
        <v>Residential.Smart Meter Disposition Rider</v>
      </c>
      <c r="D20" s="390" t="s">
        <v>337</v>
      </c>
      <c r="E20" s="328"/>
      <c r="F20" s="391">
        <f>IFERROR(VLOOKUP($C20,'Proposed Rates'!$B:$J,F$11,FALSE),0)</f>
        <v>0</v>
      </c>
      <c r="G20" s="392">
        <f t="shared" si="1"/>
        <v>1000</v>
      </c>
      <c r="H20" s="394">
        <f t="shared" si="2"/>
        <v>0</v>
      </c>
      <c r="I20" s="138"/>
      <c r="J20" s="391">
        <f>IFERROR(VLOOKUP($C20,'Proposed Rates'!$B:$J,J$11,FALSE),0)</f>
        <v>0</v>
      </c>
      <c r="K20" s="392">
        <f t="shared" si="3"/>
        <v>1000</v>
      </c>
      <c r="L20" s="394">
        <f t="shared" si="4"/>
        <v>0</v>
      </c>
      <c r="M20" s="138"/>
      <c r="N20" s="395">
        <f t="shared" si="5"/>
        <v>0</v>
      </c>
      <c r="O20" s="396" t="str">
        <f t="shared" si="6"/>
        <v/>
      </c>
      <c r="P20" s="53"/>
      <c r="Q20" s="391">
        <f>IFERROR(VLOOKUP($C20,'Proposed Rates'!$B:$J,Q$11,FALSE),0)</f>
        <v>0</v>
      </c>
      <c r="R20" s="392">
        <f t="shared" si="7"/>
        <v>1000</v>
      </c>
      <c r="S20" s="394">
        <f t="shared" si="8"/>
        <v>0</v>
      </c>
      <c r="T20" s="138"/>
      <c r="U20" s="395">
        <f t="shared" si="9"/>
        <v>0</v>
      </c>
      <c r="V20" s="396" t="str">
        <f t="shared" si="10"/>
        <v/>
      </c>
      <c r="W20" s="53"/>
      <c r="X20" s="391">
        <f>IFERROR(VLOOKUP($C20,'Proposed Rates'!$B:$J,X$11,FALSE),0)</f>
        <v>0</v>
      </c>
      <c r="Y20" s="392">
        <f t="shared" si="11"/>
        <v>1000</v>
      </c>
      <c r="Z20" s="394">
        <f t="shared" si="12"/>
        <v>0</v>
      </c>
      <c r="AA20" s="138"/>
      <c r="AB20" s="395">
        <f t="shared" si="13"/>
        <v>0</v>
      </c>
      <c r="AC20" s="396" t="str">
        <f t="shared" si="14"/>
        <v/>
      </c>
      <c r="AD20" s="53"/>
      <c r="AE20" s="391">
        <f>IFERROR(VLOOKUP($C20,'Proposed Rates'!$B:$J,AE$11,FALSE),0)</f>
        <v>0</v>
      </c>
      <c r="AF20" s="392">
        <f t="shared" si="15"/>
        <v>1000</v>
      </c>
      <c r="AG20" s="394">
        <f t="shared" si="16"/>
        <v>0</v>
      </c>
      <c r="AH20" s="138"/>
      <c r="AI20" s="395">
        <f t="shared" si="17"/>
        <v>0</v>
      </c>
      <c r="AJ20" s="396" t="str">
        <f t="shared" si="18"/>
        <v/>
      </c>
      <c r="AK20" s="53"/>
      <c r="AL20" s="391">
        <f>IFERROR(VLOOKUP($C20,'Proposed Rates'!$B:$J,AL$11,FALSE),0)</f>
        <v>0</v>
      </c>
      <c r="AM20" s="392">
        <f t="shared" si="19"/>
        <v>1000</v>
      </c>
      <c r="AN20" s="394">
        <f t="shared" si="20"/>
        <v>0</v>
      </c>
      <c r="AO20" s="138"/>
      <c r="AP20" s="395">
        <f t="shared" si="21"/>
        <v>0</v>
      </c>
      <c r="AQ20" s="396" t="str">
        <f t="shared" si="22"/>
        <v/>
      </c>
      <c r="AR20" s="397"/>
    </row>
    <row r="21" spans="1:44" ht="12.75" customHeight="1">
      <c r="A21" s="53"/>
      <c r="B21" s="328" t="s">
        <v>269</v>
      </c>
      <c r="C21" s="389" t="str">
        <f t="shared" si="0"/>
        <v>Residential.LRAM Rate Rider</v>
      </c>
      <c r="D21" s="390" t="s">
        <v>335</v>
      </c>
      <c r="E21" s="328"/>
      <c r="F21" s="391">
        <f>'Proposed Rates'!E77+'Proposed Rates'!E90</f>
        <v>0.25</v>
      </c>
      <c r="G21" s="392">
        <f t="shared" si="1"/>
        <v>1</v>
      </c>
      <c r="H21" s="393">
        <f t="shared" si="2"/>
        <v>0.25</v>
      </c>
      <c r="I21" s="53"/>
      <c r="J21" s="391">
        <f>'Proposed Rates'!F77+'Proposed Rates'!F90</f>
        <v>0</v>
      </c>
      <c r="K21" s="392">
        <f t="shared" si="3"/>
        <v>1</v>
      </c>
      <c r="L21" s="394">
        <f t="shared" si="4"/>
        <v>0</v>
      </c>
      <c r="M21" s="138"/>
      <c r="N21" s="395">
        <f t="shared" si="5"/>
        <v>-0.25</v>
      </c>
      <c r="O21" s="396">
        <f t="shared" si="6"/>
        <v>-1</v>
      </c>
      <c r="P21" s="53"/>
      <c r="Q21" s="391">
        <f>'Proposed Rates'!G77+'Proposed Rates'!G90</f>
        <v>0</v>
      </c>
      <c r="R21" s="392">
        <f t="shared" si="7"/>
        <v>1</v>
      </c>
      <c r="S21" s="394">
        <f t="shared" si="8"/>
        <v>0</v>
      </c>
      <c r="T21" s="138"/>
      <c r="U21" s="395">
        <f t="shared" si="9"/>
        <v>0</v>
      </c>
      <c r="V21" s="396" t="str">
        <f t="shared" si="10"/>
        <v/>
      </c>
      <c r="W21" s="53"/>
      <c r="X21" s="391">
        <f>IFERROR(VLOOKUP($C21,'Proposed Rates'!$B:$J,X$11,FALSE),0)</f>
        <v>0</v>
      </c>
      <c r="Y21" s="392">
        <f t="shared" si="11"/>
        <v>1</v>
      </c>
      <c r="Z21" s="394">
        <f t="shared" si="12"/>
        <v>0</v>
      </c>
      <c r="AA21" s="138"/>
      <c r="AB21" s="395">
        <f t="shared" si="13"/>
        <v>0</v>
      </c>
      <c r="AC21" s="396" t="str">
        <f t="shared" si="14"/>
        <v/>
      </c>
      <c r="AD21" s="53"/>
      <c r="AE21" s="391">
        <f>IFERROR(VLOOKUP($C21,'Proposed Rates'!$B:$J,AE$11,FALSE),0)</f>
        <v>0</v>
      </c>
      <c r="AF21" s="392">
        <f t="shared" si="15"/>
        <v>1</v>
      </c>
      <c r="AG21" s="394">
        <f t="shared" si="16"/>
        <v>0</v>
      </c>
      <c r="AH21" s="138"/>
      <c r="AI21" s="395">
        <f t="shared" si="17"/>
        <v>0</v>
      </c>
      <c r="AJ21" s="396" t="str">
        <f t="shared" si="18"/>
        <v/>
      </c>
      <c r="AK21" s="53"/>
      <c r="AL21" s="391">
        <f>IFERROR(VLOOKUP($C21,'Proposed Rates'!$B:$J,AL$11,FALSE),0)</f>
        <v>0</v>
      </c>
      <c r="AM21" s="392">
        <f t="shared" si="19"/>
        <v>1</v>
      </c>
      <c r="AN21" s="394">
        <f t="shared" si="20"/>
        <v>0</v>
      </c>
      <c r="AO21" s="138"/>
      <c r="AP21" s="395">
        <f t="shared" si="21"/>
        <v>0</v>
      </c>
      <c r="AQ21" s="396" t="str">
        <f t="shared" si="22"/>
        <v/>
      </c>
      <c r="AR21" s="397"/>
    </row>
    <row r="22" spans="1:44" ht="12.75" customHeight="1">
      <c r="A22" s="53"/>
      <c r="B22" s="398" t="s">
        <v>265</v>
      </c>
      <c r="C22" s="389" t="str">
        <f t="shared" si="0"/>
        <v>Residential.Deferral/Variance Account Disposition Rate Rider Group 2</v>
      </c>
      <c r="D22" s="390" t="s">
        <v>335</v>
      </c>
      <c r="E22" s="328"/>
      <c r="F22" s="391">
        <f>IFERROR(VLOOKUP($C22,'Proposed Rates'!$B:$J,F$11,FALSE),0)</f>
        <v>0</v>
      </c>
      <c r="G22" s="392">
        <f t="shared" si="1"/>
        <v>1</v>
      </c>
      <c r="H22" s="394">
        <f t="shared" si="2"/>
        <v>0</v>
      </c>
      <c r="I22" s="138"/>
      <c r="J22" s="391">
        <f>IFERROR(VLOOKUP($C22,'Proposed Rates'!$B:$J,J$11,FALSE),0)</f>
        <v>-1.19</v>
      </c>
      <c r="K22" s="392">
        <f t="shared" si="3"/>
        <v>1</v>
      </c>
      <c r="L22" s="394">
        <f t="shared" si="4"/>
        <v>-1.19</v>
      </c>
      <c r="M22" s="138"/>
      <c r="N22" s="395">
        <f t="shared" si="5"/>
        <v>-1.19</v>
      </c>
      <c r="O22" s="396" t="str">
        <f t="shared" si="6"/>
        <v/>
      </c>
      <c r="P22" s="53"/>
      <c r="Q22" s="391">
        <f>IFERROR(VLOOKUP($C22,'Proposed Rates'!$B:$J,Q$11,FALSE),0)</f>
        <v>0</v>
      </c>
      <c r="R22" s="392">
        <f t="shared" si="7"/>
        <v>1</v>
      </c>
      <c r="S22" s="394">
        <f t="shared" si="8"/>
        <v>0</v>
      </c>
      <c r="T22" s="138"/>
      <c r="U22" s="395">
        <f t="shared" si="9"/>
        <v>1.19</v>
      </c>
      <c r="V22" s="396">
        <f t="shared" si="10"/>
        <v>-1</v>
      </c>
      <c r="W22" s="53"/>
      <c r="X22" s="391">
        <f>IFERROR(VLOOKUP($C22,'Proposed Rates'!$B:$J,X$11,FALSE),0)</f>
        <v>0</v>
      </c>
      <c r="Y22" s="392">
        <f t="shared" si="11"/>
        <v>1</v>
      </c>
      <c r="Z22" s="394">
        <f t="shared" si="12"/>
        <v>0</v>
      </c>
      <c r="AA22" s="138"/>
      <c r="AB22" s="395">
        <f t="shared" si="13"/>
        <v>0</v>
      </c>
      <c r="AC22" s="396" t="str">
        <f t="shared" si="14"/>
        <v/>
      </c>
      <c r="AD22" s="53"/>
      <c r="AE22" s="391">
        <f>IFERROR(VLOOKUP($C22,'Proposed Rates'!$B:$J,AE$11,FALSE),0)</f>
        <v>0</v>
      </c>
      <c r="AF22" s="392">
        <f t="shared" si="15"/>
        <v>1</v>
      </c>
      <c r="AG22" s="394">
        <f t="shared" si="16"/>
        <v>0</v>
      </c>
      <c r="AH22" s="138"/>
      <c r="AI22" s="395">
        <f t="shared" si="17"/>
        <v>0</v>
      </c>
      <c r="AJ22" s="396" t="str">
        <f t="shared" si="18"/>
        <v/>
      </c>
      <c r="AK22" s="53"/>
      <c r="AL22" s="391">
        <f>IFERROR(VLOOKUP($C22,'Proposed Rates'!$B:$J,AL$11,FALSE),0)</f>
        <v>0</v>
      </c>
      <c r="AM22" s="392">
        <f t="shared" si="19"/>
        <v>1</v>
      </c>
      <c r="AN22" s="394">
        <f t="shared" si="20"/>
        <v>0</v>
      </c>
      <c r="AO22" s="138"/>
      <c r="AP22" s="395">
        <f t="shared" si="21"/>
        <v>0</v>
      </c>
      <c r="AQ22" s="396" t="str">
        <f t="shared" si="22"/>
        <v/>
      </c>
      <c r="AR22" s="397"/>
    </row>
    <row r="23" spans="1:44" ht="12.75" customHeight="1">
      <c r="A23" s="53"/>
      <c r="B23" s="398"/>
      <c r="C23" s="389" t="str">
        <f t="shared" si="0"/>
        <v>Residential.</v>
      </c>
      <c r="D23" s="390"/>
      <c r="E23" s="328"/>
      <c r="F23" s="391">
        <f>IFERROR(VLOOKUP($C23,'Proposed Rates'!$B:$J,F$11,FALSE),0)</f>
        <v>0</v>
      </c>
      <c r="G23" s="392">
        <f t="shared" si="1"/>
        <v>0</v>
      </c>
      <c r="H23" s="394">
        <f t="shared" si="2"/>
        <v>0</v>
      </c>
      <c r="I23" s="138"/>
      <c r="J23" s="391">
        <f>IFERROR(VLOOKUP($C23,'Proposed Rates'!$B:$J,J$11,FALSE),0)</f>
        <v>0</v>
      </c>
      <c r="K23" s="392">
        <f t="shared" si="3"/>
        <v>0</v>
      </c>
      <c r="L23" s="394">
        <f t="shared" si="4"/>
        <v>0</v>
      </c>
      <c r="M23" s="138"/>
      <c r="N23" s="395">
        <f t="shared" si="5"/>
        <v>0</v>
      </c>
      <c r="O23" s="396" t="str">
        <f t="shared" si="6"/>
        <v/>
      </c>
      <c r="P23" s="53"/>
      <c r="Q23" s="391">
        <f>IFERROR(VLOOKUP($C23,'Proposed Rates'!$B:$J,Q$11,FALSE),0)</f>
        <v>0</v>
      </c>
      <c r="R23" s="392">
        <f t="shared" si="7"/>
        <v>0</v>
      </c>
      <c r="S23" s="394">
        <f t="shared" si="8"/>
        <v>0</v>
      </c>
      <c r="T23" s="138"/>
      <c r="U23" s="395">
        <f t="shared" si="9"/>
        <v>0</v>
      </c>
      <c r="V23" s="396" t="str">
        <f t="shared" si="10"/>
        <v/>
      </c>
      <c r="W23" s="53"/>
      <c r="X23" s="391">
        <f>IFERROR(VLOOKUP($C23,'Proposed Rates'!$B:$J,X$11,FALSE),0)</f>
        <v>0</v>
      </c>
      <c r="Y23" s="392">
        <f t="shared" si="11"/>
        <v>0</v>
      </c>
      <c r="Z23" s="394">
        <f t="shared" si="12"/>
        <v>0</v>
      </c>
      <c r="AA23" s="138"/>
      <c r="AB23" s="395">
        <f t="shared" si="13"/>
        <v>0</v>
      </c>
      <c r="AC23" s="396" t="str">
        <f t="shared" si="14"/>
        <v/>
      </c>
      <c r="AD23" s="53"/>
      <c r="AE23" s="391">
        <f>IFERROR(VLOOKUP($C23,'Proposed Rates'!$B:$J,AE$11,FALSE),0)</f>
        <v>0</v>
      </c>
      <c r="AF23" s="392">
        <f t="shared" si="15"/>
        <v>0</v>
      </c>
      <c r="AG23" s="394">
        <f t="shared" si="16"/>
        <v>0</v>
      </c>
      <c r="AH23" s="138"/>
      <c r="AI23" s="395">
        <f t="shared" si="17"/>
        <v>0</v>
      </c>
      <c r="AJ23" s="396" t="str">
        <f t="shared" si="18"/>
        <v/>
      </c>
      <c r="AK23" s="53"/>
      <c r="AL23" s="391">
        <f>IFERROR(VLOOKUP($C23,'Proposed Rates'!$B:$J,AL$11,FALSE),0)</f>
        <v>0</v>
      </c>
      <c r="AM23" s="392">
        <f t="shared" si="19"/>
        <v>0</v>
      </c>
      <c r="AN23" s="394">
        <f t="shared" si="20"/>
        <v>0</v>
      </c>
      <c r="AO23" s="138"/>
      <c r="AP23" s="395">
        <f t="shared" si="21"/>
        <v>0</v>
      </c>
      <c r="AQ23" s="396" t="str">
        <f t="shared" si="22"/>
        <v/>
      </c>
      <c r="AR23" s="397"/>
    </row>
    <row r="24" spans="1:44" ht="12.75" customHeight="1">
      <c r="A24" s="53"/>
      <c r="B24" s="398"/>
      <c r="C24" s="389" t="str">
        <f t="shared" si="0"/>
        <v>Residential.</v>
      </c>
      <c r="D24" s="390"/>
      <c r="E24" s="328"/>
      <c r="F24" s="391">
        <f>IFERROR(VLOOKUP($C24,'Proposed Rates'!$B:$J,F$11,FALSE),0)</f>
        <v>0</v>
      </c>
      <c r="G24" s="392">
        <f t="shared" si="1"/>
        <v>0</v>
      </c>
      <c r="H24" s="394">
        <f t="shared" si="2"/>
        <v>0</v>
      </c>
      <c r="I24" s="138"/>
      <c r="J24" s="391">
        <f>IFERROR(VLOOKUP($C24,'Proposed Rates'!$B:$J,J$11,FALSE),0)</f>
        <v>0</v>
      </c>
      <c r="K24" s="392">
        <f t="shared" si="3"/>
        <v>0</v>
      </c>
      <c r="L24" s="394">
        <f t="shared" si="4"/>
        <v>0</v>
      </c>
      <c r="M24" s="138"/>
      <c r="N24" s="395">
        <f t="shared" si="5"/>
        <v>0</v>
      </c>
      <c r="O24" s="396" t="str">
        <f t="shared" si="6"/>
        <v/>
      </c>
      <c r="P24" s="53"/>
      <c r="Q24" s="391">
        <f>IFERROR(VLOOKUP($C24,'Proposed Rates'!$B:$J,Q$11,FALSE),0)</f>
        <v>0</v>
      </c>
      <c r="R24" s="392">
        <f t="shared" si="7"/>
        <v>0</v>
      </c>
      <c r="S24" s="394">
        <f t="shared" si="8"/>
        <v>0</v>
      </c>
      <c r="T24" s="138"/>
      <c r="U24" s="395">
        <f t="shared" si="9"/>
        <v>0</v>
      </c>
      <c r="V24" s="396" t="str">
        <f t="shared" si="10"/>
        <v/>
      </c>
      <c r="W24" s="53"/>
      <c r="X24" s="391">
        <f>IFERROR(VLOOKUP($C24,'Proposed Rates'!$B:$J,X$11,FALSE),0)</f>
        <v>0</v>
      </c>
      <c r="Y24" s="392">
        <f t="shared" si="11"/>
        <v>0</v>
      </c>
      <c r="Z24" s="394">
        <f t="shared" si="12"/>
        <v>0</v>
      </c>
      <c r="AA24" s="138"/>
      <c r="AB24" s="395">
        <f t="shared" si="13"/>
        <v>0</v>
      </c>
      <c r="AC24" s="396" t="str">
        <f t="shared" si="14"/>
        <v/>
      </c>
      <c r="AD24" s="53"/>
      <c r="AE24" s="391">
        <f>IFERROR(VLOOKUP($C24,'Proposed Rates'!$B:$J,AE$11,FALSE),0)</f>
        <v>0</v>
      </c>
      <c r="AF24" s="392">
        <f t="shared" si="15"/>
        <v>0</v>
      </c>
      <c r="AG24" s="394">
        <f t="shared" si="16"/>
        <v>0</v>
      </c>
      <c r="AH24" s="138"/>
      <c r="AI24" s="395">
        <f t="shared" si="17"/>
        <v>0</v>
      </c>
      <c r="AJ24" s="396" t="str">
        <f t="shared" si="18"/>
        <v/>
      </c>
      <c r="AK24" s="53"/>
      <c r="AL24" s="391">
        <f>IFERROR(VLOOKUP($C24,'Proposed Rates'!$B:$J,AL$11,FALSE),0)</f>
        <v>0</v>
      </c>
      <c r="AM24" s="392">
        <f t="shared" si="19"/>
        <v>0</v>
      </c>
      <c r="AN24" s="394">
        <f t="shared" si="20"/>
        <v>0</v>
      </c>
      <c r="AO24" s="138"/>
      <c r="AP24" s="395">
        <f t="shared" si="21"/>
        <v>0</v>
      </c>
      <c r="AQ24" s="396" t="str">
        <f t="shared" si="22"/>
        <v/>
      </c>
      <c r="AR24" s="397"/>
    </row>
    <row r="25" spans="1:44" ht="12.75" customHeight="1">
      <c r="A25" s="53"/>
      <c r="B25" s="398"/>
      <c r="C25" s="389" t="str">
        <f t="shared" si="0"/>
        <v>Residential.</v>
      </c>
      <c r="D25" s="390"/>
      <c r="E25" s="328"/>
      <c r="F25" s="391">
        <f>IFERROR(VLOOKUP($C25,'Proposed Rates'!$B:$J,F$11,FALSE),0)</f>
        <v>0</v>
      </c>
      <c r="G25" s="392">
        <f t="shared" si="1"/>
        <v>0</v>
      </c>
      <c r="H25" s="394">
        <f t="shared" si="2"/>
        <v>0</v>
      </c>
      <c r="I25" s="138"/>
      <c r="J25" s="391">
        <f>IFERROR(VLOOKUP($C25,'Proposed Rates'!$B:$J,J$11,FALSE),0)</f>
        <v>0</v>
      </c>
      <c r="K25" s="392">
        <f t="shared" si="3"/>
        <v>0</v>
      </c>
      <c r="L25" s="394">
        <f t="shared" si="4"/>
        <v>0</v>
      </c>
      <c r="M25" s="138"/>
      <c r="N25" s="395">
        <f t="shared" si="5"/>
        <v>0</v>
      </c>
      <c r="O25" s="396" t="str">
        <f t="shared" si="6"/>
        <v/>
      </c>
      <c r="P25" s="53"/>
      <c r="Q25" s="391">
        <f>IFERROR(VLOOKUP($C25,'Proposed Rates'!$B:$J,Q$11,FALSE),0)</f>
        <v>0</v>
      </c>
      <c r="R25" s="392">
        <f t="shared" si="7"/>
        <v>0</v>
      </c>
      <c r="S25" s="394">
        <f t="shared" si="8"/>
        <v>0</v>
      </c>
      <c r="T25" s="138"/>
      <c r="U25" s="395">
        <f t="shared" si="9"/>
        <v>0</v>
      </c>
      <c r="V25" s="396" t="str">
        <f t="shared" si="10"/>
        <v/>
      </c>
      <c r="W25" s="53"/>
      <c r="X25" s="391">
        <f>IFERROR(VLOOKUP($C25,'Proposed Rates'!$B:$J,X$11,FALSE),0)</f>
        <v>0</v>
      </c>
      <c r="Y25" s="392">
        <f t="shared" si="11"/>
        <v>0</v>
      </c>
      <c r="Z25" s="394">
        <f t="shared" si="12"/>
        <v>0</v>
      </c>
      <c r="AA25" s="138"/>
      <c r="AB25" s="395">
        <f t="shared" si="13"/>
        <v>0</v>
      </c>
      <c r="AC25" s="396" t="str">
        <f t="shared" si="14"/>
        <v/>
      </c>
      <c r="AD25" s="53"/>
      <c r="AE25" s="391">
        <f>IFERROR(VLOOKUP($C25,'Proposed Rates'!$B:$J,AE$11,FALSE),0)</f>
        <v>0</v>
      </c>
      <c r="AF25" s="392">
        <f t="shared" si="15"/>
        <v>0</v>
      </c>
      <c r="AG25" s="394">
        <f t="shared" si="16"/>
        <v>0</v>
      </c>
      <c r="AH25" s="138"/>
      <c r="AI25" s="395">
        <f t="shared" si="17"/>
        <v>0</v>
      </c>
      <c r="AJ25" s="396" t="str">
        <f t="shared" si="18"/>
        <v/>
      </c>
      <c r="AK25" s="53"/>
      <c r="AL25" s="391">
        <f>IFERROR(VLOOKUP($C25,'Proposed Rates'!$B:$J,AL$11,FALSE),0)</f>
        <v>0</v>
      </c>
      <c r="AM25" s="392">
        <f t="shared" si="19"/>
        <v>0</v>
      </c>
      <c r="AN25" s="394">
        <f t="shared" si="20"/>
        <v>0</v>
      </c>
      <c r="AO25" s="138"/>
      <c r="AP25" s="395">
        <f t="shared" si="21"/>
        <v>0</v>
      </c>
      <c r="AQ25" s="396" t="str">
        <f t="shared" si="22"/>
        <v/>
      </c>
      <c r="AR25" s="397"/>
    </row>
    <row r="26" spans="1:44" ht="12.75" customHeight="1">
      <c r="A26" s="53"/>
      <c r="B26" s="398"/>
      <c r="C26" s="389" t="str">
        <f t="shared" si="0"/>
        <v>Residential.</v>
      </c>
      <c r="D26" s="390"/>
      <c r="E26" s="328"/>
      <c r="F26" s="391">
        <f>IFERROR(VLOOKUP($C26,'Proposed Rates'!$B:$J,F$11,FALSE),0)</f>
        <v>0</v>
      </c>
      <c r="G26" s="392">
        <f t="shared" si="1"/>
        <v>0</v>
      </c>
      <c r="H26" s="394">
        <f t="shared" si="2"/>
        <v>0</v>
      </c>
      <c r="I26" s="138"/>
      <c r="J26" s="391">
        <f>IFERROR(VLOOKUP($C26,'Proposed Rates'!$B:$J,J$11,FALSE),0)</f>
        <v>0</v>
      </c>
      <c r="K26" s="392">
        <f t="shared" si="3"/>
        <v>0</v>
      </c>
      <c r="L26" s="394">
        <f t="shared" si="4"/>
        <v>0</v>
      </c>
      <c r="M26" s="138"/>
      <c r="N26" s="395">
        <f t="shared" si="5"/>
        <v>0</v>
      </c>
      <c r="O26" s="396" t="str">
        <f t="shared" si="6"/>
        <v/>
      </c>
      <c r="P26" s="53"/>
      <c r="Q26" s="391">
        <f>IFERROR(VLOOKUP($C26,'Proposed Rates'!$B:$J,Q$11,FALSE),0)</f>
        <v>0</v>
      </c>
      <c r="R26" s="392">
        <f t="shared" si="7"/>
        <v>0</v>
      </c>
      <c r="S26" s="394">
        <f t="shared" si="8"/>
        <v>0</v>
      </c>
      <c r="T26" s="138"/>
      <c r="U26" s="395">
        <f t="shared" si="9"/>
        <v>0</v>
      </c>
      <c r="V26" s="396" t="str">
        <f t="shared" si="10"/>
        <v/>
      </c>
      <c r="W26" s="53"/>
      <c r="X26" s="391">
        <f>IFERROR(VLOOKUP($C26,'Proposed Rates'!$B:$J,X$11,FALSE),0)</f>
        <v>0</v>
      </c>
      <c r="Y26" s="392">
        <f t="shared" si="11"/>
        <v>0</v>
      </c>
      <c r="Z26" s="394">
        <f t="shared" si="12"/>
        <v>0</v>
      </c>
      <c r="AA26" s="138"/>
      <c r="AB26" s="395">
        <f t="shared" si="13"/>
        <v>0</v>
      </c>
      <c r="AC26" s="396" t="str">
        <f t="shared" si="14"/>
        <v/>
      </c>
      <c r="AD26" s="53"/>
      <c r="AE26" s="391">
        <f>IFERROR(VLOOKUP($C26,'Proposed Rates'!$B:$J,AE$11,FALSE),0)</f>
        <v>0</v>
      </c>
      <c r="AF26" s="392">
        <f t="shared" si="15"/>
        <v>0</v>
      </c>
      <c r="AG26" s="394">
        <f t="shared" si="16"/>
        <v>0</v>
      </c>
      <c r="AH26" s="138"/>
      <c r="AI26" s="395">
        <f t="shared" si="17"/>
        <v>0</v>
      </c>
      <c r="AJ26" s="396" t="str">
        <f t="shared" si="18"/>
        <v/>
      </c>
      <c r="AK26" s="53"/>
      <c r="AL26" s="391">
        <f>IFERROR(VLOOKUP($C26,'Proposed Rates'!$B:$J,AL$11,FALSE),0)</f>
        <v>0</v>
      </c>
      <c r="AM26" s="392">
        <f t="shared" si="19"/>
        <v>0</v>
      </c>
      <c r="AN26" s="394">
        <f t="shared" si="20"/>
        <v>0</v>
      </c>
      <c r="AO26" s="138"/>
      <c r="AP26" s="395">
        <f t="shared" si="21"/>
        <v>0</v>
      </c>
      <c r="AQ26" s="396" t="str">
        <f t="shared" si="22"/>
        <v/>
      </c>
      <c r="AR26" s="397"/>
    </row>
    <row r="27" spans="1:44" ht="12.75" customHeight="1">
      <c r="A27" s="53"/>
      <c r="B27" s="398"/>
      <c r="C27" s="389" t="str">
        <f t="shared" si="0"/>
        <v>Residential.</v>
      </c>
      <c r="D27" s="390"/>
      <c r="E27" s="328"/>
      <c r="F27" s="391">
        <f>IFERROR(VLOOKUP($C27,'Proposed Rates'!$B:$J,F$11,FALSE),0)</f>
        <v>0</v>
      </c>
      <c r="G27" s="392">
        <f t="shared" si="1"/>
        <v>0</v>
      </c>
      <c r="H27" s="394">
        <f t="shared" si="2"/>
        <v>0</v>
      </c>
      <c r="I27" s="138"/>
      <c r="J27" s="391">
        <f>IFERROR(VLOOKUP($C27,'Proposed Rates'!$B:$J,J$11,FALSE),0)</f>
        <v>0</v>
      </c>
      <c r="K27" s="392">
        <f t="shared" si="3"/>
        <v>0</v>
      </c>
      <c r="L27" s="394">
        <f t="shared" si="4"/>
        <v>0</v>
      </c>
      <c r="M27" s="138"/>
      <c r="N27" s="395">
        <f t="shared" si="5"/>
        <v>0</v>
      </c>
      <c r="O27" s="396" t="str">
        <f t="shared" si="6"/>
        <v/>
      </c>
      <c r="P27" s="53"/>
      <c r="Q27" s="391">
        <f>IFERROR(VLOOKUP($C27,'Proposed Rates'!$B:$J,Q$11,FALSE),0)</f>
        <v>0</v>
      </c>
      <c r="R27" s="392">
        <f t="shared" si="7"/>
        <v>0</v>
      </c>
      <c r="S27" s="394">
        <f t="shared" si="8"/>
        <v>0</v>
      </c>
      <c r="T27" s="138"/>
      <c r="U27" s="395">
        <f t="shared" si="9"/>
        <v>0</v>
      </c>
      <c r="V27" s="396" t="str">
        <f t="shared" si="10"/>
        <v/>
      </c>
      <c r="W27" s="53"/>
      <c r="X27" s="391">
        <f>IFERROR(VLOOKUP($C27,'Proposed Rates'!$B:$J,X$11,FALSE),0)</f>
        <v>0</v>
      </c>
      <c r="Y27" s="392">
        <f t="shared" si="11"/>
        <v>0</v>
      </c>
      <c r="Z27" s="394">
        <f t="shared" si="12"/>
        <v>0</v>
      </c>
      <c r="AA27" s="138"/>
      <c r="AB27" s="395">
        <f t="shared" si="13"/>
        <v>0</v>
      </c>
      <c r="AC27" s="396" t="str">
        <f t="shared" si="14"/>
        <v/>
      </c>
      <c r="AD27" s="53"/>
      <c r="AE27" s="391">
        <f>IFERROR(VLOOKUP($C27,'Proposed Rates'!$B:$J,AE$11,FALSE),0)</f>
        <v>0</v>
      </c>
      <c r="AF27" s="392">
        <f t="shared" si="15"/>
        <v>0</v>
      </c>
      <c r="AG27" s="394">
        <f t="shared" si="16"/>
        <v>0</v>
      </c>
      <c r="AH27" s="138"/>
      <c r="AI27" s="395">
        <f t="shared" si="17"/>
        <v>0</v>
      </c>
      <c r="AJ27" s="396" t="str">
        <f t="shared" si="18"/>
        <v/>
      </c>
      <c r="AK27" s="53"/>
      <c r="AL27" s="391">
        <f>IFERROR(VLOOKUP($C27,'Proposed Rates'!$B:$J,AL$11,FALSE),0)</f>
        <v>0</v>
      </c>
      <c r="AM27" s="392">
        <f t="shared" si="19"/>
        <v>0</v>
      </c>
      <c r="AN27" s="394">
        <f t="shared" si="20"/>
        <v>0</v>
      </c>
      <c r="AO27" s="138"/>
      <c r="AP27" s="395">
        <f t="shared" si="21"/>
        <v>0</v>
      </c>
      <c r="AQ27" s="396" t="str">
        <f t="shared" si="22"/>
        <v/>
      </c>
      <c r="AR27" s="397"/>
    </row>
    <row r="28" spans="1:44" ht="12.75" customHeight="1">
      <c r="A28" s="53"/>
      <c r="B28" s="398"/>
      <c r="C28" s="389" t="str">
        <f t="shared" si="0"/>
        <v>Residential.</v>
      </c>
      <c r="D28" s="390"/>
      <c r="E28" s="328"/>
      <c r="F28" s="391">
        <f>IFERROR(VLOOKUP($C28,'Proposed Rates'!$B:$J,F$11,FALSE),0)</f>
        <v>0</v>
      </c>
      <c r="G28" s="392">
        <f t="shared" si="1"/>
        <v>0</v>
      </c>
      <c r="H28" s="394">
        <f t="shared" si="2"/>
        <v>0</v>
      </c>
      <c r="I28" s="138"/>
      <c r="J28" s="391">
        <f>IFERROR(VLOOKUP($C28,'Proposed Rates'!$B:$J,J$11,FALSE),0)</f>
        <v>0</v>
      </c>
      <c r="K28" s="392">
        <f t="shared" si="3"/>
        <v>0</v>
      </c>
      <c r="L28" s="394">
        <f t="shared" si="4"/>
        <v>0</v>
      </c>
      <c r="M28" s="138"/>
      <c r="N28" s="395">
        <f t="shared" si="5"/>
        <v>0</v>
      </c>
      <c r="O28" s="396" t="str">
        <f t="shared" si="6"/>
        <v/>
      </c>
      <c r="P28" s="53"/>
      <c r="Q28" s="391">
        <f>IFERROR(VLOOKUP($C28,'Proposed Rates'!$B:$J,Q$11,FALSE),0)</f>
        <v>0</v>
      </c>
      <c r="R28" s="392">
        <f t="shared" si="7"/>
        <v>0</v>
      </c>
      <c r="S28" s="394">
        <f t="shared" si="8"/>
        <v>0</v>
      </c>
      <c r="T28" s="138"/>
      <c r="U28" s="395">
        <f t="shared" si="9"/>
        <v>0</v>
      </c>
      <c r="V28" s="396" t="str">
        <f t="shared" si="10"/>
        <v/>
      </c>
      <c r="W28" s="53"/>
      <c r="X28" s="391">
        <f>IFERROR(VLOOKUP($C28,'Proposed Rates'!$B:$J,X$11,FALSE),0)</f>
        <v>0</v>
      </c>
      <c r="Y28" s="392">
        <f t="shared" si="11"/>
        <v>0</v>
      </c>
      <c r="Z28" s="394">
        <f t="shared" si="12"/>
        <v>0</v>
      </c>
      <c r="AA28" s="138"/>
      <c r="AB28" s="395">
        <f t="shared" si="13"/>
        <v>0</v>
      </c>
      <c r="AC28" s="396" t="str">
        <f t="shared" si="14"/>
        <v/>
      </c>
      <c r="AD28" s="53"/>
      <c r="AE28" s="391">
        <f>IFERROR(VLOOKUP($C28,'Proposed Rates'!$B:$J,AE$11,FALSE),0)</f>
        <v>0</v>
      </c>
      <c r="AF28" s="392">
        <f t="shared" si="15"/>
        <v>0</v>
      </c>
      <c r="AG28" s="394">
        <f t="shared" si="16"/>
        <v>0</v>
      </c>
      <c r="AH28" s="138"/>
      <c r="AI28" s="395">
        <f t="shared" si="17"/>
        <v>0</v>
      </c>
      <c r="AJ28" s="396" t="str">
        <f t="shared" si="18"/>
        <v/>
      </c>
      <c r="AK28" s="53"/>
      <c r="AL28" s="391">
        <f>IFERROR(VLOOKUP($C28,'Proposed Rates'!$B:$J,AL$11,FALSE),0)</f>
        <v>0</v>
      </c>
      <c r="AM28" s="392">
        <f t="shared" si="19"/>
        <v>0</v>
      </c>
      <c r="AN28" s="394">
        <f t="shared" si="20"/>
        <v>0</v>
      </c>
      <c r="AO28" s="138"/>
      <c r="AP28" s="395">
        <f t="shared" si="21"/>
        <v>0</v>
      </c>
      <c r="AQ28" s="396" t="str">
        <f t="shared" si="22"/>
        <v/>
      </c>
      <c r="AR28" s="397"/>
    </row>
    <row r="29" spans="1:44" ht="12.75" customHeight="1">
      <c r="A29" s="314"/>
      <c r="B29" s="399" t="s">
        <v>339</v>
      </c>
      <c r="C29" s="400"/>
      <c r="D29" s="400"/>
      <c r="E29" s="400"/>
      <c r="F29" s="401"/>
      <c r="G29" s="402"/>
      <c r="H29" s="403">
        <f>SUM(H15:H28)</f>
        <v>34.51</v>
      </c>
      <c r="I29" s="404"/>
      <c r="J29" s="401"/>
      <c r="K29" s="402"/>
      <c r="L29" s="403">
        <f>SUM(L15:L28)</f>
        <v>39.850000000000009</v>
      </c>
      <c r="M29" s="404"/>
      <c r="N29" s="405">
        <f t="shared" si="5"/>
        <v>5.3400000000000105</v>
      </c>
      <c r="O29" s="406">
        <f t="shared" si="6"/>
        <v>0.15473775717183458</v>
      </c>
      <c r="P29" s="314"/>
      <c r="Q29" s="401"/>
      <c r="R29" s="402"/>
      <c r="S29" s="403">
        <f>SUM(S15:S28)</f>
        <v>42.940000000000005</v>
      </c>
      <c r="T29" s="404"/>
      <c r="U29" s="405">
        <f t="shared" si="9"/>
        <v>3.0899999999999963</v>
      </c>
      <c r="V29" s="406">
        <f t="shared" si="10"/>
        <v>7.7540777917189357E-2</v>
      </c>
      <c r="W29" s="314"/>
      <c r="X29" s="401"/>
      <c r="Y29" s="402"/>
      <c r="Z29" s="403">
        <f>SUM(Z15:Z28)</f>
        <v>43.93</v>
      </c>
      <c r="AA29" s="404"/>
      <c r="AB29" s="405">
        <f t="shared" si="13"/>
        <v>0.98999999999999488</v>
      </c>
      <c r="AC29" s="406">
        <f t="shared" si="14"/>
        <v>2.3055426176059497E-2</v>
      </c>
      <c r="AD29" s="314"/>
      <c r="AE29" s="401"/>
      <c r="AF29" s="402"/>
      <c r="AG29" s="403">
        <f>SUM(AG15:AG28)</f>
        <v>45.42</v>
      </c>
      <c r="AH29" s="404"/>
      <c r="AI29" s="405">
        <f t="shared" si="17"/>
        <v>1.490000000000002</v>
      </c>
      <c r="AJ29" s="406">
        <f t="shared" si="18"/>
        <v>3.3917596175734165E-2</v>
      </c>
      <c r="AK29" s="314"/>
      <c r="AL29" s="401"/>
      <c r="AM29" s="402"/>
      <c r="AN29" s="403">
        <f>SUM(AN15:AN28)</f>
        <v>46.78</v>
      </c>
      <c r="AO29" s="404"/>
      <c r="AP29" s="405">
        <f t="shared" si="21"/>
        <v>1.3599999999999994</v>
      </c>
      <c r="AQ29" s="406">
        <f t="shared" si="22"/>
        <v>2.9942756494936138E-2</v>
      </c>
      <c r="AR29" s="407"/>
    </row>
    <row r="30" spans="1:44" ht="12.75" customHeight="1">
      <c r="A30" s="53"/>
      <c r="B30" s="398" t="s">
        <v>262</v>
      </c>
      <c r="C30" s="389" t="str">
        <f t="shared" ref="C30:C36" si="23">D$6&amp;"."&amp;B30</f>
        <v>Residential.DVA Disposition Rate Rider Group 1 -2025</v>
      </c>
      <c r="D30" s="390" t="s">
        <v>337</v>
      </c>
      <c r="E30" s="328"/>
      <c r="F30" s="408">
        <f>IFERROR(VLOOKUP($C30,'Proposed Rates'!$B:$J,F$11,FALSE),0)</f>
        <v>-2.0000000000000001E-4</v>
      </c>
      <c r="G30" s="409">
        <f t="shared" ref="G30:G33" si="24">IF($D30="Monthly",1,IF($D30="per KWH",$F$10,0))</f>
        <v>1000</v>
      </c>
      <c r="H30" s="394">
        <f t="shared" ref="H30:H36" si="25">G30*F30</f>
        <v>-0.2</v>
      </c>
      <c r="I30" s="138"/>
      <c r="J30" s="408">
        <f>IFERROR(VLOOKUP($C30,'Proposed Rates'!$B:$J,J$11,FALSE),0)</f>
        <v>-1E-3</v>
      </c>
      <c r="K30" s="409">
        <f t="shared" ref="K30:K33" si="26">IF($D30="Monthly",1,IF($D30="per KWH",$F$10,0))</f>
        <v>1000</v>
      </c>
      <c r="L30" s="410">
        <f t="shared" ref="L30:L36" si="27">K30*J30</f>
        <v>-1</v>
      </c>
      <c r="M30" s="138"/>
      <c r="N30" s="395">
        <f t="shared" si="5"/>
        <v>-0.8</v>
      </c>
      <c r="O30" s="396">
        <f t="shared" si="6"/>
        <v>4</v>
      </c>
      <c r="P30" s="53"/>
      <c r="Q30" s="408">
        <f>IFERROR(VLOOKUP($C30,'Proposed Rates'!$B:$J,Q$11,FALSE),0)</f>
        <v>0</v>
      </c>
      <c r="R30" s="409">
        <f t="shared" ref="R30:R33" si="28">IF($D30="Monthly",1,IF($D30="per KWH",$F$10,0))</f>
        <v>1000</v>
      </c>
      <c r="S30" s="394">
        <f t="shared" ref="S30:S36" si="29">R30*Q30</f>
        <v>0</v>
      </c>
      <c r="T30" s="138"/>
      <c r="U30" s="395">
        <f t="shared" si="9"/>
        <v>1</v>
      </c>
      <c r="V30" s="396">
        <f t="shared" si="10"/>
        <v>-1</v>
      </c>
      <c r="W30" s="53"/>
      <c r="X30" s="408">
        <f>IFERROR(VLOOKUP($C30,'Proposed Rates'!$B:$J,X$11,FALSE),0)</f>
        <v>0</v>
      </c>
      <c r="Y30" s="409">
        <f t="shared" ref="Y30:Y33" si="30">IF($D30="Monthly",1,IF($D30="per KWH",$F$10,0))</f>
        <v>1000</v>
      </c>
      <c r="Z30" s="394">
        <f t="shared" ref="Z30:Z36" si="31">Y30*X30</f>
        <v>0</v>
      </c>
      <c r="AA30" s="138"/>
      <c r="AB30" s="395">
        <f t="shared" si="13"/>
        <v>0</v>
      </c>
      <c r="AC30" s="396" t="str">
        <f t="shared" si="14"/>
        <v/>
      </c>
      <c r="AD30" s="53"/>
      <c r="AE30" s="408">
        <f>IFERROR(VLOOKUP($C30,'Proposed Rates'!$B:$J,AE$11,FALSE),0)</f>
        <v>0</v>
      </c>
      <c r="AF30" s="409">
        <f t="shared" ref="AF30:AF33" si="32">IF($D30="Monthly",1,IF($D30="per KWH",$F$10,0))</f>
        <v>1000</v>
      </c>
      <c r="AG30" s="394">
        <f t="shared" ref="AG30:AG36" si="33">AF30*AE30</f>
        <v>0</v>
      </c>
      <c r="AH30" s="138"/>
      <c r="AI30" s="395">
        <f t="shared" si="17"/>
        <v>0</v>
      </c>
      <c r="AJ30" s="396" t="str">
        <f t="shared" si="18"/>
        <v/>
      </c>
      <c r="AK30" s="53"/>
      <c r="AL30" s="408">
        <f>IFERROR(VLOOKUP($C30,'Proposed Rates'!$B:$J,AL$11,FALSE),0)</f>
        <v>0</v>
      </c>
      <c r="AM30" s="409">
        <f t="shared" ref="AM30:AM33" si="34">IF($D30="Monthly",1,IF($D30="per KWH",$F$10,0))</f>
        <v>1000</v>
      </c>
      <c r="AN30" s="394">
        <f t="shared" ref="AN30:AN36" si="35">AM30*AL30</f>
        <v>0</v>
      </c>
      <c r="AO30" s="138"/>
      <c r="AP30" s="395">
        <f t="shared" si="21"/>
        <v>0</v>
      </c>
      <c r="AQ30" s="396" t="str">
        <f t="shared" si="22"/>
        <v/>
      </c>
      <c r="AR30" s="397"/>
    </row>
    <row r="31" spans="1:44" ht="12.75" customHeight="1">
      <c r="A31" s="53"/>
      <c r="B31" s="398" t="s">
        <v>264</v>
      </c>
      <c r="C31" s="389" t="str">
        <f t="shared" si="23"/>
        <v>Residential.DVA Disposition Rate Rider Group 1 - 2024</v>
      </c>
      <c r="D31" s="390" t="s">
        <v>337</v>
      </c>
      <c r="E31" s="328"/>
      <c r="F31" s="408">
        <f>IFERROR(VLOOKUP($C31,'Proposed Rates'!$B:$J,F$11,FALSE),0)</f>
        <v>0</v>
      </c>
      <c r="G31" s="409">
        <f t="shared" si="24"/>
        <v>1000</v>
      </c>
      <c r="H31" s="394">
        <f t="shared" si="25"/>
        <v>0</v>
      </c>
      <c r="I31" s="479"/>
      <c r="J31" s="408">
        <f>IFERROR(VLOOKUP($C31,'Proposed Rates'!$B:$J,J$11,FALSE),0)</f>
        <v>0</v>
      </c>
      <c r="K31" s="409">
        <f t="shared" si="26"/>
        <v>1000</v>
      </c>
      <c r="L31" s="410">
        <f t="shared" si="27"/>
        <v>0</v>
      </c>
      <c r="M31" s="411"/>
      <c r="N31" s="395">
        <f t="shared" si="5"/>
        <v>0</v>
      </c>
      <c r="O31" s="396" t="str">
        <f t="shared" si="6"/>
        <v/>
      </c>
      <c r="P31" s="53"/>
      <c r="Q31" s="408">
        <f>IFERROR(VLOOKUP($C31,'Proposed Rates'!$B:$J,Q$11,FALSE),0)</f>
        <v>0</v>
      </c>
      <c r="R31" s="409">
        <f t="shared" si="28"/>
        <v>1000</v>
      </c>
      <c r="S31" s="492">
        <f t="shared" si="29"/>
        <v>0</v>
      </c>
      <c r="T31" s="411"/>
      <c r="U31" s="395">
        <f t="shared" si="9"/>
        <v>0</v>
      </c>
      <c r="V31" s="396" t="str">
        <f t="shared" si="10"/>
        <v/>
      </c>
      <c r="W31" s="53"/>
      <c r="X31" s="408">
        <f>IFERROR(VLOOKUP($C31,'Proposed Rates'!$B:$J,X$11,FALSE),0)</f>
        <v>0</v>
      </c>
      <c r="Y31" s="409">
        <f t="shared" si="30"/>
        <v>1000</v>
      </c>
      <c r="Z31" s="492">
        <f t="shared" si="31"/>
        <v>0</v>
      </c>
      <c r="AA31" s="411"/>
      <c r="AB31" s="395">
        <f t="shared" si="13"/>
        <v>0</v>
      </c>
      <c r="AC31" s="396" t="str">
        <f t="shared" si="14"/>
        <v/>
      </c>
      <c r="AD31" s="53"/>
      <c r="AE31" s="408">
        <f>IFERROR(VLOOKUP($C31,'Proposed Rates'!$B:$J,AE$11,FALSE),0)</f>
        <v>0</v>
      </c>
      <c r="AF31" s="409">
        <f t="shared" si="32"/>
        <v>1000</v>
      </c>
      <c r="AG31" s="492">
        <f t="shared" si="33"/>
        <v>0</v>
      </c>
      <c r="AH31" s="411"/>
      <c r="AI31" s="395">
        <f t="shared" si="17"/>
        <v>0</v>
      </c>
      <c r="AJ31" s="396" t="str">
        <f t="shared" si="18"/>
        <v/>
      </c>
      <c r="AK31" s="53"/>
      <c r="AL31" s="408">
        <f>IFERROR(VLOOKUP($C31,'Proposed Rates'!$B:$J,AL$11,FALSE),0)</f>
        <v>0</v>
      </c>
      <c r="AM31" s="409">
        <f t="shared" si="34"/>
        <v>1000</v>
      </c>
      <c r="AN31" s="492">
        <f t="shared" si="35"/>
        <v>0</v>
      </c>
      <c r="AO31" s="411"/>
      <c r="AP31" s="395">
        <f t="shared" si="21"/>
        <v>0</v>
      </c>
      <c r="AQ31" s="396" t="str">
        <f t="shared" si="22"/>
        <v/>
      </c>
      <c r="AR31" s="397"/>
    </row>
    <row r="32" spans="1:44" ht="12.75" customHeight="1">
      <c r="A32" s="53"/>
      <c r="B32" s="398" t="s">
        <v>272</v>
      </c>
      <c r="C32" s="389" t="str">
        <f t="shared" si="23"/>
        <v>Residential.CBR Class B Rate Riders</v>
      </c>
      <c r="D32" s="390" t="s">
        <v>337</v>
      </c>
      <c r="E32" s="328"/>
      <c r="F32" s="408">
        <f>IFERROR(VLOOKUP($C32,'Proposed Rates'!$B:$J,F$11,FALSE),0)</f>
        <v>2.0000000000000001E-4</v>
      </c>
      <c r="G32" s="409">
        <f t="shared" si="24"/>
        <v>1000</v>
      </c>
      <c r="H32" s="394">
        <f t="shared" si="25"/>
        <v>0.2</v>
      </c>
      <c r="I32" s="479"/>
      <c r="J32" s="408">
        <f>IFERROR(VLOOKUP($C32,'Proposed Rates'!$B:$J,J$11,FALSE),0)</f>
        <v>6.9999999999999999E-4</v>
      </c>
      <c r="K32" s="409">
        <f t="shared" si="26"/>
        <v>1000</v>
      </c>
      <c r="L32" s="410">
        <f t="shared" si="27"/>
        <v>0.7</v>
      </c>
      <c r="M32" s="411"/>
      <c r="N32" s="395">
        <f t="shared" si="5"/>
        <v>0.49999999999999994</v>
      </c>
      <c r="O32" s="396">
        <f t="shared" si="6"/>
        <v>2.4999999999999996</v>
      </c>
      <c r="P32" s="53"/>
      <c r="Q32" s="408">
        <f>IFERROR(VLOOKUP($C32,'Proposed Rates'!$B:$J,Q$11,FALSE),0)</f>
        <v>0</v>
      </c>
      <c r="R32" s="409">
        <f t="shared" si="28"/>
        <v>1000</v>
      </c>
      <c r="S32" s="394">
        <f t="shared" si="29"/>
        <v>0</v>
      </c>
      <c r="T32" s="411"/>
      <c r="U32" s="395">
        <f t="shared" si="9"/>
        <v>-0.7</v>
      </c>
      <c r="V32" s="396">
        <f t="shared" si="10"/>
        <v>-1</v>
      </c>
      <c r="W32" s="53"/>
      <c r="X32" s="408">
        <f>IFERROR(VLOOKUP($C32,'Proposed Rates'!$B:$J,X$11,FALSE),0)</f>
        <v>0</v>
      </c>
      <c r="Y32" s="409">
        <f t="shared" si="30"/>
        <v>1000</v>
      </c>
      <c r="Z32" s="394">
        <f t="shared" si="31"/>
        <v>0</v>
      </c>
      <c r="AA32" s="411"/>
      <c r="AB32" s="395">
        <f t="shared" si="13"/>
        <v>0</v>
      </c>
      <c r="AC32" s="396" t="str">
        <f t="shared" si="14"/>
        <v/>
      </c>
      <c r="AD32" s="53"/>
      <c r="AE32" s="408">
        <f>IFERROR(VLOOKUP($C32,'Proposed Rates'!$B:$J,AE$11,FALSE),0)</f>
        <v>0</v>
      </c>
      <c r="AF32" s="409">
        <f t="shared" si="32"/>
        <v>1000</v>
      </c>
      <c r="AG32" s="394">
        <f t="shared" si="33"/>
        <v>0</v>
      </c>
      <c r="AH32" s="411"/>
      <c r="AI32" s="395">
        <f t="shared" si="17"/>
        <v>0</v>
      </c>
      <c r="AJ32" s="396" t="str">
        <f t="shared" si="18"/>
        <v/>
      </c>
      <c r="AK32" s="53"/>
      <c r="AL32" s="408">
        <f>IFERROR(VLOOKUP($C32,'Proposed Rates'!$B:$J,AL$11,FALSE),0)</f>
        <v>0</v>
      </c>
      <c r="AM32" s="409">
        <f t="shared" si="34"/>
        <v>1000</v>
      </c>
      <c r="AN32" s="394">
        <f t="shared" si="35"/>
        <v>0</v>
      </c>
      <c r="AO32" s="411"/>
      <c r="AP32" s="395">
        <f t="shared" si="21"/>
        <v>0</v>
      </c>
      <c r="AQ32" s="396" t="str">
        <f t="shared" si="22"/>
        <v/>
      </c>
      <c r="AR32" s="397"/>
    </row>
    <row r="33" spans="1:44" ht="12.75" customHeight="1">
      <c r="A33" s="53"/>
      <c r="B33" s="398" t="s">
        <v>340</v>
      </c>
      <c r="C33" s="389" t="str">
        <f t="shared" si="23"/>
        <v>Residential.GA Disposition Rate Rider-NonRPP</v>
      </c>
      <c r="D33" s="390" t="s">
        <v>337</v>
      </c>
      <c r="E33" s="328"/>
      <c r="F33" s="408">
        <f>IFERROR(VLOOKUP($C33,'Proposed Rates'!$B:$J,F$11,FALSE),0)</f>
        <v>0</v>
      </c>
      <c r="G33" s="409">
        <f t="shared" si="24"/>
        <v>1000</v>
      </c>
      <c r="H33" s="394">
        <f t="shared" si="25"/>
        <v>0</v>
      </c>
      <c r="I33" s="479"/>
      <c r="J33" s="408">
        <f>IFERROR(VLOOKUP($C33,'Proposed Rates'!$B:$J,J$11,FALSE),0)</f>
        <v>0</v>
      </c>
      <c r="K33" s="409">
        <f t="shared" si="26"/>
        <v>1000</v>
      </c>
      <c r="L33" s="410">
        <f t="shared" si="27"/>
        <v>0</v>
      </c>
      <c r="M33" s="411"/>
      <c r="N33" s="395">
        <f t="shared" si="5"/>
        <v>0</v>
      </c>
      <c r="O33" s="396" t="str">
        <f t="shared" si="6"/>
        <v/>
      </c>
      <c r="P33" s="53"/>
      <c r="Q33" s="408">
        <f>IFERROR(VLOOKUP($C33,'Proposed Rates'!$B:$J,Q$11,FALSE),0)</f>
        <v>0</v>
      </c>
      <c r="R33" s="409">
        <f t="shared" si="28"/>
        <v>1000</v>
      </c>
      <c r="S33" s="394">
        <f t="shared" si="29"/>
        <v>0</v>
      </c>
      <c r="T33" s="411"/>
      <c r="U33" s="395">
        <f t="shared" si="9"/>
        <v>0</v>
      </c>
      <c r="V33" s="396" t="str">
        <f t="shared" si="10"/>
        <v/>
      </c>
      <c r="W33" s="53"/>
      <c r="X33" s="408">
        <f>IFERROR(VLOOKUP($C33,'Proposed Rates'!$B:$J,X$11,FALSE),0)</f>
        <v>0</v>
      </c>
      <c r="Y33" s="409">
        <f t="shared" si="30"/>
        <v>1000</v>
      </c>
      <c r="Z33" s="394">
        <f t="shared" si="31"/>
        <v>0</v>
      </c>
      <c r="AA33" s="411"/>
      <c r="AB33" s="395">
        <f t="shared" si="13"/>
        <v>0</v>
      </c>
      <c r="AC33" s="396" t="str">
        <f t="shared" si="14"/>
        <v/>
      </c>
      <c r="AD33" s="53"/>
      <c r="AE33" s="408">
        <f>IFERROR(VLOOKUP($C33,'Proposed Rates'!$B:$J,AE$11,FALSE),0)</f>
        <v>0</v>
      </c>
      <c r="AF33" s="409">
        <f t="shared" si="32"/>
        <v>1000</v>
      </c>
      <c r="AG33" s="394">
        <f t="shared" si="33"/>
        <v>0</v>
      </c>
      <c r="AH33" s="411"/>
      <c r="AI33" s="395">
        <f t="shared" si="17"/>
        <v>0</v>
      </c>
      <c r="AJ33" s="396" t="str">
        <f t="shared" si="18"/>
        <v/>
      </c>
      <c r="AK33" s="53"/>
      <c r="AL33" s="408">
        <f>IFERROR(VLOOKUP($C33,'Proposed Rates'!$B:$J,AL$11,FALSE),0)</f>
        <v>0</v>
      </c>
      <c r="AM33" s="409">
        <f t="shared" si="34"/>
        <v>1000</v>
      </c>
      <c r="AN33" s="394">
        <f t="shared" si="35"/>
        <v>0</v>
      </c>
      <c r="AO33" s="411"/>
      <c r="AP33" s="395">
        <f t="shared" si="21"/>
        <v>0</v>
      </c>
      <c r="AQ33" s="396" t="str">
        <f t="shared" si="22"/>
        <v/>
      </c>
      <c r="AR33" s="397"/>
    </row>
    <row r="34" spans="1:44" ht="12.75" customHeight="1">
      <c r="A34" s="53"/>
      <c r="B34" s="328" t="s">
        <v>300</v>
      </c>
      <c r="C34" s="389" t="str">
        <f t="shared" si="23"/>
        <v>Residential.Low Voltage Service Charge</v>
      </c>
      <c r="D34" s="390" t="s">
        <v>337</v>
      </c>
      <c r="E34" s="328"/>
      <c r="F34" s="412">
        <f>IFERROR(VLOOKUP($C34,'Proposed Rates'!$B:$J,F$11,FALSE),0)</f>
        <v>5.0000000000000002E-5</v>
      </c>
      <c r="G34" s="413">
        <f>$F$10*(1+F$63)</f>
        <v>1033.8</v>
      </c>
      <c r="H34" s="394">
        <f t="shared" si="25"/>
        <v>5.169E-2</v>
      </c>
      <c r="I34" s="138"/>
      <c r="J34" s="412">
        <f>IFERROR(VLOOKUP($C34,'Proposed Rates'!$B:$J,J$11,FALSE),0)</f>
        <v>6.9999999999999994E-5</v>
      </c>
      <c r="K34" s="413">
        <f>$F$10*(1+J$63)</f>
        <v>1033.1999999999998</v>
      </c>
      <c r="L34" s="410">
        <f t="shared" si="27"/>
        <v>7.2323999999999986E-2</v>
      </c>
      <c r="M34" s="138"/>
      <c r="N34" s="395">
        <f t="shared" si="5"/>
        <v>2.0633999999999986E-2</v>
      </c>
      <c r="O34" s="396">
        <f t="shared" si="6"/>
        <v>0.3991874637260589</v>
      </c>
      <c r="P34" s="53"/>
      <c r="Q34" s="412">
        <f>IFERROR(VLOOKUP($C34,'Proposed Rates'!$B:$J,Q$11,FALSE),0)</f>
        <v>6.9999999999999994E-5</v>
      </c>
      <c r="R34" s="413">
        <f>$F$10*(1+Q$63)</f>
        <v>1033.1999999999998</v>
      </c>
      <c r="S34" s="394">
        <f t="shared" si="29"/>
        <v>7.2323999999999986E-2</v>
      </c>
      <c r="T34" s="138"/>
      <c r="U34" s="395">
        <f t="shared" si="9"/>
        <v>0</v>
      </c>
      <c r="V34" s="396">
        <f t="shared" si="10"/>
        <v>0</v>
      </c>
      <c r="W34" s="53"/>
      <c r="X34" s="412">
        <f>IFERROR(VLOOKUP($C34,'Proposed Rates'!$B:$J,X$11,FALSE),0)</f>
        <v>8.0000000000000007E-5</v>
      </c>
      <c r="Y34" s="413">
        <f>$F$10*(1+X$63)</f>
        <v>1033.1999999999998</v>
      </c>
      <c r="Z34" s="394">
        <f t="shared" si="31"/>
        <v>8.2655999999999993E-2</v>
      </c>
      <c r="AA34" s="138"/>
      <c r="AB34" s="395">
        <f t="shared" si="13"/>
        <v>1.0332000000000008E-2</v>
      </c>
      <c r="AC34" s="396">
        <f t="shared" si="14"/>
        <v>0.14285714285714299</v>
      </c>
      <c r="AD34" s="53"/>
      <c r="AE34" s="412">
        <f>IFERROR(VLOOKUP($C34,'Proposed Rates'!$B:$J,AE$11,FALSE),0)</f>
        <v>8.0000000000000007E-5</v>
      </c>
      <c r="AF34" s="413">
        <f>$F$10*(1+AE$63)</f>
        <v>1033.1999999999998</v>
      </c>
      <c r="AG34" s="394">
        <f t="shared" si="33"/>
        <v>8.2655999999999993E-2</v>
      </c>
      <c r="AH34" s="138"/>
      <c r="AI34" s="395">
        <f t="shared" si="17"/>
        <v>0</v>
      </c>
      <c r="AJ34" s="396">
        <f t="shared" si="18"/>
        <v>0</v>
      </c>
      <c r="AK34" s="53"/>
      <c r="AL34" s="412">
        <f>IFERROR(VLOOKUP($C34,'Proposed Rates'!$B:$J,AL$11,FALSE),0)</f>
        <v>8.0000000000000007E-5</v>
      </c>
      <c r="AM34" s="413">
        <f>$F$10*(1+AL$63)</f>
        <v>1033.1999999999998</v>
      </c>
      <c r="AN34" s="394">
        <f t="shared" si="35"/>
        <v>8.2655999999999993E-2</v>
      </c>
      <c r="AO34" s="138"/>
      <c r="AP34" s="395">
        <f t="shared" si="21"/>
        <v>0</v>
      </c>
      <c r="AQ34" s="396">
        <f t="shared" si="22"/>
        <v>0</v>
      </c>
      <c r="AR34" s="397"/>
    </row>
    <row r="35" spans="1:44" ht="12.75" customHeight="1">
      <c r="A35" s="53"/>
      <c r="B35" s="328" t="s">
        <v>341</v>
      </c>
      <c r="C35" s="389" t="str">
        <f t="shared" si="23"/>
        <v>Residential.Line Losses on Cost of Power</v>
      </c>
      <c r="D35" s="390" t="s">
        <v>337</v>
      </c>
      <c r="E35" s="328"/>
      <c r="F35" s="414">
        <f>'Proposed Rates'!$K$256*F$44+'Proposed Rates'!$K$257*F$45+'Proposed Rates'!$K$258*F$46</f>
        <v>0.12752000000000002</v>
      </c>
      <c r="G35" s="415">
        <f>$F$10*(1+F$63)-$F$10</f>
        <v>33.799999999999955</v>
      </c>
      <c r="H35" s="394">
        <f t="shared" si="25"/>
        <v>4.3101759999999949</v>
      </c>
      <c r="I35" s="138"/>
      <c r="J35" s="414">
        <f>'Proposed Rates'!$K$256*J$44+'Proposed Rates'!$K$257*J$45+'Proposed Rates'!$K$258*J$46</f>
        <v>0.12752000000000002</v>
      </c>
      <c r="K35" s="415">
        <f>$F$10*(1+J$63)-$F$10</f>
        <v>33.199999999999818</v>
      </c>
      <c r="L35" s="410">
        <f t="shared" si="27"/>
        <v>4.2336639999999779</v>
      </c>
      <c r="M35" s="138"/>
      <c r="N35" s="395">
        <f t="shared" si="5"/>
        <v>-7.6512000000017011E-2</v>
      </c>
      <c r="O35" s="396">
        <f t="shared" si="6"/>
        <v>-1.7751479289944794E-2</v>
      </c>
      <c r="P35" s="53"/>
      <c r="Q35" s="414">
        <f>'Proposed Rates'!$K$256*Q$44+'Proposed Rates'!$K$257*Q$45+'Proposed Rates'!$K$258*Q$46</f>
        <v>0.12752000000000002</v>
      </c>
      <c r="R35" s="415">
        <f>$F$10*(1+Q$63)-$F$10</f>
        <v>33.199999999999818</v>
      </c>
      <c r="S35" s="394">
        <f t="shared" si="29"/>
        <v>4.2336639999999779</v>
      </c>
      <c r="T35" s="138"/>
      <c r="U35" s="395">
        <f t="shared" si="9"/>
        <v>0</v>
      </c>
      <c r="V35" s="396">
        <f t="shared" si="10"/>
        <v>0</v>
      </c>
      <c r="W35" s="53"/>
      <c r="X35" s="414">
        <f>'Proposed Rates'!$K$256*X$44+'Proposed Rates'!$K$257*X$45+'Proposed Rates'!$K$258*X$46</f>
        <v>0.12752000000000002</v>
      </c>
      <c r="Y35" s="415">
        <f>$F$10*(1+X$63)-$F$10</f>
        <v>33.199999999999818</v>
      </c>
      <c r="Z35" s="394">
        <f t="shared" si="31"/>
        <v>4.2336639999999779</v>
      </c>
      <c r="AA35" s="138"/>
      <c r="AB35" s="395">
        <f t="shared" si="13"/>
        <v>0</v>
      </c>
      <c r="AC35" s="396">
        <f t="shared" si="14"/>
        <v>0</v>
      </c>
      <c r="AD35" s="53"/>
      <c r="AE35" s="414">
        <f>'Proposed Rates'!$K$256*AE$44+'Proposed Rates'!$K$257*AE$45+'Proposed Rates'!$K$258*AE$46</f>
        <v>0.12752000000000002</v>
      </c>
      <c r="AF35" s="415">
        <f>$F$10*(1+AE$63)-$F$10</f>
        <v>33.199999999999818</v>
      </c>
      <c r="AG35" s="394">
        <f t="shared" si="33"/>
        <v>4.2336639999999779</v>
      </c>
      <c r="AH35" s="138"/>
      <c r="AI35" s="395">
        <f t="shared" si="17"/>
        <v>0</v>
      </c>
      <c r="AJ35" s="396">
        <f t="shared" si="18"/>
        <v>0</v>
      </c>
      <c r="AK35" s="53"/>
      <c r="AL35" s="414">
        <f>'Proposed Rates'!$K$256*AL$44+'Proposed Rates'!$K$257*AL$45+'Proposed Rates'!$K$258*AL$46</f>
        <v>0.12752000000000002</v>
      </c>
      <c r="AM35" s="415">
        <f>$F$10*(1+AL$63)-$F$10</f>
        <v>33.199999999999818</v>
      </c>
      <c r="AN35" s="394">
        <f t="shared" si="35"/>
        <v>4.2336639999999779</v>
      </c>
      <c r="AO35" s="138"/>
      <c r="AP35" s="395">
        <f t="shared" si="21"/>
        <v>0</v>
      </c>
      <c r="AQ35" s="396">
        <f t="shared" si="22"/>
        <v>0</v>
      </c>
      <c r="AR35" s="397"/>
    </row>
    <row r="36" spans="1:44" ht="12.75" customHeight="1">
      <c r="A36" s="53"/>
      <c r="B36" s="328" t="s">
        <v>302</v>
      </c>
      <c r="C36" s="389" t="str">
        <f t="shared" si="23"/>
        <v>Residential.Smart Meter Entity Charge</v>
      </c>
      <c r="D36" s="390" t="s">
        <v>335</v>
      </c>
      <c r="E36" s="328"/>
      <c r="F36" s="391">
        <f>IFERROR(VLOOKUP($C36,'Proposed Rates'!$B:$J,F$11,FALSE),0)</f>
        <v>0.42</v>
      </c>
      <c r="G36" s="409">
        <f>IF($D36="Monthly",1,IF($D36="per KWH",$F$10,0))</f>
        <v>1</v>
      </c>
      <c r="H36" s="394">
        <f t="shared" si="25"/>
        <v>0.42</v>
      </c>
      <c r="I36" s="138"/>
      <c r="J36" s="391">
        <f>IFERROR(VLOOKUP($C36,'Proposed Rates'!$B:$J,J$11,FALSE),0)</f>
        <v>0.42</v>
      </c>
      <c r="K36" s="409">
        <f>IF($D36="Monthly",1,IF($D36="per KWH",$F$10,0))</f>
        <v>1</v>
      </c>
      <c r="L36" s="410">
        <f t="shared" si="27"/>
        <v>0.42</v>
      </c>
      <c r="M36" s="138"/>
      <c r="N36" s="395">
        <f t="shared" si="5"/>
        <v>0</v>
      </c>
      <c r="O36" s="396">
        <f t="shared" si="6"/>
        <v>0</v>
      </c>
      <c r="P36" s="53"/>
      <c r="Q36" s="391">
        <f>IFERROR(VLOOKUP($C36,'Proposed Rates'!$B:$J,Q$11,FALSE),0)</f>
        <v>0.42</v>
      </c>
      <c r="R36" s="409">
        <f>IF($D36="Monthly",1,IF($D36="per KWH",$F$10,0))</f>
        <v>1</v>
      </c>
      <c r="S36" s="394">
        <f t="shared" si="29"/>
        <v>0.42</v>
      </c>
      <c r="T36" s="138"/>
      <c r="U36" s="395">
        <f t="shared" si="9"/>
        <v>0</v>
      </c>
      <c r="V36" s="396">
        <f t="shared" si="10"/>
        <v>0</v>
      </c>
      <c r="W36" s="53"/>
      <c r="X36" s="391">
        <f>IFERROR(VLOOKUP($C36,'Proposed Rates'!$B:$J,X$11,FALSE),0)</f>
        <v>0.43</v>
      </c>
      <c r="Y36" s="409">
        <f>IF($D36="Monthly",1,IF($D36="per KWH",$F$10,0))</f>
        <v>1</v>
      </c>
      <c r="Z36" s="394">
        <f t="shared" si="31"/>
        <v>0.43</v>
      </c>
      <c r="AA36" s="138"/>
      <c r="AB36" s="395">
        <f t="shared" si="13"/>
        <v>1.0000000000000009E-2</v>
      </c>
      <c r="AC36" s="396">
        <f t="shared" si="14"/>
        <v>2.3809523809523832E-2</v>
      </c>
      <c r="AD36" s="53"/>
      <c r="AE36" s="391">
        <f>IFERROR(VLOOKUP($C36,'Proposed Rates'!$B:$J,AE$11,FALSE),0)</f>
        <v>0.44</v>
      </c>
      <c r="AF36" s="409">
        <f>IF($D36="Monthly",1,IF($D36="per KWH",$F$10,0))</f>
        <v>1</v>
      </c>
      <c r="AG36" s="394">
        <f t="shared" si="33"/>
        <v>0.44</v>
      </c>
      <c r="AH36" s="138"/>
      <c r="AI36" s="395">
        <f t="shared" si="17"/>
        <v>1.0000000000000009E-2</v>
      </c>
      <c r="AJ36" s="396">
        <f t="shared" si="18"/>
        <v>2.3255813953488393E-2</v>
      </c>
      <c r="AK36" s="53"/>
      <c r="AL36" s="391">
        <f>IFERROR(VLOOKUP($C36,'Proposed Rates'!$B:$J,AL$11,FALSE),0)</f>
        <v>0.45</v>
      </c>
      <c r="AM36" s="409">
        <f>IF($D36="Monthly",1,IF($D36="per KWH",$F$10,0))</f>
        <v>1</v>
      </c>
      <c r="AN36" s="394">
        <f t="shared" si="35"/>
        <v>0.45</v>
      </c>
      <c r="AO36" s="138"/>
      <c r="AP36" s="395">
        <f t="shared" si="21"/>
        <v>1.0000000000000009E-2</v>
      </c>
      <c r="AQ36" s="396">
        <f t="shared" si="22"/>
        <v>2.2727272727272749E-2</v>
      </c>
      <c r="AR36" s="397"/>
    </row>
    <row r="37" spans="1:44" ht="12.75" customHeight="1">
      <c r="A37" s="53"/>
      <c r="B37" s="399" t="s">
        <v>342</v>
      </c>
      <c r="C37" s="416"/>
      <c r="D37" s="416"/>
      <c r="E37" s="416"/>
      <c r="F37" s="417"/>
      <c r="G37" s="418"/>
      <c r="H37" s="403">
        <f>SUM(H30:H36)+H29</f>
        <v>39.291865999999992</v>
      </c>
      <c r="I37" s="419"/>
      <c r="J37" s="417"/>
      <c r="K37" s="418"/>
      <c r="L37" s="403">
        <f>SUM(L30:L36)+L29</f>
        <v>44.275987999999984</v>
      </c>
      <c r="M37" s="419"/>
      <c r="N37" s="405">
        <f t="shared" si="5"/>
        <v>4.9841219999999922</v>
      </c>
      <c r="O37" s="406">
        <f t="shared" si="6"/>
        <v>0.12684869687787273</v>
      </c>
      <c r="P37" s="53"/>
      <c r="Q37" s="417"/>
      <c r="R37" s="418"/>
      <c r="S37" s="403">
        <f>SUM(S30:S36)+S29</f>
        <v>47.665987999999984</v>
      </c>
      <c r="T37" s="419"/>
      <c r="U37" s="405">
        <f t="shared" si="9"/>
        <v>3.3900000000000006</v>
      </c>
      <c r="V37" s="406">
        <f t="shared" si="10"/>
        <v>7.6565202791183382E-2</v>
      </c>
      <c r="W37" s="53"/>
      <c r="X37" s="417"/>
      <c r="Y37" s="418"/>
      <c r="Z37" s="403">
        <f>SUM(Z30:Z36)+Z29</f>
        <v>48.676319999999976</v>
      </c>
      <c r="AA37" s="419"/>
      <c r="AB37" s="405">
        <f t="shared" si="13"/>
        <v>1.0103319999999911</v>
      </c>
      <c r="AC37" s="406">
        <f t="shared" si="14"/>
        <v>2.1196078008495104E-2</v>
      </c>
      <c r="AD37" s="53"/>
      <c r="AE37" s="417"/>
      <c r="AF37" s="418"/>
      <c r="AG37" s="403">
        <f>SUM(AG30:AG36)+AG29</f>
        <v>50.176319999999983</v>
      </c>
      <c r="AH37" s="419"/>
      <c r="AI37" s="405">
        <f t="shared" si="17"/>
        <v>1.5000000000000071</v>
      </c>
      <c r="AJ37" s="406">
        <f t="shared" si="18"/>
        <v>3.0815805303276992E-2</v>
      </c>
      <c r="AK37" s="53"/>
      <c r="AL37" s="417"/>
      <c r="AM37" s="418"/>
      <c r="AN37" s="403">
        <f>SUM(AN30:AN36)+AN29</f>
        <v>51.54631999999998</v>
      </c>
      <c r="AO37" s="419"/>
      <c r="AP37" s="405">
        <f t="shared" si="21"/>
        <v>1.3699999999999974</v>
      </c>
      <c r="AQ37" s="406">
        <f t="shared" si="22"/>
        <v>2.7303716175279453E-2</v>
      </c>
      <c r="AR37" s="407"/>
    </row>
    <row r="38" spans="1:44" ht="12.75" customHeight="1">
      <c r="A38" s="53"/>
      <c r="B38" s="138" t="s">
        <v>285</v>
      </c>
      <c r="C38" s="389" t="str">
        <f t="shared" ref="C38:C39" si="36">D$6&amp;"."&amp;B38</f>
        <v>Residential.RTSR - Network</v>
      </c>
      <c r="D38" s="420" t="s">
        <v>337</v>
      </c>
      <c r="E38" s="138"/>
      <c r="F38" s="408">
        <f>IFERROR(VLOOKUP($C38,'Proposed Rates'!$B:$J,F$11,FALSE),0)</f>
        <v>1.26E-2</v>
      </c>
      <c r="G38" s="413">
        <f t="shared" ref="G38:G39" si="37">$F$10*(1+F$63)</f>
        <v>1033.8</v>
      </c>
      <c r="H38" s="394">
        <f t="shared" ref="H38:H39" si="38">G38*F38</f>
        <v>13.025879999999999</v>
      </c>
      <c r="I38" s="138"/>
      <c r="J38" s="408">
        <f>IFERROR(VLOOKUP($C38,'Proposed Rates'!$B:$J,J$11,FALSE),0)</f>
        <v>1.38E-2</v>
      </c>
      <c r="K38" s="413">
        <f t="shared" ref="K38:K39" si="39">$F$10*(1+J$63)</f>
        <v>1033.1999999999998</v>
      </c>
      <c r="L38" s="394">
        <f t="shared" ref="L38:L39" si="40">K38*J38</f>
        <v>14.258159999999997</v>
      </c>
      <c r="M38" s="138"/>
      <c r="N38" s="395">
        <f t="shared" si="5"/>
        <v>1.2322799999999976</v>
      </c>
      <c r="O38" s="396">
        <f t="shared" si="6"/>
        <v>9.4602437608821643E-2</v>
      </c>
      <c r="P38" s="53"/>
      <c r="Q38" s="408">
        <f>IFERROR(VLOOKUP($C38,'Proposed Rates'!$B:$J,Q$11,FALSE),0)</f>
        <v>1.38E-2</v>
      </c>
      <c r="R38" s="413">
        <f t="shared" ref="R38:R39" si="41">$F$10*(1+Q$63)</f>
        <v>1033.1999999999998</v>
      </c>
      <c r="S38" s="394">
        <f t="shared" ref="S38:S39" si="42">R38*Q38</f>
        <v>14.258159999999997</v>
      </c>
      <c r="T38" s="138"/>
      <c r="U38" s="395">
        <f t="shared" si="9"/>
        <v>0</v>
      </c>
      <c r="V38" s="396">
        <f t="shared" si="10"/>
        <v>0</v>
      </c>
      <c r="W38" s="53"/>
      <c r="X38" s="408">
        <f>IFERROR(VLOOKUP($C38,'Proposed Rates'!$B:$J,X$11,FALSE),0)</f>
        <v>1.38E-2</v>
      </c>
      <c r="Y38" s="413">
        <f t="shared" ref="Y38:Y39" si="43">$F$10*(1+X$63)</f>
        <v>1033.1999999999998</v>
      </c>
      <c r="Z38" s="394">
        <f t="shared" ref="Z38:Z39" si="44">Y38*X38</f>
        <v>14.258159999999997</v>
      </c>
      <c r="AA38" s="138"/>
      <c r="AB38" s="395">
        <f t="shared" si="13"/>
        <v>0</v>
      </c>
      <c r="AC38" s="396">
        <f t="shared" si="14"/>
        <v>0</v>
      </c>
      <c r="AD38" s="53"/>
      <c r="AE38" s="408">
        <f>IFERROR(VLOOKUP($C38,'Proposed Rates'!$B:$J,AE$11,FALSE),0)</f>
        <v>1.38E-2</v>
      </c>
      <c r="AF38" s="413">
        <f t="shared" ref="AF38:AF39" si="45">$F$10*(1+AE$63)</f>
        <v>1033.1999999999998</v>
      </c>
      <c r="AG38" s="394">
        <f t="shared" ref="AG38:AG39" si="46">AF38*AE38</f>
        <v>14.258159999999997</v>
      </c>
      <c r="AH38" s="138"/>
      <c r="AI38" s="395">
        <f t="shared" si="17"/>
        <v>0</v>
      </c>
      <c r="AJ38" s="396">
        <f t="shared" si="18"/>
        <v>0</v>
      </c>
      <c r="AK38" s="53"/>
      <c r="AL38" s="408">
        <f>IFERROR(VLOOKUP($C38,'Proposed Rates'!$B:$J,AL$11,FALSE),0)</f>
        <v>1.38E-2</v>
      </c>
      <c r="AM38" s="413">
        <f t="shared" ref="AM38:AM39" si="47">$F$10*(1+AL$63)</f>
        <v>1033.1999999999998</v>
      </c>
      <c r="AN38" s="394">
        <f t="shared" ref="AN38:AN39" si="48">AM38*AL38</f>
        <v>14.258159999999997</v>
      </c>
      <c r="AO38" s="138"/>
      <c r="AP38" s="395">
        <f t="shared" si="21"/>
        <v>0</v>
      </c>
      <c r="AQ38" s="396">
        <f t="shared" si="22"/>
        <v>0</v>
      </c>
      <c r="AR38" s="397"/>
    </row>
    <row r="39" spans="1:44" ht="12.75" customHeight="1">
      <c r="A39" s="53"/>
      <c r="B39" s="138" t="s">
        <v>288</v>
      </c>
      <c r="C39" s="389" t="str">
        <f t="shared" si="36"/>
        <v>Residential.RTSR - Line and Transformation Connection</v>
      </c>
      <c r="D39" s="420" t="s">
        <v>337</v>
      </c>
      <c r="E39" s="138"/>
      <c r="F39" s="408">
        <f>IFERROR(VLOOKUP($C39,'Proposed Rates'!$B:$J,F$11,FALSE),0)</f>
        <v>7.1999999999999998E-3</v>
      </c>
      <c r="G39" s="413">
        <f t="shared" si="37"/>
        <v>1033.8</v>
      </c>
      <c r="H39" s="394">
        <f t="shared" si="38"/>
        <v>7.4433599999999993</v>
      </c>
      <c r="I39" s="138"/>
      <c r="J39" s="408">
        <f>IFERROR(VLOOKUP($C39,'Proposed Rates'!$B:$J,J$11,FALSE),0)</f>
        <v>7.7999999999999996E-3</v>
      </c>
      <c r="K39" s="413">
        <f t="shared" si="39"/>
        <v>1033.1999999999998</v>
      </c>
      <c r="L39" s="394">
        <f t="shared" si="40"/>
        <v>8.058959999999999</v>
      </c>
      <c r="M39" s="138"/>
      <c r="N39" s="395">
        <f t="shared" si="5"/>
        <v>0.6155999999999997</v>
      </c>
      <c r="O39" s="396">
        <f t="shared" si="6"/>
        <v>8.2704585026117203E-2</v>
      </c>
      <c r="P39" s="53"/>
      <c r="Q39" s="408">
        <f>IFERROR(VLOOKUP($C39,'Proposed Rates'!$B:$J,Q$11,FALSE),0)</f>
        <v>7.7999999999999996E-3</v>
      </c>
      <c r="R39" s="413">
        <f t="shared" si="41"/>
        <v>1033.1999999999998</v>
      </c>
      <c r="S39" s="394">
        <f t="shared" si="42"/>
        <v>8.058959999999999</v>
      </c>
      <c r="T39" s="138"/>
      <c r="U39" s="395">
        <f t="shared" si="9"/>
        <v>0</v>
      </c>
      <c r="V39" s="396">
        <f t="shared" si="10"/>
        <v>0</v>
      </c>
      <c r="W39" s="53"/>
      <c r="X39" s="408">
        <f>IFERROR(VLOOKUP($C39,'Proposed Rates'!$B:$J,X$11,FALSE),0)</f>
        <v>7.7999999999999996E-3</v>
      </c>
      <c r="Y39" s="413">
        <f t="shared" si="43"/>
        <v>1033.1999999999998</v>
      </c>
      <c r="Z39" s="394">
        <f t="shared" si="44"/>
        <v>8.058959999999999</v>
      </c>
      <c r="AA39" s="138"/>
      <c r="AB39" s="395">
        <f t="shared" si="13"/>
        <v>0</v>
      </c>
      <c r="AC39" s="396">
        <f t="shared" si="14"/>
        <v>0</v>
      </c>
      <c r="AD39" s="53"/>
      <c r="AE39" s="408">
        <f>IFERROR(VLOOKUP($C39,'Proposed Rates'!$B:$J,AE$11,FALSE),0)</f>
        <v>7.7999999999999996E-3</v>
      </c>
      <c r="AF39" s="413">
        <f t="shared" si="45"/>
        <v>1033.1999999999998</v>
      </c>
      <c r="AG39" s="394">
        <f t="shared" si="46"/>
        <v>8.058959999999999</v>
      </c>
      <c r="AH39" s="138"/>
      <c r="AI39" s="395">
        <f t="shared" si="17"/>
        <v>0</v>
      </c>
      <c r="AJ39" s="396">
        <f t="shared" si="18"/>
        <v>0</v>
      </c>
      <c r="AK39" s="53"/>
      <c r="AL39" s="408">
        <f>IFERROR(VLOOKUP($C39,'Proposed Rates'!$B:$J,AL$11,FALSE),0)</f>
        <v>7.7999999999999996E-3</v>
      </c>
      <c r="AM39" s="413">
        <f t="shared" si="47"/>
        <v>1033.1999999999998</v>
      </c>
      <c r="AN39" s="394">
        <f t="shared" si="48"/>
        <v>8.058959999999999</v>
      </c>
      <c r="AO39" s="138"/>
      <c r="AP39" s="395">
        <f t="shared" si="21"/>
        <v>0</v>
      </c>
      <c r="AQ39" s="396">
        <f t="shared" si="22"/>
        <v>0</v>
      </c>
      <c r="AR39" s="397"/>
    </row>
    <row r="40" spans="1:44" ht="12.75" customHeight="1">
      <c r="A40" s="53"/>
      <c r="B40" s="399" t="s">
        <v>343</v>
      </c>
      <c r="C40" s="421"/>
      <c r="D40" s="421"/>
      <c r="E40" s="421"/>
      <c r="F40" s="422"/>
      <c r="G40" s="423"/>
      <c r="H40" s="403">
        <f>SUM(H37:H39)</f>
        <v>59.761105999999991</v>
      </c>
      <c r="I40" s="404"/>
      <c r="J40" s="422"/>
      <c r="K40" s="423"/>
      <c r="L40" s="403">
        <f>SUM(L37:L39)</f>
        <v>66.593107999999972</v>
      </c>
      <c r="M40" s="404"/>
      <c r="N40" s="405">
        <f t="shared" si="5"/>
        <v>6.8320019999999815</v>
      </c>
      <c r="O40" s="406">
        <f t="shared" si="6"/>
        <v>0.11432188018742462</v>
      </c>
      <c r="P40" s="53"/>
      <c r="Q40" s="422"/>
      <c r="R40" s="423"/>
      <c r="S40" s="403">
        <f>SUM(S37:S39)</f>
        <v>69.983107999999987</v>
      </c>
      <c r="T40" s="404"/>
      <c r="U40" s="405">
        <f t="shared" si="9"/>
        <v>3.3900000000000148</v>
      </c>
      <c r="V40" s="406">
        <f t="shared" si="10"/>
        <v>5.0906168848584392E-2</v>
      </c>
      <c r="W40" s="53"/>
      <c r="X40" s="422"/>
      <c r="Y40" s="423"/>
      <c r="Z40" s="403">
        <f>SUM(Z37:Z39)</f>
        <v>70.993439999999964</v>
      </c>
      <c r="AA40" s="404"/>
      <c r="AB40" s="405">
        <f t="shared" si="13"/>
        <v>1.0103319999999769</v>
      </c>
      <c r="AC40" s="406">
        <f t="shared" si="14"/>
        <v>1.443679809133337E-2</v>
      </c>
      <c r="AD40" s="53"/>
      <c r="AE40" s="422"/>
      <c r="AF40" s="423"/>
      <c r="AG40" s="403">
        <f>SUM(AG37:AG39)</f>
        <v>72.493439999999978</v>
      </c>
      <c r="AH40" s="404"/>
      <c r="AI40" s="405">
        <f t="shared" si="17"/>
        <v>1.5000000000000142</v>
      </c>
      <c r="AJ40" s="406">
        <f t="shared" si="18"/>
        <v>2.1128712737402428E-2</v>
      </c>
      <c r="AK40" s="53"/>
      <c r="AL40" s="422"/>
      <c r="AM40" s="423"/>
      <c r="AN40" s="403">
        <f>SUM(AN37:AN39)</f>
        <v>73.863439999999983</v>
      </c>
      <c r="AO40" s="404"/>
      <c r="AP40" s="405">
        <f t="shared" si="21"/>
        <v>1.3700000000000045</v>
      </c>
      <c r="AQ40" s="406">
        <f t="shared" si="22"/>
        <v>1.8898261690988936E-2</v>
      </c>
      <c r="AR40" s="407"/>
    </row>
    <row r="41" spans="1:44" ht="12.75" customHeight="1">
      <c r="A41" s="53"/>
      <c r="B41" s="328" t="s">
        <v>289</v>
      </c>
      <c r="C41" s="389" t="str">
        <f t="shared" ref="C41:C48" si="49">D$6&amp;"."&amp;B41</f>
        <v>Residential.Wholesale Market Service Charge (WMSC)</v>
      </c>
      <c r="D41" s="390" t="s">
        <v>337</v>
      </c>
      <c r="E41" s="328"/>
      <c r="F41" s="408">
        <f>IFERROR(VLOOKUP($C41,'Proposed Rates'!$B:$J,F$11,FALSE),0)</f>
        <v>4.4999999999999997E-3</v>
      </c>
      <c r="G41" s="413">
        <f t="shared" ref="G41:G42" si="50">$F$10*(1+F$63)</f>
        <v>1033.8</v>
      </c>
      <c r="H41" s="394">
        <f t="shared" ref="H41:H48" si="51">G41*F41</f>
        <v>4.652099999999999</v>
      </c>
      <c r="I41" s="138"/>
      <c r="J41" s="408">
        <f>IFERROR(VLOOKUP($C41,'Proposed Rates'!$B:$J,J$11,FALSE),0)</f>
        <v>4.7000000000000002E-3</v>
      </c>
      <c r="K41" s="413">
        <f t="shared" ref="K41:K42" si="52">$F$10*(1+J$63)</f>
        <v>1033.1999999999998</v>
      </c>
      <c r="L41" s="394">
        <f t="shared" ref="L41:L48" si="53">K41*J41</f>
        <v>4.8560399999999992</v>
      </c>
      <c r="M41" s="138"/>
      <c r="N41" s="395">
        <f t="shared" si="5"/>
        <v>0.20394000000000023</v>
      </c>
      <c r="O41" s="396">
        <f t="shared" si="6"/>
        <v>4.3838266589282318E-2</v>
      </c>
      <c r="P41" s="53"/>
      <c r="Q41" s="408">
        <f>IFERROR(VLOOKUP($C41,'Proposed Rates'!$B:$J,Q$11,FALSE),0)</f>
        <v>4.7000000000000002E-3</v>
      </c>
      <c r="R41" s="413">
        <f t="shared" ref="R41:R42" si="54">$F$10*(1+Q$63)</f>
        <v>1033.1999999999998</v>
      </c>
      <c r="S41" s="394">
        <f t="shared" ref="S41:S48" si="55">R41*Q41</f>
        <v>4.8560399999999992</v>
      </c>
      <c r="T41" s="138"/>
      <c r="U41" s="395">
        <f t="shared" si="9"/>
        <v>0</v>
      </c>
      <c r="V41" s="396">
        <f t="shared" si="10"/>
        <v>0</v>
      </c>
      <c r="W41" s="53"/>
      <c r="X41" s="408">
        <f>IFERROR(VLOOKUP($C41,'Proposed Rates'!$B:$J,X$11,FALSE),0)</f>
        <v>4.7000000000000002E-3</v>
      </c>
      <c r="Y41" s="413">
        <f t="shared" ref="Y41:Y42" si="56">$F$10*(1+X$63)</f>
        <v>1033.1999999999998</v>
      </c>
      <c r="Z41" s="394">
        <f t="shared" ref="Z41:Z48" si="57">Y41*X41</f>
        <v>4.8560399999999992</v>
      </c>
      <c r="AA41" s="138"/>
      <c r="AB41" s="395">
        <f t="shared" si="13"/>
        <v>0</v>
      </c>
      <c r="AC41" s="396">
        <f t="shared" si="14"/>
        <v>0</v>
      </c>
      <c r="AD41" s="53"/>
      <c r="AE41" s="408">
        <f>IFERROR(VLOOKUP($C41,'Proposed Rates'!$B:$J,AE$11,FALSE),0)</f>
        <v>4.7000000000000002E-3</v>
      </c>
      <c r="AF41" s="413">
        <f t="shared" ref="AF41:AF42" si="58">$F$10*(1+AE$63)</f>
        <v>1033.1999999999998</v>
      </c>
      <c r="AG41" s="394">
        <f t="shared" ref="AG41:AG48" si="59">AF41*AE41</f>
        <v>4.8560399999999992</v>
      </c>
      <c r="AH41" s="138"/>
      <c r="AI41" s="395">
        <f t="shared" si="17"/>
        <v>0</v>
      </c>
      <c r="AJ41" s="396">
        <f t="shared" si="18"/>
        <v>0</v>
      </c>
      <c r="AK41" s="53"/>
      <c r="AL41" s="408">
        <f>IFERROR(VLOOKUP($C41,'Proposed Rates'!$B:$J,AL$11,FALSE),0)</f>
        <v>4.7000000000000002E-3</v>
      </c>
      <c r="AM41" s="413">
        <f t="shared" ref="AM41:AM42" si="60">$F$10*(1+AL$63)</f>
        <v>1033.1999999999998</v>
      </c>
      <c r="AN41" s="394">
        <f t="shared" ref="AN41:AN48" si="61">AM41*AL41</f>
        <v>4.8560399999999992</v>
      </c>
      <c r="AO41" s="138"/>
      <c r="AP41" s="395">
        <f t="shared" si="21"/>
        <v>0</v>
      </c>
      <c r="AQ41" s="396">
        <f t="shared" si="22"/>
        <v>0</v>
      </c>
      <c r="AR41" s="397"/>
    </row>
    <row r="42" spans="1:44" ht="12.75" customHeight="1">
      <c r="A42" s="53"/>
      <c r="B42" s="328" t="s">
        <v>290</v>
      </c>
      <c r="C42" s="389" t="str">
        <f t="shared" si="49"/>
        <v>Residential.Rural and Remote Rate Protection (RRRP)</v>
      </c>
      <c r="D42" s="390" t="s">
        <v>337</v>
      </c>
      <c r="E42" s="328"/>
      <c r="F42" s="408">
        <f>IFERROR(VLOOKUP($C42,'Proposed Rates'!$B:$J,F$11,FALSE),0)</f>
        <v>1.5E-3</v>
      </c>
      <c r="G42" s="413">
        <f t="shared" si="50"/>
        <v>1033.8</v>
      </c>
      <c r="H42" s="394">
        <f t="shared" si="51"/>
        <v>1.5507</v>
      </c>
      <c r="I42" s="138"/>
      <c r="J42" s="408">
        <f>IFERROR(VLOOKUP($C42,'Proposed Rates'!$B:$J,J$11,FALSE),0)</f>
        <v>5.9999999999999995E-4</v>
      </c>
      <c r="K42" s="413">
        <f t="shared" si="52"/>
        <v>1033.1999999999998</v>
      </c>
      <c r="L42" s="394">
        <f t="shared" si="53"/>
        <v>0.6199199999999998</v>
      </c>
      <c r="M42" s="138"/>
      <c r="N42" s="395">
        <f t="shared" si="5"/>
        <v>-0.93078000000000016</v>
      </c>
      <c r="O42" s="396">
        <f t="shared" si="6"/>
        <v>-0.60023215322112611</v>
      </c>
      <c r="P42" s="53"/>
      <c r="Q42" s="408">
        <f>IFERROR(VLOOKUP($C42,'Proposed Rates'!$B:$J,Q$11,FALSE),0)</f>
        <v>5.9999999999999995E-4</v>
      </c>
      <c r="R42" s="413">
        <f t="shared" si="54"/>
        <v>1033.1999999999998</v>
      </c>
      <c r="S42" s="394">
        <f t="shared" si="55"/>
        <v>0.6199199999999998</v>
      </c>
      <c r="T42" s="138"/>
      <c r="U42" s="395">
        <f t="shared" si="9"/>
        <v>0</v>
      </c>
      <c r="V42" s="396">
        <f t="shared" si="10"/>
        <v>0</v>
      </c>
      <c r="W42" s="53"/>
      <c r="X42" s="408">
        <f>IFERROR(VLOOKUP($C42,'Proposed Rates'!$B:$J,X$11,FALSE),0)</f>
        <v>5.9999999999999995E-4</v>
      </c>
      <c r="Y42" s="413">
        <f t="shared" si="56"/>
        <v>1033.1999999999998</v>
      </c>
      <c r="Z42" s="394">
        <f t="shared" si="57"/>
        <v>0.6199199999999998</v>
      </c>
      <c r="AA42" s="138"/>
      <c r="AB42" s="395">
        <f t="shared" si="13"/>
        <v>0</v>
      </c>
      <c r="AC42" s="396">
        <f t="shared" si="14"/>
        <v>0</v>
      </c>
      <c r="AD42" s="53"/>
      <c r="AE42" s="408">
        <f>IFERROR(VLOOKUP($C42,'Proposed Rates'!$B:$J,AE$11,FALSE),0)</f>
        <v>5.9999999999999995E-4</v>
      </c>
      <c r="AF42" s="413">
        <f t="shared" si="58"/>
        <v>1033.1999999999998</v>
      </c>
      <c r="AG42" s="394">
        <f t="shared" si="59"/>
        <v>0.6199199999999998</v>
      </c>
      <c r="AH42" s="138"/>
      <c r="AI42" s="395">
        <f t="shared" si="17"/>
        <v>0</v>
      </c>
      <c r="AJ42" s="396">
        <f t="shared" si="18"/>
        <v>0</v>
      </c>
      <c r="AK42" s="53"/>
      <c r="AL42" s="408">
        <f>IFERROR(VLOOKUP($C42,'Proposed Rates'!$B:$J,AL$11,FALSE),0)</f>
        <v>5.9999999999999995E-4</v>
      </c>
      <c r="AM42" s="413">
        <f t="shared" si="60"/>
        <v>1033.1999999999998</v>
      </c>
      <c r="AN42" s="394">
        <f t="shared" si="61"/>
        <v>0.6199199999999998</v>
      </c>
      <c r="AO42" s="138"/>
      <c r="AP42" s="395">
        <f t="shared" si="21"/>
        <v>0</v>
      </c>
      <c r="AQ42" s="396">
        <f t="shared" si="22"/>
        <v>0</v>
      </c>
      <c r="AR42" s="397"/>
    </row>
    <row r="43" spans="1:44" ht="12.75" customHeight="1">
      <c r="A43" s="53"/>
      <c r="B43" s="328" t="s">
        <v>291</v>
      </c>
      <c r="C43" s="389" t="str">
        <f t="shared" si="49"/>
        <v>Residential.Standard Supply Service Charge</v>
      </c>
      <c r="D43" s="390" t="s">
        <v>335</v>
      </c>
      <c r="E43" s="328"/>
      <c r="F43" s="408">
        <f>IFERROR(VLOOKUP($C43,'Proposed Rates'!$B:$J,F$11,FALSE),0)</f>
        <v>0.25</v>
      </c>
      <c r="G43" s="409">
        <f>IF($D43="Monthly",1,IF($D43="per KWH",$F$10,0))</f>
        <v>1</v>
      </c>
      <c r="H43" s="394">
        <f t="shared" si="51"/>
        <v>0.25</v>
      </c>
      <c r="I43" s="138"/>
      <c r="J43" s="408">
        <f>IFERROR(VLOOKUP($C43,'Proposed Rates'!$B:$J,J$11,FALSE),0)</f>
        <v>0.25</v>
      </c>
      <c r="K43" s="409">
        <f>IF($D43="Monthly",1,IF($D43="per KWH",$F$10,0))</f>
        <v>1</v>
      </c>
      <c r="L43" s="394">
        <f t="shared" si="53"/>
        <v>0.25</v>
      </c>
      <c r="M43" s="138"/>
      <c r="N43" s="395">
        <f t="shared" si="5"/>
        <v>0</v>
      </c>
      <c r="O43" s="396">
        <f t="shared" si="6"/>
        <v>0</v>
      </c>
      <c r="P43" s="53"/>
      <c r="Q43" s="408">
        <f>IFERROR(VLOOKUP($C43,'Proposed Rates'!$B:$J,Q$11,FALSE),0)</f>
        <v>0.25</v>
      </c>
      <c r="R43" s="409">
        <f>IF($D43="Monthly",1,IF($D43="per KWH",$F$10,0))</f>
        <v>1</v>
      </c>
      <c r="S43" s="394">
        <f t="shared" si="55"/>
        <v>0.25</v>
      </c>
      <c r="T43" s="138"/>
      <c r="U43" s="395">
        <f t="shared" si="9"/>
        <v>0</v>
      </c>
      <c r="V43" s="396">
        <f t="shared" si="10"/>
        <v>0</v>
      </c>
      <c r="W43" s="53"/>
      <c r="X43" s="408">
        <f>IFERROR(VLOOKUP($C43,'Proposed Rates'!$B:$J,X$11,FALSE),0)</f>
        <v>0.25</v>
      </c>
      <c r="Y43" s="409">
        <f>IF($D43="Monthly",1,IF($D43="per KWH",$F$10,0))</f>
        <v>1</v>
      </c>
      <c r="Z43" s="394">
        <f t="shared" si="57"/>
        <v>0.25</v>
      </c>
      <c r="AA43" s="138"/>
      <c r="AB43" s="395">
        <f t="shared" si="13"/>
        <v>0</v>
      </c>
      <c r="AC43" s="396">
        <f t="shared" si="14"/>
        <v>0</v>
      </c>
      <c r="AD43" s="53"/>
      <c r="AE43" s="408">
        <f>IFERROR(VLOOKUP($C43,'Proposed Rates'!$B:$J,AE$11,FALSE),0)</f>
        <v>0.25</v>
      </c>
      <c r="AF43" s="409">
        <f>IF($D43="Monthly",1,IF($D43="per KWH",$F$10,0))</f>
        <v>1</v>
      </c>
      <c r="AG43" s="394">
        <f t="shared" si="59"/>
        <v>0.25</v>
      </c>
      <c r="AH43" s="138"/>
      <c r="AI43" s="395">
        <f t="shared" si="17"/>
        <v>0</v>
      </c>
      <c r="AJ43" s="396">
        <f t="shared" si="18"/>
        <v>0</v>
      </c>
      <c r="AK43" s="53"/>
      <c r="AL43" s="408">
        <f>IFERROR(VLOOKUP($C43,'Proposed Rates'!$B:$J,AL$11,FALSE),0)</f>
        <v>0.25</v>
      </c>
      <c r="AM43" s="409">
        <f>IF($D43="Monthly",1,IF($D43="per KWH",$F$10,0))</f>
        <v>1</v>
      </c>
      <c r="AN43" s="394">
        <f t="shared" si="61"/>
        <v>0.25</v>
      </c>
      <c r="AO43" s="138"/>
      <c r="AP43" s="395">
        <f t="shared" si="21"/>
        <v>0</v>
      </c>
      <c r="AQ43" s="396">
        <f t="shared" si="22"/>
        <v>0</v>
      </c>
      <c r="AR43" s="397"/>
    </row>
    <row r="44" spans="1:44" ht="12.75" customHeight="1">
      <c r="A44" s="53"/>
      <c r="B44" s="328" t="s">
        <v>293</v>
      </c>
      <c r="C44" s="389" t="str">
        <f t="shared" si="49"/>
        <v>Residential.TOU - Off Peak</v>
      </c>
      <c r="D44" s="390" t="s">
        <v>337</v>
      </c>
      <c r="E44" s="328"/>
      <c r="F44" s="424">
        <f>VLOOKUP($B44,'Proposed Rates'!$D$255:$J$261,+F$11-2,FALSE)</f>
        <v>9.8000000000000004E-2</v>
      </c>
      <c r="G44" s="415">
        <f>$F$10*'Proposed Rates'!$K$256</f>
        <v>640</v>
      </c>
      <c r="H44" s="394">
        <f t="shared" si="51"/>
        <v>62.72</v>
      </c>
      <c r="I44" s="138"/>
      <c r="J44" s="424">
        <f>VLOOKUP($B44,'Proposed Rates'!$D$255:$J$261,+J$11-2,FALSE)</f>
        <v>9.8000000000000004E-2</v>
      </c>
      <c r="K44" s="415">
        <f>$F$10*'Proposed Rates'!$K$256</f>
        <v>640</v>
      </c>
      <c r="L44" s="394">
        <f t="shared" si="53"/>
        <v>62.72</v>
      </c>
      <c r="M44" s="138"/>
      <c r="N44" s="395">
        <f t="shared" si="5"/>
        <v>0</v>
      </c>
      <c r="O44" s="396">
        <f t="shared" si="6"/>
        <v>0</v>
      </c>
      <c r="P44" s="53"/>
      <c r="Q44" s="424">
        <f>VLOOKUP($B44,'Proposed Rates'!$D$255:$J$261,+Q$11-2,FALSE)</f>
        <v>9.8000000000000004E-2</v>
      </c>
      <c r="R44" s="415">
        <f>$F$10*'Proposed Rates'!$K$256</f>
        <v>640</v>
      </c>
      <c r="S44" s="394">
        <f t="shared" si="55"/>
        <v>62.72</v>
      </c>
      <c r="T44" s="138"/>
      <c r="U44" s="395">
        <f t="shared" si="9"/>
        <v>0</v>
      </c>
      <c r="V44" s="396">
        <f t="shared" si="10"/>
        <v>0</v>
      </c>
      <c r="W44" s="53"/>
      <c r="X44" s="424">
        <f>VLOOKUP($B44,'Proposed Rates'!$D$255:$J$261,+X$11-2,FALSE)</f>
        <v>9.8000000000000004E-2</v>
      </c>
      <c r="Y44" s="415">
        <f>$F$10*'Proposed Rates'!$K$256</f>
        <v>640</v>
      </c>
      <c r="Z44" s="394">
        <f t="shared" si="57"/>
        <v>62.72</v>
      </c>
      <c r="AA44" s="138"/>
      <c r="AB44" s="395">
        <f t="shared" si="13"/>
        <v>0</v>
      </c>
      <c r="AC44" s="396">
        <f t="shared" si="14"/>
        <v>0</v>
      </c>
      <c r="AD44" s="53"/>
      <c r="AE44" s="424">
        <f>VLOOKUP($B44,'Proposed Rates'!$D$255:$J$261,+AE$11-2,FALSE)</f>
        <v>9.8000000000000004E-2</v>
      </c>
      <c r="AF44" s="415">
        <f>$F$10*'Proposed Rates'!$K$256</f>
        <v>640</v>
      </c>
      <c r="AG44" s="394">
        <f t="shared" si="59"/>
        <v>62.72</v>
      </c>
      <c r="AH44" s="138"/>
      <c r="AI44" s="395">
        <f t="shared" si="17"/>
        <v>0</v>
      </c>
      <c r="AJ44" s="396">
        <f t="shared" si="18"/>
        <v>0</v>
      </c>
      <c r="AK44" s="53"/>
      <c r="AL44" s="424">
        <f>VLOOKUP($B44,'Proposed Rates'!$D$255:$J$261,+AL$11-2,FALSE)</f>
        <v>9.8000000000000004E-2</v>
      </c>
      <c r="AM44" s="415">
        <f>$F$10*'Proposed Rates'!$K$256</f>
        <v>640</v>
      </c>
      <c r="AN44" s="394">
        <f t="shared" si="61"/>
        <v>62.72</v>
      </c>
      <c r="AO44" s="138"/>
      <c r="AP44" s="395">
        <f t="shared" si="21"/>
        <v>0</v>
      </c>
      <c r="AQ44" s="396">
        <f t="shared" si="22"/>
        <v>0</v>
      </c>
      <c r="AR44" s="397"/>
    </row>
    <row r="45" spans="1:44" ht="12.75" customHeight="1">
      <c r="A45" s="53"/>
      <c r="B45" s="328" t="s">
        <v>294</v>
      </c>
      <c r="C45" s="389" t="str">
        <f t="shared" si="49"/>
        <v>Residential.TOU - Mid Peak</v>
      </c>
      <c r="D45" s="390" t="s">
        <v>337</v>
      </c>
      <c r="E45" s="328"/>
      <c r="F45" s="424">
        <f>VLOOKUP($B45,'Proposed Rates'!$D$255:$J$261,+F$11-2,FALSE)</f>
        <v>0.157</v>
      </c>
      <c r="G45" s="415">
        <f>$F$10*'Proposed Rates'!$K$257</f>
        <v>180</v>
      </c>
      <c r="H45" s="394">
        <f t="shared" si="51"/>
        <v>28.26</v>
      </c>
      <c r="I45" s="138"/>
      <c r="J45" s="424">
        <f>VLOOKUP($B45,'Proposed Rates'!$D$255:$J$261,+J$11-2,FALSE)</f>
        <v>0.157</v>
      </c>
      <c r="K45" s="415">
        <f>$F$10*'Proposed Rates'!$K$257</f>
        <v>180</v>
      </c>
      <c r="L45" s="394">
        <f t="shared" si="53"/>
        <v>28.26</v>
      </c>
      <c r="M45" s="138"/>
      <c r="N45" s="395">
        <f t="shared" si="5"/>
        <v>0</v>
      </c>
      <c r="O45" s="396">
        <f t="shared" si="6"/>
        <v>0</v>
      </c>
      <c r="P45" s="53"/>
      <c r="Q45" s="424">
        <f>VLOOKUP($B45,'Proposed Rates'!$D$255:$J$261,+Q$11-2,FALSE)</f>
        <v>0.157</v>
      </c>
      <c r="R45" s="415">
        <f>$F$10*'Proposed Rates'!$K$257</f>
        <v>180</v>
      </c>
      <c r="S45" s="394">
        <f t="shared" si="55"/>
        <v>28.26</v>
      </c>
      <c r="T45" s="138"/>
      <c r="U45" s="395">
        <f t="shared" si="9"/>
        <v>0</v>
      </c>
      <c r="V45" s="396">
        <f t="shared" si="10"/>
        <v>0</v>
      </c>
      <c r="W45" s="53"/>
      <c r="X45" s="424">
        <f>VLOOKUP($B45,'Proposed Rates'!$D$255:$J$261,+X$11-2,FALSE)</f>
        <v>0.157</v>
      </c>
      <c r="Y45" s="415">
        <f>$F$10*'Proposed Rates'!$K$257</f>
        <v>180</v>
      </c>
      <c r="Z45" s="394">
        <f t="shared" si="57"/>
        <v>28.26</v>
      </c>
      <c r="AA45" s="138"/>
      <c r="AB45" s="395">
        <f t="shared" si="13"/>
        <v>0</v>
      </c>
      <c r="AC45" s="396">
        <f t="shared" si="14"/>
        <v>0</v>
      </c>
      <c r="AD45" s="53"/>
      <c r="AE45" s="424">
        <f>VLOOKUP($B45,'Proposed Rates'!$D$255:$J$261,+AE$11-2,FALSE)</f>
        <v>0.157</v>
      </c>
      <c r="AF45" s="415">
        <f>$F$10*'Proposed Rates'!$K$257</f>
        <v>180</v>
      </c>
      <c r="AG45" s="394">
        <f t="shared" si="59"/>
        <v>28.26</v>
      </c>
      <c r="AH45" s="138"/>
      <c r="AI45" s="395">
        <f t="shared" si="17"/>
        <v>0</v>
      </c>
      <c r="AJ45" s="396">
        <f t="shared" si="18"/>
        <v>0</v>
      </c>
      <c r="AK45" s="53"/>
      <c r="AL45" s="424">
        <f>VLOOKUP($B45,'Proposed Rates'!$D$255:$J$261,+AL$11-2,FALSE)</f>
        <v>0.157</v>
      </c>
      <c r="AM45" s="415">
        <f>$F$10*'Proposed Rates'!$K$257</f>
        <v>180</v>
      </c>
      <c r="AN45" s="394">
        <f t="shared" si="61"/>
        <v>28.26</v>
      </c>
      <c r="AO45" s="138"/>
      <c r="AP45" s="395">
        <f t="shared" si="21"/>
        <v>0</v>
      </c>
      <c r="AQ45" s="396">
        <f t="shared" si="22"/>
        <v>0</v>
      </c>
      <c r="AR45" s="397"/>
    </row>
    <row r="46" spans="1:44" ht="12.75" customHeight="1">
      <c r="A46" s="53"/>
      <c r="B46" s="53" t="s">
        <v>295</v>
      </c>
      <c r="C46" s="389" t="str">
        <f t="shared" si="49"/>
        <v>Residential.TOU - On Peak</v>
      </c>
      <c r="D46" s="390" t="s">
        <v>337</v>
      </c>
      <c r="E46" s="328"/>
      <c r="F46" s="424">
        <f>VLOOKUP($B46,'Proposed Rates'!$D$255:$J$261,+F$11-2,FALSE)</f>
        <v>0.20300000000000001</v>
      </c>
      <c r="G46" s="415">
        <f>$F$10*'Proposed Rates'!$K$258</f>
        <v>180</v>
      </c>
      <c r="H46" s="394">
        <f t="shared" si="51"/>
        <v>36.54</v>
      </c>
      <c r="I46" s="138"/>
      <c r="J46" s="424">
        <f>VLOOKUP($B46,'Proposed Rates'!$D$255:$J$261,+J$11-2,FALSE)</f>
        <v>0.20300000000000001</v>
      </c>
      <c r="K46" s="415">
        <f>$F$10*'Proposed Rates'!$K$258</f>
        <v>180</v>
      </c>
      <c r="L46" s="394">
        <f t="shared" si="53"/>
        <v>36.54</v>
      </c>
      <c r="M46" s="138"/>
      <c r="N46" s="395">
        <f t="shared" si="5"/>
        <v>0</v>
      </c>
      <c r="O46" s="396">
        <f t="shared" si="6"/>
        <v>0</v>
      </c>
      <c r="P46" s="53"/>
      <c r="Q46" s="424">
        <f>VLOOKUP($B46,'Proposed Rates'!$D$255:$J$261,+Q$11-2,FALSE)</f>
        <v>0.20300000000000001</v>
      </c>
      <c r="R46" s="415">
        <f>$F$10*'Proposed Rates'!$K$258</f>
        <v>180</v>
      </c>
      <c r="S46" s="394">
        <f t="shared" si="55"/>
        <v>36.54</v>
      </c>
      <c r="T46" s="138"/>
      <c r="U46" s="395">
        <f t="shared" si="9"/>
        <v>0</v>
      </c>
      <c r="V46" s="396">
        <f t="shared" si="10"/>
        <v>0</v>
      </c>
      <c r="W46" s="53"/>
      <c r="X46" s="424">
        <f>VLOOKUP($B46,'Proposed Rates'!$D$255:$J$261,+X$11-2,FALSE)</f>
        <v>0.20300000000000001</v>
      </c>
      <c r="Y46" s="415">
        <f>$F$10*'Proposed Rates'!$K$258</f>
        <v>180</v>
      </c>
      <c r="Z46" s="394">
        <f t="shared" si="57"/>
        <v>36.54</v>
      </c>
      <c r="AA46" s="138"/>
      <c r="AB46" s="395">
        <f t="shared" si="13"/>
        <v>0</v>
      </c>
      <c r="AC46" s="396">
        <f t="shared" si="14"/>
        <v>0</v>
      </c>
      <c r="AD46" s="53"/>
      <c r="AE46" s="424">
        <f>VLOOKUP($B46,'Proposed Rates'!$D$255:$J$261,+AE$11-2,FALSE)</f>
        <v>0.20300000000000001</v>
      </c>
      <c r="AF46" s="415">
        <f>$F$10*'Proposed Rates'!$K$258</f>
        <v>180</v>
      </c>
      <c r="AG46" s="394">
        <f t="shared" si="59"/>
        <v>36.54</v>
      </c>
      <c r="AH46" s="138"/>
      <c r="AI46" s="395">
        <f t="shared" si="17"/>
        <v>0</v>
      </c>
      <c r="AJ46" s="396">
        <f t="shared" si="18"/>
        <v>0</v>
      </c>
      <c r="AK46" s="53"/>
      <c r="AL46" s="424">
        <f>VLOOKUP($B46,'Proposed Rates'!$D$255:$J$261,+AL$11-2,FALSE)</f>
        <v>0.20300000000000001</v>
      </c>
      <c r="AM46" s="415">
        <f>$F$10*'Proposed Rates'!$K$258</f>
        <v>180</v>
      </c>
      <c r="AN46" s="394">
        <f t="shared" si="61"/>
        <v>36.54</v>
      </c>
      <c r="AO46" s="138"/>
      <c r="AP46" s="395">
        <f t="shared" si="21"/>
        <v>0</v>
      </c>
      <c r="AQ46" s="396">
        <f t="shared" si="22"/>
        <v>0</v>
      </c>
      <c r="AR46" s="397"/>
    </row>
    <row r="47" spans="1:44" ht="12.75" customHeight="1">
      <c r="A47" s="53"/>
      <c r="B47" s="328" t="s">
        <v>296</v>
      </c>
      <c r="C47" s="389" t="str">
        <f t="shared" si="49"/>
        <v>Residential.Energy - RPP - Tier 1</v>
      </c>
      <c r="D47" s="390" t="s">
        <v>337</v>
      </c>
      <c r="E47" s="328"/>
      <c r="F47" s="424">
        <f>VLOOKUP($B47,'Proposed Rates'!$D$255:$J$261,+F$11-2,FALSE)</f>
        <v>0.12</v>
      </c>
      <c r="G47" s="425">
        <f>IF(AND($S$2=1, $F$10&gt;=600), 600, IF(AND($S$2=1, AND($F$10&lt;600, $F$10&gt;=0)), $F$10, IF(AND($S$2=2, $F$10&gt;=1000), 1000, IF(AND($S$2=2, AND($F$10&lt;1000, $F$10&gt;=0)), $F$10))))</f>
        <v>600</v>
      </c>
      <c r="H47" s="394">
        <f t="shared" si="51"/>
        <v>72</v>
      </c>
      <c r="I47" s="138"/>
      <c r="J47" s="424">
        <f>VLOOKUP($B47,'Proposed Rates'!$D$255:$J$261,+J$11-2,FALSE)</f>
        <v>0.12</v>
      </c>
      <c r="K47" s="425">
        <f>IF(AND($S$2=1, $F$10&gt;=600), 600, IF(AND($S$2=1, AND($F$10&lt;600, $F$10&gt;=0)), $F$10, IF(AND($S$2=2, $F$10&gt;=1000), 1000, IF(AND($S$2=2, AND($F$10&lt;1000, $F$10&gt;=0)), $F$10))))</f>
        <v>600</v>
      </c>
      <c r="L47" s="394">
        <f t="shared" si="53"/>
        <v>72</v>
      </c>
      <c r="M47" s="138"/>
      <c r="N47" s="395">
        <f t="shared" si="5"/>
        <v>0</v>
      </c>
      <c r="O47" s="396">
        <f t="shared" si="6"/>
        <v>0</v>
      </c>
      <c r="P47" s="53"/>
      <c r="Q47" s="424">
        <f>VLOOKUP($B47,'Proposed Rates'!$D$255:$J$261,+Q$11-2,FALSE)</f>
        <v>0.12</v>
      </c>
      <c r="R47" s="425">
        <f>IF(AND($S$2=1, $F$10&gt;=600), 600, IF(AND($S$2=1, AND($F$10&lt;600, $F$10&gt;=0)), $F$10, IF(AND($S$2=2, $F$10&gt;=1000), 1000, IF(AND($S$2=2, AND($F$10&lt;1000, $F$10&gt;=0)), $F$10))))</f>
        <v>600</v>
      </c>
      <c r="S47" s="394">
        <f t="shared" si="55"/>
        <v>72</v>
      </c>
      <c r="T47" s="138"/>
      <c r="U47" s="395">
        <f t="shared" si="9"/>
        <v>0</v>
      </c>
      <c r="V47" s="396">
        <f t="shared" si="10"/>
        <v>0</v>
      </c>
      <c r="W47" s="53"/>
      <c r="X47" s="424">
        <f>VLOOKUP($B47,'Proposed Rates'!$D$255:$J$261,+X$11-2,FALSE)</f>
        <v>0.12</v>
      </c>
      <c r="Y47" s="425">
        <f>IF(AND($S$2=1, $F$10&gt;=600), 600, IF(AND($S$2=1, AND($F$10&lt;600, $F$10&gt;=0)), $F$10, IF(AND($S$2=2, $F$10&gt;=1000), 1000, IF(AND($S$2=2, AND($F$10&lt;1000, $F$10&gt;=0)), $F$10))))</f>
        <v>600</v>
      </c>
      <c r="Z47" s="394">
        <f t="shared" si="57"/>
        <v>72</v>
      </c>
      <c r="AA47" s="138"/>
      <c r="AB47" s="395">
        <f t="shared" si="13"/>
        <v>0</v>
      </c>
      <c r="AC47" s="396">
        <f t="shared" si="14"/>
        <v>0</v>
      </c>
      <c r="AD47" s="53"/>
      <c r="AE47" s="424">
        <f>VLOOKUP($B47,'Proposed Rates'!$D$255:$J$261,+AE$11-2,FALSE)</f>
        <v>0.12</v>
      </c>
      <c r="AF47" s="425">
        <f>IF(AND($S$2=1, $F$10&gt;=600), 600, IF(AND($S$2=1, AND($F$10&lt;600, $F$10&gt;=0)), $F$10, IF(AND($S$2=2, $F$10&gt;=1000), 1000, IF(AND($S$2=2, AND($F$10&lt;1000, $F$10&gt;=0)), $F$10))))</f>
        <v>600</v>
      </c>
      <c r="AG47" s="394">
        <f t="shared" si="59"/>
        <v>72</v>
      </c>
      <c r="AH47" s="138"/>
      <c r="AI47" s="395">
        <f t="shared" si="17"/>
        <v>0</v>
      </c>
      <c r="AJ47" s="396">
        <f t="shared" si="18"/>
        <v>0</v>
      </c>
      <c r="AK47" s="53"/>
      <c r="AL47" s="424">
        <f>VLOOKUP($B47,'Proposed Rates'!$D$255:$J$261,+AL$11-2,FALSE)</f>
        <v>0.12</v>
      </c>
      <c r="AM47" s="425">
        <f>IF(AND($S$2=1, $F$10&gt;=600), 600, IF(AND($S$2=1, AND($F$10&lt;600, $F$10&gt;=0)), $F$10, IF(AND($S$2=2, $F$10&gt;=1000), 1000, IF(AND($S$2=2, AND($F$10&lt;1000, $F$10&gt;=0)), $F$10))))</f>
        <v>600</v>
      </c>
      <c r="AN47" s="394">
        <f t="shared" si="61"/>
        <v>72</v>
      </c>
      <c r="AO47" s="138"/>
      <c r="AP47" s="395">
        <f t="shared" si="21"/>
        <v>0</v>
      </c>
      <c r="AQ47" s="396">
        <f t="shared" si="22"/>
        <v>0</v>
      </c>
      <c r="AR47" s="397"/>
    </row>
    <row r="48" spans="1:44" ht="12.75" customHeight="1">
      <c r="A48" s="53"/>
      <c r="B48" s="328" t="s">
        <v>297</v>
      </c>
      <c r="C48" s="389" t="str">
        <f t="shared" si="49"/>
        <v>Residential.Energy - RPP - Tier 2</v>
      </c>
      <c r="D48" s="390" t="s">
        <v>337</v>
      </c>
      <c r="E48" s="328"/>
      <c r="F48" s="424">
        <f>VLOOKUP($B48,'Proposed Rates'!$D$255:$J$261,+F$11-2,FALSE)</f>
        <v>0.14199999999999999</v>
      </c>
      <c r="G48" s="427">
        <f>IF(AND($S$2=1, $F$10&gt;=600), $F$10-600, IF(AND($S$2=1, AND($F$10&lt;600, $F$10&gt;=0)), 0, IF(AND($S$2=2, $F$10&gt;=1000), $F$10-1000, IF(AND($S$2=2, AND($F$10&lt;1000, $F$10&gt;=0)), 0))))</f>
        <v>400</v>
      </c>
      <c r="H48" s="394">
        <f t="shared" si="51"/>
        <v>56.8</v>
      </c>
      <c r="I48" s="138"/>
      <c r="J48" s="424">
        <f>VLOOKUP($B48,'Proposed Rates'!$D$255:$J$261,+J$11-2,FALSE)</f>
        <v>0.14199999999999999</v>
      </c>
      <c r="K48" s="427">
        <f>IF(AND($S$2=1, $F$10&gt;=600), $F$10-600, IF(AND($S$2=1, AND($F$10&lt;600, $F$10&gt;=0)), 0, IF(AND($S$2=2, $F$10&gt;=1000), $F$10-1000, IF(AND($S$2=2, AND($F$10&lt;1000, $F$10&gt;=0)), 0))))</f>
        <v>400</v>
      </c>
      <c r="L48" s="394">
        <f t="shared" si="53"/>
        <v>56.8</v>
      </c>
      <c r="M48" s="138"/>
      <c r="N48" s="395">
        <f t="shared" si="5"/>
        <v>0</v>
      </c>
      <c r="O48" s="396">
        <f t="shared" si="6"/>
        <v>0</v>
      </c>
      <c r="P48" s="53"/>
      <c r="Q48" s="424">
        <f>VLOOKUP($B48,'Proposed Rates'!$D$255:$J$261,+Q$11-2,FALSE)</f>
        <v>0.14199999999999999</v>
      </c>
      <c r="R48" s="427">
        <f>IF(AND($S$2=1, $F$10&gt;=600), $F$10-600, IF(AND($S$2=1, AND($F$10&lt;600, $F$10&gt;=0)), 0, IF(AND($S$2=2, $F$10&gt;=1000), $F$10-1000, IF(AND($S$2=2, AND($F$10&lt;1000, $F$10&gt;=0)), 0))))</f>
        <v>400</v>
      </c>
      <c r="S48" s="394">
        <f t="shared" si="55"/>
        <v>56.8</v>
      </c>
      <c r="T48" s="138"/>
      <c r="U48" s="395">
        <f t="shared" si="9"/>
        <v>0</v>
      </c>
      <c r="V48" s="396">
        <f t="shared" si="10"/>
        <v>0</v>
      </c>
      <c r="W48" s="53"/>
      <c r="X48" s="424">
        <f>VLOOKUP($B48,'Proposed Rates'!$D$255:$J$261,+X$11-2,FALSE)</f>
        <v>0.14199999999999999</v>
      </c>
      <c r="Y48" s="427">
        <f>IF(AND($S$2=1, $F$10&gt;=600), $F$10-600, IF(AND($S$2=1, AND($F$10&lt;600, $F$10&gt;=0)), 0, IF(AND($S$2=2, $F$10&gt;=1000), $F$10-1000, IF(AND($S$2=2, AND($F$10&lt;1000, $F$10&gt;=0)), 0))))</f>
        <v>400</v>
      </c>
      <c r="Z48" s="394">
        <f t="shared" si="57"/>
        <v>56.8</v>
      </c>
      <c r="AA48" s="138"/>
      <c r="AB48" s="395">
        <f t="shared" si="13"/>
        <v>0</v>
      </c>
      <c r="AC48" s="396">
        <f t="shared" si="14"/>
        <v>0</v>
      </c>
      <c r="AD48" s="53"/>
      <c r="AE48" s="424">
        <f>VLOOKUP($B48,'Proposed Rates'!$D$255:$J$261,+AE$11-2,FALSE)</f>
        <v>0.14199999999999999</v>
      </c>
      <c r="AF48" s="427">
        <f>IF(AND($S$2=1, $F$10&gt;=600), $F$10-600, IF(AND($S$2=1, AND($F$10&lt;600, $F$10&gt;=0)), 0, IF(AND($S$2=2, $F$10&gt;=1000), $F$10-1000, IF(AND($S$2=2, AND($F$10&lt;1000, $F$10&gt;=0)), 0))))</f>
        <v>400</v>
      </c>
      <c r="AG48" s="394">
        <f t="shared" si="59"/>
        <v>56.8</v>
      </c>
      <c r="AH48" s="138"/>
      <c r="AI48" s="395">
        <f t="shared" si="17"/>
        <v>0</v>
      </c>
      <c r="AJ48" s="396">
        <f t="shared" si="18"/>
        <v>0</v>
      </c>
      <c r="AK48" s="53"/>
      <c r="AL48" s="424">
        <f>VLOOKUP($B48,'Proposed Rates'!$D$255:$J$261,+AL$11-2,FALSE)</f>
        <v>0.14199999999999999</v>
      </c>
      <c r="AM48" s="427">
        <f>IF(AND($S$2=1, $F$10&gt;=600), $F$10-600, IF(AND($S$2=1, AND($F$10&lt;600, $F$10&gt;=0)), 0, IF(AND($S$2=2, $F$10&gt;=1000), $F$10-1000, IF(AND($S$2=2, AND($F$10&lt;1000, $F$10&gt;=0)), 0))))</f>
        <v>400</v>
      </c>
      <c r="AN48" s="394">
        <f t="shared" si="61"/>
        <v>56.8</v>
      </c>
      <c r="AO48" s="138"/>
      <c r="AP48" s="395">
        <f t="shared" si="21"/>
        <v>0</v>
      </c>
      <c r="AQ48" s="396">
        <f t="shared" si="22"/>
        <v>0</v>
      </c>
      <c r="AR48" s="397"/>
    </row>
    <row r="49" spans="1:44" ht="8.25"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75" customHeight="1">
      <c r="A50" s="53"/>
      <c r="B50" s="438" t="s">
        <v>344</v>
      </c>
      <c r="C50" s="328"/>
      <c r="D50" s="328"/>
      <c r="E50" s="328"/>
      <c r="F50" s="439"/>
      <c r="G50" s="483"/>
      <c r="H50" s="441">
        <f>SUM(H41:H46,H40)</f>
        <v>193.73390599999999</v>
      </c>
      <c r="I50" s="476"/>
      <c r="J50" s="439"/>
      <c r="K50" s="440"/>
      <c r="L50" s="441">
        <f>SUM(L41:L46,L40)</f>
        <v>199.83906799999997</v>
      </c>
      <c r="M50" s="443"/>
      <c r="N50" s="442">
        <f t="shared" ref="N50:N54" si="62">L50-H50</f>
        <v>6.1051619999999787</v>
      </c>
      <c r="O50" s="444">
        <f t="shared" ref="O50:O54" si="63">IF((H50)=0,"",(N50/H50))</f>
        <v>3.151313121204493E-2</v>
      </c>
      <c r="P50" s="53"/>
      <c r="Q50" s="440"/>
      <c r="R50" s="440"/>
      <c r="S50" s="442">
        <f>SUM(S41:S46,S40)</f>
        <v>203.22906799999998</v>
      </c>
      <c r="T50" s="443"/>
      <c r="U50" s="442">
        <f t="shared" ref="U50:U54" si="64">S50-L50</f>
        <v>3.3900000000000148</v>
      </c>
      <c r="V50" s="444">
        <f t="shared" ref="V50:V54" si="65">IF((L50)=0,"",(U50/L50))</f>
        <v>1.6963649970585408E-2</v>
      </c>
      <c r="W50" s="53"/>
      <c r="X50" s="440"/>
      <c r="Y50" s="440"/>
      <c r="Z50" s="442">
        <f>SUM(Z41:Z46,Z40)</f>
        <v>204.23939999999996</v>
      </c>
      <c r="AA50" s="443"/>
      <c r="AB50" s="442">
        <f t="shared" ref="AB50:AB54" si="66">Z50-S50</f>
        <v>1.0103319999999769</v>
      </c>
      <c r="AC50" s="444">
        <f t="shared" ref="AC50:AC54" si="67">IF((S50)=0,"",(AB50/S50))</f>
        <v>4.971395135266659E-3</v>
      </c>
      <c r="AD50" s="53"/>
      <c r="AE50" s="440"/>
      <c r="AF50" s="440"/>
      <c r="AG50" s="442">
        <f>SUM(AG41:AG46,AG40)</f>
        <v>205.73939999999999</v>
      </c>
      <c r="AH50" s="443"/>
      <c r="AI50" s="442">
        <f t="shared" ref="AI50:AI54" si="68">AG50-Z50</f>
        <v>1.5000000000000284</v>
      </c>
      <c r="AJ50" s="444">
        <f t="shared" ref="AJ50:AJ54" si="69">IF((Z50)=0,"",(AI50/Z50))</f>
        <v>7.3443223981270447E-3</v>
      </c>
      <c r="AK50" s="53"/>
      <c r="AL50" s="440"/>
      <c r="AM50" s="440"/>
      <c r="AN50" s="442">
        <f>SUM(AN41:AN46,AN40)</f>
        <v>207.10939999999999</v>
      </c>
      <c r="AO50" s="443"/>
      <c r="AP50" s="442">
        <f t="shared" ref="AP50:AP54" si="70">AN50-AG50</f>
        <v>1.3700000000000045</v>
      </c>
      <c r="AQ50" s="444">
        <f t="shared" ref="AQ50:AQ54" si="71">IF((AG50)=0,"",(AP50/AG50))</f>
        <v>6.6589092803809313E-3</v>
      </c>
      <c r="AR50" s="445"/>
    </row>
    <row r="51" spans="1:44" ht="12.75" customHeight="1">
      <c r="A51" s="53"/>
      <c r="B51" s="446" t="s">
        <v>345</v>
      </c>
      <c r="C51" s="328"/>
      <c r="D51" s="328"/>
      <c r="E51" s="328"/>
      <c r="F51" s="439">
        <v>0.13</v>
      </c>
      <c r="G51" s="138"/>
      <c r="H51" s="484">
        <f>H50*F51</f>
        <v>25.185407779999998</v>
      </c>
      <c r="I51" s="411"/>
      <c r="J51" s="439">
        <v>0.13</v>
      </c>
      <c r="K51" s="411"/>
      <c r="L51" s="394">
        <f>L50*J51</f>
        <v>25.979078839999996</v>
      </c>
      <c r="M51" s="138"/>
      <c r="N51" s="395">
        <f t="shared" si="62"/>
        <v>0.79367105999999765</v>
      </c>
      <c r="O51" s="396">
        <f t="shared" si="63"/>
        <v>3.1513131212044951E-2</v>
      </c>
      <c r="P51" s="53"/>
      <c r="Q51" s="447">
        <v>0.13</v>
      </c>
      <c r="R51" s="411"/>
      <c r="S51" s="394">
        <f>S50*Q51</f>
        <v>26.419778839999999</v>
      </c>
      <c r="T51" s="138"/>
      <c r="U51" s="395">
        <f t="shared" si="64"/>
        <v>0.4407000000000032</v>
      </c>
      <c r="V51" s="396">
        <f t="shared" si="65"/>
        <v>1.6963649970585457E-2</v>
      </c>
      <c r="W51" s="53"/>
      <c r="X51" s="447">
        <v>0.13</v>
      </c>
      <c r="Y51" s="411"/>
      <c r="Z51" s="394">
        <f>Z50*X51</f>
        <v>26.551121999999996</v>
      </c>
      <c r="AA51" s="138"/>
      <c r="AB51" s="395">
        <f t="shared" si="66"/>
        <v>0.13134315999999657</v>
      </c>
      <c r="AC51" s="396">
        <f t="shared" si="67"/>
        <v>4.9713951352666425E-3</v>
      </c>
      <c r="AD51" s="53"/>
      <c r="AE51" s="447">
        <v>0.13</v>
      </c>
      <c r="AF51" s="411"/>
      <c r="AG51" s="394">
        <f>AG50*AE51</f>
        <v>26.746122</v>
      </c>
      <c r="AH51" s="138"/>
      <c r="AI51" s="395">
        <f t="shared" si="68"/>
        <v>0.19500000000000384</v>
      </c>
      <c r="AJ51" s="396">
        <f t="shared" si="69"/>
        <v>7.3443223981270499E-3</v>
      </c>
      <c r="AK51" s="53"/>
      <c r="AL51" s="447">
        <v>0.13</v>
      </c>
      <c r="AM51" s="411"/>
      <c r="AN51" s="394">
        <f>AN50*AL51</f>
        <v>26.924222</v>
      </c>
      <c r="AO51" s="138"/>
      <c r="AP51" s="395">
        <f t="shared" si="70"/>
        <v>0.17810000000000059</v>
      </c>
      <c r="AQ51" s="396">
        <f t="shared" si="71"/>
        <v>6.6589092803809313E-3</v>
      </c>
      <c r="AR51" s="397"/>
    </row>
    <row r="52" spans="1:44" ht="12.75" customHeight="1">
      <c r="A52" s="53"/>
      <c r="B52" s="448" t="s">
        <v>383</v>
      </c>
      <c r="C52" s="328"/>
      <c r="D52" s="328"/>
      <c r="E52" s="328"/>
      <c r="F52" s="449"/>
      <c r="G52" s="138"/>
      <c r="H52" s="484">
        <f>H50+H51</f>
        <v>218.91931377999998</v>
      </c>
      <c r="I52" s="411"/>
      <c r="J52" s="449"/>
      <c r="K52" s="411"/>
      <c r="L52" s="394">
        <f>L50+L51</f>
        <v>225.81814683999997</v>
      </c>
      <c r="M52" s="138"/>
      <c r="N52" s="395">
        <f t="shared" si="62"/>
        <v>6.898833059999987</v>
      </c>
      <c r="O52" s="396">
        <f t="shared" si="63"/>
        <v>3.1513131212044986E-2</v>
      </c>
      <c r="P52" s="53"/>
      <c r="Q52" s="411"/>
      <c r="R52" s="411"/>
      <c r="S52" s="394">
        <f>S50+S51</f>
        <v>229.64884683999998</v>
      </c>
      <c r="T52" s="138"/>
      <c r="U52" s="395">
        <f t="shared" si="64"/>
        <v>3.8307000000000073</v>
      </c>
      <c r="V52" s="396">
        <f t="shared" si="65"/>
        <v>1.6963649970585366E-2</v>
      </c>
      <c r="W52" s="53"/>
      <c r="X52" s="411"/>
      <c r="Y52" s="411"/>
      <c r="Z52" s="394">
        <f>Z50+Z51</f>
        <v>230.79052199999995</v>
      </c>
      <c r="AA52" s="138"/>
      <c r="AB52" s="395">
        <f t="shared" si="66"/>
        <v>1.141675159999977</v>
      </c>
      <c r="AC52" s="396">
        <f t="shared" si="67"/>
        <v>4.9713951352666728E-3</v>
      </c>
      <c r="AD52" s="53"/>
      <c r="AE52" s="411"/>
      <c r="AF52" s="411"/>
      <c r="AG52" s="394">
        <f>AG50+AG51</f>
        <v>232.485522</v>
      </c>
      <c r="AH52" s="138"/>
      <c r="AI52" s="395">
        <f t="shared" si="68"/>
        <v>1.69500000000005</v>
      </c>
      <c r="AJ52" s="396">
        <f t="shared" si="69"/>
        <v>7.3443223981271219E-3</v>
      </c>
      <c r="AK52" s="53"/>
      <c r="AL52" s="411"/>
      <c r="AM52" s="411"/>
      <c r="AN52" s="394">
        <f>AN50+AN51</f>
        <v>234.03362199999998</v>
      </c>
      <c r="AO52" s="138"/>
      <c r="AP52" s="395">
        <f t="shared" si="70"/>
        <v>1.5480999999999767</v>
      </c>
      <c r="AQ52" s="396">
        <f t="shared" si="71"/>
        <v>6.658909280380809E-3</v>
      </c>
      <c r="AR52" s="397"/>
    </row>
    <row r="53" spans="1:44" ht="15.75" customHeight="1">
      <c r="A53" s="53"/>
      <c r="B53" s="626" t="s">
        <v>304</v>
      </c>
      <c r="C53" s="616"/>
      <c r="D53" s="616"/>
      <c r="E53" s="328"/>
      <c r="F53" s="450">
        <f>'Proposed Rates'!E293</f>
        <v>0.23499999999999999</v>
      </c>
      <c r="G53" s="138"/>
      <c r="H53" s="486">
        <f>F53*H50</f>
        <v>45.527467909999999</v>
      </c>
      <c r="I53" s="411"/>
      <c r="J53" s="450">
        <f>'Proposed Rates'!F293</f>
        <v>0.23499999999999999</v>
      </c>
      <c r="K53" s="411"/>
      <c r="L53" s="451">
        <f>J53*L50</f>
        <v>46.962180979999992</v>
      </c>
      <c r="M53" s="138"/>
      <c r="N53" s="451">
        <f t="shared" si="62"/>
        <v>1.4347130699999937</v>
      </c>
      <c r="O53" s="453">
        <f t="shared" si="63"/>
        <v>3.1513131212044902E-2</v>
      </c>
      <c r="P53" s="53"/>
      <c r="Q53" s="452">
        <f>'Proposed Rates'!G293</f>
        <v>0.23499999999999999</v>
      </c>
      <c r="R53" s="411"/>
      <c r="S53" s="451">
        <f>Q53*S50</f>
        <v>47.758830979999992</v>
      </c>
      <c r="T53" s="138"/>
      <c r="U53" s="451">
        <f t="shared" si="64"/>
        <v>0.79664999999999964</v>
      </c>
      <c r="V53" s="453">
        <f t="shared" si="65"/>
        <v>1.6963649970585325E-2</v>
      </c>
      <c r="W53" s="53"/>
      <c r="X53" s="452">
        <f>'Proposed Rates'!H293</f>
        <v>0.23499999999999999</v>
      </c>
      <c r="Y53" s="411"/>
      <c r="Z53" s="451">
        <f>X53*Z50</f>
        <v>47.996258999999988</v>
      </c>
      <c r="AA53" s="138"/>
      <c r="AB53" s="451">
        <f t="shared" si="66"/>
        <v>0.23742801999999585</v>
      </c>
      <c r="AC53" s="453">
        <f t="shared" si="67"/>
        <v>4.9713951352666859E-3</v>
      </c>
      <c r="AD53" s="53"/>
      <c r="AE53" s="452">
        <f>'Proposed Rates'!I293</f>
        <v>0.23499999999999999</v>
      </c>
      <c r="AF53" s="411"/>
      <c r="AG53" s="451">
        <f>AE53*AG50</f>
        <v>48.348758999999994</v>
      </c>
      <c r="AH53" s="138"/>
      <c r="AI53" s="451">
        <f t="shared" si="68"/>
        <v>0.35250000000000625</v>
      </c>
      <c r="AJ53" s="453">
        <f t="shared" si="69"/>
        <v>7.344322398127036E-3</v>
      </c>
      <c r="AK53" s="53"/>
      <c r="AL53" s="452">
        <f>'Proposed Rates'!J293</f>
        <v>0.23499999999999999</v>
      </c>
      <c r="AM53" s="411"/>
      <c r="AN53" s="451">
        <f>AL53*AN50</f>
        <v>48.670708999999995</v>
      </c>
      <c r="AO53" s="138"/>
      <c r="AP53" s="451">
        <f t="shared" si="70"/>
        <v>0.32195000000000107</v>
      </c>
      <c r="AQ53" s="453">
        <f t="shared" si="71"/>
        <v>6.6589092803809322E-3</v>
      </c>
      <c r="AR53" s="454"/>
    </row>
    <row r="54" spans="1:44" ht="12.75" customHeight="1">
      <c r="A54" s="53"/>
      <c r="B54" s="627" t="s">
        <v>347</v>
      </c>
      <c r="C54" s="608"/>
      <c r="D54" s="600"/>
      <c r="E54" s="455"/>
      <c r="F54" s="456"/>
      <c r="G54" s="487"/>
      <c r="H54" s="488">
        <f>H52-H53</f>
        <v>173.39184587</v>
      </c>
      <c r="I54" s="457"/>
      <c r="J54" s="456"/>
      <c r="K54" s="457"/>
      <c r="L54" s="458">
        <f>L52-L53</f>
        <v>178.85596585999997</v>
      </c>
      <c r="M54" s="459"/>
      <c r="N54" s="460">
        <f t="shared" si="62"/>
        <v>5.4641199899999719</v>
      </c>
      <c r="O54" s="461">
        <f t="shared" si="63"/>
        <v>3.1513131212044881E-2</v>
      </c>
      <c r="P54" s="53"/>
      <c r="Q54" s="457"/>
      <c r="R54" s="457"/>
      <c r="S54" s="458">
        <f>S52-S53</f>
        <v>181.89001585999998</v>
      </c>
      <c r="T54" s="459"/>
      <c r="U54" s="460">
        <f t="shared" si="64"/>
        <v>3.0340500000000077</v>
      </c>
      <c r="V54" s="461">
        <f t="shared" si="65"/>
        <v>1.6963649970585377E-2</v>
      </c>
      <c r="W54" s="53"/>
      <c r="X54" s="457"/>
      <c r="Y54" s="457"/>
      <c r="Z54" s="458">
        <f>Z52-Z53</f>
        <v>182.79426299999997</v>
      </c>
      <c r="AA54" s="459"/>
      <c r="AB54" s="460">
        <f t="shared" si="66"/>
        <v>0.9042471399999954</v>
      </c>
      <c r="AC54" s="461">
        <f t="shared" si="67"/>
        <v>4.9713951352667474E-3</v>
      </c>
      <c r="AD54" s="53"/>
      <c r="AE54" s="457"/>
      <c r="AF54" s="457"/>
      <c r="AG54" s="458">
        <f>AG52-AG53</f>
        <v>184.136763</v>
      </c>
      <c r="AH54" s="459"/>
      <c r="AI54" s="460">
        <f t="shared" si="68"/>
        <v>1.3425000000000296</v>
      </c>
      <c r="AJ54" s="461">
        <f t="shared" si="69"/>
        <v>7.3443223981270673E-3</v>
      </c>
      <c r="AK54" s="53"/>
      <c r="AL54" s="457"/>
      <c r="AM54" s="457"/>
      <c r="AN54" s="458">
        <f>AN52-AN53</f>
        <v>185.36291299999999</v>
      </c>
      <c r="AO54" s="459"/>
      <c r="AP54" s="460">
        <f t="shared" si="70"/>
        <v>1.2261499999999899</v>
      </c>
      <c r="AQ54" s="461">
        <f t="shared" si="71"/>
        <v>6.6589092803808541E-3</v>
      </c>
      <c r="AR54" s="462"/>
    </row>
    <row r="55" spans="1:44" ht="8.25"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75" customHeight="1">
      <c r="A56" s="53"/>
      <c r="B56" s="438" t="s">
        <v>348</v>
      </c>
      <c r="C56" s="328"/>
      <c r="D56" s="328"/>
      <c r="E56" s="328"/>
      <c r="F56" s="439"/>
      <c r="G56" s="483"/>
      <c r="H56" s="441">
        <f>SUM(H47:H48,H40,H41:H43)</f>
        <v>195.01390599999999</v>
      </c>
      <c r="I56" s="476"/>
      <c r="J56" s="439"/>
      <c r="K56" s="440"/>
      <c r="L56" s="441">
        <f>SUM(L47:L48,L40,L41:L43)</f>
        <v>201.119068</v>
      </c>
      <c r="M56" s="443"/>
      <c r="N56" s="442">
        <f t="shared" ref="N56:N60" si="72">L56-H56</f>
        <v>6.1051620000000071</v>
      </c>
      <c r="O56" s="444">
        <f t="shared" ref="O56:O60" si="73">IF((H56)=0,"",(N56/H56))</f>
        <v>3.1306290537045124E-2</v>
      </c>
      <c r="P56" s="53"/>
      <c r="Q56" s="440"/>
      <c r="R56" s="440"/>
      <c r="S56" s="442">
        <f>SUM(S47:S48,S40,S41:S43)</f>
        <v>204.50906800000001</v>
      </c>
      <c r="T56" s="443"/>
      <c r="U56" s="442">
        <f t="shared" ref="U56:U60" si="74">S56-L56</f>
        <v>3.3900000000000148</v>
      </c>
      <c r="V56" s="444">
        <f t="shared" ref="V56:V60" si="75">IF((L56)=0,"",(U56/L56))</f>
        <v>1.6855686701969078E-2</v>
      </c>
      <c r="W56" s="53"/>
      <c r="X56" s="440"/>
      <c r="Y56" s="440"/>
      <c r="Z56" s="442">
        <f>SUM(Z47:Z48,Z40,Z41:Z43)</f>
        <v>205.51939999999999</v>
      </c>
      <c r="AA56" s="443"/>
      <c r="AB56" s="442">
        <f t="shared" ref="AB56:AB60" si="76">Z56-S56</f>
        <v>1.0103319999999769</v>
      </c>
      <c r="AC56" s="444">
        <f t="shared" ref="AC56:AC60" si="77">IF((S56)=0,"",(AB56/S56))</f>
        <v>4.9402797141492854E-3</v>
      </c>
      <c r="AD56" s="53"/>
      <c r="AE56" s="440"/>
      <c r="AF56" s="440"/>
      <c r="AG56" s="442">
        <f>SUM(AG47:AG48,AG40,AG41:AG43)</f>
        <v>207.01939999999999</v>
      </c>
      <c r="AH56" s="443"/>
      <c r="AI56" s="442">
        <f t="shared" ref="AI56:AI60" si="78">AG56-Z56</f>
        <v>1.5</v>
      </c>
      <c r="AJ56" s="444">
        <f t="shared" ref="AJ56:AJ60" si="79">IF((Z56)=0,"",(AI56/Z56))</f>
        <v>7.2985810585278086E-3</v>
      </c>
      <c r="AK56" s="53"/>
      <c r="AL56" s="440"/>
      <c r="AM56" s="440"/>
      <c r="AN56" s="442">
        <f>SUM(AN47:AN48,AN40,AN41:AN43)</f>
        <v>208.38939999999999</v>
      </c>
      <c r="AO56" s="443"/>
      <c r="AP56" s="442">
        <f t="shared" ref="AP56:AP60" si="80">AN56-AG56</f>
        <v>1.3700000000000045</v>
      </c>
      <c r="AQ56" s="444">
        <f t="shared" ref="AQ56:AQ60" si="81">IF((AG56)=0,"",(AP56/AG56))</f>
        <v>6.617737274864117E-3</v>
      </c>
      <c r="AR56" s="445"/>
    </row>
    <row r="57" spans="1:44" ht="12.75" customHeight="1">
      <c r="A57" s="53"/>
      <c r="B57" s="446" t="s">
        <v>345</v>
      </c>
      <c r="C57" s="328"/>
      <c r="D57" s="328"/>
      <c r="E57" s="328"/>
      <c r="F57" s="439">
        <v>0.13</v>
      </c>
      <c r="G57" s="483"/>
      <c r="H57" s="484">
        <f>H56*F57</f>
        <v>25.351807780000001</v>
      </c>
      <c r="I57" s="411"/>
      <c r="J57" s="439">
        <v>0.13</v>
      </c>
      <c r="K57" s="447"/>
      <c r="L57" s="394">
        <f>L56*J57</f>
        <v>26.145478839999999</v>
      </c>
      <c r="M57" s="138"/>
      <c r="N57" s="395">
        <f t="shared" si="72"/>
        <v>0.79367105999999765</v>
      </c>
      <c r="O57" s="396">
        <f t="shared" si="73"/>
        <v>3.1306290537044992E-2</v>
      </c>
      <c r="P57" s="53"/>
      <c r="Q57" s="439">
        <v>0.13</v>
      </c>
      <c r="R57" s="447"/>
      <c r="S57" s="394">
        <f>S56*Q57</f>
        <v>26.586178840000002</v>
      </c>
      <c r="T57" s="138"/>
      <c r="U57" s="395">
        <f t="shared" si="74"/>
        <v>0.4407000000000032</v>
      </c>
      <c r="V57" s="396">
        <f t="shared" si="75"/>
        <v>1.6855686701969127E-2</v>
      </c>
      <c r="W57" s="53"/>
      <c r="X57" s="439">
        <v>0.13</v>
      </c>
      <c r="Y57" s="447"/>
      <c r="Z57" s="394">
        <f>Z56*X57</f>
        <v>26.717521999999999</v>
      </c>
      <c r="AA57" s="138"/>
      <c r="AB57" s="395">
        <f t="shared" si="76"/>
        <v>0.13134315999999657</v>
      </c>
      <c r="AC57" s="396">
        <f t="shared" si="77"/>
        <v>4.9402797141492698E-3</v>
      </c>
      <c r="AD57" s="53"/>
      <c r="AE57" s="439">
        <v>0.13</v>
      </c>
      <c r="AF57" s="447"/>
      <c r="AG57" s="394">
        <f>AG56*AE57</f>
        <v>26.912521999999999</v>
      </c>
      <c r="AH57" s="138"/>
      <c r="AI57" s="395">
        <f t="shared" si="78"/>
        <v>0.19500000000000028</v>
      </c>
      <c r="AJ57" s="396">
        <f t="shared" si="79"/>
        <v>7.298581058527819E-3</v>
      </c>
      <c r="AK57" s="53"/>
      <c r="AL57" s="439">
        <v>0.13</v>
      </c>
      <c r="AM57" s="447"/>
      <c r="AN57" s="394">
        <f>AN56*AL57</f>
        <v>27.090622</v>
      </c>
      <c r="AO57" s="138"/>
      <c r="AP57" s="395">
        <f t="shared" si="80"/>
        <v>0.17810000000000059</v>
      </c>
      <c r="AQ57" s="396">
        <f t="shared" si="81"/>
        <v>6.617737274864117E-3</v>
      </c>
      <c r="AR57" s="397"/>
    </row>
    <row r="58" spans="1:44" ht="12.75" customHeight="1">
      <c r="A58" s="53"/>
      <c r="B58" s="448" t="s">
        <v>384</v>
      </c>
      <c r="C58" s="328"/>
      <c r="D58" s="328"/>
      <c r="E58" s="328"/>
      <c r="F58" s="449"/>
      <c r="G58" s="138"/>
      <c r="H58" s="484">
        <f>H56+H57</f>
        <v>220.36571377999999</v>
      </c>
      <c r="I58" s="411"/>
      <c r="J58" s="449"/>
      <c r="K58" s="411"/>
      <c r="L58" s="394">
        <f>L56+L57</f>
        <v>227.26454684000001</v>
      </c>
      <c r="M58" s="138"/>
      <c r="N58" s="395">
        <f t="shared" si="72"/>
        <v>6.8988330600000154</v>
      </c>
      <c r="O58" s="396">
        <f t="shared" si="73"/>
        <v>3.1306290537045159E-2</v>
      </c>
      <c r="P58" s="53"/>
      <c r="Q58" s="411"/>
      <c r="R58" s="411"/>
      <c r="S58" s="394">
        <f>S56+S57</f>
        <v>231.09524684000002</v>
      </c>
      <c r="T58" s="138"/>
      <c r="U58" s="395">
        <f t="shared" si="74"/>
        <v>3.8307000000000073</v>
      </c>
      <c r="V58" s="396">
        <f t="shared" si="75"/>
        <v>1.6855686701969037E-2</v>
      </c>
      <c r="W58" s="53"/>
      <c r="X58" s="411"/>
      <c r="Y58" s="411"/>
      <c r="Z58" s="394">
        <f>Z56+Z57</f>
        <v>232.23692199999999</v>
      </c>
      <c r="AA58" s="138"/>
      <c r="AB58" s="395">
        <f t="shared" si="76"/>
        <v>1.141675159999977</v>
      </c>
      <c r="AC58" s="396">
        <f t="shared" si="77"/>
        <v>4.9402797141492993E-3</v>
      </c>
      <c r="AD58" s="53"/>
      <c r="AE58" s="411"/>
      <c r="AF58" s="411"/>
      <c r="AG58" s="394">
        <f>AG56+AG57</f>
        <v>233.93192199999999</v>
      </c>
      <c r="AH58" s="138"/>
      <c r="AI58" s="395">
        <f t="shared" si="78"/>
        <v>1.6949999999999932</v>
      </c>
      <c r="AJ58" s="396">
        <f t="shared" si="79"/>
        <v>7.2985810585277791E-3</v>
      </c>
      <c r="AK58" s="53"/>
      <c r="AL58" s="411"/>
      <c r="AM58" s="411"/>
      <c r="AN58" s="394">
        <f>AN56+AN57</f>
        <v>235.48002199999999</v>
      </c>
      <c r="AO58" s="138"/>
      <c r="AP58" s="395">
        <f t="shared" si="80"/>
        <v>1.5481000000000051</v>
      </c>
      <c r="AQ58" s="396">
        <f t="shared" si="81"/>
        <v>6.617737274864117E-3</v>
      </c>
      <c r="AR58" s="397"/>
    </row>
    <row r="59" spans="1:44" ht="15.75" customHeight="1">
      <c r="A59" s="53"/>
      <c r="B59" s="626" t="s">
        <v>304</v>
      </c>
      <c r="C59" s="616"/>
      <c r="D59" s="616"/>
      <c r="E59" s="328"/>
      <c r="F59" s="450">
        <f>F53</f>
        <v>0.23499999999999999</v>
      </c>
      <c r="G59" s="138"/>
      <c r="H59" s="486">
        <f>F59*H56</f>
        <v>45.828267909999994</v>
      </c>
      <c r="I59" s="411"/>
      <c r="J59" s="450">
        <f>J53</f>
        <v>0.23499999999999999</v>
      </c>
      <c r="K59" s="411"/>
      <c r="L59" s="451">
        <f>J59*L56</f>
        <v>47.262980979999995</v>
      </c>
      <c r="M59" s="138"/>
      <c r="N59" s="451">
        <f t="shared" si="72"/>
        <v>1.4347130700000008</v>
      </c>
      <c r="O59" s="453">
        <f t="shared" si="73"/>
        <v>3.130629053704511E-2</v>
      </c>
      <c r="P59" s="53"/>
      <c r="Q59" s="452">
        <f>Q53</f>
        <v>0.23499999999999999</v>
      </c>
      <c r="R59" s="411"/>
      <c r="S59" s="451">
        <f>Q59*S56</f>
        <v>48.059630980000001</v>
      </c>
      <c r="T59" s="138"/>
      <c r="U59" s="451">
        <f t="shared" si="74"/>
        <v>0.79665000000000674</v>
      </c>
      <c r="V59" s="453">
        <f t="shared" si="75"/>
        <v>1.6855686701969148E-2</v>
      </c>
      <c r="W59" s="53"/>
      <c r="X59" s="452">
        <f>X53</f>
        <v>0.23499999999999999</v>
      </c>
      <c r="Y59" s="411"/>
      <c r="Z59" s="451">
        <f>X59*Z56</f>
        <v>48.297058999999997</v>
      </c>
      <c r="AA59" s="138"/>
      <c r="AB59" s="451">
        <f t="shared" si="76"/>
        <v>0.23742801999999585</v>
      </c>
      <c r="AC59" s="453">
        <f t="shared" si="77"/>
        <v>4.9402797141493123E-3</v>
      </c>
      <c r="AD59" s="53"/>
      <c r="AE59" s="452">
        <f>AE53</f>
        <v>0.23499999999999999</v>
      </c>
      <c r="AF59" s="411"/>
      <c r="AG59" s="451">
        <f>AE59*AG56</f>
        <v>48.649558999999996</v>
      </c>
      <c r="AH59" s="138"/>
      <c r="AI59" s="451">
        <f t="shared" si="78"/>
        <v>0.35249999999999915</v>
      </c>
      <c r="AJ59" s="453">
        <f t="shared" si="79"/>
        <v>7.2985810585277904E-3</v>
      </c>
      <c r="AK59" s="53"/>
      <c r="AL59" s="452">
        <f>AL53</f>
        <v>0.23499999999999999</v>
      </c>
      <c r="AM59" s="411"/>
      <c r="AN59" s="451">
        <f>AL59*AN56</f>
        <v>48.971508999999998</v>
      </c>
      <c r="AO59" s="138"/>
      <c r="AP59" s="451">
        <f t="shared" si="80"/>
        <v>0.32195000000000107</v>
      </c>
      <c r="AQ59" s="453">
        <f t="shared" si="81"/>
        <v>6.617737274864117E-3</v>
      </c>
      <c r="AR59" s="454"/>
    </row>
    <row r="60" spans="1:44" ht="12.75" customHeight="1">
      <c r="A60" s="53"/>
      <c r="B60" s="627" t="s">
        <v>350</v>
      </c>
      <c r="C60" s="608"/>
      <c r="D60" s="600"/>
      <c r="E60" s="455"/>
      <c r="F60" s="463"/>
      <c r="G60" s="489"/>
      <c r="H60" s="490">
        <f>H58-H59</f>
        <v>174.53744587</v>
      </c>
      <c r="I60" s="464"/>
      <c r="J60" s="463"/>
      <c r="K60" s="464"/>
      <c r="L60" s="465">
        <f>L58-L59</f>
        <v>180.00156586000003</v>
      </c>
      <c r="M60" s="466"/>
      <c r="N60" s="467">
        <f t="shared" si="72"/>
        <v>5.4641199900000288</v>
      </c>
      <c r="O60" s="468">
        <f t="shared" si="73"/>
        <v>3.1306290537045249E-2</v>
      </c>
      <c r="P60" s="53"/>
      <c r="Q60" s="464"/>
      <c r="R60" s="464"/>
      <c r="S60" s="465">
        <f>S58-S59</f>
        <v>183.03561586000001</v>
      </c>
      <c r="T60" s="466"/>
      <c r="U60" s="467">
        <f t="shared" si="74"/>
        <v>3.0340499999999793</v>
      </c>
      <c r="V60" s="468">
        <f t="shared" si="75"/>
        <v>1.6855686701968887E-2</v>
      </c>
      <c r="W60" s="53"/>
      <c r="X60" s="464"/>
      <c r="Y60" s="464"/>
      <c r="Z60" s="465">
        <f>Z58-Z59</f>
        <v>183.939863</v>
      </c>
      <c r="AA60" s="466"/>
      <c r="AB60" s="467">
        <f t="shared" si="76"/>
        <v>0.9042471399999954</v>
      </c>
      <c r="AC60" s="468">
        <f t="shared" si="77"/>
        <v>4.9402797141493739E-3</v>
      </c>
      <c r="AD60" s="53"/>
      <c r="AE60" s="464"/>
      <c r="AF60" s="464"/>
      <c r="AG60" s="465">
        <f>AG58-AG59</f>
        <v>185.28236299999998</v>
      </c>
      <c r="AH60" s="466"/>
      <c r="AI60" s="467">
        <f t="shared" si="78"/>
        <v>1.3424999999999727</v>
      </c>
      <c r="AJ60" s="468">
        <f t="shared" si="79"/>
        <v>7.2985810585276594E-3</v>
      </c>
      <c r="AK60" s="53"/>
      <c r="AL60" s="464"/>
      <c r="AM60" s="464"/>
      <c r="AN60" s="465">
        <f>AN58-AN59</f>
        <v>186.50851299999999</v>
      </c>
      <c r="AO60" s="466"/>
      <c r="AP60" s="467">
        <f t="shared" si="80"/>
        <v>1.2261500000000183</v>
      </c>
      <c r="AQ60" s="468">
        <f t="shared" si="81"/>
        <v>6.6177372748641942E-3</v>
      </c>
      <c r="AR60" s="462"/>
    </row>
    <row r="61" spans="1:44" ht="8.25"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75"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5.75" customHeight="1">
      <c r="A65" s="473" t="s">
        <v>385</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474"/>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F00-000000000000}">
      <formula1>"TOU,non-TOU"</formula1>
    </dataValidation>
    <dataValidation type="list" allowBlank="1" showErrorMessage="1" sqref="E15:E28 E30:E36 E38:E39 E41:E49 E55 E61" xr:uid="{00000000-0002-0000-0F00-000001000000}">
      <formula1>#REF!</formula1>
    </dataValidation>
    <dataValidation type="list" allowBlank="1" showInputMessage="1" showErrorMessage="1" prompt="Select Charge Unit - monthly, per kWh, per kW" sqref="D15:D28 D30:D36 D38:D39 D41:D49 D55 D61" xr:uid="{00000000-0002-0000-0F00-000002000000}">
      <formula1>"Monthly,per kWh,per kW"</formula1>
    </dataValidation>
  </dataValidations>
  <pageMargins left="0.74803149606299213" right="0.74803149606299213" top="0.98425196850393704" bottom="0.98425196850393704"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1.85546875" customWidth="1"/>
    <col min="4" max="4" width="11.42578125" customWidth="1"/>
    <col min="5" max="5" width="1.42578125" customWidth="1"/>
    <col min="6" max="6" width="10.570312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s>
  <sheetData>
    <row r="1" spans="1:44" ht="15" customHeight="1">
      <c r="A1" s="3"/>
      <c r="B1" s="3"/>
      <c r="C1" s="3"/>
      <c r="D1" s="3"/>
      <c r="E1" s="3"/>
      <c r="F1" s="3"/>
      <c r="G1" s="3"/>
      <c r="H1" s="3"/>
      <c r="I1" s="3"/>
      <c r="J1" s="3"/>
      <c r="K1" s="3"/>
      <c r="L1" s="3"/>
      <c r="M1" s="3"/>
      <c r="N1" s="3"/>
      <c r="O1" s="3"/>
      <c r="P1" s="3"/>
      <c r="Q1" s="3"/>
      <c r="R1" s="3"/>
      <c r="S1" s="628" t="s">
        <v>319</v>
      </c>
      <c r="T1" s="629"/>
      <c r="U1" s="629"/>
      <c r="V1" s="629"/>
      <c r="W1" s="629"/>
      <c r="X1" s="629"/>
      <c r="Y1" s="630"/>
      <c r="Z1" s="3"/>
      <c r="AA1" s="3"/>
      <c r="AB1" s="3"/>
      <c r="AC1" s="3"/>
      <c r="AD1" s="3"/>
      <c r="AE1" s="3"/>
      <c r="AF1" s="3"/>
      <c r="AG1" s="3"/>
      <c r="AH1" s="3"/>
      <c r="AI1" s="3"/>
      <c r="AJ1" s="3"/>
      <c r="AK1" s="3"/>
      <c r="AL1" s="3"/>
      <c r="AM1" s="3"/>
      <c r="AN1" s="3"/>
      <c r="AO1" s="3"/>
      <c r="AP1" s="3"/>
      <c r="AQ1" s="3"/>
      <c r="AR1" s="3"/>
    </row>
    <row r="2" spans="1:44" ht="18.75"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4" ht="18.75"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75" customHeight="1">
      <c r="A6" s="53"/>
      <c r="B6" s="327" t="s">
        <v>323</v>
      </c>
      <c r="C6" s="53"/>
      <c r="D6" s="375" t="s">
        <v>247</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7.5"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75"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75"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75" customHeight="1">
      <c r="A10" s="53"/>
      <c r="B10" s="53"/>
      <c r="C10" s="53"/>
      <c r="D10" s="314" t="s">
        <v>326</v>
      </c>
      <c r="E10" s="314"/>
      <c r="F10" s="380">
        <v>1500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75"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4" ht="12.75"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4" ht="12.75"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4" ht="12.75"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4" ht="12.75" customHeight="1">
      <c r="A15" s="53"/>
      <c r="B15" s="328" t="s">
        <v>246</v>
      </c>
      <c r="C15" s="389" t="str">
        <f t="shared" ref="C15:C28" si="0">D$6&amp;"."&amp;B15</f>
        <v>Residential.Monthly Service Charge</v>
      </c>
      <c r="D15" s="390" t="s">
        <v>335</v>
      </c>
      <c r="E15" s="328"/>
      <c r="F15" s="391">
        <f>IFERROR(VLOOKUP($C15,'Proposed Rates'!$B:$J,F$11,FALSE),0)</f>
        <v>34.26</v>
      </c>
      <c r="G15" s="392">
        <f t="shared" ref="G15:G28" si="1">IF($D15="Monthly",1,IF($D15="per KWH",$F$10,0))</f>
        <v>1</v>
      </c>
      <c r="H15" s="394">
        <f t="shared" ref="H15:H28" si="2">G15*F15</f>
        <v>34.26</v>
      </c>
      <c r="I15" s="138"/>
      <c r="J15" s="391">
        <f>IFERROR(VLOOKUP($C15,'Proposed Rates'!$B:$J,J$11,FALSE),0)</f>
        <v>39.200000000000003</v>
      </c>
      <c r="K15" s="392">
        <f t="shared" ref="K15:K28" si="3">IF($D15="Monthly",1,IF($D15="per KWH",$F$10,0))</f>
        <v>1</v>
      </c>
      <c r="L15" s="394">
        <f t="shared" ref="L15:L28" si="4">K15*J15</f>
        <v>39.200000000000003</v>
      </c>
      <c r="M15" s="138"/>
      <c r="N15" s="395">
        <f t="shared" ref="N15:N30" si="5">L15-H15</f>
        <v>4.9400000000000048</v>
      </c>
      <c r="O15" s="396">
        <f t="shared" ref="O15:O30" si="6">IF((H15)=0,"",(N15/H15))</f>
        <v>0.14419147694103926</v>
      </c>
      <c r="P15" s="53"/>
      <c r="Q15" s="391">
        <f>IFERROR(VLOOKUP($C15,'Proposed Rates'!$B:$J,Q$11,FALSE),0)</f>
        <v>41.1</v>
      </c>
      <c r="R15" s="392">
        <f t="shared" ref="R15:R28" si="7">IF($D15="Monthly",1,IF($D15="per KWH",$F$10,0))</f>
        <v>1</v>
      </c>
      <c r="S15" s="394">
        <f t="shared" ref="S15:S28" si="8">R15*Q15</f>
        <v>41.1</v>
      </c>
      <c r="T15" s="138"/>
      <c r="U15" s="395">
        <f t="shared" ref="U15:U48" si="9">S15-L15</f>
        <v>1.8999999999999986</v>
      </c>
      <c r="V15" s="396">
        <f t="shared" ref="V15:V48" si="10">IF((L15)=0,"",(U15/L15))</f>
        <v>4.8469387755102004E-2</v>
      </c>
      <c r="W15" s="53"/>
      <c r="X15" s="391">
        <f>IFERROR(VLOOKUP($C15,'Proposed Rates'!$B:$J,X$11,FALSE),0)</f>
        <v>43.93</v>
      </c>
      <c r="Y15" s="392">
        <f t="shared" ref="Y15:Y28" si="11">IF($D15="Monthly",1,IF($D15="per KWH",$F$10,0))</f>
        <v>1</v>
      </c>
      <c r="Z15" s="394">
        <f t="shared" ref="Z15:Z28" si="12">Y15*X15</f>
        <v>43.93</v>
      </c>
      <c r="AA15" s="138"/>
      <c r="AB15" s="395">
        <f t="shared" ref="AB15:AB48" si="13">Z15-S15</f>
        <v>2.8299999999999983</v>
      </c>
      <c r="AC15" s="396">
        <f t="shared" ref="AC15:AC48" si="14">IF((S15)=0,"",(AB15/S15))</f>
        <v>6.8856447688564429E-2</v>
      </c>
      <c r="AD15" s="53"/>
      <c r="AE15" s="391">
        <f>IFERROR(VLOOKUP($C15,'Proposed Rates'!$B:$J,AE$11,FALSE),0)</f>
        <v>45.42</v>
      </c>
      <c r="AF15" s="392">
        <f t="shared" ref="AF15:AF28" si="15">IF($D15="Monthly",1,IF($D15="per KWH",$F$10,0))</f>
        <v>1</v>
      </c>
      <c r="AG15" s="394">
        <f t="shared" ref="AG15:AG28" si="16">AF15*AE15</f>
        <v>45.42</v>
      </c>
      <c r="AH15" s="138"/>
      <c r="AI15" s="395">
        <f t="shared" ref="AI15:AI48" si="17">AG15-Z15</f>
        <v>1.490000000000002</v>
      </c>
      <c r="AJ15" s="396">
        <f t="shared" ref="AJ15:AJ48" si="18">IF((Z15)=0,"",(AI15/Z15))</f>
        <v>3.3917596175734165E-2</v>
      </c>
      <c r="AK15" s="53"/>
      <c r="AL15" s="391">
        <f>IFERROR(VLOOKUP($C15,'Proposed Rates'!$B:$J,AL$11,FALSE),0)</f>
        <v>46.78</v>
      </c>
      <c r="AM15" s="392">
        <f t="shared" ref="AM15:AM28" si="19">IF($D15="Monthly",1,IF($D15="per KWH",$F$10,0))</f>
        <v>1</v>
      </c>
      <c r="AN15" s="394">
        <f t="shared" ref="AN15:AN28" si="20">AM15*AL15</f>
        <v>46.78</v>
      </c>
      <c r="AO15" s="138"/>
      <c r="AP15" s="395">
        <f t="shared" ref="AP15:AP48" si="21">AN15-AG15</f>
        <v>1.3599999999999994</v>
      </c>
      <c r="AQ15" s="396">
        <f t="shared" ref="AQ15:AQ48" si="22">IF((AG15)=0,"",(AP15/AG15))</f>
        <v>2.9942756494936138E-2</v>
      </c>
      <c r="AR15" s="397"/>
    </row>
    <row r="16" spans="1:44" ht="12.75" customHeight="1">
      <c r="A16" s="53"/>
      <c r="B16" s="328" t="s">
        <v>336</v>
      </c>
      <c r="C16" s="389" t="str">
        <f t="shared" si="0"/>
        <v>Residential.Smart Meter Rate Adder</v>
      </c>
      <c r="D16" s="390" t="s">
        <v>335</v>
      </c>
      <c r="E16" s="328"/>
      <c r="F16" s="391">
        <f>IFERROR(VLOOKUP($C16,'Proposed Rates'!$B:$J,F$11,FALSE),0)</f>
        <v>0</v>
      </c>
      <c r="G16" s="392">
        <f t="shared" si="1"/>
        <v>1</v>
      </c>
      <c r="H16" s="394">
        <f t="shared" si="2"/>
        <v>0</v>
      </c>
      <c r="I16" s="138"/>
      <c r="J16" s="391">
        <f>IFERROR(VLOOKUP($C16,'Proposed Rates'!$B:$J,J$11,FALSE),0)</f>
        <v>0</v>
      </c>
      <c r="K16" s="392">
        <f t="shared" si="3"/>
        <v>1</v>
      </c>
      <c r="L16" s="394">
        <f t="shared" si="4"/>
        <v>0</v>
      </c>
      <c r="M16" s="138"/>
      <c r="N16" s="395">
        <f t="shared" si="5"/>
        <v>0</v>
      </c>
      <c r="O16" s="396" t="str">
        <f t="shared" si="6"/>
        <v/>
      </c>
      <c r="P16" s="53"/>
      <c r="Q16" s="391">
        <f>IFERROR(VLOOKUP($C16,'Proposed Rates'!$B:$J,Q$11,FALSE),0)</f>
        <v>0</v>
      </c>
      <c r="R16" s="392">
        <f t="shared" si="7"/>
        <v>1</v>
      </c>
      <c r="S16" s="394">
        <f t="shared" si="8"/>
        <v>0</v>
      </c>
      <c r="T16" s="138"/>
      <c r="U16" s="395">
        <f t="shared" si="9"/>
        <v>0</v>
      </c>
      <c r="V16" s="396" t="str">
        <f t="shared" si="10"/>
        <v/>
      </c>
      <c r="W16" s="53"/>
      <c r="X16" s="391">
        <f>IFERROR(VLOOKUP($C16,'Proposed Rates'!$B:$J,X$11,FALSE),0)</f>
        <v>0</v>
      </c>
      <c r="Y16" s="392">
        <f t="shared" si="11"/>
        <v>1</v>
      </c>
      <c r="Z16" s="394">
        <f t="shared" si="12"/>
        <v>0</v>
      </c>
      <c r="AA16" s="138"/>
      <c r="AB16" s="395">
        <f t="shared" si="13"/>
        <v>0</v>
      </c>
      <c r="AC16" s="396" t="str">
        <f t="shared" si="14"/>
        <v/>
      </c>
      <c r="AD16" s="53"/>
      <c r="AE16" s="391">
        <f>IFERROR(VLOOKUP($C16,'Proposed Rates'!$B:$J,AE$11,FALSE),0)</f>
        <v>0</v>
      </c>
      <c r="AF16" s="392">
        <f t="shared" si="15"/>
        <v>1</v>
      </c>
      <c r="AG16" s="394">
        <f t="shared" si="16"/>
        <v>0</v>
      </c>
      <c r="AH16" s="138"/>
      <c r="AI16" s="395">
        <f t="shared" si="17"/>
        <v>0</v>
      </c>
      <c r="AJ16" s="396" t="str">
        <f t="shared" si="18"/>
        <v/>
      </c>
      <c r="AK16" s="53"/>
      <c r="AL16" s="391">
        <f>IFERROR(VLOOKUP($C16,'Proposed Rates'!$B:$J,AL$11,FALSE),0)</f>
        <v>0</v>
      </c>
      <c r="AM16" s="392">
        <f t="shared" si="19"/>
        <v>1</v>
      </c>
      <c r="AN16" s="394">
        <f t="shared" si="20"/>
        <v>0</v>
      </c>
      <c r="AO16" s="138"/>
      <c r="AP16" s="395">
        <f t="shared" si="21"/>
        <v>0</v>
      </c>
      <c r="AQ16" s="396" t="str">
        <f t="shared" si="22"/>
        <v/>
      </c>
      <c r="AR16" s="397"/>
    </row>
    <row r="17" spans="1:44" ht="12.75" customHeight="1">
      <c r="A17" s="53"/>
      <c r="B17" s="398" t="str">
        <f>'Proposed Rates'!C115</f>
        <v>Rate Rider Calculation for Forgone Revenue - variable</v>
      </c>
      <c r="C17" s="389" t="str">
        <f t="shared" si="0"/>
        <v>Residential.Rate Rider Calculation for Forgone Revenue - variable</v>
      </c>
      <c r="D17" s="390" t="s">
        <v>337</v>
      </c>
      <c r="E17" s="328"/>
      <c r="F17" s="391">
        <f>IFERROR(VLOOKUP($C17,'Proposed Rates'!$B:$J,F$11,FALSE),0)</f>
        <v>0</v>
      </c>
      <c r="G17" s="392">
        <f t="shared" si="1"/>
        <v>1500</v>
      </c>
      <c r="H17" s="394">
        <f t="shared" si="2"/>
        <v>0</v>
      </c>
      <c r="I17" s="138"/>
      <c r="J17" s="391">
        <f>IFERROR(VLOOKUP($C17,'Proposed Rates'!$B:$J,J$11,FALSE),0)</f>
        <v>0</v>
      </c>
      <c r="K17" s="392">
        <f t="shared" si="3"/>
        <v>1500</v>
      </c>
      <c r="L17" s="394">
        <f t="shared" si="4"/>
        <v>0</v>
      </c>
      <c r="M17" s="138"/>
      <c r="N17" s="395">
        <f t="shared" si="5"/>
        <v>0</v>
      </c>
      <c r="O17" s="396" t="str">
        <f t="shared" si="6"/>
        <v/>
      </c>
      <c r="P17" s="53"/>
      <c r="Q17" s="391">
        <f>IFERROR(VLOOKUP($C17,'Proposed Rates'!$B:$J,Q$11,FALSE),0)</f>
        <v>0</v>
      </c>
      <c r="R17" s="392">
        <f t="shared" si="7"/>
        <v>1500</v>
      </c>
      <c r="S17" s="394">
        <f t="shared" si="8"/>
        <v>0</v>
      </c>
      <c r="T17" s="138"/>
      <c r="U17" s="395">
        <f t="shared" si="9"/>
        <v>0</v>
      </c>
      <c r="V17" s="396" t="str">
        <f t="shared" si="10"/>
        <v/>
      </c>
      <c r="W17" s="53"/>
      <c r="X17" s="391">
        <f>IFERROR(VLOOKUP($C17,'Proposed Rates'!$B:$J,X$11,FALSE),0)</f>
        <v>0</v>
      </c>
      <c r="Y17" s="392">
        <f t="shared" si="11"/>
        <v>1500</v>
      </c>
      <c r="Z17" s="394">
        <f t="shared" si="12"/>
        <v>0</v>
      </c>
      <c r="AA17" s="138"/>
      <c r="AB17" s="395">
        <f t="shared" si="13"/>
        <v>0</v>
      </c>
      <c r="AC17" s="396" t="str">
        <f t="shared" si="14"/>
        <v/>
      </c>
      <c r="AD17" s="53"/>
      <c r="AE17" s="391">
        <f>IFERROR(VLOOKUP($C17,'Proposed Rates'!$B:$J,AE$11,FALSE),0)</f>
        <v>0</v>
      </c>
      <c r="AF17" s="392">
        <f t="shared" si="15"/>
        <v>1500</v>
      </c>
      <c r="AG17" s="394">
        <f t="shared" si="16"/>
        <v>0</v>
      </c>
      <c r="AH17" s="138"/>
      <c r="AI17" s="395">
        <f t="shared" si="17"/>
        <v>0</v>
      </c>
      <c r="AJ17" s="396" t="str">
        <f t="shared" si="18"/>
        <v/>
      </c>
      <c r="AK17" s="53"/>
      <c r="AL17" s="391">
        <f>IFERROR(VLOOKUP($C17,'Proposed Rates'!$B:$J,AL$11,FALSE),0)</f>
        <v>0</v>
      </c>
      <c r="AM17" s="392">
        <f t="shared" si="19"/>
        <v>1500</v>
      </c>
      <c r="AN17" s="394">
        <f t="shared" si="20"/>
        <v>0</v>
      </c>
      <c r="AO17" s="138"/>
      <c r="AP17" s="395">
        <f t="shared" si="21"/>
        <v>0</v>
      </c>
      <c r="AQ17" s="396" t="str">
        <f t="shared" si="22"/>
        <v/>
      </c>
      <c r="AR17" s="397"/>
    </row>
    <row r="18" spans="1:44" ht="12.75" customHeight="1">
      <c r="A18" s="53"/>
      <c r="B18" s="398" t="str">
        <f>'Proposed Rates'!C128</f>
        <v>Rate Rider Calculation for Forgone Revenue - fixed</v>
      </c>
      <c r="C18" s="389" t="str">
        <f t="shared" si="0"/>
        <v>Residential.Rate Rider Calculation for Forgone Revenue - fixed</v>
      </c>
      <c r="D18" s="390" t="s">
        <v>335</v>
      </c>
      <c r="E18" s="328"/>
      <c r="F18" s="391">
        <f>IFERROR(VLOOKUP($C18,'Proposed Rates'!$B:$J,F$11,FALSE),0)</f>
        <v>0</v>
      </c>
      <c r="G18" s="392">
        <f t="shared" si="1"/>
        <v>1</v>
      </c>
      <c r="H18" s="394">
        <f t="shared" si="2"/>
        <v>0</v>
      </c>
      <c r="I18" s="138"/>
      <c r="J18" s="391">
        <f>IFERROR(VLOOKUP($C18,'Proposed Rates'!$B:$J,J$11,FALSE),0)</f>
        <v>1.84</v>
      </c>
      <c r="K18" s="392">
        <f t="shared" si="3"/>
        <v>1</v>
      </c>
      <c r="L18" s="394">
        <f t="shared" si="4"/>
        <v>1.84</v>
      </c>
      <c r="M18" s="138"/>
      <c r="N18" s="395">
        <f t="shared" si="5"/>
        <v>1.84</v>
      </c>
      <c r="O18" s="396" t="str">
        <f t="shared" si="6"/>
        <v/>
      </c>
      <c r="P18" s="53"/>
      <c r="Q18" s="391">
        <f>IFERROR(VLOOKUP($C18,'Proposed Rates'!$B:$J,Q$11,FALSE),0)</f>
        <v>1.84</v>
      </c>
      <c r="R18" s="392">
        <f t="shared" si="7"/>
        <v>1</v>
      </c>
      <c r="S18" s="394">
        <f t="shared" si="8"/>
        <v>1.84</v>
      </c>
      <c r="T18" s="138"/>
      <c r="U18" s="395">
        <f t="shared" si="9"/>
        <v>0</v>
      </c>
      <c r="V18" s="396">
        <f t="shared" si="10"/>
        <v>0</v>
      </c>
      <c r="W18" s="53"/>
      <c r="X18" s="391">
        <f>IFERROR(VLOOKUP($C18,'Proposed Rates'!$B:$J,X$11,FALSE),0)</f>
        <v>0</v>
      </c>
      <c r="Y18" s="392">
        <f t="shared" si="11"/>
        <v>1</v>
      </c>
      <c r="Z18" s="394">
        <f t="shared" si="12"/>
        <v>0</v>
      </c>
      <c r="AA18" s="138"/>
      <c r="AB18" s="395">
        <f t="shared" si="13"/>
        <v>-1.84</v>
      </c>
      <c r="AC18" s="396">
        <f t="shared" si="14"/>
        <v>-1</v>
      </c>
      <c r="AD18" s="53"/>
      <c r="AE18" s="391">
        <f>IFERROR(VLOOKUP($C18,'Proposed Rates'!$B:$J,AE$11,FALSE),0)</f>
        <v>0</v>
      </c>
      <c r="AF18" s="392">
        <f t="shared" si="15"/>
        <v>1</v>
      </c>
      <c r="AG18" s="394">
        <f t="shared" si="16"/>
        <v>0</v>
      </c>
      <c r="AH18" s="138"/>
      <c r="AI18" s="395">
        <f t="shared" si="17"/>
        <v>0</v>
      </c>
      <c r="AJ18" s="396" t="str">
        <f t="shared" si="18"/>
        <v/>
      </c>
      <c r="AK18" s="53"/>
      <c r="AL18" s="391">
        <f>IFERROR(VLOOKUP($C18,'Proposed Rates'!$B:$J,AL$11,FALSE),0)</f>
        <v>0</v>
      </c>
      <c r="AM18" s="392">
        <f t="shared" si="19"/>
        <v>1</v>
      </c>
      <c r="AN18" s="394">
        <f t="shared" si="20"/>
        <v>0</v>
      </c>
      <c r="AO18" s="138"/>
      <c r="AP18" s="395">
        <f t="shared" si="21"/>
        <v>0</v>
      </c>
      <c r="AQ18" s="396" t="str">
        <f t="shared" si="22"/>
        <v/>
      </c>
      <c r="AR18" s="397"/>
    </row>
    <row r="19" spans="1:44" ht="12.75" customHeight="1">
      <c r="A19" s="53"/>
      <c r="B19" s="328" t="s">
        <v>62</v>
      </c>
      <c r="C19" s="389" t="str">
        <f t="shared" si="0"/>
        <v>Residential.Distribution Volumetric Rate</v>
      </c>
      <c r="D19" s="390" t="s">
        <v>337</v>
      </c>
      <c r="E19" s="328"/>
      <c r="F19" s="391">
        <f>IFERROR(VLOOKUP($C19,'Proposed Rates'!$B:$J,F$11,FALSE),0)</f>
        <v>0</v>
      </c>
      <c r="G19" s="392">
        <f t="shared" si="1"/>
        <v>1500</v>
      </c>
      <c r="H19" s="394">
        <f t="shared" si="2"/>
        <v>0</v>
      </c>
      <c r="I19" s="138"/>
      <c r="J19" s="391">
        <f>IFERROR(VLOOKUP($C19,'Proposed Rates'!$B:$J,J$11,FALSE),0)</f>
        <v>0</v>
      </c>
      <c r="K19" s="392">
        <f t="shared" si="3"/>
        <v>1500</v>
      </c>
      <c r="L19" s="394">
        <f t="shared" si="4"/>
        <v>0</v>
      </c>
      <c r="M19" s="138"/>
      <c r="N19" s="395">
        <f t="shared" si="5"/>
        <v>0</v>
      </c>
      <c r="O19" s="396" t="str">
        <f t="shared" si="6"/>
        <v/>
      </c>
      <c r="P19" s="53"/>
      <c r="Q19" s="391">
        <f>IFERROR(VLOOKUP($C19,'Proposed Rates'!$B:$J,Q$11,FALSE),0)</f>
        <v>0</v>
      </c>
      <c r="R19" s="392">
        <f t="shared" si="7"/>
        <v>1500</v>
      </c>
      <c r="S19" s="394">
        <f t="shared" si="8"/>
        <v>0</v>
      </c>
      <c r="T19" s="138"/>
      <c r="U19" s="395">
        <f t="shared" si="9"/>
        <v>0</v>
      </c>
      <c r="V19" s="396" t="str">
        <f t="shared" si="10"/>
        <v/>
      </c>
      <c r="W19" s="53"/>
      <c r="X19" s="391">
        <f>IFERROR(VLOOKUP($C19,'Proposed Rates'!$B:$J,X$11,FALSE),0)</f>
        <v>0</v>
      </c>
      <c r="Y19" s="392">
        <f t="shared" si="11"/>
        <v>1500</v>
      </c>
      <c r="Z19" s="394">
        <f t="shared" si="12"/>
        <v>0</v>
      </c>
      <c r="AA19" s="138"/>
      <c r="AB19" s="395">
        <f t="shared" si="13"/>
        <v>0</v>
      </c>
      <c r="AC19" s="396" t="str">
        <f t="shared" si="14"/>
        <v/>
      </c>
      <c r="AD19" s="53"/>
      <c r="AE19" s="391">
        <f>IFERROR(VLOOKUP($C19,'Proposed Rates'!$B:$J,AE$11,FALSE),0)</f>
        <v>0</v>
      </c>
      <c r="AF19" s="392">
        <f t="shared" si="15"/>
        <v>1500</v>
      </c>
      <c r="AG19" s="394">
        <f t="shared" si="16"/>
        <v>0</v>
      </c>
      <c r="AH19" s="138"/>
      <c r="AI19" s="395">
        <f t="shared" si="17"/>
        <v>0</v>
      </c>
      <c r="AJ19" s="396" t="str">
        <f t="shared" si="18"/>
        <v/>
      </c>
      <c r="AK19" s="53"/>
      <c r="AL19" s="391">
        <f>IFERROR(VLOOKUP($C19,'Proposed Rates'!$B:$J,AL$11,FALSE),0)</f>
        <v>0</v>
      </c>
      <c r="AM19" s="392">
        <f t="shared" si="19"/>
        <v>1500</v>
      </c>
      <c r="AN19" s="394">
        <f t="shared" si="20"/>
        <v>0</v>
      </c>
      <c r="AO19" s="138"/>
      <c r="AP19" s="395">
        <f t="shared" si="21"/>
        <v>0</v>
      </c>
      <c r="AQ19" s="396" t="str">
        <f t="shared" si="22"/>
        <v/>
      </c>
      <c r="AR19" s="397"/>
    </row>
    <row r="20" spans="1:44" ht="12.75" customHeight="1">
      <c r="A20" s="53"/>
      <c r="B20" s="328" t="s">
        <v>338</v>
      </c>
      <c r="C20" s="389" t="str">
        <f t="shared" si="0"/>
        <v>Residential.Smart Meter Disposition Rider</v>
      </c>
      <c r="D20" s="390" t="s">
        <v>337</v>
      </c>
      <c r="E20" s="328"/>
      <c r="F20" s="391">
        <f>IFERROR(VLOOKUP($C20,'Proposed Rates'!$B:$J,F$11,FALSE),0)</f>
        <v>0</v>
      </c>
      <c r="G20" s="392">
        <f t="shared" si="1"/>
        <v>1500</v>
      </c>
      <c r="H20" s="394">
        <f t="shared" si="2"/>
        <v>0</v>
      </c>
      <c r="I20" s="138"/>
      <c r="J20" s="391">
        <f>IFERROR(VLOOKUP($C20,'Proposed Rates'!$B:$J,J$11,FALSE),0)</f>
        <v>0</v>
      </c>
      <c r="K20" s="392">
        <f t="shared" si="3"/>
        <v>1500</v>
      </c>
      <c r="L20" s="394">
        <f t="shared" si="4"/>
        <v>0</v>
      </c>
      <c r="M20" s="138"/>
      <c r="N20" s="395">
        <f t="shared" si="5"/>
        <v>0</v>
      </c>
      <c r="O20" s="396" t="str">
        <f t="shared" si="6"/>
        <v/>
      </c>
      <c r="P20" s="53"/>
      <c r="Q20" s="391">
        <f>IFERROR(VLOOKUP($C20,'Proposed Rates'!$B:$J,Q$11,FALSE),0)</f>
        <v>0</v>
      </c>
      <c r="R20" s="392">
        <f t="shared" si="7"/>
        <v>1500</v>
      </c>
      <c r="S20" s="394">
        <f t="shared" si="8"/>
        <v>0</v>
      </c>
      <c r="T20" s="138"/>
      <c r="U20" s="395">
        <f t="shared" si="9"/>
        <v>0</v>
      </c>
      <c r="V20" s="396" t="str">
        <f t="shared" si="10"/>
        <v/>
      </c>
      <c r="W20" s="53"/>
      <c r="X20" s="391">
        <f>IFERROR(VLOOKUP($C20,'Proposed Rates'!$B:$J,X$11,FALSE),0)</f>
        <v>0</v>
      </c>
      <c r="Y20" s="392">
        <f t="shared" si="11"/>
        <v>1500</v>
      </c>
      <c r="Z20" s="394">
        <f t="shared" si="12"/>
        <v>0</v>
      </c>
      <c r="AA20" s="138"/>
      <c r="AB20" s="395">
        <f t="shared" si="13"/>
        <v>0</v>
      </c>
      <c r="AC20" s="396" t="str">
        <f t="shared" si="14"/>
        <v/>
      </c>
      <c r="AD20" s="53"/>
      <c r="AE20" s="391">
        <f>IFERROR(VLOOKUP($C20,'Proposed Rates'!$B:$J,AE$11,FALSE),0)</f>
        <v>0</v>
      </c>
      <c r="AF20" s="392">
        <f t="shared" si="15"/>
        <v>1500</v>
      </c>
      <c r="AG20" s="394">
        <f t="shared" si="16"/>
        <v>0</v>
      </c>
      <c r="AH20" s="138"/>
      <c r="AI20" s="395">
        <f t="shared" si="17"/>
        <v>0</v>
      </c>
      <c r="AJ20" s="396" t="str">
        <f t="shared" si="18"/>
        <v/>
      </c>
      <c r="AK20" s="53"/>
      <c r="AL20" s="391">
        <f>IFERROR(VLOOKUP($C20,'Proposed Rates'!$B:$J,AL$11,FALSE),0)</f>
        <v>0</v>
      </c>
      <c r="AM20" s="392">
        <f t="shared" si="19"/>
        <v>1500</v>
      </c>
      <c r="AN20" s="394">
        <f t="shared" si="20"/>
        <v>0</v>
      </c>
      <c r="AO20" s="138"/>
      <c r="AP20" s="395">
        <f t="shared" si="21"/>
        <v>0</v>
      </c>
      <c r="AQ20" s="396" t="str">
        <f t="shared" si="22"/>
        <v/>
      </c>
      <c r="AR20" s="397"/>
    </row>
    <row r="21" spans="1:44" ht="12.75" customHeight="1">
      <c r="A21" s="53"/>
      <c r="B21" s="328" t="s">
        <v>269</v>
      </c>
      <c r="C21" s="389" t="str">
        <f t="shared" si="0"/>
        <v>Residential.LRAM Rate Rider</v>
      </c>
      <c r="D21" s="390" t="s">
        <v>335</v>
      </c>
      <c r="E21" s="328"/>
      <c r="F21" s="391">
        <f>'Proposed Rates'!E77+'Proposed Rates'!E90</f>
        <v>0.25</v>
      </c>
      <c r="G21" s="392">
        <f t="shared" si="1"/>
        <v>1</v>
      </c>
      <c r="H21" s="393">
        <f t="shared" si="2"/>
        <v>0.25</v>
      </c>
      <c r="I21" s="53"/>
      <c r="J21" s="391">
        <f>'Proposed Rates'!F77+'Proposed Rates'!F90</f>
        <v>0</v>
      </c>
      <c r="K21" s="392">
        <f t="shared" si="3"/>
        <v>1</v>
      </c>
      <c r="L21" s="394">
        <f t="shared" si="4"/>
        <v>0</v>
      </c>
      <c r="M21" s="138"/>
      <c r="N21" s="395">
        <f t="shared" si="5"/>
        <v>-0.25</v>
      </c>
      <c r="O21" s="396">
        <f t="shared" si="6"/>
        <v>-1</v>
      </c>
      <c r="P21" s="53"/>
      <c r="Q21" s="391">
        <f>'Proposed Rates'!G77+'Proposed Rates'!G90</f>
        <v>0</v>
      </c>
      <c r="R21" s="392">
        <f t="shared" si="7"/>
        <v>1</v>
      </c>
      <c r="S21" s="394">
        <f t="shared" si="8"/>
        <v>0</v>
      </c>
      <c r="T21" s="138"/>
      <c r="U21" s="395">
        <f t="shared" si="9"/>
        <v>0</v>
      </c>
      <c r="V21" s="396" t="str">
        <f t="shared" si="10"/>
        <v/>
      </c>
      <c r="W21" s="53"/>
      <c r="X21" s="391">
        <f>IFERROR(VLOOKUP($C21,'Proposed Rates'!$B:$J,X$11,FALSE),0)</f>
        <v>0</v>
      </c>
      <c r="Y21" s="392">
        <f t="shared" si="11"/>
        <v>1</v>
      </c>
      <c r="Z21" s="394">
        <f t="shared" si="12"/>
        <v>0</v>
      </c>
      <c r="AA21" s="138"/>
      <c r="AB21" s="395">
        <f t="shared" si="13"/>
        <v>0</v>
      </c>
      <c r="AC21" s="396" t="str">
        <f t="shared" si="14"/>
        <v/>
      </c>
      <c r="AD21" s="53"/>
      <c r="AE21" s="391">
        <f>IFERROR(VLOOKUP($C21,'Proposed Rates'!$B:$J,AE$11,FALSE),0)</f>
        <v>0</v>
      </c>
      <c r="AF21" s="392">
        <f t="shared" si="15"/>
        <v>1</v>
      </c>
      <c r="AG21" s="394">
        <f t="shared" si="16"/>
        <v>0</v>
      </c>
      <c r="AH21" s="138"/>
      <c r="AI21" s="395">
        <f t="shared" si="17"/>
        <v>0</v>
      </c>
      <c r="AJ21" s="396" t="str">
        <f t="shared" si="18"/>
        <v/>
      </c>
      <c r="AK21" s="53"/>
      <c r="AL21" s="391">
        <f>IFERROR(VLOOKUP($C21,'Proposed Rates'!$B:$J,AL$11,FALSE),0)</f>
        <v>0</v>
      </c>
      <c r="AM21" s="392">
        <f t="shared" si="19"/>
        <v>1</v>
      </c>
      <c r="AN21" s="394">
        <f t="shared" si="20"/>
        <v>0</v>
      </c>
      <c r="AO21" s="138"/>
      <c r="AP21" s="395">
        <f t="shared" si="21"/>
        <v>0</v>
      </c>
      <c r="AQ21" s="396" t="str">
        <f t="shared" si="22"/>
        <v/>
      </c>
      <c r="AR21" s="397"/>
    </row>
    <row r="22" spans="1:44" ht="12.75" customHeight="1">
      <c r="A22" s="53"/>
      <c r="B22" s="398" t="s">
        <v>265</v>
      </c>
      <c r="C22" s="389" t="str">
        <f t="shared" si="0"/>
        <v>Residential.Deferral/Variance Account Disposition Rate Rider Group 2</v>
      </c>
      <c r="D22" s="390" t="s">
        <v>335</v>
      </c>
      <c r="E22" s="328"/>
      <c r="F22" s="391">
        <f>IFERROR(VLOOKUP($C22,'Proposed Rates'!$B:$J,F$11,FALSE),0)</f>
        <v>0</v>
      </c>
      <c r="G22" s="392">
        <f t="shared" si="1"/>
        <v>1</v>
      </c>
      <c r="H22" s="394">
        <f t="shared" si="2"/>
        <v>0</v>
      </c>
      <c r="I22" s="138"/>
      <c r="J22" s="391">
        <f>IFERROR(VLOOKUP($C22,'Proposed Rates'!$B:$J,J$11,FALSE),0)</f>
        <v>-1.19</v>
      </c>
      <c r="K22" s="392">
        <f t="shared" si="3"/>
        <v>1</v>
      </c>
      <c r="L22" s="394">
        <f t="shared" si="4"/>
        <v>-1.19</v>
      </c>
      <c r="M22" s="138"/>
      <c r="N22" s="395">
        <f t="shared" si="5"/>
        <v>-1.19</v>
      </c>
      <c r="O22" s="396" t="str">
        <f t="shared" si="6"/>
        <v/>
      </c>
      <c r="P22" s="53"/>
      <c r="Q22" s="391">
        <f>IFERROR(VLOOKUP($C22,'Proposed Rates'!$B:$J,Q$11,FALSE),0)</f>
        <v>0</v>
      </c>
      <c r="R22" s="392">
        <f t="shared" si="7"/>
        <v>1</v>
      </c>
      <c r="S22" s="394">
        <f t="shared" si="8"/>
        <v>0</v>
      </c>
      <c r="T22" s="138"/>
      <c r="U22" s="395">
        <f t="shared" si="9"/>
        <v>1.19</v>
      </c>
      <c r="V22" s="396">
        <f t="shared" si="10"/>
        <v>-1</v>
      </c>
      <c r="W22" s="53"/>
      <c r="X22" s="391">
        <f>IFERROR(VLOOKUP($C22,'Proposed Rates'!$B:$J,X$11,FALSE),0)</f>
        <v>0</v>
      </c>
      <c r="Y22" s="392">
        <f t="shared" si="11"/>
        <v>1</v>
      </c>
      <c r="Z22" s="394">
        <f t="shared" si="12"/>
        <v>0</v>
      </c>
      <c r="AA22" s="138"/>
      <c r="AB22" s="395">
        <f t="shared" si="13"/>
        <v>0</v>
      </c>
      <c r="AC22" s="396" t="str">
        <f t="shared" si="14"/>
        <v/>
      </c>
      <c r="AD22" s="53"/>
      <c r="AE22" s="391">
        <f>IFERROR(VLOOKUP($C22,'Proposed Rates'!$B:$J,AE$11,FALSE),0)</f>
        <v>0</v>
      </c>
      <c r="AF22" s="392">
        <f t="shared" si="15"/>
        <v>1</v>
      </c>
      <c r="AG22" s="394">
        <f t="shared" si="16"/>
        <v>0</v>
      </c>
      <c r="AH22" s="138"/>
      <c r="AI22" s="395">
        <f t="shared" si="17"/>
        <v>0</v>
      </c>
      <c r="AJ22" s="396" t="str">
        <f t="shared" si="18"/>
        <v/>
      </c>
      <c r="AK22" s="53"/>
      <c r="AL22" s="391">
        <f>IFERROR(VLOOKUP($C22,'Proposed Rates'!$B:$J,AL$11,FALSE),0)</f>
        <v>0</v>
      </c>
      <c r="AM22" s="392">
        <f t="shared" si="19"/>
        <v>1</v>
      </c>
      <c r="AN22" s="394">
        <f t="shared" si="20"/>
        <v>0</v>
      </c>
      <c r="AO22" s="138"/>
      <c r="AP22" s="395">
        <f t="shared" si="21"/>
        <v>0</v>
      </c>
      <c r="AQ22" s="396" t="str">
        <f t="shared" si="22"/>
        <v/>
      </c>
      <c r="AR22" s="397"/>
    </row>
    <row r="23" spans="1:44" ht="12.75" customHeight="1">
      <c r="A23" s="53"/>
      <c r="B23" s="398"/>
      <c r="C23" s="389" t="str">
        <f t="shared" si="0"/>
        <v>Residential.</v>
      </c>
      <c r="D23" s="390"/>
      <c r="E23" s="328"/>
      <c r="F23" s="391">
        <f>IFERROR(VLOOKUP($C23,'Proposed Rates'!$B:$J,F$11,FALSE),0)</f>
        <v>0</v>
      </c>
      <c r="G23" s="392">
        <f t="shared" si="1"/>
        <v>0</v>
      </c>
      <c r="H23" s="394">
        <f t="shared" si="2"/>
        <v>0</v>
      </c>
      <c r="I23" s="138"/>
      <c r="J23" s="391">
        <f>IFERROR(VLOOKUP($C23,'Proposed Rates'!$B:$J,J$11,FALSE),0)</f>
        <v>0</v>
      </c>
      <c r="K23" s="392">
        <f t="shared" si="3"/>
        <v>0</v>
      </c>
      <c r="L23" s="394">
        <f t="shared" si="4"/>
        <v>0</v>
      </c>
      <c r="M23" s="138"/>
      <c r="N23" s="395">
        <f t="shared" si="5"/>
        <v>0</v>
      </c>
      <c r="O23" s="396" t="str">
        <f t="shared" si="6"/>
        <v/>
      </c>
      <c r="P23" s="53"/>
      <c r="Q23" s="391">
        <f>IFERROR(VLOOKUP($C23,'Proposed Rates'!$B:$J,Q$11,FALSE),0)</f>
        <v>0</v>
      </c>
      <c r="R23" s="392">
        <f t="shared" si="7"/>
        <v>0</v>
      </c>
      <c r="S23" s="394">
        <f t="shared" si="8"/>
        <v>0</v>
      </c>
      <c r="T23" s="138"/>
      <c r="U23" s="395">
        <f t="shared" si="9"/>
        <v>0</v>
      </c>
      <c r="V23" s="396" t="str">
        <f t="shared" si="10"/>
        <v/>
      </c>
      <c r="W23" s="53"/>
      <c r="X23" s="391">
        <f>IFERROR(VLOOKUP($C23,'Proposed Rates'!$B:$J,X$11,FALSE),0)</f>
        <v>0</v>
      </c>
      <c r="Y23" s="392">
        <f t="shared" si="11"/>
        <v>0</v>
      </c>
      <c r="Z23" s="394">
        <f t="shared" si="12"/>
        <v>0</v>
      </c>
      <c r="AA23" s="138"/>
      <c r="AB23" s="395">
        <f t="shared" si="13"/>
        <v>0</v>
      </c>
      <c r="AC23" s="396" t="str">
        <f t="shared" si="14"/>
        <v/>
      </c>
      <c r="AD23" s="53"/>
      <c r="AE23" s="391">
        <f>IFERROR(VLOOKUP($C23,'Proposed Rates'!$B:$J,AE$11,FALSE),0)</f>
        <v>0</v>
      </c>
      <c r="AF23" s="392">
        <f t="shared" si="15"/>
        <v>0</v>
      </c>
      <c r="AG23" s="394">
        <f t="shared" si="16"/>
        <v>0</v>
      </c>
      <c r="AH23" s="138"/>
      <c r="AI23" s="395">
        <f t="shared" si="17"/>
        <v>0</v>
      </c>
      <c r="AJ23" s="396" t="str">
        <f t="shared" si="18"/>
        <v/>
      </c>
      <c r="AK23" s="53"/>
      <c r="AL23" s="391">
        <f>IFERROR(VLOOKUP($C23,'Proposed Rates'!$B:$J,AL$11,FALSE),0)</f>
        <v>0</v>
      </c>
      <c r="AM23" s="392">
        <f t="shared" si="19"/>
        <v>0</v>
      </c>
      <c r="AN23" s="394">
        <f t="shared" si="20"/>
        <v>0</v>
      </c>
      <c r="AO23" s="138"/>
      <c r="AP23" s="395">
        <f t="shared" si="21"/>
        <v>0</v>
      </c>
      <c r="AQ23" s="396" t="str">
        <f t="shared" si="22"/>
        <v/>
      </c>
      <c r="AR23" s="397"/>
    </row>
    <row r="24" spans="1:44" ht="12.75" customHeight="1">
      <c r="A24" s="53"/>
      <c r="B24" s="398"/>
      <c r="C24" s="389" t="str">
        <f t="shared" si="0"/>
        <v>Residential.</v>
      </c>
      <c r="D24" s="390"/>
      <c r="E24" s="328"/>
      <c r="F24" s="391">
        <f>IFERROR(VLOOKUP($C24,'Proposed Rates'!$B:$J,F$11,FALSE),0)</f>
        <v>0</v>
      </c>
      <c r="G24" s="392">
        <f t="shared" si="1"/>
        <v>0</v>
      </c>
      <c r="H24" s="394">
        <f t="shared" si="2"/>
        <v>0</v>
      </c>
      <c r="I24" s="138"/>
      <c r="J24" s="391">
        <f>IFERROR(VLOOKUP($C24,'Proposed Rates'!$B:$J,J$11,FALSE),0)</f>
        <v>0</v>
      </c>
      <c r="K24" s="392">
        <f t="shared" si="3"/>
        <v>0</v>
      </c>
      <c r="L24" s="394">
        <f t="shared" si="4"/>
        <v>0</v>
      </c>
      <c r="M24" s="138"/>
      <c r="N24" s="395">
        <f t="shared" si="5"/>
        <v>0</v>
      </c>
      <c r="O24" s="396" t="str">
        <f t="shared" si="6"/>
        <v/>
      </c>
      <c r="P24" s="53"/>
      <c r="Q24" s="391">
        <f>IFERROR(VLOOKUP($C24,'Proposed Rates'!$B:$J,Q$11,FALSE),0)</f>
        <v>0</v>
      </c>
      <c r="R24" s="392">
        <f t="shared" si="7"/>
        <v>0</v>
      </c>
      <c r="S24" s="394">
        <f t="shared" si="8"/>
        <v>0</v>
      </c>
      <c r="T24" s="138"/>
      <c r="U24" s="395">
        <f t="shared" si="9"/>
        <v>0</v>
      </c>
      <c r="V24" s="396" t="str">
        <f t="shared" si="10"/>
        <v/>
      </c>
      <c r="W24" s="53"/>
      <c r="X24" s="391">
        <f>IFERROR(VLOOKUP($C24,'Proposed Rates'!$B:$J,X$11,FALSE),0)</f>
        <v>0</v>
      </c>
      <c r="Y24" s="392">
        <f t="shared" si="11"/>
        <v>0</v>
      </c>
      <c r="Z24" s="394">
        <f t="shared" si="12"/>
        <v>0</v>
      </c>
      <c r="AA24" s="138"/>
      <c r="AB24" s="395">
        <f t="shared" si="13"/>
        <v>0</v>
      </c>
      <c r="AC24" s="396" t="str">
        <f t="shared" si="14"/>
        <v/>
      </c>
      <c r="AD24" s="53"/>
      <c r="AE24" s="391">
        <f>IFERROR(VLOOKUP($C24,'Proposed Rates'!$B:$J,AE$11,FALSE),0)</f>
        <v>0</v>
      </c>
      <c r="AF24" s="392">
        <f t="shared" si="15"/>
        <v>0</v>
      </c>
      <c r="AG24" s="394">
        <f t="shared" si="16"/>
        <v>0</v>
      </c>
      <c r="AH24" s="138"/>
      <c r="AI24" s="395">
        <f t="shared" si="17"/>
        <v>0</v>
      </c>
      <c r="AJ24" s="396" t="str">
        <f t="shared" si="18"/>
        <v/>
      </c>
      <c r="AK24" s="53"/>
      <c r="AL24" s="391">
        <f>IFERROR(VLOOKUP($C24,'Proposed Rates'!$B:$J,AL$11,FALSE),0)</f>
        <v>0</v>
      </c>
      <c r="AM24" s="392">
        <f t="shared" si="19"/>
        <v>0</v>
      </c>
      <c r="AN24" s="394">
        <f t="shared" si="20"/>
        <v>0</v>
      </c>
      <c r="AO24" s="138"/>
      <c r="AP24" s="395">
        <f t="shared" si="21"/>
        <v>0</v>
      </c>
      <c r="AQ24" s="396" t="str">
        <f t="shared" si="22"/>
        <v/>
      </c>
      <c r="AR24" s="397"/>
    </row>
    <row r="25" spans="1:44" ht="12.75" customHeight="1">
      <c r="A25" s="53"/>
      <c r="B25" s="398"/>
      <c r="C25" s="389" t="str">
        <f t="shared" si="0"/>
        <v>Residential.</v>
      </c>
      <c r="D25" s="390"/>
      <c r="E25" s="328"/>
      <c r="F25" s="391">
        <f>IFERROR(VLOOKUP($C25,'Proposed Rates'!$B:$J,F$11,FALSE),0)</f>
        <v>0</v>
      </c>
      <c r="G25" s="392">
        <f t="shared" si="1"/>
        <v>0</v>
      </c>
      <c r="H25" s="394">
        <f t="shared" si="2"/>
        <v>0</v>
      </c>
      <c r="I25" s="138"/>
      <c r="J25" s="391">
        <f>IFERROR(VLOOKUP($C25,'Proposed Rates'!$B:$J,J$11,FALSE),0)</f>
        <v>0</v>
      </c>
      <c r="K25" s="392">
        <f t="shared" si="3"/>
        <v>0</v>
      </c>
      <c r="L25" s="394">
        <f t="shared" si="4"/>
        <v>0</v>
      </c>
      <c r="M25" s="138"/>
      <c r="N25" s="395">
        <f t="shared" si="5"/>
        <v>0</v>
      </c>
      <c r="O25" s="396" t="str">
        <f t="shared" si="6"/>
        <v/>
      </c>
      <c r="P25" s="53"/>
      <c r="Q25" s="391">
        <f>IFERROR(VLOOKUP($C25,'Proposed Rates'!$B:$J,Q$11,FALSE),0)</f>
        <v>0</v>
      </c>
      <c r="R25" s="392">
        <f t="shared" si="7"/>
        <v>0</v>
      </c>
      <c r="S25" s="394">
        <f t="shared" si="8"/>
        <v>0</v>
      </c>
      <c r="T25" s="138"/>
      <c r="U25" s="395">
        <f t="shared" si="9"/>
        <v>0</v>
      </c>
      <c r="V25" s="396" t="str">
        <f t="shared" si="10"/>
        <v/>
      </c>
      <c r="W25" s="53"/>
      <c r="X25" s="391">
        <f>IFERROR(VLOOKUP($C25,'Proposed Rates'!$B:$J,X$11,FALSE),0)</f>
        <v>0</v>
      </c>
      <c r="Y25" s="392">
        <f t="shared" si="11"/>
        <v>0</v>
      </c>
      <c r="Z25" s="394">
        <f t="shared" si="12"/>
        <v>0</v>
      </c>
      <c r="AA25" s="138"/>
      <c r="AB25" s="395">
        <f t="shared" si="13"/>
        <v>0</v>
      </c>
      <c r="AC25" s="396" t="str">
        <f t="shared" si="14"/>
        <v/>
      </c>
      <c r="AD25" s="53"/>
      <c r="AE25" s="391">
        <f>IFERROR(VLOOKUP($C25,'Proposed Rates'!$B:$J,AE$11,FALSE),0)</f>
        <v>0</v>
      </c>
      <c r="AF25" s="392">
        <f t="shared" si="15"/>
        <v>0</v>
      </c>
      <c r="AG25" s="394">
        <f t="shared" si="16"/>
        <v>0</v>
      </c>
      <c r="AH25" s="138"/>
      <c r="AI25" s="395">
        <f t="shared" si="17"/>
        <v>0</v>
      </c>
      <c r="AJ25" s="396" t="str">
        <f t="shared" si="18"/>
        <v/>
      </c>
      <c r="AK25" s="53"/>
      <c r="AL25" s="391">
        <f>IFERROR(VLOOKUP($C25,'Proposed Rates'!$B:$J,AL$11,FALSE),0)</f>
        <v>0</v>
      </c>
      <c r="AM25" s="392">
        <f t="shared" si="19"/>
        <v>0</v>
      </c>
      <c r="AN25" s="394">
        <f t="shared" si="20"/>
        <v>0</v>
      </c>
      <c r="AO25" s="138"/>
      <c r="AP25" s="395">
        <f t="shared" si="21"/>
        <v>0</v>
      </c>
      <c r="AQ25" s="396" t="str">
        <f t="shared" si="22"/>
        <v/>
      </c>
      <c r="AR25" s="397"/>
    </row>
    <row r="26" spans="1:44" ht="12.75" customHeight="1">
      <c r="A26" s="53"/>
      <c r="B26" s="398"/>
      <c r="C26" s="389" t="str">
        <f t="shared" si="0"/>
        <v>Residential.</v>
      </c>
      <c r="D26" s="390"/>
      <c r="E26" s="328"/>
      <c r="F26" s="391">
        <f>IFERROR(VLOOKUP($C26,'Proposed Rates'!$B:$J,F$11,FALSE),0)</f>
        <v>0</v>
      </c>
      <c r="G26" s="392">
        <f t="shared" si="1"/>
        <v>0</v>
      </c>
      <c r="H26" s="394">
        <f t="shared" si="2"/>
        <v>0</v>
      </c>
      <c r="I26" s="138"/>
      <c r="J26" s="391">
        <f>IFERROR(VLOOKUP($C26,'Proposed Rates'!$B:$J,J$11,FALSE),0)</f>
        <v>0</v>
      </c>
      <c r="K26" s="392">
        <f t="shared" si="3"/>
        <v>0</v>
      </c>
      <c r="L26" s="394">
        <f t="shared" si="4"/>
        <v>0</v>
      </c>
      <c r="M26" s="138"/>
      <c r="N26" s="395">
        <f t="shared" si="5"/>
        <v>0</v>
      </c>
      <c r="O26" s="396" t="str">
        <f t="shared" si="6"/>
        <v/>
      </c>
      <c r="P26" s="53"/>
      <c r="Q26" s="391">
        <f>IFERROR(VLOOKUP($C26,'Proposed Rates'!$B:$J,Q$11,FALSE),0)</f>
        <v>0</v>
      </c>
      <c r="R26" s="392">
        <f t="shared" si="7"/>
        <v>0</v>
      </c>
      <c r="S26" s="394">
        <f t="shared" si="8"/>
        <v>0</v>
      </c>
      <c r="T26" s="138"/>
      <c r="U26" s="395">
        <f t="shared" si="9"/>
        <v>0</v>
      </c>
      <c r="V26" s="396" t="str">
        <f t="shared" si="10"/>
        <v/>
      </c>
      <c r="W26" s="53"/>
      <c r="X26" s="391">
        <f>IFERROR(VLOOKUP($C26,'Proposed Rates'!$B:$J,X$11,FALSE),0)</f>
        <v>0</v>
      </c>
      <c r="Y26" s="392">
        <f t="shared" si="11"/>
        <v>0</v>
      </c>
      <c r="Z26" s="394">
        <f t="shared" si="12"/>
        <v>0</v>
      </c>
      <c r="AA26" s="138"/>
      <c r="AB26" s="395">
        <f t="shared" si="13"/>
        <v>0</v>
      </c>
      <c r="AC26" s="396" t="str">
        <f t="shared" si="14"/>
        <v/>
      </c>
      <c r="AD26" s="53"/>
      <c r="AE26" s="391">
        <f>IFERROR(VLOOKUP($C26,'Proposed Rates'!$B:$J,AE$11,FALSE),0)</f>
        <v>0</v>
      </c>
      <c r="AF26" s="392">
        <f t="shared" si="15"/>
        <v>0</v>
      </c>
      <c r="AG26" s="394">
        <f t="shared" si="16"/>
        <v>0</v>
      </c>
      <c r="AH26" s="138"/>
      <c r="AI26" s="395">
        <f t="shared" si="17"/>
        <v>0</v>
      </c>
      <c r="AJ26" s="396" t="str">
        <f t="shared" si="18"/>
        <v/>
      </c>
      <c r="AK26" s="53"/>
      <c r="AL26" s="391">
        <f>IFERROR(VLOOKUP($C26,'Proposed Rates'!$B:$J,AL$11,FALSE),0)</f>
        <v>0</v>
      </c>
      <c r="AM26" s="392">
        <f t="shared" si="19"/>
        <v>0</v>
      </c>
      <c r="AN26" s="394">
        <f t="shared" si="20"/>
        <v>0</v>
      </c>
      <c r="AO26" s="138"/>
      <c r="AP26" s="395">
        <f t="shared" si="21"/>
        <v>0</v>
      </c>
      <c r="AQ26" s="396" t="str">
        <f t="shared" si="22"/>
        <v/>
      </c>
      <c r="AR26" s="397"/>
    </row>
    <row r="27" spans="1:44" ht="12.75" customHeight="1">
      <c r="A27" s="53"/>
      <c r="B27" s="398"/>
      <c r="C27" s="389" t="str">
        <f t="shared" si="0"/>
        <v>Residential.</v>
      </c>
      <c r="D27" s="390"/>
      <c r="E27" s="328"/>
      <c r="F27" s="391">
        <f>IFERROR(VLOOKUP($C27,'Proposed Rates'!$B:$J,F$11,FALSE),0)</f>
        <v>0</v>
      </c>
      <c r="G27" s="392">
        <f t="shared" si="1"/>
        <v>0</v>
      </c>
      <c r="H27" s="394">
        <f t="shared" si="2"/>
        <v>0</v>
      </c>
      <c r="I27" s="138"/>
      <c r="J27" s="391">
        <f>IFERROR(VLOOKUP($C27,'Proposed Rates'!$B:$J,J$11,FALSE),0)</f>
        <v>0</v>
      </c>
      <c r="K27" s="392">
        <f t="shared" si="3"/>
        <v>0</v>
      </c>
      <c r="L27" s="394">
        <f t="shared" si="4"/>
        <v>0</v>
      </c>
      <c r="M27" s="138"/>
      <c r="N27" s="395">
        <f t="shared" si="5"/>
        <v>0</v>
      </c>
      <c r="O27" s="396" t="str">
        <f t="shared" si="6"/>
        <v/>
      </c>
      <c r="P27" s="53"/>
      <c r="Q27" s="391">
        <f>IFERROR(VLOOKUP($C27,'Proposed Rates'!$B:$J,Q$11,FALSE),0)</f>
        <v>0</v>
      </c>
      <c r="R27" s="392">
        <f t="shared" si="7"/>
        <v>0</v>
      </c>
      <c r="S27" s="394">
        <f t="shared" si="8"/>
        <v>0</v>
      </c>
      <c r="T27" s="138"/>
      <c r="U27" s="395">
        <f t="shared" si="9"/>
        <v>0</v>
      </c>
      <c r="V27" s="396" t="str">
        <f t="shared" si="10"/>
        <v/>
      </c>
      <c r="W27" s="53"/>
      <c r="X27" s="391">
        <f>IFERROR(VLOOKUP($C27,'Proposed Rates'!$B:$J,X$11,FALSE),0)</f>
        <v>0</v>
      </c>
      <c r="Y27" s="392">
        <f t="shared" si="11"/>
        <v>0</v>
      </c>
      <c r="Z27" s="394">
        <f t="shared" si="12"/>
        <v>0</v>
      </c>
      <c r="AA27" s="138"/>
      <c r="AB27" s="395">
        <f t="shared" si="13"/>
        <v>0</v>
      </c>
      <c r="AC27" s="396" t="str">
        <f t="shared" si="14"/>
        <v/>
      </c>
      <c r="AD27" s="53"/>
      <c r="AE27" s="391">
        <f>IFERROR(VLOOKUP($C27,'Proposed Rates'!$B:$J,AE$11,FALSE),0)</f>
        <v>0</v>
      </c>
      <c r="AF27" s="392">
        <f t="shared" si="15"/>
        <v>0</v>
      </c>
      <c r="AG27" s="394">
        <f t="shared" si="16"/>
        <v>0</v>
      </c>
      <c r="AH27" s="138"/>
      <c r="AI27" s="395">
        <f t="shared" si="17"/>
        <v>0</v>
      </c>
      <c r="AJ27" s="396" t="str">
        <f t="shared" si="18"/>
        <v/>
      </c>
      <c r="AK27" s="53"/>
      <c r="AL27" s="391">
        <f>IFERROR(VLOOKUP($C27,'Proposed Rates'!$B:$J,AL$11,FALSE),0)</f>
        <v>0</v>
      </c>
      <c r="AM27" s="392">
        <f t="shared" si="19"/>
        <v>0</v>
      </c>
      <c r="AN27" s="394">
        <f t="shared" si="20"/>
        <v>0</v>
      </c>
      <c r="AO27" s="138"/>
      <c r="AP27" s="395">
        <f t="shared" si="21"/>
        <v>0</v>
      </c>
      <c r="AQ27" s="396" t="str">
        <f t="shared" si="22"/>
        <v/>
      </c>
      <c r="AR27" s="397"/>
    </row>
    <row r="28" spans="1:44" ht="12.75" customHeight="1">
      <c r="A28" s="53"/>
      <c r="B28" s="398"/>
      <c r="C28" s="389" t="str">
        <f t="shared" si="0"/>
        <v>Residential.</v>
      </c>
      <c r="D28" s="390"/>
      <c r="E28" s="328"/>
      <c r="F28" s="391">
        <f>IFERROR(VLOOKUP($C28,'Proposed Rates'!$B:$J,F$11,FALSE),0)</f>
        <v>0</v>
      </c>
      <c r="G28" s="392">
        <f t="shared" si="1"/>
        <v>0</v>
      </c>
      <c r="H28" s="394">
        <f t="shared" si="2"/>
        <v>0</v>
      </c>
      <c r="I28" s="138"/>
      <c r="J28" s="391">
        <f>IFERROR(VLOOKUP($C28,'Proposed Rates'!$B:$J,J$11,FALSE),0)</f>
        <v>0</v>
      </c>
      <c r="K28" s="392">
        <f t="shared" si="3"/>
        <v>0</v>
      </c>
      <c r="L28" s="394">
        <f t="shared" si="4"/>
        <v>0</v>
      </c>
      <c r="M28" s="138"/>
      <c r="N28" s="395">
        <f t="shared" si="5"/>
        <v>0</v>
      </c>
      <c r="O28" s="396" t="str">
        <f t="shared" si="6"/>
        <v/>
      </c>
      <c r="P28" s="53"/>
      <c r="Q28" s="391">
        <f>IFERROR(VLOOKUP($C28,'Proposed Rates'!$B:$J,Q$11,FALSE),0)</f>
        <v>0</v>
      </c>
      <c r="R28" s="392">
        <f t="shared" si="7"/>
        <v>0</v>
      </c>
      <c r="S28" s="394">
        <f t="shared" si="8"/>
        <v>0</v>
      </c>
      <c r="T28" s="138"/>
      <c r="U28" s="395">
        <f t="shared" si="9"/>
        <v>0</v>
      </c>
      <c r="V28" s="396" t="str">
        <f t="shared" si="10"/>
        <v/>
      </c>
      <c r="W28" s="53"/>
      <c r="X28" s="391">
        <f>IFERROR(VLOOKUP($C28,'Proposed Rates'!$B:$J,X$11,FALSE),0)</f>
        <v>0</v>
      </c>
      <c r="Y28" s="392">
        <f t="shared" si="11"/>
        <v>0</v>
      </c>
      <c r="Z28" s="394">
        <f t="shared" si="12"/>
        <v>0</v>
      </c>
      <c r="AA28" s="138"/>
      <c r="AB28" s="395">
        <f t="shared" si="13"/>
        <v>0</v>
      </c>
      <c r="AC28" s="396" t="str">
        <f t="shared" si="14"/>
        <v/>
      </c>
      <c r="AD28" s="53"/>
      <c r="AE28" s="391">
        <f>IFERROR(VLOOKUP($C28,'Proposed Rates'!$B:$J,AE$11,FALSE),0)</f>
        <v>0</v>
      </c>
      <c r="AF28" s="392">
        <f t="shared" si="15"/>
        <v>0</v>
      </c>
      <c r="AG28" s="394">
        <f t="shared" si="16"/>
        <v>0</v>
      </c>
      <c r="AH28" s="138"/>
      <c r="AI28" s="395">
        <f t="shared" si="17"/>
        <v>0</v>
      </c>
      <c r="AJ28" s="396" t="str">
        <f t="shared" si="18"/>
        <v/>
      </c>
      <c r="AK28" s="53"/>
      <c r="AL28" s="391">
        <f>IFERROR(VLOOKUP($C28,'Proposed Rates'!$B:$J,AL$11,FALSE),0)</f>
        <v>0</v>
      </c>
      <c r="AM28" s="392">
        <f t="shared" si="19"/>
        <v>0</v>
      </c>
      <c r="AN28" s="394">
        <f t="shared" si="20"/>
        <v>0</v>
      </c>
      <c r="AO28" s="138"/>
      <c r="AP28" s="395">
        <f t="shared" si="21"/>
        <v>0</v>
      </c>
      <c r="AQ28" s="396" t="str">
        <f t="shared" si="22"/>
        <v/>
      </c>
      <c r="AR28" s="397"/>
    </row>
    <row r="29" spans="1:44" ht="12.75" customHeight="1">
      <c r="A29" s="314"/>
      <c r="B29" s="399" t="s">
        <v>339</v>
      </c>
      <c r="C29" s="400"/>
      <c r="D29" s="400"/>
      <c r="E29" s="400"/>
      <c r="F29" s="401"/>
      <c r="G29" s="402"/>
      <c r="H29" s="403">
        <f>SUM(H15:H28)</f>
        <v>34.51</v>
      </c>
      <c r="I29" s="404"/>
      <c r="J29" s="401"/>
      <c r="K29" s="402"/>
      <c r="L29" s="403">
        <f>SUM(L15:L28)</f>
        <v>39.850000000000009</v>
      </c>
      <c r="M29" s="404"/>
      <c r="N29" s="405">
        <f t="shared" si="5"/>
        <v>5.3400000000000105</v>
      </c>
      <c r="O29" s="406">
        <f t="shared" si="6"/>
        <v>0.15473775717183458</v>
      </c>
      <c r="P29" s="314"/>
      <c r="Q29" s="401"/>
      <c r="R29" s="402"/>
      <c r="S29" s="403">
        <f>SUM(S15:S28)</f>
        <v>42.940000000000005</v>
      </c>
      <c r="T29" s="404"/>
      <c r="U29" s="405">
        <f t="shared" si="9"/>
        <v>3.0899999999999963</v>
      </c>
      <c r="V29" s="406">
        <f t="shared" si="10"/>
        <v>7.7540777917189357E-2</v>
      </c>
      <c r="W29" s="314"/>
      <c r="X29" s="401"/>
      <c r="Y29" s="402"/>
      <c r="Z29" s="403">
        <f>SUM(Z15:Z28)</f>
        <v>43.93</v>
      </c>
      <c r="AA29" s="404"/>
      <c r="AB29" s="405">
        <f t="shared" si="13"/>
        <v>0.98999999999999488</v>
      </c>
      <c r="AC29" s="406">
        <f t="shared" si="14"/>
        <v>2.3055426176059497E-2</v>
      </c>
      <c r="AD29" s="314"/>
      <c r="AE29" s="401"/>
      <c r="AF29" s="402"/>
      <c r="AG29" s="403">
        <f>SUM(AG15:AG28)</f>
        <v>45.42</v>
      </c>
      <c r="AH29" s="404"/>
      <c r="AI29" s="405">
        <f t="shared" si="17"/>
        <v>1.490000000000002</v>
      </c>
      <c r="AJ29" s="406">
        <f t="shared" si="18"/>
        <v>3.3917596175734165E-2</v>
      </c>
      <c r="AK29" s="314"/>
      <c r="AL29" s="401"/>
      <c r="AM29" s="402"/>
      <c r="AN29" s="403">
        <f>SUM(AN15:AN28)</f>
        <v>46.78</v>
      </c>
      <c r="AO29" s="404"/>
      <c r="AP29" s="405">
        <f t="shared" si="21"/>
        <v>1.3599999999999994</v>
      </c>
      <c r="AQ29" s="406">
        <f t="shared" si="22"/>
        <v>2.9942756494936138E-2</v>
      </c>
      <c r="AR29" s="407"/>
    </row>
    <row r="30" spans="1:44" ht="12.75" customHeight="1">
      <c r="A30" s="53"/>
      <c r="B30" s="398" t="s">
        <v>262</v>
      </c>
      <c r="C30" s="389" t="str">
        <f t="shared" ref="C30:C36" si="23">D$6&amp;"."&amp;B30</f>
        <v>Residential.DVA Disposition Rate Rider Group 1 -2025</v>
      </c>
      <c r="D30" s="390" t="s">
        <v>337</v>
      </c>
      <c r="E30" s="328"/>
      <c r="F30" s="408">
        <f>IFERROR(VLOOKUP($C30,'Proposed Rates'!$B:$J,F$11,FALSE),0)</f>
        <v>-2.0000000000000001E-4</v>
      </c>
      <c r="G30" s="409">
        <f t="shared" ref="G30:G33" si="24">IF($D30="Monthly",1,IF($D30="per KWH",$F$10,0))</f>
        <v>1500</v>
      </c>
      <c r="H30" s="394">
        <f t="shared" ref="H30:H36" si="25">G30*F30</f>
        <v>-0.3</v>
      </c>
      <c r="I30" s="138"/>
      <c r="J30" s="408">
        <f>IFERROR(VLOOKUP($C30,'Proposed Rates'!$B:$J,J$11,FALSE),0)</f>
        <v>-1E-3</v>
      </c>
      <c r="K30" s="409">
        <f t="shared" ref="K30:K33" si="26">IF($D30="Monthly",1,IF($D30="per KWH",$F$10,0))</f>
        <v>1500</v>
      </c>
      <c r="L30" s="410">
        <f t="shared" ref="L30:L36" si="27">K30*J30</f>
        <v>-1.5</v>
      </c>
      <c r="M30" s="138"/>
      <c r="N30" s="395">
        <f t="shared" si="5"/>
        <v>-1.2</v>
      </c>
      <c r="O30" s="396">
        <f t="shared" si="6"/>
        <v>4</v>
      </c>
      <c r="P30" s="53"/>
      <c r="Q30" s="408">
        <f>IFERROR(VLOOKUP($C30,'Proposed Rates'!$B:$J,Q$11,FALSE),0)</f>
        <v>0</v>
      </c>
      <c r="R30" s="409">
        <f t="shared" ref="R30:R33" si="28">IF($D30="Monthly",1,IF($D30="per KWH",$F$10,0))</f>
        <v>1500</v>
      </c>
      <c r="S30" s="394">
        <f t="shared" ref="S30:S36" si="29">R30*Q30</f>
        <v>0</v>
      </c>
      <c r="T30" s="138"/>
      <c r="U30" s="395">
        <f t="shared" si="9"/>
        <v>1.5</v>
      </c>
      <c r="V30" s="396">
        <f t="shared" si="10"/>
        <v>-1</v>
      </c>
      <c r="W30" s="53"/>
      <c r="X30" s="408">
        <f>IFERROR(VLOOKUP($C30,'Proposed Rates'!$B:$J,X$11,FALSE),0)</f>
        <v>0</v>
      </c>
      <c r="Y30" s="409">
        <f t="shared" ref="Y30:Y33" si="30">IF($D30="Monthly",1,IF($D30="per KWH",$F$10,0))</f>
        <v>1500</v>
      </c>
      <c r="Z30" s="394">
        <f t="shared" ref="Z30:Z36" si="31">Y30*X30</f>
        <v>0</v>
      </c>
      <c r="AA30" s="138"/>
      <c r="AB30" s="395">
        <f t="shared" si="13"/>
        <v>0</v>
      </c>
      <c r="AC30" s="396" t="str">
        <f t="shared" si="14"/>
        <v/>
      </c>
      <c r="AD30" s="53"/>
      <c r="AE30" s="408">
        <f>IFERROR(VLOOKUP($C30,'Proposed Rates'!$B:$J,AE$11,FALSE),0)</f>
        <v>0</v>
      </c>
      <c r="AF30" s="409">
        <f t="shared" ref="AF30:AF33" si="32">IF($D30="Monthly",1,IF($D30="per KWH",$F$10,0))</f>
        <v>1500</v>
      </c>
      <c r="AG30" s="394">
        <f t="shared" ref="AG30:AG36" si="33">AF30*AE30</f>
        <v>0</v>
      </c>
      <c r="AH30" s="138"/>
      <c r="AI30" s="395">
        <f t="shared" si="17"/>
        <v>0</v>
      </c>
      <c r="AJ30" s="396" t="str">
        <f t="shared" si="18"/>
        <v/>
      </c>
      <c r="AK30" s="53"/>
      <c r="AL30" s="408">
        <f>IFERROR(VLOOKUP($C30,'Proposed Rates'!$B:$J,AL$11,FALSE),0)</f>
        <v>0</v>
      </c>
      <c r="AM30" s="409">
        <f t="shared" ref="AM30:AM33" si="34">IF($D30="Monthly",1,IF($D30="per KWH",$F$10,0))</f>
        <v>1500</v>
      </c>
      <c r="AN30" s="394">
        <f t="shared" ref="AN30:AN36" si="35">AM30*AL30</f>
        <v>0</v>
      </c>
      <c r="AO30" s="138"/>
      <c r="AP30" s="395">
        <f t="shared" si="21"/>
        <v>0</v>
      </c>
      <c r="AQ30" s="396" t="str">
        <f t="shared" si="22"/>
        <v/>
      </c>
      <c r="AR30" s="397"/>
    </row>
    <row r="31" spans="1:44" ht="12.75" customHeight="1">
      <c r="A31" s="53"/>
      <c r="B31" s="398" t="s">
        <v>264</v>
      </c>
      <c r="C31" s="389" t="str">
        <f t="shared" si="23"/>
        <v>Residential.DVA Disposition Rate Rider Group 1 - 2024</v>
      </c>
      <c r="D31" s="390" t="s">
        <v>337</v>
      </c>
      <c r="E31" s="328"/>
      <c r="F31" s="408">
        <f>IFERROR(VLOOKUP($C31,'Proposed Rates'!$B:$J,F$11,FALSE),0)</f>
        <v>0</v>
      </c>
      <c r="G31" s="409">
        <f t="shared" si="24"/>
        <v>1500</v>
      </c>
      <c r="H31" s="492">
        <f t="shared" si="25"/>
        <v>0</v>
      </c>
      <c r="I31" s="479"/>
      <c r="J31" s="408">
        <f>IFERROR(VLOOKUP($C31,'Proposed Rates'!$B:$J,J$11,FALSE),0)</f>
        <v>0</v>
      </c>
      <c r="K31" s="409">
        <f t="shared" si="26"/>
        <v>1500</v>
      </c>
      <c r="L31" s="492">
        <f t="shared" si="27"/>
        <v>0</v>
      </c>
      <c r="M31" s="411"/>
      <c r="N31" s="395"/>
      <c r="O31" s="396"/>
      <c r="P31" s="53"/>
      <c r="Q31" s="408">
        <f>IFERROR(VLOOKUP($C31,'Proposed Rates'!$B:$J,Q$11,FALSE),0)</f>
        <v>0</v>
      </c>
      <c r="R31" s="409">
        <f t="shared" si="28"/>
        <v>1500</v>
      </c>
      <c r="S31" s="492">
        <f t="shared" si="29"/>
        <v>0</v>
      </c>
      <c r="T31" s="411"/>
      <c r="U31" s="395">
        <f t="shared" si="9"/>
        <v>0</v>
      </c>
      <c r="V31" s="396" t="str">
        <f t="shared" si="10"/>
        <v/>
      </c>
      <c r="W31" s="53"/>
      <c r="X31" s="408">
        <f>IFERROR(VLOOKUP($C31,'Proposed Rates'!$B:$J,X$11,FALSE),0)</f>
        <v>0</v>
      </c>
      <c r="Y31" s="409">
        <f t="shared" si="30"/>
        <v>1500</v>
      </c>
      <c r="Z31" s="492">
        <f t="shared" si="31"/>
        <v>0</v>
      </c>
      <c r="AA31" s="411"/>
      <c r="AB31" s="395">
        <f t="shared" si="13"/>
        <v>0</v>
      </c>
      <c r="AC31" s="396" t="str">
        <f t="shared" si="14"/>
        <v/>
      </c>
      <c r="AD31" s="53"/>
      <c r="AE31" s="408">
        <f>IFERROR(VLOOKUP($C31,'Proposed Rates'!$B:$J,AE$11,FALSE),0)</f>
        <v>0</v>
      </c>
      <c r="AF31" s="409">
        <f t="shared" si="32"/>
        <v>1500</v>
      </c>
      <c r="AG31" s="492">
        <f t="shared" si="33"/>
        <v>0</v>
      </c>
      <c r="AH31" s="411"/>
      <c r="AI31" s="395">
        <f t="shared" si="17"/>
        <v>0</v>
      </c>
      <c r="AJ31" s="396" t="str">
        <f t="shared" si="18"/>
        <v/>
      </c>
      <c r="AK31" s="53"/>
      <c r="AL31" s="408">
        <f>IFERROR(VLOOKUP($C31,'Proposed Rates'!$B:$J,AL$11,FALSE),0)</f>
        <v>0</v>
      </c>
      <c r="AM31" s="409">
        <f t="shared" si="34"/>
        <v>1500</v>
      </c>
      <c r="AN31" s="492">
        <f t="shared" si="35"/>
        <v>0</v>
      </c>
      <c r="AO31" s="411"/>
      <c r="AP31" s="395">
        <f t="shared" si="21"/>
        <v>0</v>
      </c>
      <c r="AQ31" s="396" t="str">
        <f t="shared" si="22"/>
        <v/>
      </c>
      <c r="AR31" s="397"/>
    </row>
    <row r="32" spans="1:44" ht="12.75" customHeight="1">
      <c r="A32" s="53"/>
      <c r="B32" s="398" t="s">
        <v>272</v>
      </c>
      <c r="C32" s="389" t="str">
        <f t="shared" si="23"/>
        <v>Residential.CBR Class B Rate Riders</v>
      </c>
      <c r="D32" s="390" t="s">
        <v>337</v>
      </c>
      <c r="E32" s="328"/>
      <c r="F32" s="408">
        <f>IFERROR(VLOOKUP($C32,'Proposed Rates'!$B:$J,F$11,FALSE),0)</f>
        <v>2.0000000000000001E-4</v>
      </c>
      <c r="G32" s="409">
        <f t="shared" si="24"/>
        <v>1500</v>
      </c>
      <c r="H32" s="394">
        <f t="shared" si="25"/>
        <v>0.3</v>
      </c>
      <c r="I32" s="479"/>
      <c r="J32" s="408">
        <f>IFERROR(VLOOKUP($C32,'Proposed Rates'!$B:$J,J$11,FALSE),0)</f>
        <v>6.9999999999999999E-4</v>
      </c>
      <c r="K32" s="409">
        <f t="shared" si="26"/>
        <v>1500</v>
      </c>
      <c r="L32" s="394">
        <f t="shared" si="27"/>
        <v>1.05</v>
      </c>
      <c r="M32" s="411"/>
      <c r="N32" s="395">
        <f t="shared" ref="N32:N48" si="36">L32-H32</f>
        <v>0.75</v>
      </c>
      <c r="O32" s="396">
        <f t="shared" ref="O32:O48" si="37">IF((H32)=0,"",(N32/H32))</f>
        <v>2.5</v>
      </c>
      <c r="P32" s="53"/>
      <c r="Q32" s="408">
        <f>IFERROR(VLOOKUP($C32,'Proposed Rates'!$B:$J,Q$11,FALSE),0)</f>
        <v>0</v>
      </c>
      <c r="R32" s="409">
        <f t="shared" si="28"/>
        <v>1500</v>
      </c>
      <c r="S32" s="394">
        <f t="shared" si="29"/>
        <v>0</v>
      </c>
      <c r="T32" s="411"/>
      <c r="U32" s="395">
        <f t="shared" si="9"/>
        <v>-1.05</v>
      </c>
      <c r="V32" s="396">
        <f t="shared" si="10"/>
        <v>-1</v>
      </c>
      <c r="W32" s="53"/>
      <c r="X32" s="408">
        <f>IFERROR(VLOOKUP($C32,'Proposed Rates'!$B:$J,X$11,FALSE),0)</f>
        <v>0</v>
      </c>
      <c r="Y32" s="409">
        <f t="shared" si="30"/>
        <v>1500</v>
      </c>
      <c r="Z32" s="394">
        <f t="shared" si="31"/>
        <v>0</v>
      </c>
      <c r="AA32" s="411"/>
      <c r="AB32" s="395">
        <f t="shared" si="13"/>
        <v>0</v>
      </c>
      <c r="AC32" s="396" t="str">
        <f t="shared" si="14"/>
        <v/>
      </c>
      <c r="AD32" s="53"/>
      <c r="AE32" s="408">
        <f>IFERROR(VLOOKUP($C32,'Proposed Rates'!$B:$J,AE$11,FALSE),0)</f>
        <v>0</v>
      </c>
      <c r="AF32" s="409">
        <f t="shared" si="32"/>
        <v>1500</v>
      </c>
      <c r="AG32" s="394">
        <f t="shared" si="33"/>
        <v>0</v>
      </c>
      <c r="AH32" s="411"/>
      <c r="AI32" s="395">
        <f t="shared" si="17"/>
        <v>0</v>
      </c>
      <c r="AJ32" s="396" t="str">
        <f t="shared" si="18"/>
        <v/>
      </c>
      <c r="AK32" s="53"/>
      <c r="AL32" s="408">
        <f>IFERROR(VLOOKUP($C32,'Proposed Rates'!$B:$J,AL$11,FALSE),0)</f>
        <v>0</v>
      </c>
      <c r="AM32" s="409">
        <f t="shared" si="34"/>
        <v>1500</v>
      </c>
      <c r="AN32" s="394">
        <f t="shared" si="35"/>
        <v>0</v>
      </c>
      <c r="AO32" s="411"/>
      <c r="AP32" s="395">
        <f t="shared" si="21"/>
        <v>0</v>
      </c>
      <c r="AQ32" s="396" t="str">
        <f t="shared" si="22"/>
        <v/>
      </c>
      <c r="AR32" s="397"/>
    </row>
    <row r="33" spans="1:44" ht="12.75" customHeight="1">
      <c r="A33" s="53"/>
      <c r="B33" s="398" t="s">
        <v>340</v>
      </c>
      <c r="C33" s="389" t="str">
        <f t="shared" si="23"/>
        <v>Residential.GA Disposition Rate Rider-NonRPP</v>
      </c>
      <c r="D33" s="390" t="s">
        <v>337</v>
      </c>
      <c r="E33" s="328"/>
      <c r="F33" s="408">
        <f>IFERROR(VLOOKUP($C33,'Proposed Rates'!$B:$J,F$11,FALSE),0)</f>
        <v>0</v>
      </c>
      <c r="G33" s="409">
        <f t="shared" si="24"/>
        <v>1500</v>
      </c>
      <c r="H33" s="394">
        <f t="shared" si="25"/>
        <v>0</v>
      </c>
      <c r="I33" s="479"/>
      <c r="J33" s="408">
        <f>IFERROR(VLOOKUP($C33,'Proposed Rates'!$B:$J,J$11,FALSE),0)</f>
        <v>0</v>
      </c>
      <c r="K33" s="409">
        <f t="shared" si="26"/>
        <v>1500</v>
      </c>
      <c r="L33" s="394">
        <f t="shared" si="27"/>
        <v>0</v>
      </c>
      <c r="M33" s="411"/>
      <c r="N33" s="395">
        <f t="shared" si="36"/>
        <v>0</v>
      </c>
      <c r="O33" s="396" t="str">
        <f t="shared" si="37"/>
        <v/>
      </c>
      <c r="P33" s="53"/>
      <c r="Q33" s="408">
        <f>IFERROR(VLOOKUP($C33,'Proposed Rates'!$B:$J,Q$11,FALSE),0)</f>
        <v>0</v>
      </c>
      <c r="R33" s="409">
        <f t="shared" si="28"/>
        <v>1500</v>
      </c>
      <c r="S33" s="394">
        <f t="shared" si="29"/>
        <v>0</v>
      </c>
      <c r="T33" s="411"/>
      <c r="U33" s="395">
        <f t="shared" si="9"/>
        <v>0</v>
      </c>
      <c r="V33" s="396" t="str">
        <f t="shared" si="10"/>
        <v/>
      </c>
      <c r="W33" s="53"/>
      <c r="X33" s="408">
        <f>IFERROR(VLOOKUP($C33,'Proposed Rates'!$B:$J,X$11,FALSE),0)</f>
        <v>0</v>
      </c>
      <c r="Y33" s="409">
        <f t="shared" si="30"/>
        <v>1500</v>
      </c>
      <c r="Z33" s="394">
        <f t="shared" si="31"/>
        <v>0</v>
      </c>
      <c r="AA33" s="411"/>
      <c r="AB33" s="395">
        <f t="shared" si="13"/>
        <v>0</v>
      </c>
      <c r="AC33" s="396" t="str">
        <f t="shared" si="14"/>
        <v/>
      </c>
      <c r="AD33" s="53"/>
      <c r="AE33" s="408">
        <f>IFERROR(VLOOKUP($C33,'Proposed Rates'!$B:$J,AE$11,FALSE),0)</f>
        <v>0</v>
      </c>
      <c r="AF33" s="409">
        <f t="shared" si="32"/>
        <v>1500</v>
      </c>
      <c r="AG33" s="394">
        <f t="shared" si="33"/>
        <v>0</v>
      </c>
      <c r="AH33" s="411"/>
      <c r="AI33" s="395">
        <f t="shared" si="17"/>
        <v>0</v>
      </c>
      <c r="AJ33" s="396" t="str">
        <f t="shared" si="18"/>
        <v/>
      </c>
      <c r="AK33" s="53"/>
      <c r="AL33" s="408">
        <f>IFERROR(VLOOKUP($C33,'Proposed Rates'!$B:$J,AL$11,FALSE),0)</f>
        <v>0</v>
      </c>
      <c r="AM33" s="409">
        <f t="shared" si="34"/>
        <v>1500</v>
      </c>
      <c r="AN33" s="394">
        <f t="shared" si="35"/>
        <v>0</v>
      </c>
      <c r="AO33" s="411"/>
      <c r="AP33" s="395">
        <f t="shared" si="21"/>
        <v>0</v>
      </c>
      <c r="AQ33" s="396" t="str">
        <f t="shared" si="22"/>
        <v/>
      </c>
      <c r="AR33" s="397"/>
    </row>
    <row r="34" spans="1:44" ht="12.75" customHeight="1">
      <c r="A34" s="53"/>
      <c r="B34" s="328" t="s">
        <v>300</v>
      </c>
      <c r="C34" s="389" t="str">
        <f t="shared" si="23"/>
        <v>Residential.Low Voltage Service Charge</v>
      </c>
      <c r="D34" s="390" t="s">
        <v>337</v>
      </c>
      <c r="E34" s="328"/>
      <c r="F34" s="412">
        <f>IFERROR(VLOOKUP($C34,'Proposed Rates'!$B:$J,F$11,FALSE),0)</f>
        <v>5.0000000000000002E-5</v>
      </c>
      <c r="G34" s="413">
        <f>$F$10*(1+F$63)</f>
        <v>1550.7</v>
      </c>
      <c r="H34" s="394">
        <f t="shared" si="25"/>
        <v>7.7535000000000007E-2</v>
      </c>
      <c r="I34" s="138"/>
      <c r="J34" s="412">
        <f>IFERROR(VLOOKUP($C34,'Proposed Rates'!$B:$J,J$11,FALSE),0)</f>
        <v>6.9999999999999994E-5</v>
      </c>
      <c r="K34" s="413">
        <f>$F$10*(1+J$63)</f>
        <v>1549.8</v>
      </c>
      <c r="L34" s="394">
        <f t="shared" si="27"/>
        <v>0.10848599999999999</v>
      </c>
      <c r="M34" s="138"/>
      <c r="N34" s="395">
        <f t="shared" si="36"/>
        <v>3.0950999999999979E-2</v>
      </c>
      <c r="O34" s="396">
        <f t="shared" si="37"/>
        <v>0.3991874637260589</v>
      </c>
      <c r="P34" s="53"/>
      <c r="Q34" s="412">
        <f>IFERROR(VLOOKUP($C34,'Proposed Rates'!$B:$J,Q$11,FALSE),0)</f>
        <v>6.9999999999999994E-5</v>
      </c>
      <c r="R34" s="413">
        <f>$F$10*(1+Q$63)</f>
        <v>1549.8</v>
      </c>
      <c r="S34" s="394">
        <f t="shared" si="29"/>
        <v>0.10848599999999999</v>
      </c>
      <c r="T34" s="138"/>
      <c r="U34" s="395">
        <f t="shared" si="9"/>
        <v>0</v>
      </c>
      <c r="V34" s="396">
        <f t="shared" si="10"/>
        <v>0</v>
      </c>
      <c r="W34" s="53"/>
      <c r="X34" s="412">
        <f>IFERROR(VLOOKUP($C34,'Proposed Rates'!$B:$J,X$11,FALSE),0)</f>
        <v>8.0000000000000007E-5</v>
      </c>
      <c r="Y34" s="413">
        <f>$F$10*(1+X$63)</f>
        <v>1549.8</v>
      </c>
      <c r="Z34" s="394">
        <f t="shared" si="31"/>
        <v>0.12398400000000001</v>
      </c>
      <c r="AA34" s="138"/>
      <c r="AB34" s="395">
        <f t="shared" si="13"/>
        <v>1.5498000000000026E-2</v>
      </c>
      <c r="AC34" s="396">
        <f t="shared" si="14"/>
        <v>0.14285714285714313</v>
      </c>
      <c r="AD34" s="53"/>
      <c r="AE34" s="412">
        <f>IFERROR(VLOOKUP($C34,'Proposed Rates'!$B:$J,AE$11,FALSE),0)</f>
        <v>8.0000000000000007E-5</v>
      </c>
      <c r="AF34" s="413">
        <f>$F$10*(1+AE$63)</f>
        <v>1549.8</v>
      </c>
      <c r="AG34" s="394">
        <f t="shared" si="33"/>
        <v>0.12398400000000001</v>
      </c>
      <c r="AH34" s="138"/>
      <c r="AI34" s="395">
        <f t="shared" si="17"/>
        <v>0</v>
      </c>
      <c r="AJ34" s="396">
        <f t="shared" si="18"/>
        <v>0</v>
      </c>
      <c r="AK34" s="53"/>
      <c r="AL34" s="412">
        <f>IFERROR(VLOOKUP($C34,'Proposed Rates'!$B:$J,AL$11,FALSE),0)</f>
        <v>8.0000000000000007E-5</v>
      </c>
      <c r="AM34" s="413">
        <f>$F$10*(1+AL$63)</f>
        <v>1549.8</v>
      </c>
      <c r="AN34" s="394">
        <f t="shared" si="35"/>
        <v>0.12398400000000001</v>
      </c>
      <c r="AO34" s="138"/>
      <c r="AP34" s="395">
        <f t="shared" si="21"/>
        <v>0</v>
      </c>
      <c r="AQ34" s="396">
        <f t="shared" si="22"/>
        <v>0</v>
      </c>
      <c r="AR34" s="397"/>
    </row>
    <row r="35" spans="1:44" ht="12.75" customHeight="1">
      <c r="A35" s="53"/>
      <c r="B35" s="328" t="s">
        <v>341</v>
      </c>
      <c r="C35" s="389" t="str">
        <f t="shared" si="23"/>
        <v>Residential.Line Losses on Cost of Power</v>
      </c>
      <c r="D35" s="390" t="s">
        <v>337</v>
      </c>
      <c r="E35" s="328"/>
      <c r="F35" s="414">
        <f>'Proposed Rates'!$K$256*F$44+'Proposed Rates'!$K$257*F$45+'Proposed Rates'!$K$258*F$46</f>
        <v>0.12752000000000002</v>
      </c>
      <c r="G35" s="415">
        <f>$F$10*(1+F$63)-$F$10</f>
        <v>50.700000000000045</v>
      </c>
      <c r="H35" s="394">
        <f t="shared" si="25"/>
        <v>6.4652640000000066</v>
      </c>
      <c r="I35" s="138"/>
      <c r="J35" s="414">
        <f>'Proposed Rates'!$K$256*J$44+'Proposed Rates'!$K$257*J$45+'Proposed Rates'!$K$258*J$46</f>
        <v>0.12752000000000002</v>
      </c>
      <c r="K35" s="415">
        <f>$F$10*(1+J$63)-$F$10</f>
        <v>49.799999999999955</v>
      </c>
      <c r="L35" s="394">
        <f t="shared" si="27"/>
        <v>6.3504959999999953</v>
      </c>
      <c r="M35" s="138"/>
      <c r="N35" s="395">
        <f t="shared" si="36"/>
        <v>-0.11476800000001131</v>
      </c>
      <c r="O35" s="396">
        <f t="shared" si="37"/>
        <v>-1.775147928994256E-2</v>
      </c>
      <c r="P35" s="53"/>
      <c r="Q35" s="414">
        <f>'Proposed Rates'!$K$256*Q$44+'Proposed Rates'!$K$257*Q$45+'Proposed Rates'!$K$258*Q$46</f>
        <v>0.12752000000000002</v>
      </c>
      <c r="R35" s="415">
        <f>$F$10*(1+Q$63)-$F$10</f>
        <v>49.799999999999955</v>
      </c>
      <c r="S35" s="394">
        <f t="shared" si="29"/>
        <v>6.3504959999999953</v>
      </c>
      <c r="T35" s="138"/>
      <c r="U35" s="395">
        <f t="shared" si="9"/>
        <v>0</v>
      </c>
      <c r="V35" s="396">
        <f t="shared" si="10"/>
        <v>0</v>
      </c>
      <c r="W35" s="53"/>
      <c r="X35" s="414">
        <f>'Proposed Rates'!$K$256*X$44+'Proposed Rates'!$K$257*X$45+'Proposed Rates'!$K$258*X$46</f>
        <v>0.12752000000000002</v>
      </c>
      <c r="Y35" s="415">
        <f>$F$10*(1+X$63)-$F$10</f>
        <v>49.799999999999955</v>
      </c>
      <c r="Z35" s="394">
        <f t="shared" si="31"/>
        <v>6.3504959999999953</v>
      </c>
      <c r="AA35" s="138"/>
      <c r="AB35" s="395">
        <f t="shared" si="13"/>
        <v>0</v>
      </c>
      <c r="AC35" s="396">
        <f t="shared" si="14"/>
        <v>0</v>
      </c>
      <c r="AD35" s="53"/>
      <c r="AE35" s="414">
        <f>'Proposed Rates'!$K$256*AE$44+'Proposed Rates'!$K$257*AE$45+'Proposed Rates'!$K$258*AE$46</f>
        <v>0.12752000000000002</v>
      </c>
      <c r="AF35" s="415">
        <f>$F$10*(1+AE$63)-$F$10</f>
        <v>49.799999999999955</v>
      </c>
      <c r="AG35" s="394">
        <f t="shared" si="33"/>
        <v>6.3504959999999953</v>
      </c>
      <c r="AH35" s="138"/>
      <c r="AI35" s="395">
        <f t="shared" si="17"/>
        <v>0</v>
      </c>
      <c r="AJ35" s="396">
        <f t="shared" si="18"/>
        <v>0</v>
      </c>
      <c r="AK35" s="53"/>
      <c r="AL35" s="414">
        <f>'Proposed Rates'!$K$256*AL$44+'Proposed Rates'!$K$257*AL$45+'Proposed Rates'!$K$258*AL$46</f>
        <v>0.12752000000000002</v>
      </c>
      <c r="AM35" s="415">
        <f>$F$10*(1+AL$63)-$F$10</f>
        <v>49.799999999999955</v>
      </c>
      <c r="AN35" s="394">
        <f t="shared" si="35"/>
        <v>6.3504959999999953</v>
      </c>
      <c r="AO35" s="138"/>
      <c r="AP35" s="395">
        <f t="shared" si="21"/>
        <v>0</v>
      </c>
      <c r="AQ35" s="396">
        <f t="shared" si="22"/>
        <v>0</v>
      </c>
      <c r="AR35" s="397"/>
    </row>
    <row r="36" spans="1:44" ht="12.75" customHeight="1">
      <c r="A36" s="53"/>
      <c r="B36" s="328" t="s">
        <v>302</v>
      </c>
      <c r="C36" s="389" t="str">
        <f t="shared" si="23"/>
        <v>Residential.Smart Meter Entity Charge</v>
      </c>
      <c r="D36" s="390" t="s">
        <v>335</v>
      </c>
      <c r="E36" s="328"/>
      <c r="F36" s="391">
        <f>IFERROR(VLOOKUP($C36,'Proposed Rates'!$B:$J,F$11,FALSE),0)</f>
        <v>0.42</v>
      </c>
      <c r="G36" s="409">
        <f>IF($D36="Monthly",1,IF($D36="per KWH",$F$10,0))</f>
        <v>1</v>
      </c>
      <c r="H36" s="394">
        <f t="shared" si="25"/>
        <v>0.42</v>
      </c>
      <c r="I36" s="138"/>
      <c r="J36" s="391">
        <f>IFERROR(VLOOKUP($C36,'Proposed Rates'!$B:$J,J$11,FALSE),0)</f>
        <v>0.42</v>
      </c>
      <c r="K36" s="409">
        <f>IF($D36="Monthly",1,IF($D36="per KWH",$F$10,0))</f>
        <v>1</v>
      </c>
      <c r="L36" s="394">
        <f t="shared" si="27"/>
        <v>0.42</v>
      </c>
      <c r="M36" s="138"/>
      <c r="N36" s="395">
        <f t="shared" si="36"/>
        <v>0</v>
      </c>
      <c r="O36" s="396">
        <f t="shared" si="37"/>
        <v>0</v>
      </c>
      <c r="P36" s="53"/>
      <c r="Q36" s="391">
        <f>IFERROR(VLOOKUP($C36,'Proposed Rates'!$B:$J,Q$11,FALSE),0)</f>
        <v>0.42</v>
      </c>
      <c r="R36" s="409">
        <f>IF($D36="Monthly",1,IF($D36="per KWH",$F$10,0))</f>
        <v>1</v>
      </c>
      <c r="S36" s="394">
        <f t="shared" si="29"/>
        <v>0.42</v>
      </c>
      <c r="T36" s="138"/>
      <c r="U36" s="395">
        <f t="shared" si="9"/>
        <v>0</v>
      </c>
      <c r="V36" s="396">
        <f t="shared" si="10"/>
        <v>0</v>
      </c>
      <c r="W36" s="53"/>
      <c r="X36" s="391">
        <f>IFERROR(VLOOKUP($C36,'Proposed Rates'!$B:$J,X$11,FALSE),0)</f>
        <v>0.43</v>
      </c>
      <c r="Y36" s="409">
        <f>IF($D36="Monthly",1,IF($D36="per KWH",$F$10,0))</f>
        <v>1</v>
      </c>
      <c r="Z36" s="394">
        <f t="shared" si="31"/>
        <v>0.43</v>
      </c>
      <c r="AA36" s="138"/>
      <c r="AB36" s="395">
        <f t="shared" si="13"/>
        <v>1.0000000000000009E-2</v>
      </c>
      <c r="AC36" s="396">
        <f t="shared" si="14"/>
        <v>2.3809523809523832E-2</v>
      </c>
      <c r="AD36" s="53"/>
      <c r="AE36" s="391">
        <f>IFERROR(VLOOKUP($C36,'Proposed Rates'!$B:$J,AE$11,FALSE),0)</f>
        <v>0.44</v>
      </c>
      <c r="AF36" s="409">
        <f>IF($D36="Monthly",1,IF($D36="per KWH",$F$10,0))</f>
        <v>1</v>
      </c>
      <c r="AG36" s="394">
        <f t="shared" si="33"/>
        <v>0.44</v>
      </c>
      <c r="AH36" s="138"/>
      <c r="AI36" s="395">
        <f t="shared" si="17"/>
        <v>1.0000000000000009E-2</v>
      </c>
      <c r="AJ36" s="396">
        <f t="shared" si="18"/>
        <v>2.3255813953488393E-2</v>
      </c>
      <c r="AK36" s="53"/>
      <c r="AL36" s="391">
        <f>IFERROR(VLOOKUP($C36,'Proposed Rates'!$B:$J,AL$11,FALSE),0)</f>
        <v>0.45</v>
      </c>
      <c r="AM36" s="409">
        <f>IF($D36="Monthly",1,IF($D36="per KWH",$F$10,0))</f>
        <v>1</v>
      </c>
      <c r="AN36" s="394">
        <f t="shared" si="35"/>
        <v>0.45</v>
      </c>
      <c r="AO36" s="138"/>
      <c r="AP36" s="395">
        <f t="shared" si="21"/>
        <v>1.0000000000000009E-2</v>
      </c>
      <c r="AQ36" s="396">
        <f t="shared" si="22"/>
        <v>2.2727272727272749E-2</v>
      </c>
      <c r="AR36" s="397"/>
    </row>
    <row r="37" spans="1:44" ht="12.75" customHeight="1">
      <c r="A37" s="53"/>
      <c r="B37" s="399" t="s">
        <v>342</v>
      </c>
      <c r="C37" s="416"/>
      <c r="D37" s="416"/>
      <c r="E37" s="416"/>
      <c r="F37" s="417"/>
      <c r="G37" s="418"/>
      <c r="H37" s="403">
        <f>SUM(H30:H36)+H29</f>
        <v>41.472799000000002</v>
      </c>
      <c r="I37" s="419"/>
      <c r="J37" s="417"/>
      <c r="K37" s="418"/>
      <c r="L37" s="403">
        <f>SUM(L30:L36)+L29</f>
        <v>46.278982000000006</v>
      </c>
      <c r="M37" s="419"/>
      <c r="N37" s="405">
        <f t="shared" si="36"/>
        <v>4.8061830000000043</v>
      </c>
      <c r="O37" s="406">
        <f t="shared" si="37"/>
        <v>0.11588759659071972</v>
      </c>
      <c r="P37" s="53"/>
      <c r="Q37" s="417"/>
      <c r="R37" s="418"/>
      <c r="S37" s="403">
        <f>SUM(S30:S36)+S29</f>
        <v>49.818981999999998</v>
      </c>
      <c r="T37" s="419"/>
      <c r="U37" s="405">
        <f t="shared" si="9"/>
        <v>3.539999999999992</v>
      </c>
      <c r="V37" s="406">
        <f t="shared" si="10"/>
        <v>7.6492607378442157E-2</v>
      </c>
      <c r="W37" s="53"/>
      <c r="X37" s="417"/>
      <c r="Y37" s="418"/>
      <c r="Z37" s="403">
        <f>SUM(Z30:Z36)+Z29</f>
        <v>50.834479999999992</v>
      </c>
      <c r="AA37" s="419"/>
      <c r="AB37" s="405">
        <f t="shared" si="13"/>
        <v>1.0154979999999938</v>
      </c>
      <c r="AC37" s="406">
        <f t="shared" si="14"/>
        <v>2.0383756536815501E-2</v>
      </c>
      <c r="AD37" s="53"/>
      <c r="AE37" s="417"/>
      <c r="AF37" s="418"/>
      <c r="AG37" s="403">
        <f>SUM(AG30:AG36)+AG29</f>
        <v>52.334479999999999</v>
      </c>
      <c r="AH37" s="419"/>
      <c r="AI37" s="405">
        <f t="shared" si="17"/>
        <v>1.5000000000000071</v>
      </c>
      <c r="AJ37" s="406">
        <f t="shared" si="18"/>
        <v>2.950753110880661E-2</v>
      </c>
      <c r="AK37" s="53"/>
      <c r="AL37" s="417"/>
      <c r="AM37" s="418"/>
      <c r="AN37" s="403">
        <f>SUM(AN30:AN36)+AN29</f>
        <v>53.704479999999997</v>
      </c>
      <c r="AO37" s="419"/>
      <c r="AP37" s="405">
        <f t="shared" si="21"/>
        <v>1.3699999999999974</v>
      </c>
      <c r="AQ37" s="406">
        <f t="shared" si="22"/>
        <v>2.6177770372419817E-2</v>
      </c>
      <c r="AR37" s="407"/>
    </row>
    <row r="38" spans="1:44" ht="12.75" customHeight="1">
      <c r="A38" s="53"/>
      <c r="B38" s="138" t="s">
        <v>285</v>
      </c>
      <c r="C38" s="389" t="str">
        <f t="shared" ref="C38:C39" si="38">D$6&amp;"."&amp;B38</f>
        <v>Residential.RTSR - Network</v>
      </c>
      <c r="D38" s="420" t="s">
        <v>337</v>
      </c>
      <c r="E38" s="138"/>
      <c r="F38" s="408">
        <f>IFERROR(VLOOKUP($C38,'Proposed Rates'!$B:$J,F$11,FALSE),0)</f>
        <v>1.26E-2</v>
      </c>
      <c r="G38" s="413">
        <f t="shared" ref="G38:G39" si="39">$F$10*(1+F$63)</f>
        <v>1550.7</v>
      </c>
      <c r="H38" s="394">
        <f t="shared" ref="H38:H39" si="40">G38*F38</f>
        <v>19.538820000000001</v>
      </c>
      <c r="I38" s="138"/>
      <c r="J38" s="408">
        <f>IFERROR(VLOOKUP($C38,'Proposed Rates'!$B:$J,J$11,FALSE),0)</f>
        <v>1.38E-2</v>
      </c>
      <c r="K38" s="413">
        <f t="shared" ref="K38:K39" si="41">$F$10*(1+J$63)</f>
        <v>1549.8</v>
      </c>
      <c r="L38" s="394">
        <f t="shared" ref="L38:L39" si="42">K38*J38</f>
        <v>21.387239999999998</v>
      </c>
      <c r="M38" s="138"/>
      <c r="N38" s="395">
        <f t="shared" si="36"/>
        <v>1.8484199999999973</v>
      </c>
      <c r="O38" s="396">
        <f t="shared" si="37"/>
        <v>9.4602437608821671E-2</v>
      </c>
      <c r="P38" s="53"/>
      <c r="Q38" s="408">
        <f>IFERROR(VLOOKUP($C38,'Proposed Rates'!$B:$J,Q$11,FALSE),0)</f>
        <v>1.38E-2</v>
      </c>
      <c r="R38" s="413">
        <f t="shared" ref="R38:R39" si="43">$F$10*(1+Q$63)</f>
        <v>1549.8</v>
      </c>
      <c r="S38" s="394">
        <f t="shared" ref="S38:S39" si="44">R38*Q38</f>
        <v>21.387239999999998</v>
      </c>
      <c r="T38" s="138"/>
      <c r="U38" s="395">
        <f t="shared" si="9"/>
        <v>0</v>
      </c>
      <c r="V38" s="396">
        <f t="shared" si="10"/>
        <v>0</v>
      </c>
      <c r="W38" s="53"/>
      <c r="X38" s="408">
        <f>IFERROR(VLOOKUP($C38,'Proposed Rates'!$B:$J,X$11,FALSE),0)</f>
        <v>1.38E-2</v>
      </c>
      <c r="Y38" s="413">
        <f t="shared" ref="Y38:Y39" si="45">$F$10*(1+X$63)</f>
        <v>1549.8</v>
      </c>
      <c r="Z38" s="394">
        <f t="shared" ref="Z38:Z39" si="46">Y38*X38</f>
        <v>21.387239999999998</v>
      </c>
      <c r="AA38" s="138"/>
      <c r="AB38" s="395">
        <f t="shared" si="13"/>
        <v>0</v>
      </c>
      <c r="AC38" s="396">
        <f t="shared" si="14"/>
        <v>0</v>
      </c>
      <c r="AD38" s="53"/>
      <c r="AE38" s="408">
        <f>IFERROR(VLOOKUP($C38,'Proposed Rates'!$B:$J,AE$11,FALSE),0)</f>
        <v>1.38E-2</v>
      </c>
      <c r="AF38" s="413">
        <f t="shared" ref="AF38:AF39" si="47">$F$10*(1+AE$63)</f>
        <v>1549.8</v>
      </c>
      <c r="AG38" s="394">
        <f t="shared" ref="AG38:AG39" si="48">AF38*AE38</f>
        <v>21.387239999999998</v>
      </c>
      <c r="AH38" s="138"/>
      <c r="AI38" s="395">
        <f t="shared" si="17"/>
        <v>0</v>
      </c>
      <c r="AJ38" s="396">
        <f t="shared" si="18"/>
        <v>0</v>
      </c>
      <c r="AK38" s="53"/>
      <c r="AL38" s="408">
        <f>IFERROR(VLOOKUP($C38,'Proposed Rates'!$B:$J,AL$11,FALSE),0)</f>
        <v>1.38E-2</v>
      </c>
      <c r="AM38" s="413">
        <f t="shared" ref="AM38:AM39" si="49">$F$10*(1+AL$63)</f>
        <v>1549.8</v>
      </c>
      <c r="AN38" s="394">
        <f t="shared" ref="AN38:AN39" si="50">AM38*AL38</f>
        <v>21.387239999999998</v>
      </c>
      <c r="AO38" s="138"/>
      <c r="AP38" s="395">
        <f t="shared" si="21"/>
        <v>0</v>
      </c>
      <c r="AQ38" s="396">
        <f t="shared" si="22"/>
        <v>0</v>
      </c>
      <c r="AR38" s="397"/>
    </row>
    <row r="39" spans="1:44" ht="12.75" customHeight="1">
      <c r="A39" s="53"/>
      <c r="B39" s="138" t="s">
        <v>288</v>
      </c>
      <c r="C39" s="389" t="str">
        <f t="shared" si="38"/>
        <v>Residential.RTSR - Line and Transformation Connection</v>
      </c>
      <c r="D39" s="420" t="s">
        <v>337</v>
      </c>
      <c r="E39" s="138"/>
      <c r="F39" s="408">
        <f>IFERROR(VLOOKUP($C39,'Proposed Rates'!$B:$J,F$11,FALSE),0)</f>
        <v>7.1999999999999998E-3</v>
      </c>
      <c r="G39" s="413">
        <f t="shared" si="39"/>
        <v>1550.7</v>
      </c>
      <c r="H39" s="394">
        <f t="shared" si="40"/>
        <v>11.165039999999999</v>
      </c>
      <c r="I39" s="138"/>
      <c r="J39" s="408">
        <f>IFERROR(VLOOKUP($C39,'Proposed Rates'!$B:$J,J$11,FALSE),0)</f>
        <v>7.7999999999999996E-3</v>
      </c>
      <c r="K39" s="413">
        <f t="shared" si="41"/>
        <v>1549.8</v>
      </c>
      <c r="L39" s="394">
        <f t="shared" si="42"/>
        <v>12.088439999999999</v>
      </c>
      <c r="M39" s="138"/>
      <c r="N39" s="395">
        <f t="shared" si="36"/>
        <v>0.92339999999999911</v>
      </c>
      <c r="O39" s="396">
        <f t="shared" si="37"/>
        <v>8.2704585026117161E-2</v>
      </c>
      <c r="P39" s="53"/>
      <c r="Q39" s="408">
        <f>IFERROR(VLOOKUP($C39,'Proposed Rates'!$B:$J,Q$11,FALSE),0)</f>
        <v>7.7999999999999996E-3</v>
      </c>
      <c r="R39" s="413">
        <f t="shared" si="43"/>
        <v>1549.8</v>
      </c>
      <c r="S39" s="394">
        <f t="shared" si="44"/>
        <v>12.088439999999999</v>
      </c>
      <c r="T39" s="138"/>
      <c r="U39" s="395">
        <f t="shared" si="9"/>
        <v>0</v>
      </c>
      <c r="V39" s="396">
        <f t="shared" si="10"/>
        <v>0</v>
      </c>
      <c r="W39" s="53"/>
      <c r="X39" s="408">
        <f>IFERROR(VLOOKUP($C39,'Proposed Rates'!$B:$J,X$11,FALSE),0)</f>
        <v>7.7999999999999996E-3</v>
      </c>
      <c r="Y39" s="413">
        <f t="shared" si="45"/>
        <v>1549.8</v>
      </c>
      <c r="Z39" s="394">
        <f t="shared" si="46"/>
        <v>12.088439999999999</v>
      </c>
      <c r="AA39" s="138"/>
      <c r="AB39" s="395">
        <f t="shared" si="13"/>
        <v>0</v>
      </c>
      <c r="AC39" s="396">
        <f t="shared" si="14"/>
        <v>0</v>
      </c>
      <c r="AD39" s="53"/>
      <c r="AE39" s="408">
        <f>IFERROR(VLOOKUP($C39,'Proposed Rates'!$B:$J,AE$11,FALSE),0)</f>
        <v>7.7999999999999996E-3</v>
      </c>
      <c r="AF39" s="413">
        <f t="shared" si="47"/>
        <v>1549.8</v>
      </c>
      <c r="AG39" s="394">
        <f t="shared" si="48"/>
        <v>12.088439999999999</v>
      </c>
      <c r="AH39" s="138"/>
      <c r="AI39" s="395">
        <f t="shared" si="17"/>
        <v>0</v>
      </c>
      <c r="AJ39" s="396">
        <f t="shared" si="18"/>
        <v>0</v>
      </c>
      <c r="AK39" s="53"/>
      <c r="AL39" s="408">
        <f>IFERROR(VLOOKUP($C39,'Proposed Rates'!$B:$J,AL$11,FALSE),0)</f>
        <v>7.7999999999999996E-3</v>
      </c>
      <c r="AM39" s="413">
        <f t="shared" si="49"/>
        <v>1549.8</v>
      </c>
      <c r="AN39" s="394">
        <f t="shared" si="50"/>
        <v>12.088439999999999</v>
      </c>
      <c r="AO39" s="138"/>
      <c r="AP39" s="395">
        <f t="shared" si="21"/>
        <v>0</v>
      </c>
      <c r="AQ39" s="396">
        <f t="shared" si="22"/>
        <v>0</v>
      </c>
      <c r="AR39" s="397"/>
    </row>
    <row r="40" spans="1:44" ht="12.75" customHeight="1">
      <c r="A40" s="53"/>
      <c r="B40" s="399" t="s">
        <v>343</v>
      </c>
      <c r="C40" s="421"/>
      <c r="D40" s="421"/>
      <c r="E40" s="421"/>
      <c r="F40" s="422"/>
      <c r="G40" s="423"/>
      <c r="H40" s="403">
        <f>SUM(H37:H39)</f>
        <v>72.176659000000001</v>
      </c>
      <c r="I40" s="404"/>
      <c r="J40" s="422"/>
      <c r="K40" s="423"/>
      <c r="L40" s="403">
        <f>SUM(L37:L39)</f>
        <v>79.754661999999996</v>
      </c>
      <c r="M40" s="404"/>
      <c r="N40" s="405">
        <f t="shared" si="36"/>
        <v>7.5780029999999954</v>
      </c>
      <c r="O40" s="406">
        <f t="shared" si="37"/>
        <v>0.10499243252586678</v>
      </c>
      <c r="P40" s="53"/>
      <c r="Q40" s="422"/>
      <c r="R40" s="423"/>
      <c r="S40" s="403">
        <f>SUM(S37:S39)</f>
        <v>83.294661999999988</v>
      </c>
      <c r="T40" s="404"/>
      <c r="U40" s="405">
        <f t="shared" si="9"/>
        <v>3.539999999999992</v>
      </c>
      <c r="V40" s="406">
        <f t="shared" si="10"/>
        <v>4.4386120023930289E-2</v>
      </c>
      <c r="W40" s="53"/>
      <c r="X40" s="422"/>
      <c r="Y40" s="423"/>
      <c r="Z40" s="403">
        <f>SUM(Z37:Z39)</f>
        <v>84.310159999999996</v>
      </c>
      <c r="AA40" s="404"/>
      <c r="AB40" s="405">
        <f t="shared" si="13"/>
        <v>1.015498000000008</v>
      </c>
      <c r="AC40" s="406">
        <f t="shared" si="14"/>
        <v>1.2191633600722314E-2</v>
      </c>
      <c r="AD40" s="53"/>
      <c r="AE40" s="422"/>
      <c r="AF40" s="423"/>
      <c r="AG40" s="403">
        <f>SUM(AG37:AG39)</f>
        <v>85.810159999999996</v>
      </c>
      <c r="AH40" s="404"/>
      <c r="AI40" s="405">
        <f t="shared" si="17"/>
        <v>1.5</v>
      </c>
      <c r="AJ40" s="406">
        <f t="shared" si="18"/>
        <v>1.7791450045878222E-2</v>
      </c>
      <c r="AK40" s="53"/>
      <c r="AL40" s="422"/>
      <c r="AM40" s="423"/>
      <c r="AN40" s="403">
        <f>SUM(AN37:AN39)</f>
        <v>87.180160000000001</v>
      </c>
      <c r="AO40" s="404"/>
      <c r="AP40" s="405">
        <f t="shared" si="21"/>
        <v>1.3700000000000045</v>
      </c>
      <c r="AQ40" s="406">
        <f t="shared" si="22"/>
        <v>1.5965475416897072E-2</v>
      </c>
      <c r="AR40" s="407"/>
    </row>
    <row r="41" spans="1:44" ht="12.75" customHeight="1">
      <c r="A41" s="53"/>
      <c r="B41" s="328" t="s">
        <v>289</v>
      </c>
      <c r="C41" s="389" t="str">
        <f t="shared" ref="C41:C48" si="51">D$6&amp;"."&amp;B41</f>
        <v>Residential.Wholesale Market Service Charge (WMSC)</v>
      </c>
      <c r="D41" s="390" t="s">
        <v>337</v>
      </c>
      <c r="E41" s="328"/>
      <c r="F41" s="408">
        <f>IFERROR(VLOOKUP($C41,'Proposed Rates'!$B:$J,F$11,FALSE),0)</f>
        <v>4.4999999999999997E-3</v>
      </c>
      <c r="G41" s="413">
        <f t="shared" ref="G41:G42" si="52">$F$10*(1+F$63)</f>
        <v>1550.7</v>
      </c>
      <c r="H41" s="394">
        <f t="shared" ref="H41:H48" si="53">G41*F41</f>
        <v>6.9781499999999994</v>
      </c>
      <c r="I41" s="138"/>
      <c r="J41" s="408">
        <f>IFERROR(VLOOKUP($C41,'Proposed Rates'!$B:$J,J$11,FALSE),0)</f>
        <v>4.7000000000000002E-3</v>
      </c>
      <c r="K41" s="413">
        <f t="shared" ref="K41:K42" si="54">$F$10*(1+J$63)</f>
        <v>1549.8</v>
      </c>
      <c r="L41" s="394">
        <f t="shared" ref="L41:L48" si="55">K41*J41</f>
        <v>7.2840600000000002</v>
      </c>
      <c r="M41" s="138"/>
      <c r="N41" s="395">
        <f t="shared" si="36"/>
        <v>0.30591000000000079</v>
      </c>
      <c r="O41" s="396">
        <f t="shared" si="37"/>
        <v>4.3838266589282374E-2</v>
      </c>
      <c r="P41" s="53"/>
      <c r="Q41" s="408">
        <f>IFERROR(VLOOKUP($C41,'Proposed Rates'!$B:$J,Q$11,FALSE),0)</f>
        <v>4.7000000000000002E-3</v>
      </c>
      <c r="R41" s="413">
        <f t="shared" ref="R41:R42" si="56">$F$10*(1+Q$63)</f>
        <v>1549.8</v>
      </c>
      <c r="S41" s="394">
        <f t="shared" ref="S41:S48" si="57">R41*Q41</f>
        <v>7.2840600000000002</v>
      </c>
      <c r="T41" s="138"/>
      <c r="U41" s="395">
        <f t="shared" si="9"/>
        <v>0</v>
      </c>
      <c r="V41" s="396">
        <f t="shared" si="10"/>
        <v>0</v>
      </c>
      <c r="W41" s="53"/>
      <c r="X41" s="408">
        <f>IFERROR(VLOOKUP($C41,'Proposed Rates'!$B:$J,X$11,FALSE),0)</f>
        <v>4.7000000000000002E-3</v>
      </c>
      <c r="Y41" s="413">
        <f t="shared" ref="Y41:Y42" si="58">$F$10*(1+X$63)</f>
        <v>1549.8</v>
      </c>
      <c r="Z41" s="394">
        <f t="shared" ref="Z41:Z48" si="59">Y41*X41</f>
        <v>7.2840600000000002</v>
      </c>
      <c r="AA41" s="138"/>
      <c r="AB41" s="395">
        <f t="shared" si="13"/>
        <v>0</v>
      </c>
      <c r="AC41" s="396">
        <f t="shared" si="14"/>
        <v>0</v>
      </c>
      <c r="AD41" s="53"/>
      <c r="AE41" s="408">
        <f>IFERROR(VLOOKUP($C41,'Proposed Rates'!$B:$J,AE$11,FALSE),0)</f>
        <v>4.7000000000000002E-3</v>
      </c>
      <c r="AF41" s="413">
        <f t="shared" ref="AF41:AF42" si="60">$F$10*(1+AE$63)</f>
        <v>1549.8</v>
      </c>
      <c r="AG41" s="394">
        <f t="shared" ref="AG41:AG48" si="61">AF41*AE41</f>
        <v>7.2840600000000002</v>
      </c>
      <c r="AH41" s="138"/>
      <c r="AI41" s="395">
        <f t="shared" si="17"/>
        <v>0</v>
      </c>
      <c r="AJ41" s="396">
        <f t="shared" si="18"/>
        <v>0</v>
      </c>
      <c r="AK41" s="53"/>
      <c r="AL41" s="408">
        <f>IFERROR(VLOOKUP($C41,'Proposed Rates'!$B:$J,AL$11,FALSE),0)</f>
        <v>4.7000000000000002E-3</v>
      </c>
      <c r="AM41" s="413">
        <f t="shared" ref="AM41:AM42" si="62">$F$10*(1+AL$63)</f>
        <v>1549.8</v>
      </c>
      <c r="AN41" s="394">
        <f t="shared" ref="AN41:AN48" si="63">AM41*AL41</f>
        <v>7.2840600000000002</v>
      </c>
      <c r="AO41" s="138"/>
      <c r="AP41" s="395">
        <f t="shared" si="21"/>
        <v>0</v>
      </c>
      <c r="AQ41" s="396">
        <f t="shared" si="22"/>
        <v>0</v>
      </c>
      <c r="AR41" s="397"/>
    </row>
    <row r="42" spans="1:44" ht="12.75" customHeight="1">
      <c r="A42" s="53"/>
      <c r="B42" s="328" t="s">
        <v>290</v>
      </c>
      <c r="C42" s="389" t="str">
        <f t="shared" si="51"/>
        <v>Residential.Rural and Remote Rate Protection (RRRP)</v>
      </c>
      <c r="D42" s="390" t="s">
        <v>337</v>
      </c>
      <c r="E42" s="328"/>
      <c r="F42" s="408">
        <f>IFERROR(VLOOKUP($C42,'Proposed Rates'!$B:$J,F$11,FALSE),0)</f>
        <v>1.5E-3</v>
      </c>
      <c r="G42" s="413">
        <f t="shared" si="52"/>
        <v>1550.7</v>
      </c>
      <c r="H42" s="394">
        <f t="shared" si="53"/>
        <v>2.32605</v>
      </c>
      <c r="I42" s="138"/>
      <c r="J42" s="408">
        <f>IFERROR(VLOOKUP($C42,'Proposed Rates'!$B:$J,J$11,FALSE),0)</f>
        <v>5.9999999999999995E-4</v>
      </c>
      <c r="K42" s="413">
        <f t="shared" si="54"/>
        <v>1549.8</v>
      </c>
      <c r="L42" s="394">
        <f t="shared" si="55"/>
        <v>0.92987999999999993</v>
      </c>
      <c r="M42" s="138"/>
      <c r="N42" s="395">
        <f t="shared" si="36"/>
        <v>-1.3961700000000001</v>
      </c>
      <c r="O42" s="396">
        <f t="shared" si="37"/>
        <v>-0.600232153221126</v>
      </c>
      <c r="P42" s="53"/>
      <c r="Q42" s="408">
        <f>IFERROR(VLOOKUP($C42,'Proposed Rates'!$B:$J,Q$11,FALSE),0)</f>
        <v>5.9999999999999995E-4</v>
      </c>
      <c r="R42" s="413">
        <f t="shared" si="56"/>
        <v>1549.8</v>
      </c>
      <c r="S42" s="394">
        <f t="shared" si="57"/>
        <v>0.92987999999999993</v>
      </c>
      <c r="T42" s="138"/>
      <c r="U42" s="395">
        <f t="shared" si="9"/>
        <v>0</v>
      </c>
      <c r="V42" s="396">
        <f t="shared" si="10"/>
        <v>0</v>
      </c>
      <c r="W42" s="53"/>
      <c r="X42" s="408">
        <f>IFERROR(VLOOKUP($C42,'Proposed Rates'!$B:$J,X$11,FALSE),0)</f>
        <v>5.9999999999999995E-4</v>
      </c>
      <c r="Y42" s="413">
        <f t="shared" si="58"/>
        <v>1549.8</v>
      </c>
      <c r="Z42" s="394">
        <f t="shared" si="59"/>
        <v>0.92987999999999993</v>
      </c>
      <c r="AA42" s="138"/>
      <c r="AB42" s="395">
        <f t="shared" si="13"/>
        <v>0</v>
      </c>
      <c r="AC42" s="396">
        <f t="shared" si="14"/>
        <v>0</v>
      </c>
      <c r="AD42" s="53"/>
      <c r="AE42" s="408">
        <f>IFERROR(VLOOKUP($C42,'Proposed Rates'!$B:$J,AE$11,FALSE),0)</f>
        <v>5.9999999999999995E-4</v>
      </c>
      <c r="AF42" s="413">
        <f t="shared" si="60"/>
        <v>1549.8</v>
      </c>
      <c r="AG42" s="394">
        <f t="shared" si="61"/>
        <v>0.92987999999999993</v>
      </c>
      <c r="AH42" s="138"/>
      <c r="AI42" s="395">
        <f t="shared" si="17"/>
        <v>0</v>
      </c>
      <c r="AJ42" s="396">
        <f t="shared" si="18"/>
        <v>0</v>
      </c>
      <c r="AK42" s="53"/>
      <c r="AL42" s="408">
        <f>IFERROR(VLOOKUP($C42,'Proposed Rates'!$B:$J,AL$11,FALSE),0)</f>
        <v>5.9999999999999995E-4</v>
      </c>
      <c r="AM42" s="413">
        <f t="shared" si="62"/>
        <v>1549.8</v>
      </c>
      <c r="AN42" s="394">
        <f t="shared" si="63"/>
        <v>0.92987999999999993</v>
      </c>
      <c r="AO42" s="138"/>
      <c r="AP42" s="395">
        <f t="shared" si="21"/>
        <v>0</v>
      </c>
      <c r="AQ42" s="396">
        <f t="shared" si="22"/>
        <v>0</v>
      </c>
      <c r="AR42" s="397"/>
    </row>
    <row r="43" spans="1:44" ht="12.75" customHeight="1">
      <c r="A43" s="53"/>
      <c r="B43" s="328" t="s">
        <v>291</v>
      </c>
      <c r="C43" s="389" t="str">
        <f t="shared" si="51"/>
        <v>Residential.Standard Supply Service Charge</v>
      </c>
      <c r="D43" s="390" t="s">
        <v>335</v>
      </c>
      <c r="E43" s="328"/>
      <c r="F43" s="408">
        <f>IFERROR(VLOOKUP($C43,'Proposed Rates'!$B:$J,F$11,FALSE),0)</f>
        <v>0.25</v>
      </c>
      <c r="G43" s="409">
        <f>IF($D43="Monthly",1,IF($D43="per KWH",$F$10,0))</f>
        <v>1</v>
      </c>
      <c r="H43" s="394">
        <f t="shared" si="53"/>
        <v>0.25</v>
      </c>
      <c r="I43" s="138"/>
      <c r="J43" s="408">
        <f>IFERROR(VLOOKUP($C43,'Proposed Rates'!$B:$J,J$11,FALSE),0)</f>
        <v>0.25</v>
      </c>
      <c r="K43" s="409">
        <f>IF($D43="Monthly",1,IF($D43="per KWH",$F$10,0))</f>
        <v>1</v>
      </c>
      <c r="L43" s="394">
        <f t="shared" si="55"/>
        <v>0.25</v>
      </c>
      <c r="M43" s="138"/>
      <c r="N43" s="395">
        <f t="shared" si="36"/>
        <v>0</v>
      </c>
      <c r="O43" s="396">
        <f t="shared" si="37"/>
        <v>0</v>
      </c>
      <c r="P43" s="53"/>
      <c r="Q43" s="408">
        <f>IFERROR(VLOOKUP($C43,'Proposed Rates'!$B:$J,Q$11,FALSE),0)</f>
        <v>0.25</v>
      </c>
      <c r="R43" s="409">
        <f>IF($D43="Monthly",1,IF($D43="per KWH",$F$10,0))</f>
        <v>1</v>
      </c>
      <c r="S43" s="394">
        <f t="shared" si="57"/>
        <v>0.25</v>
      </c>
      <c r="T43" s="138"/>
      <c r="U43" s="395">
        <f t="shared" si="9"/>
        <v>0</v>
      </c>
      <c r="V43" s="396">
        <f t="shared" si="10"/>
        <v>0</v>
      </c>
      <c r="W43" s="53"/>
      <c r="X43" s="408">
        <f>IFERROR(VLOOKUP($C43,'Proposed Rates'!$B:$J,X$11,FALSE),0)</f>
        <v>0.25</v>
      </c>
      <c r="Y43" s="409">
        <f>IF($D43="Monthly",1,IF($D43="per KWH",$F$10,0))</f>
        <v>1</v>
      </c>
      <c r="Z43" s="394">
        <f t="shared" si="59"/>
        <v>0.25</v>
      </c>
      <c r="AA43" s="138"/>
      <c r="AB43" s="395">
        <f t="shared" si="13"/>
        <v>0</v>
      </c>
      <c r="AC43" s="396">
        <f t="shared" si="14"/>
        <v>0</v>
      </c>
      <c r="AD43" s="53"/>
      <c r="AE43" s="408">
        <f>IFERROR(VLOOKUP($C43,'Proposed Rates'!$B:$J,AE$11,FALSE),0)</f>
        <v>0.25</v>
      </c>
      <c r="AF43" s="409">
        <f>IF($D43="Monthly",1,IF($D43="per KWH",$F$10,0))</f>
        <v>1</v>
      </c>
      <c r="AG43" s="394">
        <f t="shared" si="61"/>
        <v>0.25</v>
      </c>
      <c r="AH43" s="138"/>
      <c r="AI43" s="395">
        <f t="shared" si="17"/>
        <v>0</v>
      </c>
      <c r="AJ43" s="396">
        <f t="shared" si="18"/>
        <v>0</v>
      </c>
      <c r="AK43" s="53"/>
      <c r="AL43" s="408">
        <f>IFERROR(VLOOKUP($C43,'Proposed Rates'!$B:$J,AL$11,FALSE),0)</f>
        <v>0.25</v>
      </c>
      <c r="AM43" s="409">
        <f>IF($D43="Monthly",1,IF($D43="per KWH",$F$10,0))</f>
        <v>1</v>
      </c>
      <c r="AN43" s="394">
        <f t="shared" si="63"/>
        <v>0.25</v>
      </c>
      <c r="AO43" s="138"/>
      <c r="AP43" s="395">
        <f t="shared" si="21"/>
        <v>0</v>
      </c>
      <c r="AQ43" s="396">
        <f t="shared" si="22"/>
        <v>0</v>
      </c>
      <c r="AR43" s="397"/>
    </row>
    <row r="44" spans="1:44" ht="12.75" customHeight="1">
      <c r="A44" s="53"/>
      <c r="B44" s="328" t="s">
        <v>293</v>
      </c>
      <c r="C44" s="389" t="str">
        <f t="shared" si="51"/>
        <v>Residential.TOU - Off Peak</v>
      </c>
      <c r="D44" s="390" t="s">
        <v>337</v>
      </c>
      <c r="E44" s="328"/>
      <c r="F44" s="424">
        <f>VLOOKUP($B44,'Proposed Rates'!$D$255:$J$261,+F$11-2,FALSE)</f>
        <v>9.8000000000000004E-2</v>
      </c>
      <c r="G44" s="415">
        <f>$F$10*'Proposed Rates'!$K$256</f>
        <v>960</v>
      </c>
      <c r="H44" s="394">
        <f t="shared" si="53"/>
        <v>94.08</v>
      </c>
      <c r="I44" s="138"/>
      <c r="J44" s="424">
        <f>VLOOKUP($B44,'Proposed Rates'!$D$255:$J$261,+J$11-2,FALSE)</f>
        <v>9.8000000000000004E-2</v>
      </c>
      <c r="K44" s="415">
        <f>$F$10*'Proposed Rates'!$K$256</f>
        <v>960</v>
      </c>
      <c r="L44" s="394">
        <f t="shared" si="55"/>
        <v>94.08</v>
      </c>
      <c r="M44" s="138"/>
      <c r="N44" s="395">
        <f t="shared" si="36"/>
        <v>0</v>
      </c>
      <c r="O44" s="396">
        <f t="shared" si="37"/>
        <v>0</v>
      </c>
      <c r="P44" s="53"/>
      <c r="Q44" s="424">
        <f>VLOOKUP($B44,'Proposed Rates'!$D$255:$J$261,+Q$11-2,FALSE)</f>
        <v>9.8000000000000004E-2</v>
      </c>
      <c r="R44" s="415">
        <f>$F$10*'Proposed Rates'!$K$256</f>
        <v>960</v>
      </c>
      <c r="S44" s="394">
        <f t="shared" si="57"/>
        <v>94.08</v>
      </c>
      <c r="T44" s="138"/>
      <c r="U44" s="395">
        <f t="shared" si="9"/>
        <v>0</v>
      </c>
      <c r="V44" s="396">
        <f t="shared" si="10"/>
        <v>0</v>
      </c>
      <c r="W44" s="53"/>
      <c r="X44" s="424">
        <f>VLOOKUP($B44,'Proposed Rates'!$D$255:$J$261,+X$11-2,FALSE)</f>
        <v>9.8000000000000004E-2</v>
      </c>
      <c r="Y44" s="415">
        <f>$F$10*'Proposed Rates'!$K$256</f>
        <v>960</v>
      </c>
      <c r="Z44" s="394">
        <f t="shared" si="59"/>
        <v>94.08</v>
      </c>
      <c r="AA44" s="138"/>
      <c r="AB44" s="395">
        <f t="shared" si="13"/>
        <v>0</v>
      </c>
      <c r="AC44" s="396">
        <f t="shared" si="14"/>
        <v>0</v>
      </c>
      <c r="AD44" s="53"/>
      <c r="AE44" s="424">
        <f>VLOOKUP($B44,'Proposed Rates'!$D$255:$J$261,+AE$11-2,FALSE)</f>
        <v>9.8000000000000004E-2</v>
      </c>
      <c r="AF44" s="415">
        <f>$F$10*'Proposed Rates'!$K$256</f>
        <v>960</v>
      </c>
      <c r="AG44" s="394">
        <f t="shared" si="61"/>
        <v>94.08</v>
      </c>
      <c r="AH44" s="138"/>
      <c r="AI44" s="395">
        <f t="shared" si="17"/>
        <v>0</v>
      </c>
      <c r="AJ44" s="396">
        <f t="shared" si="18"/>
        <v>0</v>
      </c>
      <c r="AK44" s="53"/>
      <c r="AL44" s="424">
        <f>VLOOKUP($B44,'Proposed Rates'!$D$255:$J$261,+AL$11-2,FALSE)</f>
        <v>9.8000000000000004E-2</v>
      </c>
      <c r="AM44" s="415">
        <f>$F$10*'Proposed Rates'!$K$256</f>
        <v>960</v>
      </c>
      <c r="AN44" s="394">
        <f t="shared" si="63"/>
        <v>94.08</v>
      </c>
      <c r="AO44" s="138"/>
      <c r="AP44" s="395">
        <f t="shared" si="21"/>
        <v>0</v>
      </c>
      <c r="AQ44" s="396">
        <f t="shared" si="22"/>
        <v>0</v>
      </c>
      <c r="AR44" s="397"/>
    </row>
    <row r="45" spans="1:44" ht="12.75" customHeight="1">
      <c r="A45" s="53"/>
      <c r="B45" s="328" t="s">
        <v>294</v>
      </c>
      <c r="C45" s="389" t="str">
        <f t="shared" si="51"/>
        <v>Residential.TOU - Mid Peak</v>
      </c>
      <c r="D45" s="390" t="s">
        <v>337</v>
      </c>
      <c r="E45" s="328"/>
      <c r="F45" s="424">
        <f>VLOOKUP($B45,'Proposed Rates'!$D$255:$J$261,+F$11-2,FALSE)</f>
        <v>0.157</v>
      </c>
      <c r="G45" s="415">
        <f>$F$10*'Proposed Rates'!$K$257</f>
        <v>270</v>
      </c>
      <c r="H45" s="394">
        <f t="shared" si="53"/>
        <v>42.39</v>
      </c>
      <c r="I45" s="138"/>
      <c r="J45" s="424">
        <f>VLOOKUP($B45,'Proposed Rates'!$D$255:$J$261,+J$11-2,FALSE)</f>
        <v>0.157</v>
      </c>
      <c r="K45" s="415">
        <f>$F$10*'Proposed Rates'!$K$257</f>
        <v>270</v>
      </c>
      <c r="L45" s="394">
        <f t="shared" si="55"/>
        <v>42.39</v>
      </c>
      <c r="M45" s="138"/>
      <c r="N45" s="395">
        <f t="shared" si="36"/>
        <v>0</v>
      </c>
      <c r="O45" s="396">
        <f t="shared" si="37"/>
        <v>0</v>
      </c>
      <c r="P45" s="53"/>
      <c r="Q45" s="424">
        <f>VLOOKUP($B45,'Proposed Rates'!$D$255:$J$261,+Q$11-2,FALSE)</f>
        <v>0.157</v>
      </c>
      <c r="R45" s="415">
        <f>$F$10*'Proposed Rates'!$K$257</f>
        <v>270</v>
      </c>
      <c r="S45" s="394">
        <f t="shared" si="57"/>
        <v>42.39</v>
      </c>
      <c r="T45" s="138"/>
      <c r="U45" s="395">
        <f t="shared" si="9"/>
        <v>0</v>
      </c>
      <c r="V45" s="396">
        <f t="shared" si="10"/>
        <v>0</v>
      </c>
      <c r="W45" s="53"/>
      <c r="X45" s="424">
        <f>VLOOKUP($B45,'Proposed Rates'!$D$255:$J$261,+X$11-2,FALSE)</f>
        <v>0.157</v>
      </c>
      <c r="Y45" s="415">
        <f>$F$10*'Proposed Rates'!$K$257</f>
        <v>270</v>
      </c>
      <c r="Z45" s="394">
        <f t="shared" si="59"/>
        <v>42.39</v>
      </c>
      <c r="AA45" s="138"/>
      <c r="AB45" s="395">
        <f t="shared" si="13"/>
        <v>0</v>
      </c>
      <c r="AC45" s="396">
        <f t="shared" si="14"/>
        <v>0</v>
      </c>
      <c r="AD45" s="53"/>
      <c r="AE45" s="424">
        <f>VLOOKUP($B45,'Proposed Rates'!$D$255:$J$261,+AE$11-2,FALSE)</f>
        <v>0.157</v>
      </c>
      <c r="AF45" s="415">
        <f>$F$10*'Proposed Rates'!$K$257</f>
        <v>270</v>
      </c>
      <c r="AG45" s="394">
        <f t="shared" si="61"/>
        <v>42.39</v>
      </c>
      <c r="AH45" s="138"/>
      <c r="AI45" s="395">
        <f t="shared" si="17"/>
        <v>0</v>
      </c>
      <c r="AJ45" s="396">
        <f t="shared" si="18"/>
        <v>0</v>
      </c>
      <c r="AK45" s="53"/>
      <c r="AL45" s="424">
        <f>VLOOKUP($B45,'Proposed Rates'!$D$255:$J$261,+AL$11-2,FALSE)</f>
        <v>0.157</v>
      </c>
      <c r="AM45" s="415">
        <f>$F$10*'Proposed Rates'!$K$257</f>
        <v>270</v>
      </c>
      <c r="AN45" s="394">
        <f t="shared" si="63"/>
        <v>42.39</v>
      </c>
      <c r="AO45" s="138"/>
      <c r="AP45" s="395">
        <f t="shared" si="21"/>
        <v>0</v>
      </c>
      <c r="AQ45" s="396">
        <f t="shared" si="22"/>
        <v>0</v>
      </c>
      <c r="AR45" s="397"/>
    </row>
    <row r="46" spans="1:44" ht="12.75" customHeight="1">
      <c r="A46" s="53"/>
      <c r="B46" s="53" t="s">
        <v>295</v>
      </c>
      <c r="C46" s="389" t="str">
        <f t="shared" si="51"/>
        <v>Residential.TOU - On Peak</v>
      </c>
      <c r="D46" s="390" t="s">
        <v>337</v>
      </c>
      <c r="E46" s="328"/>
      <c r="F46" s="424">
        <f>VLOOKUP($B46,'Proposed Rates'!$D$255:$J$261,+F$11-2,FALSE)</f>
        <v>0.20300000000000001</v>
      </c>
      <c r="G46" s="415">
        <f>$F$10*'Proposed Rates'!$K$258</f>
        <v>270</v>
      </c>
      <c r="H46" s="394">
        <f t="shared" si="53"/>
        <v>54.81</v>
      </c>
      <c r="I46" s="138"/>
      <c r="J46" s="424">
        <f>VLOOKUP($B46,'Proposed Rates'!$D$255:$J$261,+J$11-2,FALSE)</f>
        <v>0.20300000000000001</v>
      </c>
      <c r="K46" s="415">
        <f>$F$10*'Proposed Rates'!$K$258</f>
        <v>270</v>
      </c>
      <c r="L46" s="394">
        <f t="shared" si="55"/>
        <v>54.81</v>
      </c>
      <c r="M46" s="138"/>
      <c r="N46" s="395">
        <f t="shared" si="36"/>
        <v>0</v>
      </c>
      <c r="O46" s="396">
        <f t="shared" si="37"/>
        <v>0</v>
      </c>
      <c r="P46" s="53"/>
      <c r="Q46" s="424">
        <f>VLOOKUP($B46,'Proposed Rates'!$D$255:$J$261,+Q$11-2,FALSE)</f>
        <v>0.20300000000000001</v>
      </c>
      <c r="R46" s="415">
        <f>$F$10*'Proposed Rates'!$K$258</f>
        <v>270</v>
      </c>
      <c r="S46" s="394">
        <f t="shared" si="57"/>
        <v>54.81</v>
      </c>
      <c r="T46" s="138"/>
      <c r="U46" s="395">
        <f t="shared" si="9"/>
        <v>0</v>
      </c>
      <c r="V46" s="396">
        <f t="shared" si="10"/>
        <v>0</v>
      </c>
      <c r="W46" s="53"/>
      <c r="X46" s="424">
        <f>VLOOKUP($B46,'Proposed Rates'!$D$255:$J$261,+X$11-2,FALSE)</f>
        <v>0.20300000000000001</v>
      </c>
      <c r="Y46" s="415">
        <f>$F$10*'Proposed Rates'!$K$258</f>
        <v>270</v>
      </c>
      <c r="Z46" s="394">
        <f t="shared" si="59"/>
        <v>54.81</v>
      </c>
      <c r="AA46" s="138"/>
      <c r="AB46" s="395">
        <f t="shared" si="13"/>
        <v>0</v>
      </c>
      <c r="AC46" s="396">
        <f t="shared" si="14"/>
        <v>0</v>
      </c>
      <c r="AD46" s="53"/>
      <c r="AE46" s="424">
        <f>VLOOKUP($B46,'Proposed Rates'!$D$255:$J$261,+AE$11-2,FALSE)</f>
        <v>0.20300000000000001</v>
      </c>
      <c r="AF46" s="415">
        <f>$F$10*'Proposed Rates'!$K$258</f>
        <v>270</v>
      </c>
      <c r="AG46" s="394">
        <f t="shared" si="61"/>
        <v>54.81</v>
      </c>
      <c r="AH46" s="138"/>
      <c r="AI46" s="395">
        <f t="shared" si="17"/>
        <v>0</v>
      </c>
      <c r="AJ46" s="396">
        <f t="shared" si="18"/>
        <v>0</v>
      </c>
      <c r="AK46" s="53"/>
      <c r="AL46" s="424">
        <f>VLOOKUP($B46,'Proposed Rates'!$D$255:$J$261,+AL$11-2,FALSE)</f>
        <v>0.20300000000000001</v>
      </c>
      <c r="AM46" s="415">
        <f>$F$10*'Proposed Rates'!$K$258</f>
        <v>270</v>
      </c>
      <c r="AN46" s="394">
        <f t="shared" si="63"/>
        <v>54.81</v>
      </c>
      <c r="AO46" s="138"/>
      <c r="AP46" s="395">
        <f t="shared" si="21"/>
        <v>0</v>
      </c>
      <c r="AQ46" s="396">
        <f t="shared" si="22"/>
        <v>0</v>
      </c>
      <c r="AR46" s="397"/>
    </row>
    <row r="47" spans="1:44" ht="12.75" customHeight="1">
      <c r="A47" s="53"/>
      <c r="B47" s="328" t="s">
        <v>296</v>
      </c>
      <c r="C47" s="389" t="str">
        <f t="shared" si="51"/>
        <v>Residential.Energy - RPP - Tier 1</v>
      </c>
      <c r="D47" s="390" t="s">
        <v>337</v>
      </c>
      <c r="E47" s="328"/>
      <c r="F47" s="424">
        <f>VLOOKUP($B47,'Proposed Rates'!$D$255:$J$261,+F$11-2,FALSE)</f>
        <v>0.12</v>
      </c>
      <c r="G47" s="425">
        <f>IF(AND($S$2=1, $F$10&gt;=600), 600, IF(AND($S$2=1, AND($F$10&lt;600, $F$10&gt;=0)), $F$10, IF(AND($S$2=2, $F$10&gt;=1000), 1000, IF(AND($S$2=2, AND($F$10&lt;1000, $F$10&gt;=0)), $F$10))))</f>
        <v>600</v>
      </c>
      <c r="H47" s="394">
        <f t="shared" si="53"/>
        <v>72</v>
      </c>
      <c r="I47" s="138"/>
      <c r="J47" s="424">
        <f>VLOOKUP($B47,'Proposed Rates'!$D$255:$J$261,+J$11-2,FALSE)</f>
        <v>0.12</v>
      </c>
      <c r="K47" s="425">
        <f>IF(AND($S$2=1, $F$10&gt;=600), 600, IF(AND($S$2=1, AND($F$10&lt;600, $F$10&gt;=0)), $F$10, IF(AND($S$2=2, $F$10&gt;=1000), 1000, IF(AND($S$2=2, AND($F$10&lt;1000, $F$10&gt;=0)), $F$10))))</f>
        <v>600</v>
      </c>
      <c r="L47" s="394">
        <f t="shared" si="55"/>
        <v>72</v>
      </c>
      <c r="M47" s="138"/>
      <c r="N47" s="395">
        <f t="shared" si="36"/>
        <v>0</v>
      </c>
      <c r="O47" s="396">
        <f t="shared" si="37"/>
        <v>0</v>
      </c>
      <c r="P47" s="53"/>
      <c r="Q47" s="424">
        <f>VLOOKUP($B47,'Proposed Rates'!$D$255:$J$261,+Q$11-2,FALSE)</f>
        <v>0.12</v>
      </c>
      <c r="R47" s="425">
        <f>IF(AND($S$2=1, $F$10&gt;=600), 600, IF(AND($S$2=1, AND($F$10&lt;600, $F$10&gt;=0)), $F$10, IF(AND($S$2=2, $F$10&gt;=1000), 1000, IF(AND($S$2=2, AND($F$10&lt;1000, $F$10&gt;=0)), $F$10))))</f>
        <v>600</v>
      </c>
      <c r="S47" s="394">
        <f t="shared" si="57"/>
        <v>72</v>
      </c>
      <c r="T47" s="138"/>
      <c r="U47" s="395">
        <f t="shared" si="9"/>
        <v>0</v>
      </c>
      <c r="V47" s="396">
        <f t="shared" si="10"/>
        <v>0</v>
      </c>
      <c r="W47" s="53"/>
      <c r="X47" s="424">
        <f>VLOOKUP($B47,'Proposed Rates'!$D$255:$J$261,+X$11-2,FALSE)</f>
        <v>0.12</v>
      </c>
      <c r="Y47" s="425">
        <f>IF(AND($S$2=1, $F$10&gt;=600), 600, IF(AND($S$2=1, AND($F$10&lt;600, $F$10&gt;=0)), $F$10, IF(AND($S$2=2, $F$10&gt;=1000), 1000, IF(AND($S$2=2, AND($F$10&lt;1000, $F$10&gt;=0)), $F$10))))</f>
        <v>600</v>
      </c>
      <c r="Z47" s="394">
        <f t="shared" si="59"/>
        <v>72</v>
      </c>
      <c r="AA47" s="138"/>
      <c r="AB47" s="395">
        <f t="shared" si="13"/>
        <v>0</v>
      </c>
      <c r="AC47" s="396">
        <f t="shared" si="14"/>
        <v>0</v>
      </c>
      <c r="AD47" s="53"/>
      <c r="AE47" s="424">
        <f>VLOOKUP($B47,'Proposed Rates'!$D$255:$J$261,+AE$11-2,FALSE)</f>
        <v>0.12</v>
      </c>
      <c r="AF47" s="425">
        <f>IF(AND($S$2=1, $F$10&gt;=600), 600, IF(AND($S$2=1, AND($F$10&lt;600, $F$10&gt;=0)), $F$10, IF(AND($S$2=2, $F$10&gt;=1000), 1000, IF(AND($S$2=2, AND($F$10&lt;1000, $F$10&gt;=0)), $F$10))))</f>
        <v>600</v>
      </c>
      <c r="AG47" s="394">
        <f t="shared" si="61"/>
        <v>72</v>
      </c>
      <c r="AH47" s="138"/>
      <c r="AI47" s="395">
        <f t="shared" si="17"/>
        <v>0</v>
      </c>
      <c r="AJ47" s="396">
        <f t="shared" si="18"/>
        <v>0</v>
      </c>
      <c r="AK47" s="53"/>
      <c r="AL47" s="424">
        <f>VLOOKUP($B47,'Proposed Rates'!$D$255:$J$261,+AL$11-2,FALSE)</f>
        <v>0.12</v>
      </c>
      <c r="AM47" s="425">
        <f>IF(AND($S$2=1, $F$10&gt;=600), 600, IF(AND($S$2=1, AND($F$10&lt;600, $F$10&gt;=0)), $F$10, IF(AND($S$2=2, $F$10&gt;=1000), 1000, IF(AND($S$2=2, AND($F$10&lt;1000, $F$10&gt;=0)), $F$10))))</f>
        <v>600</v>
      </c>
      <c r="AN47" s="394">
        <f t="shared" si="63"/>
        <v>72</v>
      </c>
      <c r="AO47" s="138"/>
      <c r="AP47" s="395">
        <f t="shared" si="21"/>
        <v>0</v>
      </c>
      <c r="AQ47" s="396">
        <f t="shared" si="22"/>
        <v>0</v>
      </c>
      <c r="AR47" s="397"/>
    </row>
    <row r="48" spans="1:44" ht="12.75" customHeight="1">
      <c r="A48" s="53"/>
      <c r="B48" s="328" t="s">
        <v>297</v>
      </c>
      <c r="C48" s="389" t="str">
        <f t="shared" si="51"/>
        <v>Residential.Energy - RPP - Tier 2</v>
      </c>
      <c r="D48" s="390" t="s">
        <v>337</v>
      </c>
      <c r="E48" s="328"/>
      <c r="F48" s="424">
        <f>VLOOKUP($B48,'Proposed Rates'!$D$255:$J$261,+F$11-2,FALSE)</f>
        <v>0.14199999999999999</v>
      </c>
      <c r="G48" s="427">
        <f>IF(AND($S$2=1, $F$10&gt;=600), $F$10-600, IF(AND($S$2=1, AND($F$10&lt;600, $F$10&gt;=0)), 0, IF(AND($S$2=2, $F$10&gt;=1000), $F$10-1000, IF(AND($S$2=2, AND($F$10&lt;1000, $F$10&gt;=0)), 0))))</f>
        <v>900</v>
      </c>
      <c r="H48" s="394">
        <f t="shared" si="53"/>
        <v>127.79999999999998</v>
      </c>
      <c r="I48" s="138"/>
      <c r="J48" s="424">
        <f>VLOOKUP($B48,'Proposed Rates'!$D$255:$J$261,+J$11-2,FALSE)</f>
        <v>0.14199999999999999</v>
      </c>
      <c r="K48" s="427">
        <f>IF(AND($S$2=1, $F$10&gt;=600), $F$10-600, IF(AND($S$2=1, AND($F$10&lt;600, $F$10&gt;=0)), 0, IF(AND($S$2=2, $F$10&gt;=1000), $F$10-1000, IF(AND($S$2=2, AND($F$10&lt;1000, $F$10&gt;=0)), 0))))</f>
        <v>900</v>
      </c>
      <c r="L48" s="394">
        <f t="shared" si="55"/>
        <v>127.79999999999998</v>
      </c>
      <c r="M48" s="138"/>
      <c r="N48" s="395">
        <f t="shared" si="36"/>
        <v>0</v>
      </c>
      <c r="O48" s="396">
        <f t="shared" si="37"/>
        <v>0</v>
      </c>
      <c r="P48" s="53"/>
      <c r="Q48" s="424">
        <f>VLOOKUP($B48,'Proposed Rates'!$D$255:$J$261,+Q$11-2,FALSE)</f>
        <v>0.14199999999999999</v>
      </c>
      <c r="R48" s="427">
        <f>IF(AND($S$2=1, $F$10&gt;=600), $F$10-600, IF(AND($S$2=1, AND($F$10&lt;600, $F$10&gt;=0)), 0, IF(AND($S$2=2, $F$10&gt;=1000), $F$10-1000, IF(AND($S$2=2, AND($F$10&lt;1000, $F$10&gt;=0)), 0))))</f>
        <v>900</v>
      </c>
      <c r="S48" s="394">
        <f t="shared" si="57"/>
        <v>127.79999999999998</v>
      </c>
      <c r="T48" s="138"/>
      <c r="U48" s="395">
        <f t="shared" si="9"/>
        <v>0</v>
      </c>
      <c r="V48" s="396">
        <f t="shared" si="10"/>
        <v>0</v>
      </c>
      <c r="W48" s="53"/>
      <c r="X48" s="424">
        <f>VLOOKUP($B48,'Proposed Rates'!$D$255:$J$261,+X$11-2,FALSE)</f>
        <v>0.14199999999999999</v>
      </c>
      <c r="Y48" s="427">
        <f>IF(AND($S$2=1, $F$10&gt;=600), $F$10-600, IF(AND($S$2=1, AND($F$10&lt;600, $F$10&gt;=0)), 0, IF(AND($S$2=2, $F$10&gt;=1000), $F$10-1000, IF(AND($S$2=2, AND($F$10&lt;1000, $F$10&gt;=0)), 0))))</f>
        <v>900</v>
      </c>
      <c r="Z48" s="394">
        <f t="shared" si="59"/>
        <v>127.79999999999998</v>
      </c>
      <c r="AA48" s="138"/>
      <c r="AB48" s="395">
        <f t="shared" si="13"/>
        <v>0</v>
      </c>
      <c r="AC48" s="396">
        <f t="shared" si="14"/>
        <v>0</v>
      </c>
      <c r="AD48" s="53"/>
      <c r="AE48" s="424">
        <f>VLOOKUP($B48,'Proposed Rates'!$D$255:$J$261,+AE$11-2,FALSE)</f>
        <v>0.14199999999999999</v>
      </c>
      <c r="AF48" s="427">
        <f>IF(AND($S$2=1, $F$10&gt;=600), $F$10-600, IF(AND($S$2=1, AND($F$10&lt;600, $F$10&gt;=0)), 0, IF(AND($S$2=2, $F$10&gt;=1000), $F$10-1000, IF(AND($S$2=2, AND($F$10&lt;1000, $F$10&gt;=0)), 0))))</f>
        <v>900</v>
      </c>
      <c r="AG48" s="394">
        <f t="shared" si="61"/>
        <v>127.79999999999998</v>
      </c>
      <c r="AH48" s="138"/>
      <c r="AI48" s="395">
        <f t="shared" si="17"/>
        <v>0</v>
      </c>
      <c r="AJ48" s="396">
        <f t="shared" si="18"/>
        <v>0</v>
      </c>
      <c r="AK48" s="53"/>
      <c r="AL48" s="424">
        <f>VLOOKUP($B48,'Proposed Rates'!$D$255:$J$261,+AL$11-2,FALSE)</f>
        <v>0.14199999999999999</v>
      </c>
      <c r="AM48" s="427">
        <f>IF(AND($S$2=1, $F$10&gt;=600), $F$10-600, IF(AND($S$2=1, AND($F$10&lt;600, $F$10&gt;=0)), 0, IF(AND($S$2=2, $F$10&gt;=1000), $F$10-1000, IF(AND($S$2=2, AND($F$10&lt;1000, $F$10&gt;=0)), 0))))</f>
        <v>900</v>
      </c>
      <c r="AN48" s="394">
        <f t="shared" si="63"/>
        <v>127.79999999999998</v>
      </c>
      <c r="AO48" s="138"/>
      <c r="AP48" s="395">
        <f t="shared" si="21"/>
        <v>0</v>
      </c>
      <c r="AQ48" s="396">
        <f t="shared" si="22"/>
        <v>0</v>
      </c>
      <c r="AR48" s="397"/>
    </row>
    <row r="49" spans="1:44" ht="8.25"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75" customHeight="1">
      <c r="A50" s="53"/>
      <c r="B50" s="438" t="s">
        <v>344</v>
      </c>
      <c r="C50" s="328"/>
      <c r="D50" s="328"/>
      <c r="E50" s="328"/>
      <c r="F50" s="439"/>
      <c r="G50" s="483"/>
      <c r="H50" s="441">
        <f>SUM(H41:H46,H40)</f>
        <v>273.01085899999998</v>
      </c>
      <c r="I50" s="476"/>
      <c r="J50" s="439"/>
      <c r="K50" s="440"/>
      <c r="L50" s="441">
        <f>SUM(L41:L46,L40)</f>
        <v>279.49860200000001</v>
      </c>
      <c r="M50" s="443"/>
      <c r="N50" s="442">
        <f t="shared" ref="N50:N54" si="64">L50-H50</f>
        <v>6.4877430000000231</v>
      </c>
      <c r="O50" s="444">
        <f t="shared" ref="O50:O54" si="65">IF((H50)=0,"",(N50/H50))</f>
        <v>2.3763681136214524E-2</v>
      </c>
      <c r="P50" s="53"/>
      <c r="Q50" s="440"/>
      <c r="R50" s="440"/>
      <c r="S50" s="442">
        <f>SUM(S41:S46,S40)</f>
        <v>283.03860199999997</v>
      </c>
      <c r="T50" s="443"/>
      <c r="U50" s="442">
        <f t="shared" ref="U50:U54" si="66">S50-L50</f>
        <v>3.5399999999999636</v>
      </c>
      <c r="V50" s="444">
        <f t="shared" ref="V50:V54" si="67">IF((L50)=0,"",(U50/L50))</f>
        <v>1.2665537411167315E-2</v>
      </c>
      <c r="W50" s="53"/>
      <c r="X50" s="440"/>
      <c r="Y50" s="440"/>
      <c r="Z50" s="442">
        <f>SUM(Z41:Z46,Z40)</f>
        <v>284.05410000000001</v>
      </c>
      <c r="AA50" s="443"/>
      <c r="AB50" s="442">
        <f t="shared" ref="AB50:AB54" si="68">Z50-S50</f>
        <v>1.0154980000000364</v>
      </c>
      <c r="AC50" s="444">
        <f t="shared" ref="AC50:AC54" si="69">IF((S50)=0,"",(AB50/S50))</f>
        <v>3.5878427635818964E-3</v>
      </c>
      <c r="AD50" s="53"/>
      <c r="AE50" s="440"/>
      <c r="AF50" s="440"/>
      <c r="AG50" s="442">
        <f>SUM(AG41:AG46,AG40)</f>
        <v>285.55410000000001</v>
      </c>
      <c r="AH50" s="443"/>
      <c r="AI50" s="442">
        <f t="shared" ref="AI50:AI54" si="70">AG50-Z50</f>
        <v>1.5</v>
      </c>
      <c r="AJ50" s="444">
        <f t="shared" ref="AJ50:AJ54" si="71">IF((Z50)=0,"",(AI50/Z50))</f>
        <v>5.2806842076914221E-3</v>
      </c>
      <c r="AK50" s="53"/>
      <c r="AL50" s="440"/>
      <c r="AM50" s="440"/>
      <c r="AN50" s="442">
        <f>SUM(AN41:AN46,AN40)</f>
        <v>286.92410000000001</v>
      </c>
      <c r="AO50" s="443"/>
      <c r="AP50" s="442">
        <f t="shared" ref="AP50:AP54" si="72">AN50-AG50</f>
        <v>1.3700000000000045</v>
      </c>
      <c r="AQ50" s="444">
        <f t="shared" ref="AQ50:AQ54" si="73">IF((AG50)=0,"",(AP50/AG50))</f>
        <v>4.7976898248002905E-3</v>
      </c>
      <c r="AR50" s="445"/>
    </row>
    <row r="51" spans="1:44" ht="12.75" customHeight="1">
      <c r="A51" s="53"/>
      <c r="B51" s="446" t="s">
        <v>345</v>
      </c>
      <c r="C51" s="328"/>
      <c r="D51" s="328"/>
      <c r="E51" s="328"/>
      <c r="F51" s="439">
        <v>0.13</v>
      </c>
      <c r="G51" s="138"/>
      <c r="H51" s="484">
        <f>H50*F51</f>
        <v>35.491411669999998</v>
      </c>
      <c r="I51" s="411"/>
      <c r="J51" s="439">
        <v>0.13</v>
      </c>
      <c r="K51" s="411"/>
      <c r="L51" s="394">
        <f>L50*J51</f>
        <v>36.334818259999999</v>
      </c>
      <c r="M51" s="138"/>
      <c r="N51" s="395">
        <f t="shared" si="64"/>
        <v>0.84340659000000073</v>
      </c>
      <c r="O51" s="396">
        <f t="shared" si="65"/>
        <v>2.3763681136214462E-2</v>
      </c>
      <c r="P51" s="53"/>
      <c r="Q51" s="447">
        <v>0.13</v>
      </c>
      <c r="R51" s="411"/>
      <c r="S51" s="394">
        <f>S50*Q51</f>
        <v>36.795018259999999</v>
      </c>
      <c r="T51" s="138"/>
      <c r="U51" s="395">
        <f t="shared" si="66"/>
        <v>0.46020000000000039</v>
      </c>
      <c r="V51" s="396">
        <f t="shared" si="67"/>
        <v>1.2665537411167455E-2</v>
      </c>
      <c r="W51" s="53"/>
      <c r="X51" s="447">
        <v>0.13</v>
      </c>
      <c r="Y51" s="411"/>
      <c r="Z51" s="394">
        <f>Z50*X51</f>
        <v>36.927033000000002</v>
      </c>
      <c r="AA51" s="138"/>
      <c r="AB51" s="395">
        <f t="shared" si="68"/>
        <v>0.13201474000000246</v>
      </c>
      <c r="AC51" s="396">
        <f t="shared" si="69"/>
        <v>3.5878427635818344E-3</v>
      </c>
      <c r="AD51" s="53"/>
      <c r="AE51" s="447">
        <v>0.13</v>
      </c>
      <c r="AF51" s="411"/>
      <c r="AG51" s="394">
        <f>AG50*AE51</f>
        <v>37.122033000000002</v>
      </c>
      <c r="AH51" s="138"/>
      <c r="AI51" s="395">
        <f t="shared" si="70"/>
        <v>0.19500000000000028</v>
      </c>
      <c r="AJ51" s="396">
        <f t="shared" si="71"/>
        <v>5.2806842076914299E-3</v>
      </c>
      <c r="AK51" s="53"/>
      <c r="AL51" s="447">
        <v>0.13</v>
      </c>
      <c r="AM51" s="411"/>
      <c r="AN51" s="394">
        <f>AN50*AL51</f>
        <v>37.300133000000002</v>
      </c>
      <c r="AO51" s="138"/>
      <c r="AP51" s="395">
        <f t="shared" si="72"/>
        <v>0.17810000000000059</v>
      </c>
      <c r="AQ51" s="396">
        <f t="shared" si="73"/>
        <v>4.7976898248002896E-3</v>
      </c>
      <c r="AR51" s="397"/>
    </row>
    <row r="52" spans="1:44" ht="12.75" customHeight="1">
      <c r="A52" s="53"/>
      <c r="B52" s="448" t="s">
        <v>386</v>
      </c>
      <c r="C52" s="328"/>
      <c r="D52" s="328"/>
      <c r="E52" s="328"/>
      <c r="F52" s="449"/>
      <c r="G52" s="138"/>
      <c r="H52" s="484">
        <f>H50+H51</f>
        <v>308.50227066999997</v>
      </c>
      <c r="I52" s="411"/>
      <c r="J52" s="449"/>
      <c r="K52" s="411"/>
      <c r="L52" s="394">
        <f>L50+L51</f>
        <v>315.83342026000003</v>
      </c>
      <c r="M52" s="138"/>
      <c r="N52" s="395">
        <f t="shared" si="64"/>
        <v>7.3311495900000523</v>
      </c>
      <c r="O52" s="396">
        <f t="shared" si="65"/>
        <v>2.3763681136214611E-2</v>
      </c>
      <c r="P52" s="53"/>
      <c r="Q52" s="411"/>
      <c r="R52" s="411"/>
      <c r="S52" s="394">
        <f>S50+S51</f>
        <v>319.83362025999998</v>
      </c>
      <c r="T52" s="138"/>
      <c r="U52" s="395">
        <f t="shared" si="66"/>
        <v>4.0001999999999498</v>
      </c>
      <c r="V52" s="396">
        <f t="shared" si="67"/>
        <v>1.2665537411167285E-2</v>
      </c>
      <c r="W52" s="53"/>
      <c r="X52" s="411"/>
      <c r="Y52" s="411"/>
      <c r="Z52" s="394">
        <f>Z50+Z51</f>
        <v>320.981133</v>
      </c>
      <c r="AA52" s="138"/>
      <c r="AB52" s="395">
        <f t="shared" si="68"/>
        <v>1.1475127400000247</v>
      </c>
      <c r="AC52" s="396">
        <f t="shared" si="69"/>
        <v>3.5878427635818448E-3</v>
      </c>
      <c r="AD52" s="53"/>
      <c r="AE52" s="411"/>
      <c r="AF52" s="411"/>
      <c r="AG52" s="394">
        <f>AG50+AG51</f>
        <v>322.67613299999999</v>
      </c>
      <c r="AH52" s="138"/>
      <c r="AI52" s="395">
        <f t="shared" si="70"/>
        <v>1.6949999999999932</v>
      </c>
      <c r="AJ52" s="396">
        <f t="shared" si="71"/>
        <v>5.2806842076914013E-3</v>
      </c>
      <c r="AK52" s="53"/>
      <c r="AL52" s="411"/>
      <c r="AM52" s="411"/>
      <c r="AN52" s="394">
        <f>AN50+AN51</f>
        <v>324.22423300000003</v>
      </c>
      <c r="AO52" s="138"/>
      <c r="AP52" s="395">
        <f t="shared" si="72"/>
        <v>1.5481000000000336</v>
      </c>
      <c r="AQ52" s="396">
        <f t="shared" si="73"/>
        <v>4.7976898248003781E-3</v>
      </c>
      <c r="AR52" s="397"/>
    </row>
    <row r="53" spans="1:44" ht="15.75" customHeight="1">
      <c r="A53" s="53"/>
      <c r="B53" s="626" t="s">
        <v>304</v>
      </c>
      <c r="C53" s="616"/>
      <c r="D53" s="616"/>
      <c r="E53" s="328"/>
      <c r="F53" s="450">
        <f>'Proposed Rates'!E293</f>
        <v>0.23499999999999999</v>
      </c>
      <c r="G53" s="138"/>
      <c r="H53" s="486">
        <f>F53*H50</f>
        <v>64.157551864999988</v>
      </c>
      <c r="I53" s="411"/>
      <c r="J53" s="450">
        <f>'Proposed Rates'!F293</f>
        <v>0.23499999999999999</v>
      </c>
      <c r="K53" s="411"/>
      <c r="L53" s="451">
        <f>J53*L50</f>
        <v>65.68217147</v>
      </c>
      <c r="M53" s="138"/>
      <c r="N53" s="451">
        <f t="shared" si="64"/>
        <v>1.5246196050000123</v>
      </c>
      <c r="O53" s="453">
        <f t="shared" si="65"/>
        <v>2.3763681136214635E-2</v>
      </c>
      <c r="P53" s="53"/>
      <c r="Q53" s="452">
        <f>'Proposed Rates'!G293</f>
        <v>0.23499999999999999</v>
      </c>
      <c r="R53" s="411"/>
      <c r="S53" s="451">
        <f>Q53*S50</f>
        <v>66.51407146999999</v>
      </c>
      <c r="T53" s="138"/>
      <c r="U53" s="451">
        <f t="shared" si="66"/>
        <v>0.83189999999999031</v>
      </c>
      <c r="V53" s="453">
        <f t="shared" si="67"/>
        <v>1.2665537411167297E-2</v>
      </c>
      <c r="W53" s="53"/>
      <c r="X53" s="452">
        <f>'Proposed Rates'!H293</f>
        <v>0.23499999999999999</v>
      </c>
      <c r="Y53" s="411"/>
      <c r="Z53" s="451">
        <f>X53*Z50</f>
        <v>66.752713499999999</v>
      </c>
      <c r="AA53" s="138"/>
      <c r="AB53" s="451">
        <f t="shared" si="68"/>
        <v>0.23864203000000828</v>
      </c>
      <c r="AC53" s="453">
        <f t="shared" si="69"/>
        <v>3.5878427635818925E-3</v>
      </c>
      <c r="AD53" s="53"/>
      <c r="AE53" s="452">
        <f>'Proposed Rates'!I293</f>
        <v>0.23499999999999999</v>
      </c>
      <c r="AF53" s="411"/>
      <c r="AG53" s="451">
        <f>AE53*AG50</f>
        <v>67.105213499999991</v>
      </c>
      <c r="AH53" s="138"/>
      <c r="AI53" s="451">
        <f t="shared" si="70"/>
        <v>0.35249999999999204</v>
      </c>
      <c r="AJ53" s="453">
        <f t="shared" si="71"/>
        <v>5.2806842076913033E-3</v>
      </c>
      <c r="AK53" s="53"/>
      <c r="AL53" s="452">
        <f>'Proposed Rates'!J293</f>
        <v>0.23499999999999999</v>
      </c>
      <c r="AM53" s="411"/>
      <c r="AN53" s="451">
        <f>AL53*AN50</f>
        <v>67.427163499999992</v>
      </c>
      <c r="AO53" s="138"/>
      <c r="AP53" s="451">
        <f t="shared" si="72"/>
        <v>0.32195000000000107</v>
      </c>
      <c r="AQ53" s="453">
        <f t="shared" si="73"/>
        <v>4.7976898248002905E-3</v>
      </c>
      <c r="AR53" s="454"/>
    </row>
    <row r="54" spans="1:44" ht="12.75" customHeight="1">
      <c r="A54" s="53"/>
      <c r="B54" s="627" t="s">
        <v>347</v>
      </c>
      <c r="C54" s="608"/>
      <c r="D54" s="600"/>
      <c r="E54" s="455"/>
      <c r="F54" s="456"/>
      <c r="G54" s="487"/>
      <c r="H54" s="488">
        <f>H52-H53</f>
        <v>244.34471880499999</v>
      </c>
      <c r="I54" s="457"/>
      <c r="J54" s="456"/>
      <c r="K54" s="457"/>
      <c r="L54" s="458">
        <f>L52-L53</f>
        <v>250.15124879000001</v>
      </c>
      <c r="M54" s="459"/>
      <c r="N54" s="460">
        <f t="shared" si="64"/>
        <v>5.8065299850000258</v>
      </c>
      <c r="O54" s="461">
        <f t="shared" si="65"/>
        <v>2.3763681136214545E-2</v>
      </c>
      <c r="P54" s="53"/>
      <c r="Q54" s="457"/>
      <c r="R54" s="457"/>
      <c r="S54" s="458">
        <f>S52-S53</f>
        <v>253.31954879</v>
      </c>
      <c r="T54" s="459"/>
      <c r="U54" s="460">
        <f t="shared" si="66"/>
        <v>3.1682999999999879</v>
      </c>
      <c r="V54" s="461">
        <f t="shared" si="67"/>
        <v>1.2665537411167396E-2</v>
      </c>
      <c r="W54" s="53"/>
      <c r="X54" s="457"/>
      <c r="Y54" s="457"/>
      <c r="Z54" s="458">
        <f>Z52-Z53</f>
        <v>254.2284195</v>
      </c>
      <c r="AA54" s="459"/>
      <c r="AB54" s="460">
        <f t="shared" si="68"/>
        <v>0.90887071000000219</v>
      </c>
      <c r="AC54" s="461">
        <f t="shared" si="69"/>
        <v>3.5878427635817763E-3</v>
      </c>
      <c r="AD54" s="53"/>
      <c r="AE54" s="457"/>
      <c r="AF54" s="457"/>
      <c r="AG54" s="458">
        <f>AG52-AG53</f>
        <v>255.5709195</v>
      </c>
      <c r="AH54" s="459"/>
      <c r="AI54" s="460">
        <f t="shared" si="70"/>
        <v>1.3425000000000011</v>
      </c>
      <c r="AJ54" s="461">
        <f t="shared" si="71"/>
        <v>5.2806842076914265E-3</v>
      </c>
      <c r="AK54" s="53"/>
      <c r="AL54" s="457"/>
      <c r="AM54" s="457"/>
      <c r="AN54" s="458">
        <f>AN52-AN53</f>
        <v>256.79706950000002</v>
      </c>
      <c r="AO54" s="459"/>
      <c r="AP54" s="460">
        <f t="shared" si="72"/>
        <v>1.2261500000000183</v>
      </c>
      <c r="AQ54" s="461">
        <f t="shared" si="73"/>
        <v>4.797689824800346E-3</v>
      </c>
      <c r="AR54" s="462"/>
    </row>
    <row r="55" spans="1:44" ht="8.25"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75" customHeight="1">
      <c r="A56" s="53"/>
      <c r="B56" s="438" t="s">
        <v>348</v>
      </c>
      <c r="C56" s="328"/>
      <c r="D56" s="328"/>
      <c r="E56" s="328"/>
      <c r="F56" s="439"/>
      <c r="G56" s="483"/>
      <c r="H56" s="441">
        <f>SUM(H47:H48,H40,H41:H43)</f>
        <v>281.53085899999996</v>
      </c>
      <c r="I56" s="476"/>
      <c r="J56" s="439"/>
      <c r="K56" s="440"/>
      <c r="L56" s="441">
        <f>SUM(L47:L48,L40,L41:L43)</f>
        <v>288.01860200000004</v>
      </c>
      <c r="M56" s="443"/>
      <c r="N56" s="442">
        <f t="shared" ref="N56:N60" si="74">L56-H56</f>
        <v>6.48774300000008</v>
      </c>
      <c r="O56" s="444">
        <f t="shared" ref="O56:O60" si="75">IF((H56)=0,"",(N56/H56))</f>
        <v>2.3044518185482754E-2</v>
      </c>
      <c r="P56" s="53"/>
      <c r="Q56" s="440"/>
      <c r="R56" s="440"/>
      <c r="S56" s="442">
        <f>SUM(S47:S48,S40,S41:S43)</f>
        <v>291.55860200000001</v>
      </c>
      <c r="T56" s="443"/>
      <c r="U56" s="442">
        <f t="shared" ref="U56:U60" si="76">S56-L56</f>
        <v>3.5399999999999636</v>
      </c>
      <c r="V56" s="444">
        <f t="shared" ref="V56:V60" si="77">IF((L56)=0,"",(U56/L56))</f>
        <v>1.2290872795778528E-2</v>
      </c>
      <c r="W56" s="53"/>
      <c r="X56" s="440"/>
      <c r="Y56" s="440"/>
      <c r="Z56" s="442">
        <f>SUM(Z47:Z48,Z40,Z41:Z43)</f>
        <v>292.57409999999999</v>
      </c>
      <c r="AA56" s="443"/>
      <c r="AB56" s="442">
        <f t="shared" ref="AB56:AB60" si="78">Z56-S56</f>
        <v>1.0154979999999796</v>
      </c>
      <c r="AC56" s="444">
        <f t="shared" ref="AC56:AC60" si="79">IF((S56)=0,"",(AB56/S56))</f>
        <v>3.4829979051689223E-3</v>
      </c>
      <c r="AD56" s="53"/>
      <c r="AE56" s="440"/>
      <c r="AF56" s="440"/>
      <c r="AG56" s="442">
        <f>SUM(AG47:AG48,AG40,AG41:AG43)</f>
        <v>294.07409999999999</v>
      </c>
      <c r="AH56" s="443"/>
      <c r="AI56" s="442">
        <f t="shared" ref="AI56:AI60" si="80">AG56-Z56</f>
        <v>1.5</v>
      </c>
      <c r="AJ56" s="444">
        <f t="shared" ref="AJ56:AJ60" si="81">IF((Z56)=0,"",(AI56/Z56))</f>
        <v>5.1269063119394375E-3</v>
      </c>
      <c r="AK56" s="53"/>
      <c r="AL56" s="440"/>
      <c r="AM56" s="440"/>
      <c r="AN56" s="442">
        <f>SUM(AN47:AN48,AN40,AN41:AN43)</f>
        <v>295.44409999999999</v>
      </c>
      <c r="AO56" s="443"/>
      <c r="AP56" s="442">
        <f t="shared" ref="AP56:AP60" si="82">AN56-AG56</f>
        <v>1.3700000000000045</v>
      </c>
      <c r="AQ56" s="444">
        <f t="shared" ref="AQ56:AQ60" si="83">IF((AG56)=0,"",(AP56/AG56))</f>
        <v>4.6586897656067114E-3</v>
      </c>
      <c r="AR56" s="445"/>
    </row>
    <row r="57" spans="1:44" ht="12.75" customHeight="1">
      <c r="A57" s="53"/>
      <c r="B57" s="446" t="s">
        <v>345</v>
      </c>
      <c r="C57" s="328"/>
      <c r="D57" s="328"/>
      <c r="E57" s="328"/>
      <c r="F57" s="439">
        <v>0.13</v>
      </c>
      <c r="G57" s="483"/>
      <c r="H57" s="484">
        <f>H56*F57</f>
        <v>36.599011669999996</v>
      </c>
      <c r="I57" s="411"/>
      <c r="J57" s="439">
        <v>0.13</v>
      </c>
      <c r="K57" s="447"/>
      <c r="L57" s="394">
        <f>L56*J57</f>
        <v>37.442418260000004</v>
      </c>
      <c r="M57" s="138"/>
      <c r="N57" s="395">
        <f t="shared" si="74"/>
        <v>0.84340659000000784</v>
      </c>
      <c r="O57" s="396">
        <f t="shared" si="75"/>
        <v>2.3044518185482681E-2</v>
      </c>
      <c r="P57" s="53"/>
      <c r="Q57" s="439">
        <v>0.13</v>
      </c>
      <c r="R57" s="447"/>
      <c r="S57" s="394">
        <f>S56*Q57</f>
        <v>37.902618260000004</v>
      </c>
      <c r="T57" s="138"/>
      <c r="U57" s="395">
        <f t="shared" si="76"/>
        <v>0.46020000000000039</v>
      </c>
      <c r="V57" s="396">
        <f t="shared" si="77"/>
        <v>1.2290872795778665E-2</v>
      </c>
      <c r="W57" s="53"/>
      <c r="X57" s="439">
        <v>0.13</v>
      </c>
      <c r="Y57" s="447"/>
      <c r="Z57" s="394">
        <f>Z56*X57</f>
        <v>38.034632999999999</v>
      </c>
      <c r="AA57" s="138"/>
      <c r="AB57" s="395">
        <f t="shared" si="78"/>
        <v>0.13201473999999536</v>
      </c>
      <c r="AC57" s="396">
        <f t="shared" si="79"/>
        <v>3.4829979051688694E-3</v>
      </c>
      <c r="AD57" s="53"/>
      <c r="AE57" s="439">
        <v>0.13</v>
      </c>
      <c r="AF57" s="447"/>
      <c r="AG57" s="394">
        <f>AG56*AE57</f>
        <v>38.229633</v>
      </c>
      <c r="AH57" s="138"/>
      <c r="AI57" s="395">
        <f t="shared" si="80"/>
        <v>0.19500000000000028</v>
      </c>
      <c r="AJ57" s="396">
        <f t="shared" si="81"/>
        <v>5.1269063119394444E-3</v>
      </c>
      <c r="AK57" s="53"/>
      <c r="AL57" s="439">
        <v>0.13</v>
      </c>
      <c r="AM57" s="447"/>
      <c r="AN57" s="394">
        <f>AN56*AL57</f>
        <v>38.407733</v>
      </c>
      <c r="AO57" s="138"/>
      <c r="AP57" s="395">
        <f t="shared" si="82"/>
        <v>0.17810000000000059</v>
      </c>
      <c r="AQ57" s="396">
        <f t="shared" si="83"/>
        <v>4.6586897656067114E-3</v>
      </c>
      <c r="AR57" s="397"/>
    </row>
    <row r="58" spans="1:44" ht="12.75" customHeight="1">
      <c r="A58" s="53"/>
      <c r="B58" s="448" t="s">
        <v>387</v>
      </c>
      <c r="C58" s="328"/>
      <c r="D58" s="328"/>
      <c r="E58" s="328"/>
      <c r="F58" s="449"/>
      <c r="G58" s="138"/>
      <c r="H58" s="484">
        <f>H56+H57</f>
        <v>318.12987066999995</v>
      </c>
      <c r="I58" s="411"/>
      <c r="J58" s="449"/>
      <c r="K58" s="411"/>
      <c r="L58" s="394">
        <f>L56+L57</f>
        <v>325.46102026000005</v>
      </c>
      <c r="M58" s="138"/>
      <c r="N58" s="395">
        <f t="shared" si="74"/>
        <v>7.3311495900001091</v>
      </c>
      <c r="O58" s="396">
        <f t="shared" si="75"/>
        <v>2.3044518185482813E-2</v>
      </c>
      <c r="P58" s="53"/>
      <c r="Q58" s="411"/>
      <c r="R58" s="411"/>
      <c r="S58" s="394">
        <f>S56+S57</f>
        <v>329.46122026</v>
      </c>
      <c r="T58" s="138"/>
      <c r="U58" s="395">
        <f t="shared" si="76"/>
        <v>4.0001999999999498</v>
      </c>
      <c r="V58" s="396">
        <f t="shared" si="77"/>
        <v>1.22908727957785E-2</v>
      </c>
      <c r="W58" s="53"/>
      <c r="X58" s="411"/>
      <c r="Y58" s="411"/>
      <c r="Z58" s="394">
        <f>Z56+Z57</f>
        <v>330.60873299999997</v>
      </c>
      <c r="AA58" s="138"/>
      <c r="AB58" s="395">
        <f t="shared" si="78"/>
        <v>1.1475127399999678</v>
      </c>
      <c r="AC58" s="396">
        <f t="shared" si="79"/>
        <v>3.4829979051688945E-3</v>
      </c>
      <c r="AD58" s="53"/>
      <c r="AE58" s="411"/>
      <c r="AF58" s="411"/>
      <c r="AG58" s="394">
        <f>AG56+AG57</f>
        <v>332.30373299999997</v>
      </c>
      <c r="AH58" s="138"/>
      <c r="AI58" s="395">
        <f t="shared" si="80"/>
        <v>1.6949999999999932</v>
      </c>
      <c r="AJ58" s="396">
        <f t="shared" si="81"/>
        <v>5.1269063119394167E-3</v>
      </c>
      <c r="AK58" s="53"/>
      <c r="AL58" s="411"/>
      <c r="AM58" s="411"/>
      <c r="AN58" s="394">
        <f>AN56+AN57</f>
        <v>333.851833</v>
      </c>
      <c r="AO58" s="138"/>
      <c r="AP58" s="395">
        <f t="shared" si="82"/>
        <v>1.5481000000000336</v>
      </c>
      <c r="AQ58" s="396">
        <f t="shared" si="83"/>
        <v>4.6586897656067973E-3</v>
      </c>
      <c r="AR58" s="397"/>
    </row>
    <row r="59" spans="1:44" ht="15.75" customHeight="1">
      <c r="A59" s="53"/>
      <c r="B59" s="626" t="s">
        <v>304</v>
      </c>
      <c r="C59" s="616"/>
      <c r="D59" s="616"/>
      <c r="E59" s="328"/>
      <c r="F59" s="450">
        <f>F53</f>
        <v>0.23499999999999999</v>
      </c>
      <c r="G59" s="138"/>
      <c r="H59" s="486">
        <f>F59*H56</f>
        <v>66.15975186499999</v>
      </c>
      <c r="I59" s="411"/>
      <c r="J59" s="450">
        <f>J53</f>
        <v>0.23499999999999999</v>
      </c>
      <c r="K59" s="411"/>
      <c r="L59" s="451">
        <f>J59*L56</f>
        <v>67.684371470000002</v>
      </c>
      <c r="M59" s="138"/>
      <c r="N59" s="451">
        <f t="shared" si="74"/>
        <v>1.5246196050000123</v>
      </c>
      <c r="O59" s="453">
        <f t="shared" si="75"/>
        <v>2.3044518185482653E-2</v>
      </c>
      <c r="P59" s="53"/>
      <c r="Q59" s="452">
        <f>Q53</f>
        <v>0.23499999999999999</v>
      </c>
      <c r="R59" s="411"/>
      <c r="S59" s="451">
        <f>Q59*S56</f>
        <v>68.516271469999992</v>
      </c>
      <c r="T59" s="138"/>
      <c r="U59" s="451">
        <f t="shared" si="76"/>
        <v>0.83189999999999031</v>
      </c>
      <c r="V59" s="453">
        <f t="shared" si="77"/>
        <v>1.2290872795778512E-2</v>
      </c>
      <c r="W59" s="53"/>
      <c r="X59" s="452">
        <f>X53</f>
        <v>0.23499999999999999</v>
      </c>
      <c r="Y59" s="411"/>
      <c r="Z59" s="451">
        <f>X59*Z56</f>
        <v>68.754913499999986</v>
      </c>
      <c r="AA59" s="138"/>
      <c r="AB59" s="451">
        <f t="shared" si="78"/>
        <v>0.23864202999999407</v>
      </c>
      <c r="AC59" s="453">
        <f t="shared" si="79"/>
        <v>3.4829979051689062E-3</v>
      </c>
      <c r="AD59" s="53"/>
      <c r="AE59" s="452">
        <f>AE53</f>
        <v>0.23499999999999999</v>
      </c>
      <c r="AF59" s="411"/>
      <c r="AG59" s="451">
        <f>AE59*AG56</f>
        <v>69.107413499999993</v>
      </c>
      <c r="AH59" s="138"/>
      <c r="AI59" s="451">
        <f t="shared" si="80"/>
        <v>0.35250000000000625</v>
      </c>
      <c r="AJ59" s="453">
        <f t="shared" si="81"/>
        <v>5.1269063119395285E-3</v>
      </c>
      <c r="AK59" s="53"/>
      <c r="AL59" s="452">
        <f>AL53</f>
        <v>0.23499999999999999</v>
      </c>
      <c r="AM59" s="411"/>
      <c r="AN59" s="451">
        <f>AL59*AN56</f>
        <v>69.429363499999994</v>
      </c>
      <c r="AO59" s="138"/>
      <c r="AP59" s="451">
        <f t="shared" si="82"/>
        <v>0.32195000000000107</v>
      </c>
      <c r="AQ59" s="453">
        <f t="shared" si="83"/>
        <v>4.6586897656067114E-3</v>
      </c>
      <c r="AR59" s="454"/>
    </row>
    <row r="60" spans="1:44" ht="12.75" customHeight="1">
      <c r="A60" s="53"/>
      <c r="B60" s="627" t="s">
        <v>350</v>
      </c>
      <c r="C60" s="608"/>
      <c r="D60" s="600"/>
      <c r="E60" s="455"/>
      <c r="F60" s="463"/>
      <c r="G60" s="489"/>
      <c r="H60" s="490">
        <f>H58-H59</f>
        <v>251.97011880499997</v>
      </c>
      <c r="I60" s="464"/>
      <c r="J60" s="463"/>
      <c r="K60" s="464"/>
      <c r="L60" s="465">
        <f>L58-L59</f>
        <v>257.77664879000008</v>
      </c>
      <c r="M60" s="466"/>
      <c r="N60" s="467">
        <f t="shared" si="74"/>
        <v>5.8065299850001111</v>
      </c>
      <c r="O60" s="468">
        <f t="shared" si="75"/>
        <v>2.304451818548291E-2</v>
      </c>
      <c r="P60" s="53"/>
      <c r="Q60" s="464"/>
      <c r="R60" s="464"/>
      <c r="S60" s="465">
        <f>S58-S59</f>
        <v>260.94494879000001</v>
      </c>
      <c r="T60" s="466"/>
      <c r="U60" s="467">
        <f t="shared" si="76"/>
        <v>3.1682999999999311</v>
      </c>
      <c r="V60" s="468">
        <f t="shared" si="77"/>
        <v>1.2290872795778385E-2</v>
      </c>
      <c r="W60" s="53"/>
      <c r="X60" s="464"/>
      <c r="Y60" s="464"/>
      <c r="Z60" s="465">
        <f>Z58-Z59</f>
        <v>261.85381949999999</v>
      </c>
      <c r="AA60" s="466"/>
      <c r="AB60" s="467">
        <f t="shared" si="78"/>
        <v>0.90887070999997377</v>
      </c>
      <c r="AC60" s="468">
        <f t="shared" si="79"/>
        <v>3.4829979051688919E-3</v>
      </c>
      <c r="AD60" s="53"/>
      <c r="AE60" s="464"/>
      <c r="AF60" s="464"/>
      <c r="AG60" s="465">
        <f>AG58-AG59</f>
        <v>263.19631949999996</v>
      </c>
      <c r="AH60" s="466"/>
      <c r="AI60" s="467">
        <f t="shared" si="80"/>
        <v>1.3424999999999727</v>
      </c>
      <c r="AJ60" s="468">
        <f t="shared" si="81"/>
        <v>5.1269063119393334E-3</v>
      </c>
      <c r="AK60" s="53"/>
      <c r="AL60" s="464"/>
      <c r="AM60" s="464"/>
      <c r="AN60" s="465">
        <f>AN58-AN59</f>
        <v>264.42246950000003</v>
      </c>
      <c r="AO60" s="466"/>
      <c r="AP60" s="467">
        <f t="shared" si="82"/>
        <v>1.2261500000000751</v>
      </c>
      <c r="AQ60" s="468">
        <f t="shared" si="83"/>
        <v>4.658689765606982E-3</v>
      </c>
      <c r="AR60" s="462"/>
    </row>
    <row r="61" spans="1:44" ht="8.25"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75"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75"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75"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5.75" customHeight="1">
      <c r="A65" s="473" t="s">
        <v>388</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3.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8.25"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75"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75"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474"/>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000-000000000000}">
      <formula1>"TOU,non-TOU"</formula1>
    </dataValidation>
    <dataValidation type="list" allowBlank="1" showErrorMessage="1" sqref="E15:E28 E30:E36 E38:E39 E41:E49 E55 E61" xr:uid="{00000000-0002-0000-1000-000001000000}">
      <formula1>#REF!</formula1>
    </dataValidation>
    <dataValidation type="list" allowBlank="1" showInputMessage="1" showErrorMessage="1" prompt="Select Charge Unit - monthly, per kWh, per kW" sqref="D15:D28 D30:D36 D38:D39 D41:D49 D55 D61" xr:uid="{00000000-0002-0000-1000-000002000000}">
      <formula1>"Monthly,per kWh,per kW"</formula1>
    </dataValidation>
  </dataValidations>
  <pageMargins left="0.74803149606299213" right="0.74803149606299213" top="0.98425196850393704" bottom="0.98425196850393704"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1.85546875" customWidth="1"/>
    <col min="4" max="4" width="11.42578125" customWidth="1"/>
    <col min="5" max="5" width="1.42578125" customWidth="1"/>
    <col min="6" max="6" width="10.85546875" customWidth="1"/>
    <col min="7" max="7" width="8" customWidth="1"/>
    <col min="8" max="8" width="9.28515625" customWidth="1"/>
    <col min="9" max="9" width="1.42578125" customWidth="1"/>
    <col min="10" max="10" width="10.42578125" customWidth="1"/>
    <col min="11" max="11" width="8" customWidth="1"/>
    <col min="12" max="12" width="9.28515625" customWidth="1"/>
    <col min="13" max="13" width="1" customWidth="1"/>
    <col min="14" max="14" width="9.42578125" customWidth="1"/>
    <col min="15" max="15" width="10" customWidth="1"/>
    <col min="16" max="16" width="1.28515625" customWidth="1"/>
    <col min="17" max="17" width="10.42578125" customWidth="1"/>
    <col min="18" max="18" width="8" customWidth="1"/>
    <col min="19" max="19" width="9.28515625" customWidth="1"/>
    <col min="20" max="20" width="1.28515625" customWidth="1"/>
    <col min="21" max="21" width="9.42578125" customWidth="1"/>
    <col min="22" max="22" width="10" customWidth="1"/>
    <col min="23" max="23" width="0.7109375" customWidth="1"/>
    <col min="24" max="24" width="10.42578125" customWidth="1"/>
    <col min="25" max="25" width="8" customWidth="1"/>
    <col min="26" max="26" width="9.28515625" customWidth="1"/>
    <col min="27" max="27" width="1.42578125" customWidth="1"/>
    <col min="28" max="28" width="9.42578125" customWidth="1"/>
    <col min="29" max="29" width="10" customWidth="1"/>
    <col min="30" max="30" width="0.85546875" customWidth="1"/>
    <col min="31" max="31" width="10.42578125" customWidth="1"/>
    <col min="32" max="32" width="8" customWidth="1"/>
    <col min="33" max="33" width="9.28515625" customWidth="1"/>
    <col min="34" max="34" width="2.8554687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2.85546875" customWidth="1"/>
    <col min="42" max="42" width="9.42578125" customWidth="1"/>
    <col min="43" max="43" width="10" customWidth="1"/>
    <col min="44" max="44" width="1.140625" customWidth="1"/>
    <col min="45" max="45" width="12.42578125" customWidth="1"/>
  </cols>
  <sheetData>
    <row r="1" spans="1:45" ht="12" customHeight="1">
      <c r="A1" s="53"/>
      <c r="B1" s="53"/>
      <c r="C1" s="53"/>
      <c r="D1" s="53"/>
      <c r="E1" s="53"/>
      <c r="F1" s="53"/>
      <c r="G1" s="53"/>
      <c r="H1" s="53"/>
      <c r="I1" s="53"/>
      <c r="J1" s="53"/>
      <c r="K1" s="53"/>
      <c r="Q1" s="53"/>
      <c r="R1" s="53"/>
      <c r="S1" s="628" t="s">
        <v>319</v>
      </c>
      <c r="T1" s="629"/>
      <c r="U1" s="629"/>
      <c r="V1" s="629"/>
      <c r="W1" s="629"/>
      <c r="X1" s="629"/>
      <c r="Y1" s="630"/>
      <c r="Z1" s="53"/>
      <c r="AA1" s="53"/>
      <c r="AB1" s="53"/>
      <c r="AC1" s="53"/>
      <c r="AD1" s="53"/>
      <c r="AE1" s="53"/>
      <c r="AF1" s="53"/>
      <c r="AG1" s="53"/>
      <c r="AH1" s="53"/>
      <c r="AI1" s="53"/>
      <c r="AJ1" s="53"/>
      <c r="AK1" s="53"/>
      <c r="AL1" s="53"/>
      <c r="AM1" s="53"/>
      <c r="AN1" s="53"/>
      <c r="AO1" s="53"/>
      <c r="AP1" s="53"/>
      <c r="AQ1" s="53"/>
      <c r="AR1" s="53"/>
    </row>
    <row r="2" spans="1:45" ht="12"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5"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 customHeight="1">
      <c r="A6" s="53"/>
      <c r="B6" s="327" t="s">
        <v>323</v>
      </c>
      <c r="C6" s="53"/>
      <c r="D6" s="375" t="s">
        <v>247</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5" ht="12"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 customHeight="1">
      <c r="A10" s="53"/>
      <c r="B10" s="53"/>
      <c r="C10" s="53"/>
      <c r="D10" s="314" t="s">
        <v>326</v>
      </c>
      <c r="E10" s="314"/>
      <c r="F10" s="380">
        <v>2000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5" ht="12"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5" ht="12"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5" ht="12"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5" ht="12" customHeight="1">
      <c r="A15" s="53"/>
      <c r="B15" s="328" t="s">
        <v>246</v>
      </c>
      <c r="C15" s="389" t="str">
        <f t="shared" ref="C15:C28" si="0">D$6&amp;"."&amp;B15</f>
        <v>Residential.Monthly Service Charge</v>
      </c>
      <c r="D15" s="390" t="s">
        <v>335</v>
      </c>
      <c r="E15" s="328"/>
      <c r="F15" s="391">
        <f>IFERROR(VLOOKUP($C15,'Proposed Rates'!$B:$J,F$11,FALSE),0)</f>
        <v>34.26</v>
      </c>
      <c r="G15" s="392">
        <f t="shared" ref="G15:G28" si="1">IF($D15="Monthly",1,IF($D15="per KWH",$F$10,0))</f>
        <v>1</v>
      </c>
      <c r="H15" s="394">
        <f t="shared" ref="H15:H28" si="2">G15*F15</f>
        <v>34.26</v>
      </c>
      <c r="I15" s="138"/>
      <c r="J15" s="391">
        <f>IFERROR(VLOOKUP($C15,'Proposed Rates'!$B:$J,J$11,FALSE),0)</f>
        <v>39.200000000000003</v>
      </c>
      <c r="K15" s="392">
        <f t="shared" ref="K15:K28" si="3">IF($D15="Monthly",1,IF($D15="per KWH",$F$10,0))</f>
        <v>1</v>
      </c>
      <c r="L15" s="394">
        <f t="shared" ref="L15:L28" si="4">K15*J15</f>
        <v>39.200000000000003</v>
      </c>
      <c r="M15" s="138"/>
      <c r="N15" s="395">
        <f t="shared" ref="N15:N48" si="5">L15-H15</f>
        <v>4.9400000000000048</v>
      </c>
      <c r="O15" s="396">
        <f t="shared" ref="O15:O48" si="6">IF((H15)=0,"",(N15/H15))</f>
        <v>0.14419147694103926</v>
      </c>
      <c r="P15" s="53"/>
      <c r="Q15" s="391">
        <f>IFERROR(VLOOKUP($C15,'Proposed Rates'!$B:$J,Q$11,FALSE),0)</f>
        <v>41.1</v>
      </c>
      <c r="R15" s="392">
        <f t="shared" ref="R15:R28" si="7">IF($D15="Monthly",1,IF($D15="per KWH",$F$10,0))</f>
        <v>1</v>
      </c>
      <c r="S15" s="394">
        <f t="shared" ref="S15:S28" si="8">R15*Q15</f>
        <v>41.1</v>
      </c>
      <c r="T15" s="138"/>
      <c r="U15" s="395">
        <f t="shared" ref="U15:U48" si="9">S15-L15</f>
        <v>1.8999999999999986</v>
      </c>
      <c r="V15" s="396">
        <f t="shared" ref="V15:V48" si="10">IF((L15)=0,"",(U15/L15))</f>
        <v>4.8469387755102004E-2</v>
      </c>
      <c r="W15" s="53"/>
      <c r="X15" s="391">
        <f>IFERROR(VLOOKUP($C15,'Proposed Rates'!$B:$J,X$11,FALSE),0)</f>
        <v>43.93</v>
      </c>
      <c r="Y15" s="392">
        <f t="shared" ref="Y15:Y28" si="11">IF($D15="Monthly",1,IF($D15="per KWH",$F$10,0))</f>
        <v>1</v>
      </c>
      <c r="Z15" s="394">
        <f t="shared" ref="Z15:Z28" si="12">Y15*X15</f>
        <v>43.93</v>
      </c>
      <c r="AA15" s="138"/>
      <c r="AB15" s="395">
        <f t="shared" ref="AB15:AB48" si="13">Z15-S15</f>
        <v>2.8299999999999983</v>
      </c>
      <c r="AC15" s="396">
        <f t="shared" ref="AC15:AC48" si="14">IF((S15)=0,"",(AB15/S15))</f>
        <v>6.8856447688564429E-2</v>
      </c>
      <c r="AD15" s="53"/>
      <c r="AE15" s="391">
        <f>IFERROR(VLOOKUP($C15,'Proposed Rates'!$B:$J,AE$11,FALSE),0)</f>
        <v>45.42</v>
      </c>
      <c r="AF15" s="392">
        <f t="shared" ref="AF15:AF28" si="15">IF($D15="Monthly",1,IF($D15="per KWH",$F$10,0))</f>
        <v>1</v>
      </c>
      <c r="AG15" s="394">
        <f t="shared" ref="AG15:AG28" si="16">AF15*AE15</f>
        <v>45.42</v>
      </c>
      <c r="AH15" s="138"/>
      <c r="AI15" s="395">
        <f t="shared" ref="AI15:AI48" si="17">AG15-Z15</f>
        <v>1.490000000000002</v>
      </c>
      <c r="AJ15" s="396">
        <f t="shared" ref="AJ15:AJ48" si="18">IF((Z15)=0,"",(AI15/Z15))</f>
        <v>3.3917596175734165E-2</v>
      </c>
      <c r="AK15" s="53"/>
      <c r="AL15" s="391">
        <f>IFERROR(VLOOKUP($C15,'Proposed Rates'!$B:$J,AL$11,FALSE),0)</f>
        <v>46.78</v>
      </c>
      <c r="AM15" s="392">
        <f t="shared" ref="AM15:AM28" si="19">IF($D15="Monthly",1,IF($D15="per KWH",$F$10,0))</f>
        <v>1</v>
      </c>
      <c r="AN15" s="394">
        <f t="shared" ref="AN15:AN28" si="20">AM15*AL15</f>
        <v>46.78</v>
      </c>
      <c r="AO15" s="138"/>
      <c r="AP15" s="395">
        <f t="shared" ref="AP15:AP48" si="21">AN15-AG15</f>
        <v>1.3599999999999994</v>
      </c>
      <c r="AQ15" s="396">
        <f t="shared" ref="AQ15:AQ48" si="22">IF((AG15)=0,"",(AP15/AG15))</f>
        <v>2.9942756494936138E-2</v>
      </c>
      <c r="AR15" s="397"/>
    </row>
    <row r="16" spans="1:45" ht="12" customHeight="1">
      <c r="A16" s="53"/>
      <c r="B16" s="328" t="s">
        <v>336</v>
      </c>
      <c r="C16" s="389" t="str">
        <f t="shared" si="0"/>
        <v>Residential.Smart Meter Rate Adder</v>
      </c>
      <c r="D16" s="390" t="s">
        <v>335</v>
      </c>
      <c r="E16" s="328"/>
      <c r="F16" s="391">
        <f>IFERROR(VLOOKUP($C16,'Proposed Rates'!$B:$J,F$11,FALSE),0)</f>
        <v>0</v>
      </c>
      <c r="G16" s="392">
        <f t="shared" si="1"/>
        <v>1</v>
      </c>
      <c r="H16" s="394">
        <f t="shared" si="2"/>
        <v>0</v>
      </c>
      <c r="I16" s="138"/>
      <c r="J16" s="391">
        <f>IFERROR(VLOOKUP($C16,'Proposed Rates'!$B:$J,J$11,FALSE),0)</f>
        <v>0</v>
      </c>
      <c r="K16" s="392">
        <f t="shared" si="3"/>
        <v>1</v>
      </c>
      <c r="L16" s="394">
        <f t="shared" si="4"/>
        <v>0</v>
      </c>
      <c r="M16" s="138"/>
      <c r="N16" s="395">
        <f t="shared" si="5"/>
        <v>0</v>
      </c>
      <c r="O16" s="396" t="str">
        <f t="shared" si="6"/>
        <v/>
      </c>
      <c r="P16" s="53"/>
      <c r="Q16" s="391">
        <f>IFERROR(VLOOKUP($C16,'Proposed Rates'!$B:$J,Q$11,FALSE),0)</f>
        <v>0</v>
      </c>
      <c r="R16" s="392">
        <f t="shared" si="7"/>
        <v>1</v>
      </c>
      <c r="S16" s="394">
        <f t="shared" si="8"/>
        <v>0</v>
      </c>
      <c r="T16" s="138"/>
      <c r="U16" s="395">
        <f t="shared" si="9"/>
        <v>0</v>
      </c>
      <c r="V16" s="396" t="str">
        <f t="shared" si="10"/>
        <v/>
      </c>
      <c r="W16" s="53"/>
      <c r="X16" s="391">
        <f>IFERROR(VLOOKUP($C16,'Proposed Rates'!$B:$J,X$11,FALSE),0)</f>
        <v>0</v>
      </c>
      <c r="Y16" s="392">
        <f t="shared" si="11"/>
        <v>1</v>
      </c>
      <c r="Z16" s="394">
        <f t="shared" si="12"/>
        <v>0</v>
      </c>
      <c r="AA16" s="138"/>
      <c r="AB16" s="395">
        <f t="shared" si="13"/>
        <v>0</v>
      </c>
      <c r="AC16" s="396" t="str">
        <f t="shared" si="14"/>
        <v/>
      </c>
      <c r="AD16" s="53"/>
      <c r="AE16" s="391">
        <f>IFERROR(VLOOKUP($C16,'Proposed Rates'!$B:$J,AE$11,FALSE),0)</f>
        <v>0</v>
      </c>
      <c r="AF16" s="392">
        <f t="shared" si="15"/>
        <v>1</v>
      </c>
      <c r="AG16" s="394">
        <f t="shared" si="16"/>
        <v>0</v>
      </c>
      <c r="AH16" s="138"/>
      <c r="AI16" s="395">
        <f t="shared" si="17"/>
        <v>0</v>
      </c>
      <c r="AJ16" s="396" t="str">
        <f t="shared" si="18"/>
        <v/>
      </c>
      <c r="AK16" s="53"/>
      <c r="AL16" s="391">
        <f>IFERROR(VLOOKUP($C16,'Proposed Rates'!$B:$J,AL$11,FALSE),0)</f>
        <v>0</v>
      </c>
      <c r="AM16" s="392">
        <f t="shared" si="19"/>
        <v>1</v>
      </c>
      <c r="AN16" s="394">
        <f t="shared" si="20"/>
        <v>0</v>
      </c>
      <c r="AO16" s="138"/>
      <c r="AP16" s="395">
        <f t="shared" si="21"/>
        <v>0</v>
      </c>
      <c r="AQ16" s="396" t="str">
        <f t="shared" si="22"/>
        <v/>
      </c>
      <c r="AR16" s="397"/>
    </row>
    <row r="17" spans="1:44" ht="12" customHeight="1">
      <c r="A17" s="53"/>
      <c r="B17" s="398" t="str">
        <f>'Proposed Rates'!C115</f>
        <v>Rate Rider Calculation for Forgone Revenue - variable</v>
      </c>
      <c r="C17" s="389" t="str">
        <f t="shared" si="0"/>
        <v>Residential.Rate Rider Calculation for Forgone Revenue - variable</v>
      </c>
      <c r="D17" s="390" t="s">
        <v>337</v>
      </c>
      <c r="E17" s="328"/>
      <c r="F17" s="391">
        <f>IFERROR(VLOOKUP($C17,'Proposed Rates'!$B:$J,F$11,FALSE),0)</f>
        <v>0</v>
      </c>
      <c r="G17" s="392">
        <f t="shared" si="1"/>
        <v>2000</v>
      </c>
      <c r="H17" s="394">
        <f t="shared" si="2"/>
        <v>0</v>
      </c>
      <c r="I17" s="138"/>
      <c r="J17" s="391">
        <f>IFERROR(VLOOKUP($C17,'Proposed Rates'!$B:$J,J$11,FALSE),0)</f>
        <v>0</v>
      </c>
      <c r="K17" s="392">
        <f t="shared" si="3"/>
        <v>2000</v>
      </c>
      <c r="L17" s="394">
        <f t="shared" si="4"/>
        <v>0</v>
      </c>
      <c r="M17" s="138"/>
      <c r="N17" s="395">
        <f t="shared" si="5"/>
        <v>0</v>
      </c>
      <c r="O17" s="396" t="str">
        <f t="shared" si="6"/>
        <v/>
      </c>
      <c r="P17" s="53"/>
      <c r="Q17" s="391">
        <f>IFERROR(VLOOKUP($C17,'Proposed Rates'!$B:$J,Q$11,FALSE),0)</f>
        <v>0</v>
      </c>
      <c r="R17" s="392">
        <f t="shared" si="7"/>
        <v>2000</v>
      </c>
      <c r="S17" s="394">
        <f t="shared" si="8"/>
        <v>0</v>
      </c>
      <c r="T17" s="138"/>
      <c r="U17" s="395">
        <f t="shared" si="9"/>
        <v>0</v>
      </c>
      <c r="V17" s="396" t="str">
        <f t="shared" si="10"/>
        <v/>
      </c>
      <c r="W17" s="53"/>
      <c r="X17" s="391">
        <f>IFERROR(VLOOKUP($C17,'Proposed Rates'!$B:$J,X$11,FALSE),0)</f>
        <v>0</v>
      </c>
      <c r="Y17" s="392">
        <f t="shared" si="11"/>
        <v>2000</v>
      </c>
      <c r="Z17" s="394">
        <f t="shared" si="12"/>
        <v>0</v>
      </c>
      <c r="AA17" s="138"/>
      <c r="AB17" s="395">
        <f t="shared" si="13"/>
        <v>0</v>
      </c>
      <c r="AC17" s="396" t="str">
        <f t="shared" si="14"/>
        <v/>
      </c>
      <c r="AD17" s="53"/>
      <c r="AE17" s="391">
        <f>IFERROR(VLOOKUP($C17,'Proposed Rates'!$B:$J,AE$11,FALSE),0)</f>
        <v>0</v>
      </c>
      <c r="AF17" s="392">
        <f t="shared" si="15"/>
        <v>2000</v>
      </c>
      <c r="AG17" s="394">
        <f t="shared" si="16"/>
        <v>0</v>
      </c>
      <c r="AH17" s="138"/>
      <c r="AI17" s="395">
        <f t="shared" si="17"/>
        <v>0</v>
      </c>
      <c r="AJ17" s="396" t="str">
        <f t="shared" si="18"/>
        <v/>
      </c>
      <c r="AK17" s="53"/>
      <c r="AL17" s="391">
        <f>IFERROR(VLOOKUP($C17,'Proposed Rates'!$B:$J,AL$11,FALSE),0)</f>
        <v>0</v>
      </c>
      <c r="AM17" s="392">
        <f t="shared" si="19"/>
        <v>2000</v>
      </c>
      <c r="AN17" s="394">
        <f t="shared" si="20"/>
        <v>0</v>
      </c>
      <c r="AO17" s="138"/>
      <c r="AP17" s="395">
        <f t="shared" si="21"/>
        <v>0</v>
      </c>
      <c r="AQ17" s="396" t="str">
        <f t="shared" si="22"/>
        <v/>
      </c>
      <c r="AR17" s="397"/>
    </row>
    <row r="18" spans="1:44" ht="12" customHeight="1">
      <c r="A18" s="53"/>
      <c r="B18" s="398" t="str">
        <f>'Proposed Rates'!C128</f>
        <v>Rate Rider Calculation for Forgone Revenue - fixed</v>
      </c>
      <c r="C18" s="389" t="str">
        <f t="shared" si="0"/>
        <v>Residential.Rate Rider Calculation for Forgone Revenue - fixed</v>
      </c>
      <c r="D18" s="390" t="s">
        <v>335</v>
      </c>
      <c r="E18" s="328"/>
      <c r="F18" s="391">
        <f>IFERROR(VLOOKUP($C18,'Proposed Rates'!$B:$J,F$11,FALSE),0)</f>
        <v>0</v>
      </c>
      <c r="G18" s="392">
        <f t="shared" si="1"/>
        <v>1</v>
      </c>
      <c r="H18" s="394">
        <f t="shared" si="2"/>
        <v>0</v>
      </c>
      <c r="I18" s="138"/>
      <c r="J18" s="391">
        <f>IFERROR(VLOOKUP($C18,'Proposed Rates'!$B:$J,J$11,FALSE),0)</f>
        <v>1.84</v>
      </c>
      <c r="K18" s="392">
        <f t="shared" si="3"/>
        <v>1</v>
      </c>
      <c r="L18" s="394">
        <f t="shared" si="4"/>
        <v>1.84</v>
      </c>
      <c r="M18" s="138"/>
      <c r="N18" s="395">
        <f t="shared" si="5"/>
        <v>1.84</v>
      </c>
      <c r="O18" s="396" t="str">
        <f t="shared" si="6"/>
        <v/>
      </c>
      <c r="P18" s="53"/>
      <c r="Q18" s="391">
        <f>IFERROR(VLOOKUP($C18,'Proposed Rates'!$B:$J,Q$11,FALSE),0)</f>
        <v>1.84</v>
      </c>
      <c r="R18" s="392">
        <f t="shared" si="7"/>
        <v>1</v>
      </c>
      <c r="S18" s="394">
        <f t="shared" si="8"/>
        <v>1.84</v>
      </c>
      <c r="T18" s="138"/>
      <c r="U18" s="395">
        <f t="shared" si="9"/>
        <v>0</v>
      </c>
      <c r="V18" s="396">
        <f t="shared" si="10"/>
        <v>0</v>
      </c>
      <c r="W18" s="53"/>
      <c r="X18" s="391">
        <f>IFERROR(VLOOKUP($C18,'Proposed Rates'!$B:$J,X$11,FALSE),0)</f>
        <v>0</v>
      </c>
      <c r="Y18" s="392">
        <f t="shared" si="11"/>
        <v>1</v>
      </c>
      <c r="Z18" s="394">
        <f t="shared" si="12"/>
        <v>0</v>
      </c>
      <c r="AA18" s="138"/>
      <c r="AB18" s="395">
        <f t="shared" si="13"/>
        <v>-1.84</v>
      </c>
      <c r="AC18" s="396">
        <f t="shared" si="14"/>
        <v>-1</v>
      </c>
      <c r="AD18" s="53"/>
      <c r="AE18" s="391">
        <f>IFERROR(VLOOKUP($C18,'Proposed Rates'!$B:$J,AE$11,FALSE),0)</f>
        <v>0</v>
      </c>
      <c r="AF18" s="392">
        <f t="shared" si="15"/>
        <v>1</v>
      </c>
      <c r="AG18" s="394">
        <f t="shared" si="16"/>
        <v>0</v>
      </c>
      <c r="AH18" s="138"/>
      <c r="AI18" s="395">
        <f t="shared" si="17"/>
        <v>0</v>
      </c>
      <c r="AJ18" s="396" t="str">
        <f t="shared" si="18"/>
        <v/>
      </c>
      <c r="AK18" s="53"/>
      <c r="AL18" s="391">
        <f>IFERROR(VLOOKUP($C18,'Proposed Rates'!$B:$J,AL$11,FALSE),0)</f>
        <v>0</v>
      </c>
      <c r="AM18" s="392">
        <f t="shared" si="19"/>
        <v>1</v>
      </c>
      <c r="AN18" s="394">
        <f t="shared" si="20"/>
        <v>0</v>
      </c>
      <c r="AO18" s="138"/>
      <c r="AP18" s="395">
        <f t="shared" si="21"/>
        <v>0</v>
      </c>
      <c r="AQ18" s="396" t="str">
        <f t="shared" si="22"/>
        <v/>
      </c>
      <c r="AR18" s="397"/>
    </row>
    <row r="19" spans="1:44" ht="12" customHeight="1">
      <c r="A19" s="53"/>
      <c r="B19" s="328" t="s">
        <v>62</v>
      </c>
      <c r="C19" s="389" t="str">
        <f t="shared" si="0"/>
        <v>Residential.Distribution Volumetric Rate</v>
      </c>
      <c r="D19" s="390" t="s">
        <v>337</v>
      </c>
      <c r="E19" s="328"/>
      <c r="F19" s="391">
        <f>IFERROR(VLOOKUP($C19,'Proposed Rates'!$B:$J,F$11,FALSE),0)</f>
        <v>0</v>
      </c>
      <c r="G19" s="392">
        <f t="shared" si="1"/>
        <v>2000</v>
      </c>
      <c r="H19" s="394">
        <f t="shared" si="2"/>
        <v>0</v>
      </c>
      <c r="I19" s="138"/>
      <c r="J19" s="391">
        <f>IFERROR(VLOOKUP($C19,'Proposed Rates'!$B:$J,J$11,FALSE),0)</f>
        <v>0</v>
      </c>
      <c r="K19" s="392">
        <f t="shared" si="3"/>
        <v>2000</v>
      </c>
      <c r="L19" s="394">
        <f t="shared" si="4"/>
        <v>0</v>
      </c>
      <c r="M19" s="138"/>
      <c r="N19" s="395">
        <f t="shared" si="5"/>
        <v>0</v>
      </c>
      <c r="O19" s="396" t="str">
        <f t="shared" si="6"/>
        <v/>
      </c>
      <c r="P19" s="53"/>
      <c r="Q19" s="391">
        <f>IFERROR(VLOOKUP($C19,'Proposed Rates'!$B:$J,Q$11,FALSE),0)</f>
        <v>0</v>
      </c>
      <c r="R19" s="392">
        <f t="shared" si="7"/>
        <v>2000</v>
      </c>
      <c r="S19" s="394">
        <f t="shared" si="8"/>
        <v>0</v>
      </c>
      <c r="T19" s="138"/>
      <c r="U19" s="395">
        <f t="shared" si="9"/>
        <v>0</v>
      </c>
      <c r="V19" s="396" t="str">
        <f t="shared" si="10"/>
        <v/>
      </c>
      <c r="W19" s="53"/>
      <c r="X19" s="391">
        <f>IFERROR(VLOOKUP($C19,'Proposed Rates'!$B:$J,X$11,FALSE),0)</f>
        <v>0</v>
      </c>
      <c r="Y19" s="392">
        <f t="shared" si="11"/>
        <v>2000</v>
      </c>
      <c r="Z19" s="394">
        <f t="shared" si="12"/>
        <v>0</v>
      </c>
      <c r="AA19" s="138"/>
      <c r="AB19" s="395">
        <f t="shared" si="13"/>
        <v>0</v>
      </c>
      <c r="AC19" s="396" t="str">
        <f t="shared" si="14"/>
        <v/>
      </c>
      <c r="AD19" s="53"/>
      <c r="AE19" s="391">
        <f>IFERROR(VLOOKUP($C19,'Proposed Rates'!$B:$J,AE$11,FALSE),0)</f>
        <v>0</v>
      </c>
      <c r="AF19" s="392">
        <f t="shared" si="15"/>
        <v>2000</v>
      </c>
      <c r="AG19" s="394">
        <f t="shared" si="16"/>
        <v>0</v>
      </c>
      <c r="AH19" s="138"/>
      <c r="AI19" s="395">
        <f t="shared" si="17"/>
        <v>0</v>
      </c>
      <c r="AJ19" s="396" t="str">
        <f t="shared" si="18"/>
        <v/>
      </c>
      <c r="AK19" s="53"/>
      <c r="AL19" s="391">
        <f>IFERROR(VLOOKUP($C19,'Proposed Rates'!$B:$J,AL$11,FALSE),0)</f>
        <v>0</v>
      </c>
      <c r="AM19" s="392">
        <f t="shared" si="19"/>
        <v>2000</v>
      </c>
      <c r="AN19" s="394">
        <f t="shared" si="20"/>
        <v>0</v>
      </c>
      <c r="AO19" s="138"/>
      <c r="AP19" s="395">
        <f t="shared" si="21"/>
        <v>0</v>
      </c>
      <c r="AQ19" s="396" t="str">
        <f t="shared" si="22"/>
        <v/>
      </c>
      <c r="AR19" s="397"/>
    </row>
    <row r="20" spans="1:44" ht="12" customHeight="1">
      <c r="A20" s="53"/>
      <c r="B20" s="328" t="s">
        <v>338</v>
      </c>
      <c r="C20" s="389" t="str">
        <f t="shared" si="0"/>
        <v>Residential.Smart Meter Disposition Rider</v>
      </c>
      <c r="D20" s="390" t="s">
        <v>337</v>
      </c>
      <c r="E20" s="328"/>
      <c r="F20" s="391">
        <f>IFERROR(VLOOKUP($C20,'Proposed Rates'!$B:$J,F$11,FALSE),0)</f>
        <v>0</v>
      </c>
      <c r="G20" s="392">
        <f t="shared" si="1"/>
        <v>2000</v>
      </c>
      <c r="H20" s="394">
        <f t="shared" si="2"/>
        <v>0</v>
      </c>
      <c r="I20" s="138"/>
      <c r="J20" s="391">
        <f>IFERROR(VLOOKUP($C20,'Proposed Rates'!$B:$J,J$11,FALSE),0)</f>
        <v>0</v>
      </c>
      <c r="K20" s="392">
        <f t="shared" si="3"/>
        <v>2000</v>
      </c>
      <c r="L20" s="394">
        <f t="shared" si="4"/>
        <v>0</v>
      </c>
      <c r="M20" s="138"/>
      <c r="N20" s="395">
        <f t="shared" si="5"/>
        <v>0</v>
      </c>
      <c r="O20" s="396" t="str">
        <f t="shared" si="6"/>
        <v/>
      </c>
      <c r="P20" s="53"/>
      <c r="Q20" s="391">
        <f>IFERROR(VLOOKUP($C20,'Proposed Rates'!$B:$J,Q$11,FALSE),0)</f>
        <v>0</v>
      </c>
      <c r="R20" s="392">
        <f t="shared" si="7"/>
        <v>2000</v>
      </c>
      <c r="S20" s="394">
        <f t="shared" si="8"/>
        <v>0</v>
      </c>
      <c r="T20" s="138"/>
      <c r="U20" s="395">
        <f t="shared" si="9"/>
        <v>0</v>
      </c>
      <c r="V20" s="396" t="str">
        <f t="shared" si="10"/>
        <v/>
      </c>
      <c r="W20" s="53"/>
      <c r="X20" s="391">
        <f>IFERROR(VLOOKUP($C20,'Proposed Rates'!$B:$J,X$11,FALSE),0)</f>
        <v>0</v>
      </c>
      <c r="Y20" s="392">
        <f t="shared" si="11"/>
        <v>2000</v>
      </c>
      <c r="Z20" s="394">
        <f t="shared" si="12"/>
        <v>0</v>
      </c>
      <c r="AA20" s="138"/>
      <c r="AB20" s="395">
        <f t="shared" si="13"/>
        <v>0</v>
      </c>
      <c r="AC20" s="396" t="str">
        <f t="shared" si="14"/>
        <v/>
      </c>
      <c r="AD20" s="53"/>
      <c r="AE20" s="391">
        <f>IFERROR(VLOOKUP($C20,'Proposed Rates'!$B:$J,AE$11,FALSE),0)</f>
        <v>0</v>
      </c>
      <c r="AF20" s="392">
        <f t="shared" si="15"/>
        <v>2000</v>
      </c>
      <c r="AG20" s="394">
        <f t="shared" si="16"/>
        <v>0</v>
      </c>
      <c r="AH20" s="138"/>
      <c r="AI20" s="395">
        <f t="shared" si="17"/>
        <v>0</v>
      </c>
      <c r="AJ20" s="396" t="str">
        <f t="shared" si="18"/>
        <v/>
      </c>
      <c r="AK20" s="53"/>
      <c r="AL20" s="391">
        <f>IFERROR(VLOOKUP($C20,'Proposed Rates'!$B:$J,AL$11,FALSE),0)</f>
        <v>0</v>
      </c>
      <c r="AM20" s="392">
        <f t="shared" si="19"/>
        <v>2000</v>
      </c>
      <c r="AN20" s="394">
        <f t="shared" si="20"/>
        <v>0</v>
      </c>
      <c r="AO20" s="138"/>
      <c r="AP20" s="395">
        <f t="shared" si="21"/>
        <v>0</v>
      </c>
      <c r="AQ20" s="396" t="str">
        <f t="shared" si="22"/>
        <v/>
      </c>
      <c r="AR20" s="397"/>
    </row>
    <row r="21" spans="1:44" ht="12" customHeight="1">
      <c r="A21" s="53"/>
      <c r="B21" s="328" t="s">
        <v>269</v>
      </c>
      <c r="C21" s="389" t="str">
        <f t="shared" si="0"/>
        <v>Residential.LRAM Rate Rider</v>
      </c>
      <c r="D21" s="390" t="s">
        <v>335</v>
      </c>
      <c r="E21" s="328"/>
      <c r="F21" s="391">
        <f>'Proposed Rates'!E77+'Proposed Rates'!E90</f>
        <v>0.25</v>
      </c>
      <c r="G21" s="392">
        <f t="shared" si="1"/>
        <v>1</v>
      </c>
      <c r="H21" s="393">
        <f t="shared" si="2"/>
        <v>0.25</v>
      </c>
      <c r="I21" s="53"/>
      <c r="J21" s="391">
        <f>'Proposed Rates'!F77+'Proposed Rates'!F90</f>
        <v>0</v>
      </c>
      <c r="K21" s="392">
        <f t="shared" si="3"/>
        <v>1</v>
      </c>
      <c r="L21" s="394">
        <f t="shared" si="4"/>
        <v>0</v>
      </c>
      <c r="M21" s="138"/>
      <c r="N21" s="395">
        <f t="shared" si="5"/>
        <v>-0.25</v>
      </c>
      <c r="O21" s="396">
        <f t="shared" si="6"/>
        <v>-1</v>
      </c>
      <c r="P21" s="53"/>
      <c r="Q21" s="391">
        <f>'Proposed Rates'!G77+'Proposed Rates'!G90</f>
        <v>0</v>
      </c>
      <c r="R21" s="392">
        <f t="shared" si="7"/>
        <v>1</v>
      </c>
      <c r="S21" s="394">
        <f t="shared" si="8"/>
        <v>0</v>
      </c>
      <c r="T21" s="138"/>
      <c r="U21" s="395">
        <f t="shared" si="9"/>
        <v>0</v>
      </c>
      <c r="V21" s="396" t="str">
        <f t="shared" si="10"/>
        <v/>
      </c>
      <c r="W21" s="53"/>
      <c r="X21" s="391">
        <f>IFERROR(VLOOKUP($C21,'Proposed Rates'!$B:$J,X$11,FALSE),0)</f>
        <v>0</v>
      </c>
      <c r="Y21" s="392">
        <f t="shared" si="11"/>
        <v>1</v>
      </c>
      <c r="Z21" s="394">
        <f t="shared" si="12"/>
        <v>0</v>
      </c>
      <c r="AA21" s="138"/>
      <c r="AB21" s="395">
        <f t="shared" si="13"/>
        <v>0</v>
      </c>
      <c r="AC21" s="396" t="str">
        <f t="shared" si="14"/>
        <v/>
      </c>
      <c r="AD21" s="53"/>
      <c r="AE21" s="391">
        <f>IFERROR(VLOOKUP($C21,'Proposed Rates'!$B:$J,AE$11,FALSE),0)</f>
        <v>0</v>
      </c>
      <c r="AF21" s="392">
        <f t="shared" si="15"/>
        <v>1</v>
      </c>
      <c r="AG21" s="394">
        <f t="shared" si="16"/>
        <v>0</v>
      </c>
      <c r="AH21" s="138"/>
      <c r="AI21" s="395">
        <f t="shared" si="17"/>
        <v>0</v>
      </c>
      <c r="AJ21" s="396" t="str">
        <f t="shared" si="18"/>
        <v/>
      </c>
      <c r="AK21" s="53"/>
      <c r="AL21" s="391">
        <f>IFERROR(VLOOKUP($C21,'Proposed Rates'!$B:$J,AL$11,FALSE),0)</f>
        <v>0</v>
      </c>
      <c r="AM21" s="392">
        <f t="shared" si="19"/>
        <v>1</v>
      </c>
      <c r="AN21" s="394">
        <f t="shared" si="20"/>
        <v>0</v>
      </c>
      <c r="AO21" s="138"/>
      <c r="AP21" s="395">
        <f t="shared" si="21"/>
        <v>0</v>
      </c>
      <c r="AQ21" s="396" t="str">
        <f t="shared" si="22"/>
        <v/>
      </c>
      <c r="AR21" s="397"/>
    </row>
    <row r="22" spans="1:44" ht="12" customHeight="1">
      <c r="A22" s="53"/>
      <c r="B22" s="398" t="s">
        <v>265</v>
      </c>
      <c r="C22" s="389" t="str">
        <f t="shared" si="0"/>
        <v>Residential.Deferral/Variance Account Disposition Rate Rider Group 2</v>
      </c>
      <c r="D22" s="390" t="s">
        <v>335</v>
      </c>
      <c r="E22" s="328"/>
      <c r="F22" s="391">
        <f>IFERROR(VLOOKUP($C22,'Proposed Rates'!$B:$J,F$11,FALSE),0)</f>
        <v>0</v>
      </c>
      <c r="G22" s="392">
        <f t="shared" si="1"/>
        <v>1</v>
      </c>
      <c r="H22" s="394">
        <f t="shared" si="2"/>
        <v>0</v>
      </c>
      <c r="I22" s="138"/>
      <c r="J22" s="391">
        <f>IFERROR(VLOOKUP($C22,'Proposed Rates'!$B:$J,J$11,FALSE),0)</f>
        <v>-1.19</v>
      </c>
      <c r="K22" s="392">
        <f t="shared" si="3"/>
        <v>1</v>
      </c>
      <c r="L22" s="394">
        <f t="shared" si="4"/>
        <v>-1.19</v>
      </c>
      <c r="M22" s="138"/>
      <c r="N22" s="395">
        <f t="shared" si="5"/>
        <v>-1.19</v>
      </c>
      <c r="O22" s="396" t="str">
        <f t="shared" si="6"/>
        <v/>
      </c>
      <c r="P22" s="53"/>
      <c r="Q22" s="391">
        <f>IFERROR(VLOOKUP($C22,'Proposed Rates'!$B:$J,Q$11,FALSE),0)</f>
        <v>0</v>
      </c>
      <c r="R22" s="392">
        <f t="shared" si="7"/>
        <v>1</v>
      </c>
      <c r="S22" s="394">
        <f t="shared" si="8"/>
        <v>0</v>
      </c>
      <c r="T22" s="138"/>
      <c r="U22" s="395">
        <f t="shared" si="9"/>
        <v>1.19</v>
      </c>
      <c r="V22" s="396">
        <f t="shared" si="10"/>
        <v>-1</v>
      </c>
      <c r="W22" s="53"/>
      <c r="X22" s="391">
        <f>IFERROR(VLOOKUP($C22,'Proposed Rates'!$B:$J,X$11,FALSE),0)</f>
        <v>0</v>
      </c>
      <c r="Y22" s="392">
        <f t="shared" si="11"/>
        <v>1</v>
      </c>
      <c r="Z22" s="394">
        <f t="shared" si="12"/>
        <v>0</v>
      </c>
      <c r="AA22" s="138"/>
      <c r="AB22" s="395">
        <f t="shared" si="13"/>
        <v>0</v>
      </c>
      <c r="AC22" s="396" t="str">
        <f t="shared" si="14"/>
        <v/>
      </c>
      <c r="AD22" s="53"/>
      <c r="AE22" s="391">
        <f>IFERROR(VLOOKUP($C22,'Proposed Rates'!$B:$J,AE$11,FALSE),0)</f>
        <v>0</v>
      </c>
      <c r="AF22" s="392">
        <f t="shared" si="15"/>
        <v>1</v>
      </c>
      <c r="AG22" s="394">
        <f t="shared" si="16"/>
        <v>0</v>
      </c>
      <c r="AH22" s="138"/>
      <c r="AI22" s="395">
        <f t="shared" si="17"/>
        <v>0</v>
      </c>
      <c r="AJ22" s="396" t="str">
        <f t="shared" si="18"/>
        <v/>
      </c>
      <c r="AK22" s="53"/>
      <c r="AL22" s="391">
        <f>IFERROR(VLOOKUP($C22,'Proposed Rates'!$B:$J,AL$11,FALSE),0)</f>
        <v>0</v>
      </c>
      <c r="AM22" s="392">
        <f t="shared" si="19"/>
        <v>1</v>
      </c>
      <c r="AN22" s="394">
        <f t="shared" si="20"/>
        <v>0</v>
      </c>
      <c r="AO22" s="138"/>
      <c r="AP22" s="395">
        <f t="shared" si="21"/>
        <v>0</v>
      </c>
      <c r="AQ22" s="396" t="str">
        <f t="shared" si="22"/>
        <v/>
      </c>
      <c r="AR22" s="397"/>
    </row>
    <row r="23" spans="1:44" ht="12" customHeight="1">
      <c r="A23" s="53"/>
      <c r="B23" s="398"/>
      <c r="C23" s="389" t="str">
        <f t="shared" si="0"/>
        <v>Residential.</v>
      </c>
      <c r="D23" s="390"/>
      <c r="E23" s="328"/>
      <c r="F23" s="391">
        <f>IFERROR(VLOOKUP($C23,'Proposed Rates'!$B:$J,F$11,FALSE),0)</f>
        <v>0</v>
      </c>
      <c r="G23" s="392">
        <f t="shared" si="1"/>
        <v>0</v>
      </c>
      <c r="H23" s="394">
        <f t="shared" si="2"/>
        <v>0</v>
      </c>
      <c r="I23" s="138"/>
      <c r="J23" s="391">
        <f>IFERROR(VLOOKUP($C23,'Proposed Rates'!$B:$J,J$11,FALSE),0)</f>
        <v>0</v>
      </c>
      <c r="K23" s="392">
        <f t="shared" si="3"/>
        <v>0</v>
      </c>
      <c r="L23" s="394">
        <f t="shared" si="4"/>
        <v>0</v>
      </c>
      <c r="M23" s="138"/>
      <c r="N23" s="395">
        <f t="shared" si="5"/>
        <v>0</v>
      </c>
      <c r="O23" s="396" t="str">
        <f t="shared" si="6"/>
        <v/>
      </c>
      <c r="P23" s="53"/>
      <c r="Q23" s="391">
        <f>IFERROR(VLOOKUP($C23,'Proposed Rates'!$B:$J,Q$11,FALSE),0)</f>
        <v>0</v>
      </c>
      <c r="R23" s="392">
        <f t="shared" si="7"/>
        <v>0</v>
      </c>
      <c r="S23" s="394">
        <f t="shared" si="8"/>
        <v>0</v>
      </c>
      <c r="T23" s="138"/>
      <c r="U23" s="395">
        <f t="shared" si="9"/>
        <v>0</v>
      </c>
      <c r="V23" s="396" t="str">
        <f t="shared" si="10"/>
        <v/>
      </c>
      <c r="W23" s="53"/>
      <c r="X23" s="391">
        <f>IFERROR(VLOOKUP($C23,'Proposed Rates'!$B:$J,X$11,FALSE),0)</f>
        <v>0</v>
      </c>
      <c r="Y23" s="392">
        <f t="shared" si="11"/>
        <v>0</v>
      </c>
      <c r="Z23" s="394">
        <f t="shared" si="12"/>
        <v>0</v>
      </c>
      <c r="AA23" s="138"/>
      <c r="AB23" s="395">
        <f t="shared" si="13"/>
        <v>0</v>
      </c>
      <c r="AC23" s="396" t="str">
        <f t="shared" si="14"/>
        <v/>
      </c>
      <c r="AD23" s="53"/>
      <c r="AE23" s="391">
        <f>IFERROR(VLOOKUP($C23,'Proposed Rates'!$B:$J,AE$11,FALSE),0)</f>
        <v>0</v>
      </c>
      <c r="AF23" s="392">
        <f t="shared" si="15"/>
        <v>0</v>
      </c>
      <c r="AG23" s="394">
        <f t="shared" si="16"/>
        <v>0</v>
      </c>
      <c r="AH23" s="138"/>
      <c r="AI23" s="395">
        <f t="shared" si="17"/>
        <v>0</v>
      </c>
      <c r="AJ23" s="396" t="str">
        <f t="shared" si="18"/>
        <v/>
      </c>
      <c r="AK23" s="53"/>
      <c r="AL23" s="391">
        <f>IFERROR(VLOOKUP($C23,'Proposed Rates'!$B:$J,AL$11,FALSE),0)</f>
        <v>0</v>
      </c>
      <c r="AM23" s="392">
        <f t="shared" si="19"/>
        <v>0</v>
      </c>
      <c r="AN23" s="394">
        <f t="shared" si="20"/>
        <v>0</v>
      </c>
      <c r="AO23" s="138"/>
      <c r="AP23" s="395">
        <f t="shared" si="21"/>
        <v>0</v>
      </c>
      <c r="AQ23" s="396" t="str">
        <f t="shared" si="22"/>
        <v/>
      </c>
      <c r="AR23" s="397"/>
    </row>
    <row r="24" spans="1:44" ht="12" customHeight="1">
      <c r="A24" s="53"/>
      <c r="B24" s="398"/>
      <c r="C24" s="389" t="str">
        <f t="shared" si="0"/>
        <v>Residential.</v>
      </c>
      <c r="D24" s="390"/>
      <c r="E24" s="328"/>
      <c r="F24" s="391">
        <f>IFERROR(VLOOKUP($C24,'Proposed Rates'!$B:$J,F$11,FALSE),0)</f>
        <v>0</v>
      </c>
      <c r="G24" s="392">
        <f t="shared" si="1"/>
        <v>0</v>
      </c>
      <c r="H24" s="394">
        <f t="shared" si="2"/>
        <v>0</v>
      </c>
      <c r="I24" s="138"/>
      <c r="J24" s="391">
        <f>IFERROR(VLOOKUP($C24,'Proposed Rates'!$B:$J,J$11,FALSE),0)</f>
        <v>0</v>
      </c>
      <c r="K24" s="392">
        <f t="shared" si="3"/>
        <v>0</v>
      </c>
      <c r="L24" s="394">
        <f t="shared" si="4"/>
        <v>0</v>
      </c>
      <c r="M24" s="138"/>
      <c r="N24" s="395">
        <f t="shared" si="5"/>
        <v>0</v>
      </c>
      <c r="O24" s="396" t="str">
        <f t="shared" si="6"/>
        <v/>
      </c>
      <c r="P24" s="53"/>
      <c r="Q24" s="391">
        <f>IFERROR(VLOOKUP($C24,'Proposed Rates'!$B:$J,Q$11,FALSE),0)</f>
        <v>0</v>
      </c>
      <c r="R24" s="392">
        <f t="shared" si="7"/>
        <v>0</v>
      </c>
      <c r="S24" s="394">
        <f t="shared" si="8"/>
        <v>0</v>
      </c>
      <c r="T24" s="138"/>
      <c r="U24" s="395">
        <f t="shared" si="9"/>
        <v>0</v>
      </c>
      <c r="V24" s="396" t="str">
        <f t="shared" si="10"/>
        <v/>
      </c>
      <c r="W24" s="53"/>
      <c r="X24" s="391">
        <f>IFERROR(VLOOKUP($C24,'Proposed Rates'!$B:$J,X$11,FALSE),0)</f>
        <v>0</v>
      </c>
      <c r="Y24" s="392">
        <f t="shared" si="11"/>
        <v>0</v>
      </c>
      <c r="Z24" s="394">
        <f t="shared" si="12"/>
        <v>0</v>
      </c>
      <c r="AA24" s="138"/>
      <c r="AB24" s="395">
        <f t="shared" si="13"/>
        <v>0</v>
      </c>
      <c r="AC24" s="396" t="str">
        <f t="shared" si="14"/>
        <v/>
      </c>
      <c r="AD24" s="53"/>
      <c r="AE24" s="391">
        <f>IFERROR(VLOOKUP($C24,'Proposed Rates'!$B:$J,AE$11,FALSE),0)</f>
        <v>0</v>
      </c>
      <c r="AF24" s="392">
        <f t="shared" si="15"/>
        <v>0</v>
      </c>
      <c r="AG24" s="394">
        <f t="shared" si="16"/>
        <v>0</v>
      </c>
      <c r="AH24" s="138"/>
      <c r="AI24" s="395">
        <f t="shared" si="17"/>
        <v>0</v>
      </c>
      <c r="AJ24" s="396" t="str">
        <f t="shared" si="18"/>
        <v/>
      </c>
      <c r="AK24" s="53"/>
      <c r="AL24" s="391">
        <f>IFERROR(VLOOKUP($C24,'Proposed Rates'!$B:$J,AL$11,FALSE),0)</f>
        <v>0</v>
      </c>
      <c r="AM24" s="392">
        <f t="shared" si="19"/>
        <v>0</v>
      </c>
      <c r="AN24" s="394">
        <f t="shared" si="20"/>
        <v>0</v>
      </c>
      <c r="AO24" s="138"/>
      <c r="AP24" s="395">
        <f t="shared" si="21"/>
        <v>0</v>
      </c>
      <c r="AQ24" s="396" t="str">
        <f t="shared" si="22"/>
        <v/>
      </c>
      <c r="AR24" s="397"/>
    </row>
    <row r="25" spans="1:44" ht="12" customHeight="1">
      <c r="A25" s="53"/>
      <c r="B25" s="398"/>
      <c r="C25" s="389" t="str">
        <f t="shared" si="0"/>
        <v>Residential.</v>
      </c>
      <c r="D25" s="390"/>
      <c r="E25" s="328"/>
      <c r="F25" s="391">
        <f>IFERROR(VLOOKUP($C25,'Proposed Rates'!$B:$J,F$11,FALSE),0)</f>
        <v>0</v>
      </c>
      <c r="G25" s="392">
        <f t="shared" si="1"/>
        <v>0</v>
      </c>
      <c r="H25" s="394">
        <f t="shared" si="2"/>
        <v>0</v>
      </c>
      <c r="I25" s="138"/>
      <c r="J25" s="391">
        <f>IFERROR(VLOOKUP($C25,'Proposed Rates'!$B:$J,J$11,FALSE),0)</f>
        <v>0</v>
      </c>
      <c r="K25" s="392">
        <f t="shared" si="3"/>
        <v>0</v>
      </c>
      <c r="L25" s="394">
        <f t="shared" si="4"/>
        <v>0</v>
      </c>
      <c r="M25" s="138"/>
      <c r="N25" s="395">
        <f t="shared" si="5"/>
        <v>0</v>
      </c>
      <c r="O25" s="396" t="str">
        <f t="shared" si="6"/>
        <v/>
      </c>
      <c r="P25" s="53"/>
      <c r="Q25" s="391">
        <f>IFERROR(VLOOKUP($C25,'Proposed Rates'!$B:$J,Q$11,FALSE),0)</f>
        <v>0</v>
      </c>
      <c r="R25" s="392">
        <f t="shared" si="7"/>
        <v>0</v>
      </c>
      <c r="S25" s="394">
        <f t="shared" si="8"/>
        <v>0</v>
      </c>
      <c r="T25" s="138"/>
      <c r="U25" s="395">
        <f t="shared" si="9"/>
        <v>0</v>
      </c>
      <c r="V25" s="396" t="str">
        <f t="shared" si="10"/>
        <v/>
      </c>
      <c r="W25" s="53"/>
      <c r="X25" s="391">
        <f>IFERROR(VLOOKUP($C25,'Proposed Rates'!$B:$J,X$11,FALSE),0)</f>
        <v>0</v>
      </c>
      <c r="Y25" s="392">
        <f t="shared" si="11"/>
        <v>0</v>
      </c>
      <c r="Z25" s="394">
        <f t="shared" si="12"/>
        <v>0</v>
      </c>
      <c r="AA25" s="138"/>
      <c r="AB25" s="395">
        <f t="shared" si="13"/>
        <v>0</v>
      </c>
      <c r="AC25" s="396" t="str">
        <f t="shared" si="14"/>
        <v/>
      </c>
      <c r="AD25" s="53"/>
      <c r="AE25" s="391">
        <f>IFERROR(VLOOKUP($C25,'Proposed Rates'!$B:$J,AE$11,FALSE),0)</f>
        <v>0</v>
      </c>
      <c r="AF25" s="392">
        <f t="shared" si="15"/>
        <v>0</v>
      </c>
      <c r="AG25" s="394">
        <f t="shared" si="16"/>
        <v>0</v>
      </c>
      <c r="AH25" s="138"/>
      <c r="AI25" s="395">
        <f t="shared" si="17"/>
        <v>0</v>
      </c>
      <c r="AJ25" s="396" t="str">
        <f t="shared" si="18"/>
        <v/>
      </c>
      <c r="AK25" s="53"/>
      <c r="AL25" s="391">
        <f>IFERROR(VLOOKUP($C25,'Proposed Rates'!$B:$J,AL$11,FALSE),0)</f>
        <v>0</v>
      </c>
      <c r="AM25" s="392">
        <f t="shared" si="19"/>
        <v>0</v>
      </c>
      <c r="AN25" s="394">
        <f t="shared" si="20"/>
        <v>0</v>
      </c>
      <c r="AO25" s="138"/>
      <c r="AP25" s="395">
        <f t="shared" si="21"/>
        <v>0</v>
      </c>
      <c r="AQ25" s="396" t="str">
        <f t="shared" si="22"/>
        <v/>
      </c>
      <c r="AR25" s="397"/>
    </row>
    <row r="26" spans="1:44" ht="12" customHeight="1">
      <c r="A26" s="53"/>
      <c r="B26" s="398"/>
      <c r="C26" s="389" t="str">
        <f t="shared" si="0"/>
        <v>Residential.</v>
      </c>
      <c r="D26" s="390"/>
      <c r="E26" s="328"/>
      <c r="F26" s="391">
        <f>IFERROR(VLOOKUP($C26,'Proposed Rates'!$B:$J,F$11,FALSE),0)</f>
        <v>0</v>
      </c>
      <c r="G26" s="392">
        <f t="shared" si="1"/>
        <v>0</v>
      </c>
      <c r="H26" s="394">
        <f t="shared" si="2"/>
        <v>0</v>
      </c>
      <c r="I26" s="138"/>
      <c r="J26" s="391">
        <f>IFERROR(VLOOKUP($C26,'Proposed Rates'!$B:$J,J$11,FALSE),0)</f>
        <v>0</v>
      </c>
      <c r="K26" s="392">
        <f t="shared" si="3"/>
        <v>0</v>
      </c>
      <c r="L26" s="394">
        <f t="shared" si="4"/>
        <v>0</v>
      </c>
      <c r="M26" s="138"/>
      <c r="N26" s="395">
        <f t="shared" si="5"/>
        <v>0</v>
      </c>
      <c r="O26" s="396" t="str">
        <f t="shared" si="6"/>
        <v/>
      </c>
      <c r="P26" s="53"/>
      <c r="Q26" s="391">
        <f>IFERROR(VLOOKUP($C26,'Proposed Rates'!$B:$J,Q$11,FALSE),0)</f>
        <v>0</v>
      </c>
      <c r="R26" s="392">
        <f t="shared" si="7"/>
        <v>0</v>
      </c>
      <c r="S26" s="394">
        <f t="shared" si="8"/>
        <v>0</v>
      </c>
      <c r="T26" s="138"/>
      <c r="U26" s="395">
        <f t="shared" si="9"/>
        <v>0</v>
      </c>
      <c r="V26" s="396" t="str">
        <f t="shared" si="10"/>
        <v/>
      </c>
      <c r="W26" s="53"/>
      <c r="X26" s="391">
        <f>IFERROR(VLOOKUP($C26,'Proposed Rates'!$B:$J,X$11,FALSE),0)</f>
        <v>0</v>
      </c>
      <c r="Y26" s="392">
        <f t="shared" si="11"/>
        <v>0</v>
      </c>
      <c r="Z26" s="394">
        <f t="shared" si="12"/>
        <v>0</v>
      </c>
      <c r="AA26" s="138"/>
      <c r="AB26" s="395">
        <f t="shared" si="13"/>
        <v>0</v>
      </c>
      <c r="AC26" s="396" t="str">
        <f t="shared" si="14"/>
        <v/>
      </c>
      <c r="AD26" s="53"/>
      <c r="AE26" s="391">
        <f>IFERROR(VLOOKUP($C26,'Proposed Rates'!$B:$J,AE$11,FALSE),0)</f>
        <v>0</v>
      </c>
      <c r="AF26" s="392">
        <f t="shared" si="15"/>
        <v>0</v>
      </c>
      <c r="AG26" s="394">
        <f t="shared" si="16"/>
        <v>0</v>
      </c>
      <c r="AH26" s="138"/>
      <c r="AI26" s="395">
        <f t="shared" si="17"/>
        <v>0</v>
      </c>
      <c r="AJ26" s="396" t="str">
        <f t="shared" si="18"/>
        <v/>
      </c>
      <c r="AK26" s="53"/>
      <c r="AL26" s="391">
        <f>IFERROR(VLOOKUP($C26,'Proposed Rates'!$B:$J,AL$11,FALSE),0)</f>
        <v>0</v>
      </c>
      <c r="AM26" s="392">
        <f t="shared" si="19"/>
        <v>0</v>
      </c>
      <c r="AN26" s="394">
        <f t="shared" si="20"/>
        <v>0</v>
      </c>
      <c r="AO26" s="138"/>
      <c r="AP26" s="395">
        <f t="shared" si="21"/>
        <v>0</v>
      </c>
      <c r="AQ26" s="396" t="str">
        <f t="shared" si="22"/>
        <v/>
      </c>
      <c r="AR26" s="397"/>
    </row>
    <row r="27" spans="1:44" ht="12" customHeight="1">
      <c r="A27" s="53"/>
      <c r="B27" s="398"/>
      <c r="C27" s="389" t="str">
        <f t="shared" si="0"/>
        <v>Residential.</v>
      </c>
      <c r="D27" s="390"/>
      <c r="E27" s="328"/>
      <c r="F27" s="391">
        <f>IFERROR(VLOOKUP($C27,'Proposed Rates'!$B:$J,F$11,FALSE),0)</f>
        <v>0</v>
      </c>
      <c r="G27" s="392">
        <f t="shared" si="1"/>
        <v>0</v>
      </c>
      <c r="H27" s="394">
        <f t="shared" si="2"/>
        <v>0</v>
      </c>
      <c r="I27" s="138"/>
      <c r="J27" s="391">
        <f>IFERROR(VLOOKUP($C27,'Proposed Rates'!$B:$J,J$11,FALSE),0)</f>
        <v>0</v>
      </c>
      <c r="K27" s="392">
        <f t="shared" si="3"/>
        <v>0</v>
      </c>
      <c r="L27" s="394">
        <f t="shared" si="4"/>
        <v>0</v>
      </c>
      <c r="M27" s="138"/>
      <c r="N27" s="395">
        <f t="shared" si="5"/>
        <v>0</v>
      </c>
      <c r="O27" s="396" t="str">
        <f t="shared" si="6"/>
        <v/>
      </c>
      <c r="P27" s="53"/>
      <c r="Q27" s="391">
        <f>IFERROR(VLOOKUP($C27,'Proposed Rates'!$B:$J,Q$11,FALSE),0)</f>
        <v>0</v>
      </c>
      <c r="R27" s="392">
        <f t="shared" si="7"/>
        <v>0</v>
      </c>
      <c r="S27" s="394">
        <f t="shared" si="8"/>
        <v>0</v>
      </c>
      <c r="T27" s="138"/>
      <c r="U27" s="395">
        <f t="shared" si="9"/>
        <v>0</v>
      </c>
      <c r="V27" s="396" t="str">
        <f t="shared" si="10"/>
        <v/>
      </c>
      <c r="W27" s="53"/>
      <c r="X27" s="391">
        <f>IFERROR(VLOOKUP($C27,'Proposed Rates'!$B:$J,X$11,FALSE),0)</f>
        <v>0</v>
      </c>
      <c r="Y27" s="392">
        <f t="shared" si="11"/>
        <v>0</v>
      </c>
      <c r="Z27" s="394">
        <f t="shared" si="12"/>
        <v>0</v>
      </c>
      <c r="AA27" s="138"/>
      <c r="AB27" s="395">
        <f t="shared" si="13"/>
        <v>0</v>
      </c>
      <c r="AC27" s="396" t="str">
        <f t="shared" si="14"/>
        <v/>
      </c>
      <c r="AD27" s="53"/>
      <c r="AE27" s="391">
        <f>IFERROR(VLOOKUP($C27,'Proposed Rates'!$B:$J,AE$11,FALSE),0)</f>
        <v>0</v>
      </c>
      <c r="AF27" s="392">
        <f t="shared" si="15"/>
        <v>0</v>
      </c>
      <c r="AG27" s="394">
        <f t="shared" si="16"/>
        <v>0</v>
      </c>
      <c r="AH27" s="138"/>
      <c r="AI27" s="395">
        <f t="shared" si="17"/>
        <v>0</v>
      </c>
      <c r="AJ27" s="396" t="str">
        <f t="shared" si="18"/>
        <v/>
      </c>
      <c r="AK27" s="53"/>
      <c r="AL27" s="391">
        <f>IFERROR(VLOOKUP($C27,'Proposed Rates'!$B:$J,AL$11,FALSE),0)</f>
        <v>0</v>
      </c>
      <c r="AM27" s="392">
        <f t="shared" si="19"/>
        <v>0</v>
      </c>
      <c r="AN27" s="394">
        <f t="shared" si="20"/>
        <v>0</v>
      </c>
      <c r="AO27" s="138"/>
      <c r="AP27" s="395">
        <f t="shared" si="21"/>
        <v>0</v>
      </c>
      <c r="AQ27" s="396" t="str">
        <f t="shared" si="22"/>
        <v/>
      </c>
      <c r="AR27" s="397"/>
    </row>
    <row r="28" spans="1:44" ht="12" customHeight="1">
      <c r="A28" s="53"/>
      <c r="B28" s="398"/>
      <c r="C28" s="389" t="str">
        <f t="shared" si="0"/>
        <v>Residential.</v>
      </c>
      <c r="D28" s="390"/>
      <c r="E28" s="328"/>
      <c r="F28" s="391">
        <f>IFERROR(VLOOKUP($C28,'Proposed Rates'!$B:$J,F$11,FALSE),0)</f>
        <v>0</v>
      </c>
      <c r="G28" s="392">
        <f t="shared" si="1"/>
        <v>0</v>
      </c>
      <c r="H28" s="394">
        <f t="shared" si="2"/>
        <v>0</v>
      </c>
      <c r="I28" s="138"/>
      <c r="J28" s="391">
        <f>IFERROR(VLOOKUP($C28,'Proposed Rates'!$B:$J,J$11,FALSE),0)</f>
        <v>0</v>
      </c>
      <c r="K28" s="392">
        <f t="shared" si="3"/>
        <v>0</v>
      </c>
      <c r="L28" s="394">
        <f t="shared" si="4"/>
        <v>0</v>
      </c>
      <c r="M28" s="138"/>
      <c r="N28" s="395">
        <f t="shared" si="5"/>
        <v>0</v>
      </c>
      <c r="O28" s="396" t="str">
        <f t="shared" si="6"/>
        <v/>
      </c>
      <c r="P28" s="53"/>
      <c r="Q28" s="391">
        <f>IFERROR(VLOOKUP($C28,'Proposed Rates'!$B:$J,Q$11,FALSE),0)</f>
        <v>0</v>
      </c>
      <c r="R28" s="392">
        <f t="shared" si="7"/>
        <v>0</v>
      </c>
      <c r="S28" s="394">
        <f t="shared" si="8"/>
        <v>0</v>
      </c>
      <c r="T28" s="138"/>
      <c r="U28" s="395">
        <f t="shared" si="9"/>
        <v>0</v>
      </c>
      <c r="V28" s="396" t="str">
        <f t="shared" si="10"/>
        <v/>
      </c>
      <c r="W28" s="53"/>
      <c r="X28" s="391">
        <f>IFERROR(VLOOKUP($C28,'Proposed Rates'!$B:$J,X$11,FALSE),0)</f>
        <v>0</v>
      </c>
      <c r="Y28" s="392">
        <f t="shared" si="11"/>
        <v>0</v>
      </c>
      <c r="Z28" s="394">
        <f t="shared" si="12"/>
        <v>0</v>
      </c>
      <c r="AA28" s="138"/>
      <c r="AB28" s="395">
        <f t="shared" si="13"/>
        <v>0</v>
      </c>
      <c r="AC28" s="396" t="str">
        <f t="shared" si="14"/>
        <v/>
      </c>
      <c r="AD28" s="53"/>
      <c r="AE28" s="391">
        <f>IFERROR(VLOOKUP($C28,'Proposed Rates'!$B:$J,AE$11,FALSE),0)</f>
        <v>0</v>
      </c>
      <c r="AF28" s="392">
        <f t="shared" si="15"/>
        <v>0</v>
      </c>
      <c r="AG28" s="394">
        <f t="shared" si="16"/>
        <v>0</v>
      </c>
      <c r="AH28" s="138"/>
      <c r="AI28" s="395">
        <f t="shared" si="17"/>
        <v>0</v>
      </c>
      <c r="AJ28" s="396" t="str">
        <f t="shared" si="18"/>
        <v/>
      </c>
      <c r="AK28" s="53"/>
      <c r="AL28" s="391">
        <f>IFERROR(VLOOKUP($C28,'Proposed Rates'!$B:$J,AL$11,FALSE),0)</f>
        <v>0</v>
      </c>
      <c r="AM28" s="392">
        <f t="shared" si="19"/>
        <v>0</v>
      </c>
      <c r="AN28" s="394">
        <f t="shared" si="20"/>
        <v>0</v>
      </c>
      <c r="AO28" s="138"/>
      <c r="AP28" s="395">
        <f t="shared" si="21"/>
        <v>0</v>
      </c>
      <c r="AQ28" s="396" t="str">
        <f t="shared" si="22"/>
        <v/>
      </c>
      <c r="AR28" s="397"/>
    </row>
    <row r="29" spans="1:44" ht="12" customHeight="1">
      <c r="A29" s="314"/>
      <c r="B29" s="399" t="s">
        <v>339</v>
      </c>
      <c r="C29" s="400"/>
      <c r="D29" s="400"/>
      <c r="E29" s="400"/>
      <c r="F29" s="401"/>
      <c r="G29" s="402"/>
      <c r="H29" s="403">
        <f>SUM(H15:H28)</f>
        <v>34.51</v>
      </c>
      <c r="I29" s="404"/>
      <c r="J29" s="401"/>
      <c r="K29" s="402"/>
      <c r="L29" s="403">
        <f>SUM(L15:L28)</f>
        <v>39.850000000000009</v>
      </c>
      <c r="M29" s="404"/>
      <c r="N29" s="405">
        <f t="shared" si="5"/>
        <v>5.3400000000000105</v>
      </c>
      <c r="O29" s="406">
        <f t="shared" si="6"/>
        <v>0.15473775717183458</v>
      </c>
      <c r="P29" s="314"/>
      <c r="Q29" s="401"/>
      <c r="R29" s="402"/>
      <c r="S29" s="403">
        <f>SUM(S15:S28)</f>
        <v>42.940000000000005</v>
      </c>
      <c r="T29" s="404"/>
      <c r="U29" s="405">
        <f t="shared" si="9"/>
        <v>3.0899999999999963</v>
      </c>
      <c r="V29" s="406">
        <f t="shared" si="10"/>
        <v>7.7540777917189357E-2</v>
      </c>
      <c r="W29" s="314"/>
      <c r="X29" s="401"/>
      <c r="Y29" s="402"/>
      <c r="Z29" s="403">
        <f>SUM(Z15:Z28)</f>
        <v>43.93</v>
      </c>
      <c r="AA29" s="404"/>
      <c r="AB29" s="405">
        <f t="shared" si="13"/>
        <v>0.98999999999999488</v>
      </c>
      <c r="AC29" s="406">
        <f t="shared" si="14"/>
        <v>2.3055426176059497E-2</v>
      </c>
      <c r="AD29" s="314"/>
      <c r="AE29" s="401"/>
      <c r="AF29" s="402"/>
      <c r="AG29" s="403">
        <f>SUM(AG15:AG28)</f>
        <v>45.42</v>
      </c>
      <c r="AH29" s="404"/>
      <c r="AI29" s="405">
        <f t="shared" si="17"/>
        <v>1.490000000000002</v>
      </c>
      <c r="AJ29" s="406">
        <f t="shared" si="18"/>
        <v>3.3917596175734165E-2</v>
      </c>
      <c r="AK29" s="314"/>
      <c r="AL29" s="401"/>
      <c r="AM29" s="402"/>
      <c r="AN29" s="403">
        <f>SUM(AN15:AN28)</f>
        <v>46.78</v>
      </c>
      <c r="AO29" s="404"/>
      <c r="AP29" s="405">
        <f t="shared" si="21"/>
        <v>1.3599999999999994</v>
      </c>
      <c r="AQ29" s="406">
        <f t="shared" si="22"/>
        <v>2.9942756494936138E-2</v>
      </c>
      <c r="AR29" s="407"/>
    </row>
    <row r="30" spans="1:44" ht="12" customHeight="1">
      <c r="A30" s="53"/>
      <c r="B30" s="398" t="s">
        <v>262</v>
      </c>
      <c r="C30" s="389" t="str">
        <f t="shared" ref="C30:C36" si="23">D$6&amp;"."&amp;B30</f>
        <v>Residential.DVA Disposition Rate Rider Group 1 -2025</v>
      </c>
      <c r="D30" s="390" t="s">
        <v>337</v>
      </c>
      <c r="E30" s="328"/>
      <c r="F30" s="408">
        <f>IFERROR(VLOOKUP($C30,'Proposed Rates'!$B:$J,F$11,FALSE),0)</f>
        <v>-2.0000000000000001E-4</v>
      </c>
      <c r="G30" s="409">
        <f t="shared" ref="G30:G33" si="24">IF($D30="Monthly",1,IF($D30="per KWH",$F$10,0))</f>
        <v>2000</v>
      </c>
      <c r="H30" s="394">
        <f t="shared" ref="H30:H36" si="25">G30*F30</f>
        <v>-0.4</v>
      </c>
      <c r="I30" s="138"/>
      <c r="J30" s="408">
        <f>IFERROR(VLOOKUP($C30,'Proposed Rates'!$B:$J,J$11,FALSE),0)</f>
        <v>-1E-3</v>
      </c>
      <c r="K30" s="409">
        <f t="shared" ref="K30:K33" si="26">IF($D30="Monthly",1,IF($D30="per KWH",$F$10,0))</f>
        <v>2000</v>
      </c>
      <c r="L30" s="410">
        <f t="shared" ref="L30:L36" si="27">K30*J30</f>
        <v>-2</v>
      </c>
      <c r="M30" s="138"/>
      <c r="N30" s="395">
        <f t="shared" si="5"/>
        <v>-1.6</v>
      </c>
      <c r="O30" s="396">
        <f t="shared" si="6"/>
        <v>4</v>
      </c>
      <c r="P30" s="53"/>
      <c r="Q30" s="408">
        <f>IFERROR(VLOOKUP($C30,'Proposed Rates'!$B:$J,Q$11,FALSE),0)</f>
        <v>0</v>
      </c>
      <c r="R30" s="409">
        <f t="shared" ref="R30:R33" si="28">IF($D30="Monthly",1,IF($D30="per KWH",$F$10,0))</f>
        <v>2000</v>
      </c>
      <c r="S30" s="394">
        <f t="shared" ref="S30:S36" si="29">R30*Q30</f>
        <v>0</v>
      </c>
      <c r="T30" s="138"/>
      <c r="U30" s="395">
        <f t="shared" si="9"/>
        <v>2</v>
      </c>
      <c r="V30" s="396">
        <f t="shared" si="10"/>
        <v>-1</v>
      </c>
      <c r="W30" s="53"/>
      <c r="X30" s="408">
        <f>IFERROR(VLOOKUP($C30,'Proposed Rates'!$B:$J,X$11,FALSE),0)</f>
        <v>0</v>
      </c>
      <c r="Y30" s="409">
        <f t="shared" ref="Y30:Y33" si="30">IF($D30="Monthly",1,IF($D30="per KWH",$F$10,0))</f>
        <v>2000</v>
      </c>
      <c r="Z30" s="394">
        <f t="shared" ref="Z30:Z36" si="31">Y30*X30</f>
        <v>0</v>
      </c>
      <c r="AA30" s="138"/>
      <c r="AB30" s="395">
        <f t="shared" si="13"/>
        <v>0</v>
      </c>
      <c r="AC30" s="396" t="str">
        <f t="shared" si="14"/>
        <v/>
      </c>
      <c r="AD30" s="53"/>
      <c r="AE30" s="408">
        <f>IFERROR(VLOOKUP($C30,'Proposed Rates'!$B:$J,AE$11,FALSE),0)</f>
        <v>0</v>
      </c>
      <c r="AF30" s="409">
        <f t="shared" ref="AF30:AF33" si="32">IF($D30="Monthly",1,IF($D30="per KWH",$F$10,0))</f>
        <v>2000</v>
      </c>
      <c r="AG30" s="394">
        <f t="shared" ref="AG30:AG36" si="33">AF30*AE30</f>
        <v>0</v>
      </c>
      <c r="AH30" s="138"/>
      <c r="AI30" s="395">
        <f t="shared" si="17"/>
        <v>0</v>
      </c>
      <c r="AJ30" s="396" t="str">
        <f t="shared" si="18"/>
        <v/>
      </c>
      <c r="AK30" s="53"/>
      <c r="AL30" s="408">
        <f>IFERROR(VLOOKUP($C30,'Proposed Rates'!$B:$J,AL$11,FALSE),0)</f>
        <v>0</v>
      </c>
      <c r="AM30" s="409">
        <f t="shared" ref="AM30:AM33" si="34">IF($D30="Monthly",1,IF($D30="per KWH",$F$10,0))</f>
        <v>2000</v>
      </c>
      <c r="AN30" s="394">
        <f t="shared" ref="AN30:AN36" si="35">AM30*AL30</f>
        <v>0</v>
      </c>
      <c r="AO30" s="138"/>
      <c r="AP30" s="395">
        <f t="shared" si="21"/>
        <v>0</v>
      </c>
      <c r="AQ30" s="396" t="str">
        <f t="shared" si="22"/>
        <v/>
      </c>
      <c r="AR30" s="397"/>
    </row>
    <row r="31" spans="1:44" ht="12" customHeight="1">
      <c r="A31" s="53"/>
      <c r="B31" s="398" t="s">
        <v>264</v>
      </c>
      <c r="C31" s="389" t="str">
        <f t="shared" si="23"/>
        <v>Residential.DVA Disposition Rate Rider Group 1 - 2024</v>
      </c>
      <c r="D31" s="390" t="s">
        <v>337</v>
      </c>
      <c r="E31" s="328"/>
      <c r="F31" s="408">
        <f>IFERROR(VLOOKUP($C31,'Proposed Rates'!$B:$J,F$11,FALSE),0)</f>
        <v>0</v>
      </c>
      <c r="G31" s="409">
        <f t="shared" si="24"/>
        <v>2000</v>
      </c>
      <c r="H31" s="492">
        <f t="shared" si="25"/>
        <v>0</v>
      </c>
      <c r="I31" s="479"/>
      <c r="J31" s="408">
        <f>IFERROR(VLOOKUP($C31,'Proposed Rates'!$B:$J,J$11,FALSE),0)</f>
        <v>0</v>
      </c>
      <c r="K31" s="409">
        <f t="shared" si="26"/>
        <v>2000</v>
      </c>
      <c r="L31" s="492">
        <f t="shared" si="27"/>
        <v>0</v>
      </c>
      <c r="M31" s="411"/>
      <c r="N31" s="395">
        <f t="shared" si="5"/>
        <v>0</v>
      </c>
      <c r="O31" s="396" t="str">
        <f t="shared" si="6"/>
        <v/>
      </c>
      <c r="P31" s="53"/>
      <c r="Q31" s="408">
        <f>IFERROR(VLOOKUP($C31,'Proposed Rates'!$B:$J,Q$11,FALSE),0)</f>
        <v>0</v>
      </c>
      <c r="R31" s="409">
        <f t="shared" si="28"/>
        <v>2000</v>
      </c>
      <c r="S31" s="492">
        <f t="shared" si="29"/>
        <v>0</v>
      </c>
      <c r="T31" s="411"/>
      <c r="U31" s="395">
        <f t="shared" si="9"/>
        <v>0</v>
      </c>
      <c r="V31" s="396" t="str">
        <f t="shared" si="10"/>
        <v/>
      </c>
      <c r="W31" s="53"/>
      <c r="X31" s="408">
        <f>IFERROR(VLOOKUP($C31,'Proposed Rates'!$B:$J,X$11,FALSE),0)</f>
        <v>0</v>
      </c>
      <c r="Y31" s="409">
        <f t="shared" si="30"/>
        <v>2000</v>
      </c>
      <c r="Z31" s="492">
        <f t="shared" si="31"/>
        <v>0</v>
      </c>
      <c r="AA31" s="411"/>
      <c r="AB31" s="395">
        <f t="shared" si="13"/>
        <v>0</v>
      </c>
      <c r="AC31" s="396" t="str">
        <f t="shared" si="14"/>
        <v/>
      </c>
      <c r="AD31" s="53"/>
      <c r="AE31" s="408">
        <f>IFERROR(VLOOKUP($C31,'Proposed Rates'!$B:$J,AE$11,FALSE),0)</f>
        <v>0</v>
      </c>
      <c r="AF31" s="409">
        <f t="shared" si="32"/>
        <v>2000</v>
      </c>
      <c r="AG31" s="492">
        <f t="shared" si="33"/>
        <v>0</v>
      </c>
      <c r="AH31" s="411"/>
      <c r="AI31" s="395">
        <f t="shared" si="17"/>
        <v>0</v>
      </c>
      <c r="AJ31" s="396" t="str">
        <f t="shared" si="18"/>
        <v/>
      </c>
      <c r="AK31" s="53"/>
      <c r="AL31" s="408">
        <f>IFERROR(VLOOKUP($C31,'Proposed Rates'!$B:$J,AL$11,FALSE),0)</f>
        <v>0</v>
      </c>
      <c r="AM31" s="409">
        <f t="shared" si="34"/>
        <v>2000</v>
      </c>
      <c r="AN31" s="492">
        <f t="shared" si="35"/>
        <v>0</v>
      </c>
      <c r="AO31" s="411"/>
      <c r="AP31" s="395">
        <f t="shared" si="21"/>
        <v>0</v>
      </c>
      <c r="AQ31" s="396" t="str">
        <f t="shared" si="22"/>
        <v/>
      </c>
      <c r="AR31" s="397"/>
    </row>
    <row r="32" spans="1:44" ht="12" customHeight="1">
      <c r="A32" s="53"/>
      <c r="B32" s="398" t="s">
        <v>272</v>
      </c>
      <c r="C32" s="389" t="str">
        <f t="shared" si="23"/>
        <v>Residential.CBR Class B Rate Riders</v>
      </c>
      <c r="D32" s="390" t="s">
        <v>337</v>
      </c>
      <c r="E32" s="328"/>
      <c r="F32" s="408">
        <f>IFERROR(VLOOKUP($C32,'Proposed Rates'!$B:$J,F$11,FALSE),0)</f>
        <v>2.0000000000000001E-4</v>
      </c>
      <c r="G32" s="409">
        <f t="shared" si="24"/>
        <v>2000</v>
      </c>
      <c r="H32" s="394">
        <f t="shared" si="25"/>
        <v>0.4</v>
      </c>
      <c r="I32" s="479"/>
      <c r="J32" s="408">
        <f>IFERROR(VLOOKUP($C32,'Proposed Rates'!$B:$J,J$11,FALSE),0)</f>
        <v>6.9999999999999999E-4</v>
      </c>
      <c r="K32" s="409">
        <f t="shared" si="26"/>
        <v>2000</v>
      </c>
      <c r="L32" s="394">
        <f t="shared" si="27"/>
        <v>1.4</v>
      </c>
      <c r="M32" s="411"/>
      <c r="N32" s="395">
        <f t="shared" si="5"/>
        <v>0.99999999999999989</v>
      </c>
      <c r="O32" s="396">
        <f t="shared" si="6"/>
        <v>2.4999999999999996</v>
      </c>
      <c r="P32" s="53"/>
      <c r="Q32" s="408">
        <f>IFERROR(VLOOKUP($C32,'Proposed Rates'!$B:$J,Q$11,FALSE),0)</f>
        <v>0</v>
      </c>
      <c r="R32" s="409">
        <f t="shared" si="28"/>
        <v>2000</v>
      </c>
      <c r="S32" s="394">
        <f t="shared" si="29"/>
        <v>0</v>
      </c>
      <c r="T32" s="411"/>
      <c r="U32" s="395">
        <f t="shared" si="9"/>
        <v>-1.4</v>
      </c>
      <c r="V32" s="396">
        <f t="shared" si="10"/>
        <v>-1</v>
      </c>
      <c r="W32" s="53"/>
      <c r="X32" s="408">
        <f>IFERROR(VLOOKUP($C32,'Proposed Rates'!$B:$J,X$11,FALSE),0)</f>
        <v>0</v>
      </c>
      <c r="Y32" s="409">
        <f t="shared" si="30"/>
        <v>2000</v>
      </c>
      <c r="Z32" s="394">
        <f t="shared" si="31"/>
        <v>0</v>
      </c>
      <c r="AA32" s="411"/>
      <c r="AB32" s="395">
        <f t="shared" si="13"/>
        <v>0</v>
      </c>
      <c r="AC32" s="396" t="str">
        <f t="shared" si="14"/>
        <v/>
      </c>
      <c r="AD32" s="53"/>
      <c r="AE32" s="408">
        <f>IFERROR(VLOOKUP($C32,'Proposed Rates'!$B:$J,AE$11,FALSE),0)</f>
        <v>0</v>
      </c>
      <c r="AF32" s="409">
        <f t="shared" si="32"/>
        <v>2000</v>
      </c>
      <c r="AG32" s="394">
        <f t="shared" si="33"/>
        <v>0</v>
      </c>
      <c r="AH32" s="411"/>
      <c r="AI32" s="395">
        <f t="shared" si="17"/>
        <v>0</v>
      </c>
      <c r="AJ32" s="396" t="str">
        <f t="shared" si="18"/>
        <v/>
      </c>
      <c r="AK32" s="53"/>
      <c r="AL32" s="408">
        <f>IFERROR(VLOOKUP($C32,'Proposed Rates'!$B:$J,AL$11,FALSE),0)</f>
        <v>0</v>
      </c>
      <c r="AM32" s="409">
        <f t="shared" si="34"/>
        <v>2000</v>
      </c>
      <c r="AN32" s="394">
        <f t="shared" si="35"/>
        <v>0</v>
      </c>
      <c r="AO32" s="411"/>
      <c r="AP32" s="395">
        <f t="shared" si="21"/>
        <v>0</v>
      </c>
      <c r="AQ32" s="396" t="str">
        <f t="shared" si="22"/>
        <v/>
      </c>
      <c r="AR32" s="397"/>
    </row>
    <row r="33" spans="1:44" ht="12" customHeight="1">
      <c r="A33" s="53"/>
      <c r="B33" s="398" t="s">
        <v>340</v>
      </c>
      <c r="C33" s="389" t="str">
        <f t="shared" si="23"/>
        <v>Residential.GA Disposition Rate Rider-NonRPP</v>
      </c>
      <c r="D33" s="390" t="s">
        <v>337</v>
      </c>
      <c r="E33" s="328"/>
      <c r="F33" s="408">
        <f>IFERROR(VLOOKUP($C33,'Proposed Rates'!$B:$J,F$11,FALSE),0)</f>
        <v>0</v>
      </c>
      <c r="G33" s="409">
        <f t="shared" si="24"/>
        <v>2000</v>
      </c>
      <c r="H33" s="394">
        <f t="shared" si="25"/>
        <v>0</v>
      </c>
      <c r="I33" s="479"/>
      <c r="J33" s="408">
        <f>IFERROR(VLOOKUP($C33,'Proposed Rates'!$B:$J,J$11,FALSE),0)</f>
        <v>0</v>
      </c>
      <c r="K33" s="409">
        <f t="shared" si="26"/>
        <v>2000</v>
      </c>
      <c r="L33" s="394">
        <f t="shared" si="27"/>
        <v>0</v>
      </c>
      <c r="M33" s="411"/>
      <c r="N33" s="395">
        <f t="shared" si="5"/>
        <v>0</v>
      </c>
      <c r="O33" s="396" t="str">
        <f t="shared" si="6"/>
        <v/>
      </c>
      <c r="P33" s="53"/>
      <c r="Q33" s="408">
        <f>IFERROR(VLOOKUP($C33,'Proposed Rates'!$B:$J,Q$11,FALSE),0)</f>
        <v>0</v>
      </c>
      <c r="R33" s="409">
        <f t="shared" si="28"/>
        <v>2000</v>
      </c>
      <c r="S33" s="394">
        <f t="shared" si="29"/>
        <v>0</v>
      </c>
      <c r="T33" s="411"/>
      <c r="U33" s="395">
        <f t="shared" si="9"/>
        <v>0</v>
      </c>
      <c r="V33" s="396" t="str">
        <f t="shared" si="10"/>
        <v/>
      </c>
      <c r="W33" s="53"/>
      <c r="X33" s="408">
        <f>IFERROR(VLOOKUP($C33,'Proposed Rates'!$B:$J,X$11,FALSE),0)</f>
        <v>0</v>
      </c>
      <c r="Y33" s="409">
        <f t="shared" si="30"/>
        <v>2000</v>
      </c>
      <c r="Z33" s="394">
        <f t="shared" si="31"/>
        <v>0</v>
      </c>
      <c r="AA33" s="411"/>
      <c r="AB33" s="395">
        <f t="shared" si="13"/>
        <v>0</v>
      </c>
      <c r="AC33" s="396" t="str">
        <f t="shared" si="14"/>
        <v/>
      </c>
      <c r="AD33" s="53"/>
      <c r="AE33" s="408">
        <f>IFERROR(VLOOKUP($C33,'Proposed Rates'!$B:$J,AE$11,FALSE),0)</f>
        <v>0</v>
      </c>
      <c r="AF33" s="409">
        <f t="shared" si="32"/>
        <v>2000</v>
      </c>
      <c r="AG33" s="394">
        <f t="shared" si="33"/>
        <v>0</v>
      </c>
      <c r="AH33" s="411"/>
      <c r="AI33" s="395">
        <f t="shared" si="17"/>
        <v>0</v>
      </c>
      <c r="AJ33" s="396" t="str">
        <f t="shared" si="18"/>
        <v/>
      </c>
      <c r="AK33" s="53"/>
      <c r="AL33" s="408">
        <f>IFERROR(VLOOKUP($C33,'Proposed Rates'!$B:$J,AL$11,FALSE),0)</f>
        <v>0</v>
      </c>
      <c r="AM33" s="409">
        <f t="shared" si="34"/>
        <v>2000</v>
      </c>
      <c r="AN33" s="394">
        <f t="shared" si="35"/>
        <v>0</v>
      </c>
      <c r="AO33" s="411"/>
      <c r="AP33" s="395">
        <f t="shared" si="21"/>
        <v>0</v>
      </c>
      <c r="AQ33" s="396" t="str">
        <f t="shared" si="22"/>
        <v/>
      </c>
      <c r="AR33" s="397"/>
    </row>
    <row r="34" spans="1:44" ht="12" customHeight="1">
      <c r="A34" s="53"/>
      <c r="B34" s="328" t="s">
        <v>300</v>
      </c>
      <c r="C34" s="389" t="str">
        <f t="shared" si="23"/>
        <v>Residential.Low Voltage Service Charge</v>
      </c>
      <c r="D34" s="390" t="s">
        <v>337</v>
      </c>
      <c r="E34" s="328"/>
      <c r="F34" s="412">
        <f>IFERROR(VLOOKUP($C34,'Proposed Rates'!$B:$J,F$11,FALSE),0)</f>
        <v>5.0000000000000002E-5</v>
      </c>
      <c r="G34" s="413">
        <f>$F$10*(1+F$63)</f>
        <v>2067.6</v>
      </c>
      <c r="H34" s="394">
        <f t="shared" si="25"/>
        <v>0.10338</v>
      </c>
      <c r="I34" s="138"/>
      <c r="J34" s="412">
        <f>IFERROR(VLOOKUP($C34,'Proposed Rates'!$B:$J,J$11,FALSE),0)</f>
        <v>6.9999999999999994E-5</v>
      </c>
      <c r="K34" s="413">
        <f>$F$10*(1+J$63)</f>
        <v>2066.3999999999996</v>
      </c>
      <c r="L34" s="394">
        <f t="shared" si="27"/>
        <v>0.14464799999999997</v>
      </c>
      <c r="M34" s="138"/>
      <c r="N34" s="395">
        <f t="shared" si="5"/>
        <v>4.1267999999999971E-2</v>
      </c>
      <c r="O34" s="396">
        <f t="shared" si="6"/>
        <v>0.3991874637260589</v>
      </c>
      <c r="P34" s="53"/>
      <c r="Q34" s="412">
        <f>IFERROR(VLOOKUP($C34,'Proposed Rates'!$B:$J,Q$11,FALSE),0)</f>
        <v>6.9999999999999994E-5</v>
      </c>
      <c r="R34" s="413">
        <f>$F$10*(1+Q$63)</f>
        <v>2066.3999999999996</v>
      </c>
      <c r="S34" s="394">
        <f t="shared" si="29"/>
        <v>0.14464799999999997</v>
      </c>
      <c r="T34" s="138"/>
      <c r="U34" s="395">
        <f t="shared" si="9"/>
        <v>0</v>
      </c>
      <c r="V34" s="396">
        <f t="shared" si="10"/>
        <v>0</v>
      </c>
      <c r="W34" s="53"/>
      <c r="X34" s="412">
        <f>IFERROR(VLOOKUP($C34,'Proposed Rates'!$B:$J,X$11,FALSE),0)</f>
        <v>8.0000000000000007E-5</v>
      </c>
      <c r="Y34" s="413">
        <f>$F$10*(1+X$63)</f>
        <v>2066.3999999999996</v>
      </c>
      <c r="Z34" s="394">
        <f t="shared" si="31"/>
        <v>0.16531199999999999</v>
      </c>
      <c r="AA34" s="138"/>
      <c r="AB34" s="395">
        <f t="shared" si="13"/>
        <v>2.0664000000000016E-2</v>
      </c>
      <c r="AC34" s="396">
        <f t="shared" si="14"/>
        <v>0.14285714285714299</v>
      </c>
      <c r="AD34" s="53"/>
      <c r="AE34" s="412">
        <f>IFERROR(VLOOKUP($C34,'Proposed Rates'!$B:$J,AE$11,FALSE),0)</f>
        <v>8.0000000000000007E-5</v>
      </c>
      <c r="AF34" s="413">
        <f>$F$10*(1+AE$63)</f>
        <v>2066.3999999999996</v>
      </c>
      <c r="AG34" s="394">
        <f t="shared" si="33"/>
        <v>0.16531199999999999</v>
      </c>
      <c r="AH34" s="138"/>
      <c r="AI34" s="395">
        <f t="shared" si="17"/>
        <v>0</v>
      </c>
      <c r="AJ34" s="396">
        <f t="shared" si="18"/>
        <v>0</v>
      </c>
      <c r="AK34" s="53"/>
      <c r="AL34" s="412">
        <f>IFERROR(VLOOKUP($C34,'Proposed Rates'!$B:$J,AL$11,FALSE),0)</f>
        <v>8.0000000000000007E-5</v>
      </c>
      <c r="AM34" s="413">
        <f>$F$10*(1+AL$63)</f>
        <v>2066.3999999999996</v>
      </c>
      <c r="AN34" s="394">
        <f t="shared" si="35"/>
        <v>0.16531199999999999</v>
      </c>
      <c r="AO34" s="138"/>
      <c r="AP34" s="395">
        <f t="shared" si="21"/>
        <v>0</v>
      </c>
      <c r="AQ34" s="396">
        <f t="shared" si="22"/>
        <v>0</v>
      </c>
      <c r="AR34" s="397"/>
    </row>
    <row r="35" spans="1:44" ht="12" customHeight="1">
      <c r="A35" s="53"/>
      <c r="B35" s="328" t="s">
        <v>341</v>
      </c>
      <c r="C35" s="389" t="str">
        <f t="shared" si="23"/>
        <v>Residential.Line Losses on Cost of Power</v>
      </c>
      <c r="D35" s="390" t="s">
        <v>337</v>
      </c>
      <c r="E35" s="328"/>
      <c r="F35" s="414">
        <f>'Proposed Rates'!$K$256*F$44+'Proposed Rates'!$K$257*F$45+'Proposed Rates'!$K$258*F$46</f>
        <v>0.12752000000000002</v>
      </c>
      <c r="G35" s="415">
        <f>$F$10*(1+F$63)-$F$10</f>
        <v>67.599999999999909</v>
      </c>
      <c r="H35" s="394">
        <f t="shared" si="25"/>
        <v>8.6203519999999898</v>
      </c>
      <c r="I35" s="138"/>
      <c r="J35" s="414">
        <f>'Proposed Rates'!$K$256*J$44+'Proposed Rates'!$K$257*J$45+'Proposed Rates'!$K$258*J$46</f>
        <v>0.12752000000000002</v>
      </c>
      <c r="K35" s="415">
        <f>$F$10*(1+J$63)-$F$10</f>
        <v>66.399999999999636</v>
      </c>
      <c r="L35" s="394">
        <f t="shared" si="27"/>
        <v>8.4673279999999558</v>
      </c>
      <c r="M35" s="138"/>
      <c r="N35" s="395">
        <f t="shared" si="5"/>
        <v>-0.15302400000003402</v>
      </c>
      <c r="O35" s="396">
        <f t="shared" si="6"/>
        <v>-1.7751479289944794E-2</v>
      </c>
      <c r="P35" s="53"/>
      <c r="Q35" s="414">
        <f>'Proposed Rates'!$K$256*Q$44+'Proposed Rates'!$K$257*Q$45+'Proposed Rates'!$K$258*Q$46</f>
        <v>0.12752000000000002</v>
      </c>
      <c r="R35" s="415">
        <f>$F$10*(1+Q$63)-$F$10</f>
        <v>66.399999999999636</v>
      </c>
      <c r="S35" s="394">
        <f t="shared" si="29"/>
        <v>8.4673279999999558</v>
      </c>
      <c r="T35" s="138"/>
      <c r="U35" s="395">
        <f t="shared" si="9"/>
        <v>0</v>
      </c>
      <c r="V35" s="396">
        <f t="shared" si="10"/>
        <v>0</v>
      </c>
      <c r="W35" s="53"/>
      <c r="X35" s="414">
        <f>'Proposed Rates'!$K$256*X$44+'Proposed Rates'!$K$257*X$45+'Proposed Rates'!$K$258*X$46</f>
        <v>0.12752000000000002</v>
      </c>
      <c r="Y35" s="415">
        <f>$F$10*(1+X$63)-$F$10</f>
        <v>66.399999999999636</v>
      </c>
      <c r="Z35" s="394">
        <f t="shared" si="31"/>
        <v>8.4673279999999558</v>
      </c>
      <c r="AA35" s="138"/>
      <c r="AB35" s="395">
        <f t="shared" si="13"/>
        <v>0</v>
      </c>
      <c r="AC35" s="396">
        <f t="shared" si="14"/>
        <v>0</v>
      </c>
      <c r="AD35" s="53"/>
      <c r="AE35" s="414">
        <f>'Proposed Rates'!$K$256*AE$44+'Proposed Rates'!$K$257*AE$45+'Proposed Rates'!$K$258*AE$46</f>
        <v>0.12752000000000002</v>
      </c>
      <c r="AF35" s="415">
        <f>$F$10*(1+AE$63)-$F$10</f>
        <v>66.399999999999636</v>
      </c>
      <c r="AG35" s="394">
        <f t="shared" si="33"/>
        <v>8.4673279999999558</v>
      </c>
      <c r="AH35" s="138"/>
      <c r="AI35" s="395">
        <f t="shared" si="17"/>
        <v>0</v>
      </c>
      <c r="AJ35" s="396">
        <f t="shared" si="18"/>
        <v>0</v>
      </c>
      <c r="AK35" s="53"/>
      <c r="AL35" s="414">
        <f>'Proposed Rates'!$K$256*AL$44+'Proposed Rates'!$K$257*AL$45+'Proposed Rates'!$K$258*AL$46</f>
        <v>0.12752000000000002</v>
      </c>
      <c r="AM35" s="415">
        <f>$F$10*(1+AL$63)-$F$10</f>
        <v>66.399999999999636</v>
      </c>
      <c r="AN35" s="394">
        <f t="shared" si="35"/>
        <v>8.4673279999999558</v>
      </c>
      <c r="AO35" s="138"/>
      <c r="AP35" s="395">
        <f t="shared" si="21"/>
        <v>0</v>
      </c>
      <c r="AQ35" s="396">
        <f t="shared" si="22"/>
        <v>0</v>
      </c>
      <c r="AR35" s="397"/>
    </row>
    <row r="36" spans="1:44" ht="12" customHeight="1">
      <c r="A36" s="53"/>
      <c r="B36" s="328" t="s">
        <v>302</v>
      </c>
      <c r="C36" s="389" t="str">
        <f t="shared" si="23"/>
        <v>Residential.Smart Meter Entity Charge</v>
      </c>
      <c r="D36" s="390" t="s">
        <v>335</v>
      </c>
      <c r="E36" s="328"/>
      <c r="F36" s="391">
        <f>IFERROR(VLOOKUP($C36,'Proposed Rates'!$B:$J,F$11,FALSE),0)</f>
        <v>0.42</v>
      </c>
      <c r="G36" s="409">
        <f>IF($D36="Monthly",1,IF($D36="per KWH",$F$10,0))</f>
        <v>1</v>
      </c>
      <c r="H36" s="394">
        <f t="shared" si="25"/>
        <v>0.42</v>
      </c>
      <c r="I36" s="138"/>
      <c r="J36" s="391">
        <f>IFERROR(VLOOKUP($C36,'Proposed Rates'!$B:$J,J$11,FALSE),0)</f>
        <v>0.42</v>
      </c>
      <c r="K36" s="409">
        <f>IF($D36="Monthly",1,IF($D36="per KWH",$F$10,0))</f>
        <v>1</v>
      </c>
      <c r="L36" s="394">
        <f t="shared" si="27"/>
        <v>0.42</v>
      </c>
      <c r="M36" s="138"/>
      <c r="N36" s="395">
        <f t="shared" si="5"/>
        <v>0</v>
      </c>
      <c r="O36" s="396">
        <f t="shared" si="6"/>
        <v>0</v>
      </c>
      <c r="P36" s="53"/>
      <c r="Q36" s="391">
        <f>IFERROR(VLOOKUP($C36,'Proposed Rates'!$B:$J,Q$11,FALSE),0)</f>
        <v>0.42</v>
      </c>
      <c r="R36" s="409">
        <f>IF($D36="Monthly",1,IF($D36="per KWH",$F$10,0))</f>
        <v>1</v>
      </c>
      <c r="S36" s="394">
        <f t="shared" si="29"/>
        <v>0.42</v>
      </c>
      <c r="T36" s="138"/>
      <c r="U36" s="395">
        <f t="shared" si="9"/>
        <v>0</v>
      </c>
      <c r="V36" s="396">
        <f t="shared" si="10"/>
        <v>0</v>
      </c>
      <c r="W36" s="53"/>
      <c r="X36" s="391">
        <f>IFERROR(VLOOKUP($C36,'Proposed Rates'!$B:$J,X$11,FALSE),0)</f>
        <v>0.43</v>
      </c>
      <c r="Y36" s="409">
        <f>IF($D36="Monthly",1,IF($D36="per KWH",$F$10,0))</f>
        <v>1</v>
      </c>
      <c r="Z36" s="394">
        <f t="shared" si="31"/>
        <v>0.43</v>
      </c>
      <c r="AA36" s="138"/>
      <c r="AB36" s="395">
        <f t="shared" si="13"/>
        <v>1.0000000000000009E-2</v>
      </c>
      <c r="AC36" s="396">
        <f t="shared" si="14"/>
        <v>2.3809523809523832E-2</v>
      </c>
      <c r="AD36" s="53"/>
      <c r="AE36" s="391">
        <f>IFERROR(VLOOKUP($C36,'Proposed Rates'!$B:$J,AE$11,FALSE),0)</f>
        <v>0.44</v>
      </c>
      <c r="AF36" s="409">
        <f>IF($D36="Monthly",1,IF($D36="per KWH",$F$10,0))</f>
        <v>1</v>
      </c>
      <c r="AG36" s="394">
        <f t="shared" si="33"/>
        <v>0.44</v>
      </c>
      <c r="AH36" s="138"/>
      <c r="AI36" s="395">
        <f t="shared" si="17"/>
        <v>1.0000000000000009E-2</v>
      </c>
      <c r="AJ36" s="396">
        <f t="shared" si="18"/>
        <v>2.3255813953488393E-2</v>
      </c>
      <c r="AK36" s="53"/>
      <c r="AL36" s="391">
        <f>IFERROR(VLOOKUP($C36,'Proposed Rates'!$B:$J,AL$11,FALSE),0)</f>
        <v>0.45</v>
      </c>
      <c r="AM36" s="409">
        <f>IF($D36="Monthly",1,IF($D36="per KWH",$F$10,0))</f>
        <v>1</v>
      </c>
      <c r="AN36" s="394">
        <f t="shared" si="35"/>
        <v>0.45</v>
      </c>
      <c r="AO36" s="138"/>
      <c r="AP36" s="395">
        <f t="shared" si="21"/>
        <v>1.0000000000000009E-2</v>
      </c>
      <c r="AQ36" s="396">
        <f t="shared" si="22"/>
        <v>2.2727272727272749E-2</v>
      </c>
      <c r="AR36" s="397"/>
    </row>
    <row r="37" spans="1:44" ht="12" customHeight="1">
      <c r="A37" s="53"/>
      <c r="B37" s="399" t="s">
        <v>342</v>
      </c>
      <c r="C37" s="416"/>
      <c r="D37" s="416"/>
      <c r="E37" s="416"/>
      <c r="F37" s="417"/>
      <c r="G37" s="418"/>
      <c r="H37" s="403">
        <f>SUM(H30:H36)+H29</f>
        <v>43.653731999999991</v>
      </c>
      <c r="I37" s="419"/>
      <c r="J37" s="417"/>
      <c r="K37" s="418"/>
      <c r="L37" s="403">
        <f>SUM(L30:L36)+L29</f>
        <v>48.281975999999965</v>
      </c>
      <c r="M37" s="419"/>
      <c r="N37" s="405">
        <f t="shared" si="5"/>
        <v>4.6282439999999738</v>
      </c>
      <c r="O37" s="406">
        <f t="shared" si="6"/>
        <v>0.10602172570262663</v>
      </c>
      <c r="P37" s="53"/>
      <c r="Q37" s="417"/>
      <c r="R37" s="418"/>
      <c r="S37" s="403">
        <f>SUM(S30:S36)+S29</f>
        <v>51.971975999999962</v>
      </c>
      <c r="T37" s="419"/>
      <c r="U37" s="405">
        <f t="shared" si="9"/>
        <v>3.6899999999999977</v>
      </c>
      <c r="V37" s="406">
        <f t="shared" si="10"/>
        <v>7.6426035255889285E-2</v>
      </c>
      <c r="W37" s="53"/>
      <c r="X37" s="417"/>
      <c r="Y37" s="418"/>
      <c r="Z37" s="403">
        <f>SUM(Z30:Z36)+Z29</f>
        <v>52.992639999999952</v>
      </c>
      <c r="AA37" s="419"/>
      <c r="AB37" s="405">
        <f t="shared" si="13"/>
        <v>1.0206639999999894</v>
      </c>
      <c r="AC37" s="406">
        <f t="shared" si="14"/>
        <v>1.9638737615056048E-2</v>
      </c>
      <c r="AD37" s="53"/>
      <c r="AE37" s="417"/>
      <c r="AF37" s="418"/>
      <c r="AG37" s="403">
        <f>SUM(AG30:AG36)+AG29</f>
        <v>54.492639999999959</v>
      </c>
      <c r="AH37" s="419"/>
      <c r="AI37" s="405">
        <f t="shared" si="17"/>
        <v>1.5000000000000071</v>
      </c>
      <c r="AJ37" s="406">
        <f t="shared" si="18"/>
        <v>2.8305817562589982E-2</v>
      </c>
      <c r="AK37" s="53"/>
      <c r="AL37" s="417"/>
      <c r="AM37" s="418"/>
      <c r="AN37" s="403">
        <f>SUM(AN30:AN36)+AN29</f>
        <v>55.862639999999956</v>
      </c>
      <c r="AO37" s="419"/>
      <c r="AP37" s="405">
        <f t="shared" si="21"/>
        <v>1.3699999999999974</v>
      </c>
      <c r="AQ37" s="406">
        <f t="shared" si="22"/>
        <v>2.5141009868488634E-2</v>
      </c>
      <c r="AR37" s="407"/>
    </row>
    <row r="38" spans="1:44" ht="12" customHeight="1">
      <c r="A38" s="53"/>
      <c r="B38" s="138" t="s">
        <v>285</v>
      </c>
      <c r="C38" s="389" t="str">
        <f t="shared" ref="C38:C39" si="36">D$6&amp;"."&amp;B38</f>
        <v>Residential.RTSR - Network</v>
      </c>
      <c r="D38" s="420" t="s">
        <v>337</v>
      </c>
      <c r="E38" s="138"/>
      <c r="F38" s="408">
        <f>IFERROR(VLOOKUP($C38,'Proposed Rates'!$B:$J,F$11,FALSE),0)</f>
        <v>1.26E-2</v>
      </c>
      <c r="G38" s="413">
        <f t="shared" ref="G38:G39" si="37">$F$10*(1+F$63)</f>
        <v>2067.6</v>
      </c>
      <c r="H38" s="394">
        <f t="shared" ref="H38:H39" si="38">G38*F38</f>
        <v>26.051759999999998</v>
      </c>
      <c r="I38" s="138"/>
      <c r="J38" s="408">
        <f>IFERROR(VLOOKUP($C38,'Proposed Rates'!$B:$J,J$11,FALSE),0)</f>
        <v>1.38E-2</v>
      </c>
      <c r="K38" s="413">
        <f t="shared" ref="K38:K39" si="39">$F$10*(1+J$63)</f>
        <v>2066.3999999999996</v>
      </c>
      <c r="L38" s="394">
        <f t="shared" ref="L38:L39" si="40">K38*J38</f>
        <v>28.516319999999993</v>
      </c>
      <c r="M38" s="138"/>
      <c r="N38" s="395">
        <f t="shared" si="5"/>
        <v>2.4645599999999952</v>
      </c>
      <c r="O38" s="396">
        <f t="shared" si="6"/>
        <v>9.4602437608821643E-2</v>
      </c>
      <c r="P38" s="53"/>
      <c r="Q38" s="408">
        <f>IFERROR(VLOOKUP($C38,'Proposed Rates'!$B:$J,Q$11,FALSE),0)</f>
        <v>1.38E-2</v>
      </c>
      <c r="R38" s="413">
        <f t="shared" ref="R38:R39" si="41">$F$10*(1+Q$63)</f>
        <v>2066.3999999999996</v>
      </c>
      <c r="S38" s="394">
        <f t="shared" ref="S38:S39" si="42">R38*Q38</f>
        <v>28.516319999999993</v>
      </c>
      <c r="T38" s="138"/>
      <c r="U38" s="395">
        <f t="shared" si="9"/>
        <v>0</v>
      </c>
      <c r="V38" s="396">
        <f t="shared" si="10"/>
        <v>0</v>
      </c>
      <c r="W38" s="53"/>
      <c r="X38" s="408">
        <f>IFERROR(VLOOKUP($C38,'Proposed Rates'!$B:$J,X$11,FALSE),0)</f>
        <v>1.38E-2</v>
      </c>
      <c r="Y38" s="413">
        <f t="shared" ref="Y38:Y39" si="43">$F$10*(1+X$63)</f>
        <v>2066.3999999999996</v>
      </c>
      <c r="Z38" s="394">
        <f t="shared" ref="Z38:Z39" si="44">Y38*X38</f>
        <v>28.516319999999993</v>
      </c>
      <c r="AA38" s="138"/>
      <c r="AB38" s="395">
        <f t="shared" si="13"/>
        <v>0</v>
      </c>
      <c r="AC38" s="396">
        <f t="shared" si="14"/>
        <v>0</v>
      </c>
      <c r="AD38" s="53"/>
      <c r="AE38" s="408">
        <f>IFERROR(VLOOKUP($C38,'Proposed Rates'!$B:$J,AE$11,FALSE),0)</f>
        <v>1.38E-2</v>
      </c>
      <c r="AF38" s="413">
        <f t="shared" ref="AF38:AF39" si="45">$F$10*(1+AE$63)</f>
        <v>2066.3999999999996</v>
      </c>
      <c r="AG38" s="394">
        <f t="shared" ref="AG38:AG39" si="46">AF38*AE38</f>
        <v>28.516319999999993</v>
      </c>
      <c r="AH38" s="138"/>
      <c r="AI38" s="395">
        <f t="shared" si="17"/>
        <v>0</v>
      </c>
      <c r="AJ38" s="396">
        <f t="shared" si="18"/>
        <v>0</v>
      </c>
      <c r="AK38" s="53"/>
      <c r="AL38" s="408">
        <f>IFERROR(VLOOKUP($C38,'Proposed Rates'!$B:$J,AL$11,FALSE),0)</f>
        <v>1.38E-2</v>
      </c>
      <c r="AM38" s="413">
        <f t="shared" ref="AM38:AM39" si="47">$F$10*(1+AL$63)</f>
        <v>2066.3999999999996</v>
      </c>
      <c r="AN38" s="394">
        <f t="shared" ref="AN38:AN39" si="48">AM38*AL38</f>
        <v>28.516319999999993</v>
      </c>
      <c r="AO38" s="138"/>
      <c r="AP38" s="395">
        <f t="shared" si="21"/>
        <v>0</v>
      </c>
      <c r="AQ38" s="396">
        <f t="shared" si="22"/>
        <v>0</v>
      </c>
      <c r="AR38" s="397"/>
    </row>
    <row r="39" spans="1:44" ht="12" customHeight="1">
      <c r="A39" s="53"/>
      <c r="B39" s="138" t="s">
        <v>288</v>
      </c>
      <c r="C39" s="389" t="str">
        <f t="shared" si="36"/>
        <v>Residential.RTSR - Line and Transformation Connection</v>
      </c>
      <c r="D39" s="420" t="s">
        <v>337</v>
      </c>
      <c r="E39" s="138"/>
      <c r="F39" s="408">
        <f>IFERROR(VLOOKUP($C39,'Proposed Rates'!$B:$J,F$11,FALSE),0)</f>
        <v>7.1999999999999998E-3</v>
      </c>
      <c r="G39" s="413">
        <f t="shared" si="37"/>
        <v>2067.6</v>
      </c>
      <c r="H39" s="394">
        <f t="shared" si="38"/>
        <v>14.886719999999999</v>
      </c>
      <c r="I39" s="138"/>
      <c r="J39" s="408">
        <f>IFERROR(VLOOKUP($C39,'Proposed Rates'!$B:$J,J$11,FALSE),0)</f>
        <v>7.7999999999999996E-3</v>
      </c>
      <c r="K39" s="413">
        <f t="shared" si="39"/>
        <v>2066.3999999999996</v>
      </c>
      <c r="L39" s="394">
        <f t="shared" si="40"/>
        <v>16.117919999999998</v>
      </c>
      <c r="M39" s="138"/>
      <c r="N39" s="395">
        <f t="shared" si="5"/>
        <v>1.2311999999999994</v>
      </c>
      <c r="O39" s="396">
        <f t="shared" si="6"/>
        <v>8.2704585026117203E-2</v>
      </c>
      <c r="P39" s="53"/>
      <c r="Q39" s="408">
        <f>IFERROR(VLOOKUP($C39,'Proposed Rates'!$B:$J,Q$11,FALSE),0)</f>
        <v>7.7999999999999996E-3</v>
      </c>
      <c r="R39" s="413">
        <f t="shared" si="41"/>
        <v>2066.3999999999996</v>
      </c>
      <c r="S39" s="394">
        <f t="shared" si="42"/>
        <v>16.117919999999998</v>
      </c>
      <c r="T39" s="138"/>
      <c r="U39" s="395">
        <f t="shared" si="9"/>
        <v>0</v>
      </c>
      <c r="V39" s="396">
        <f t="shared" si="10"/>
        <v>0</v>
      </c>
      <c r="W39" s="53"/>
      <c r="X39" s="408">
        <f>IFERROR(VLOOKUP($C39,'Proposed Rates'!$B:$J,X$11,FALSE),0)</f>
        <v>7.7999999999999996E-3</v>
      </c>
      <c r="Y39" s="413">
        <f t="shared" si="43"/>
        <v>2066.3999999999996</v>
      </c>
      <c r="Z39" s="394">
        <f t="shared" si="44"/>
        <v>16.117919999999998</v>
      </c>
      <c r="AA39" s="138"/>
      <c r="AB39" s="395">
        <f t="shared" si="13"/>
        <v>0</v>
      </c>
      <c r="AC39" s="396">
        <f t="shared" si="14"/>
        <v>0</v>
      </c>
      <c r="AD39" s="53"/>
      <c r="AE39" s="408">
        <f>IFERROR(VLOOKUP($C39,'Proposed Rates'!$B:$J,AE$11,FALSE),0)</f>
        <v>7.7999999999999996E-3</v>
      </c>
      <c r="AF39" s="413">
        <f t="shared" si="45"/>
        <v>2066.3999999999996</v>
      </c>
      <c r="AG39" s="394">
        <f t="shared" si="46"/>
        <v>16.117919999999998</v>
      </c>
      <c r="AH39" s="138"/>
      <c r="AI39" s="395">
        <f t="shared" si="17"/>
        <v>0</v>
      </c>
      <c r="AJ39" s="396">
        <f t="shared" si="18"/>
        <v>0</v>
      </c>
      <c r="AK39" s="53"/>
      <c r="AL39" s="408">
        <f>IFERROR(VLOOKUP($C39,'Proposed Rates'!$B:$J,AL$11,FALSE),0)</f>
        <v>7.7999999999999996E-3</v>
      </c>
      <c r="AM39" s="413">
        <f t="shared" si="47"/>
        <v>2066.3999999999996</v>
      </c>
      <c r="AN39" s="394">
        <f t="shared" si="48"/>
        <v>16.117919999999998</v>
      </c>
      <c r="AO39" s="138"/>
      <c r="AP39" s="395">
        <f t="shared" si="21"/>
        <v>0</v>
      </c>
      <c r="AQ39" s="396">
        <f t="shared" si="22"/>
        <v>0</v>
      </c>
      <c r="AR39" s="397"/>
    </row>
    <row r="40" spans="1:44" ht="12" customHeight="1">
      <c r="A40" s="53"/>
      <c r="B40" s="399" t="s">
        <v>343</v>
      </c>
      <c r="C40" s="421"/>
      <c r="D40" s="421"/>
      <c r="E40" s="421"/>
      <c r="F40" s="422"/>
      <c r="G40" s="423"/>
      <c r="H40" s="403">
        <f>SUM(H37:H39)</f>
        <v>84.592211999999989</v>
      </c>
      <c r="I40" s="404"/>
      <c r="J40" s="422"/>
      <c r="K40" s="423"/>
      <c r="L40" s="403">
        <f>SUM(L37:L39)</f>
        <v>92.916215999999963</v>
      </c>
      <c r="M40" s="404"/>
      <c r="N40" s="405">
        <f t="shared" si="5"/>
        <v>8.3240039999999738</v>
      </c>
      <c r="O40" s="406">
        <f t="shared" si="6"/>
        <v>9.8401540794322465E-2</v>
      </c>
      <c r="P40" s="53"/>
      <c r="Q40" s="422"/>
      <c r="R40" s="423"/>
      <c r="S40" s="403">
        <f>SUM(S37:S39)</f>
        <v>96.606215999999961</v>
      </c>
      <c r="T40" s="404"/>
      <c r="U40" s="405">
        <f t="shared" si="9"/>
        <v>3.6899999999999977</v>
      </c>
      <c r="V40" s="406">
        <f t="shared" si="10"/>
        <v>3.9713197102215173E-2</v>
      </c>
      <c r="W40" s="53"/>
      <c r="X40" s="422"/>
      <c r="Y40" s="423"/>
      <c r="Z40" s="403">
        <f>SUM(Z37:Z39)</f>
        <v>97.626879999999943</v>
      </c>
      <c r="AA40" s="404"/>
      <c r="AB40" s="405">
        <f t="shared" si="13"/>
        <v>1.0206639999999823</v>
      </c>
      <c r="AC40" s="406">
        <f t="shared" si="14"/>
        <v>1.0565200069527438E-2</v>
      </c>
      <c r="AD40" s="53"/>
      <c r="AE40" s="422"/>
      <c r="AF40" s="423"/>
      <c r="AG40" s="403">
        <f>SUM(AG37:AG39)</f>
        <v>99.126879999999943</v>
      </c>
      <c r="AH40" s="404"/>
      <c r="AI40" s="405">
        <f t="shared" si="17"/>
        <v>1.5</v>
      </c>
      <c r="AJ40" s="406">
        <f t="shared" si="18"/>
        <v>1.5364620891295521E-2</v>
      </c>
      <c r="AK40" s="53"/>
      <c r="AL40" s="422"/>
      <c r="AM40" s="423"/>
      <c r="AN40" s="403">
        <f>SUM(AN37:AN39)</f>
        <v>100.49687999999995</v>
      </c>
      <c r="AO40" s="404"/>
      <c r="AP40" s="405">
        <f t="shared" si="21"/>
        <v>1.3700000000000045</v>
      </c>
      <c r="AQ40" s="406">
        <f t="shared" si="22"/>
        <v>1.3820671043010789E-2</v>
      </c>
      <c r="AR40" s="407"/>
    </row>
    <row r="41" spans="1:44" ht="12" customHeight="1">
      <c r="A41" s="53"/>
      <c r="B41" s="328" t="s">
        <v>289</v>
      </c>
      <c r="C41" s="389" t="str">
        <f t="shared" ref="C41:C48" si="49">D$6&amp;"."&amp;B41</f>
        <v>Residential.Wholesale Market Service Charge (WMSC)</v>
      </c>
      <c r="D41" s="390" t="s">
        <v>337</v>
      </c>
      <c r="E41" s="328"/>
      <c r="F41" s="408">
        <f>IFERROR(VLOOKUP($C41,'Proposed Rates'!$B:$J,F$11,FALSE),0)</f>
        <v>4.4999999999999997E-3</v>
      </c>
      <c r="G41" s="413">
        <f t="shared" ref="G41:G42" si="50">$F$10*(1+F$63)</f>
        <v>2067.6</v>
      </c>
      <c r="H41" s="394">
        <f t="shared" ref="H41:H48" si="51">G41*F41</f>
        <v>9.304199999999998</v>
      </c>
      <c r="I41" s="138"/>
      <c r="J41" s="408">
        <f>IFERROR(VLOOKUP($C41,'Proposed Rates'!$B:$J,J$11,FALSE),0)</f>
        <v>4.7000000000000002E-3</v>
      </c>
      <c r="K41" s="413">
        <f t="shared" ref="K41:K42" si="52">$F$10*(1+J$63)</f>
        <v>2066.3999999999996</v>
      </c>
      <c r="L41" s="394">
        <f t="shared" ref="L41:L48" si="53">K41*J41</f>
        <v>9.7120799999999985</v>
      </c>
      <c r="M41" s="138"/>
      <c r="N41" s="395">
        <f t="shared" si="5"/>
        <v>0.40788000000000046</v>
      </c>
      <c r="O41" s="396">
        <f t="shared" si="6"/>
        <v>4.3838266589282318E-2</v>
      </c>
      <c r="P41" s="53"/>
      <c r="Q41" s="408">
        <f>IFERROR(VLOOKUP($C41,'Proposed Rates'!$B:$J,Q$11,FALSE),0)</f>
        <v>4.7000000000000002E-3</v>
      </c>
      <c r="R41" s="413">
        <f t="shared" ref="R41:R42" si="54">$F$10*(1+Q$63)</f>
        <v>2066.3999999999996</v>
      </c>
      <c r="S41" s="394">
        <f t="shared" ref="S41:S48" si="55">R41*Q41</f>
        <v>9.7120799999999985</v>
      </c>
      <c r="T41" s="138"/>
      <c r="U41" s="395">
        <f t="shared" si="9"/>
        <v>0</v>
      </c>
      <c r="V41" s="396">
        <f t="shared" si="10"/>
        <v>0</v>
      </c>
      <c r="W41" s="53"/>
      <c r="X41" s="408">
        <f>IFERROR(VLOOKUP($C41,'Proposed Rates'!$B:$J,X$11,FALSE),0)</f>
        <v>4.7000000000000002E-3</v>
      </c>
      <c r="Y41" s="413">
        <f t="shared" ref="Y41:Y42" si="56">$F$10*(1+X$63)</f>
        <v>2066.3999999999996</v>
      </c>
      <c r="Z41" s="394">
        <f t="shared" ref="Z41:Z48" si="57">Y41*X41</f>
        <v>9.7120799999999985</v>
      </c>
      <c r="AA41" s="138"/>
      <c r="AB41" s="395">
        <f t="shared" si="13"/>
        <v>0</v>
      </c>
      <c r="AC41" s="396">
        <f t="shared" si="14"/>
        <v>0</v>
      </c>
      <c r="AD41" s="53"/>
      <c r="AE41" s="408">
        <f>IFERROR(VLOOKUP($C41,'Proposed Rates'!$B:$J,AE$11,FALSE),0)</f>
        <v>4.7000000000000002E-3</v>
      </c>
      <c r="AF41" s="413">
        <f t="shared" ref="AF41:AF42" si="58">$F$10*(1+AE$63)</f>
        <v>2066.3999999999996</v>
      </c>
      <c r="AG41" s="394">
        <f t="shared" ref="AG41:AG48" si="59">AF41*AE41</f>
        <v>9.7120799999999985</v>
      </c>
      <c r="AH41" s="138"/>
      <c r="AI41" s="395">
        <f t="shared" si="17"/>
        <v>0</v>
      </c>
      <c r="AJ41" s="396">
        <f t="shared" si="18"/>
        <v>0</v>
      </c>
      <c r="AK41" s="53"/>
      <c r="AL41" s="408">
        <f>IFERROR(VLOOKUP($C41,'Proposed Rates'!$B:$J,AL$11,FALSE),0)</f>
        <v>4.7000000000000002E-3</v>
      </c>
      <c r="AM41" s="413">
        <f t="shared" ref="AM41:AM42" si="60">$F$10*(1+AL$63)</f>
        <v>2066.3999999999996</v>
      </c>
      <c r="AN41" s="394">
        <f t="shared" ref="AN41:AN48" si="61">AM41*AL41</f>
        <v>9.7120799999999985</v>
      </c>
      <c r="AO41" s="138"/>
      <c r="AP41" s="395">
        <f t="shared" si="21"/>
        <v>0</v>
      </c>
      <c r="AQ41" s="396">
        <f t="shared" si="22"/>
        <v>0</v>
      </c>
      <c r="AR41" s="397"/>
    </row>
    <row r="42" spans="1:44" ht="12" customHeight="1">
      <c r="A42" s="53"/>
      <c r="B42" s="328" t="s">
        <v>290</v>
      </c>
      <c r="C42" s="389" t="str">
        <f t="shared" si="49"/>
        <v>Residential.Rural and Remote Rate Protection (RRRP)</v>
      </c>
      <c r="D42" s="390" t="s">
        <v>337</v>
      </c>
      <c r="E42" s="328"/>
      <c r="F42" s="408">
        <f>IFERROR(VLOOKUP($C42,'Proposed Rates'!$B:$J,F$11,FALSE),0)</f>
        <v>1.5E-3</v>
      </c>
      <c r="G42" s="413">
        <f t="shared" si="50"/>
        <v>2067.6</v>
      </c>
      <c r="H42" s="394">
        <f t="shared" si="51"/>
        <v>3.1013999999999999</v>
      </c>
      <c r="I42" s="138"/>
      <c r="J42" s="408">
        <f>IFERROR(VLOOKUP($C42,'Proposed Rates'!$B:$J,J$11,FALSE),0)</f>
        <v>5.9999999999999995E-4</v>
      </c>
      <c r="K42" s="413">
        <f t="shared" si="52"/>
        <v>2066.3999999999996</v>
      </c>
      <c r="L42" s="394">
        <f t="shared" si="53"/>
        <v>1.2398399999999996</v>
      </c>
      <c r="M42" s="138"/>
      <c r="N42" s="395">
        <f t="shared" si="5"/>
        <v>-1.8615600000000003</v>
      </c>
      <c r="O42" s="396">
        <f t="shared" si="6"/>
        <v>-0.60023215322112611</v>
      </c>
      <c r="P42" s="53"/>
      <c r="Q42" s="408">
        <f>IFERROR(VLOOKUP($C42,'Proposed Rates'!$B:$J,Q$11,FALSE),0)</f>
        <v>5.9999999999999995E-4</v>
      </c>
      <c r="R42" s="413">
        <f t="shared" si="54"/>
        <v>2066.3999999999996</v>
      </c>
      <c r="S42" s="394">
        <f t="shared" si="55"/>
        <v>1.2398399999999996</v>
      </c>
      <c r="T42" s="138"/>
      <c r="U42" s="395">
        <f t="shared" si="9"/>
        <v>0</v>
      </c>
      <c r="V42" s="396">
        <f t="shared" si="10"/>
        <v>0</v>
      </c>
      <c r="W42" s="53"/>
      <c r="X42" s="408">
        <f>IFERROR(VLOOKUP($C42,'Proposed Rates'!$B:$J,X$11,FALSE),0)</f>
        <v>5.9999999999999995E-4</v>
      </c>
      <c r="Y42" s="413">
        <f t="shared" si="56"/>
        <v>2066.3999999999996</v>
      </c>
      <c r="Z42" s="394">
        <f t="shared" si="57"/>
        <v>1.2398399999999996</v>
      </c>
      <c r="AA42" s="138"/>
      <c r="AB42" s="395">
        <f t="shared" si="13"/>
        <v>0</v>
      </c>
      <c r="AC42" s="396">
        <f t="shared" si="14"/>
        <v>0</v>
      </c>
      <c r="AD42" s="53"/>
      <c r="AE42" s="408">
        <f>IFERROR(VLOOKUP($C42,'Proposed Rates'!$B:$J,AE$11,FALSE),0)</f>
        <v>5.9999999999999995E-4</v>
      </c>
      <c r="AF42" s="413">
        <f t="shared" si="58"/>
        <v>2066.3999999999996</v>
      </c>
      <c r="AG42" s="394">
        <f t="shared" si="59"/>
        <v>1.2398399999999996</v>
      </c>
      <c r="AH42" s="138"/>
      <c r="AI42" s="395">
        <f t="shared" si="17"/>
        <v>0</v>
      </c>
      <c r="AJ42" s="396">
        <f t="shared" si="18"/>
        <v>0</v>
      </c>
      <c r="AK42" s="53"/>
      <c r="AL42" s="408">
        <f>IFERROR(VLOOKUP($C42,'Proposed Rates'!$B:$J,AL$11,FALSE),0)</f>
        <v>5.9999999999999995E-4</v>
      </c>
      <c r="AM42" s="413">
        <f t="shared" si="60"/>
        <v>2066.3999999999996</v>
      </c>
      <c r="AN42" s="394">
        <f t="shared" si="61"/>
        <v>1.2398399999999996</v>
      </c>
      <c r="AO42" s="138"/>
      <c r="AP42" s="395">
        <f t="shared" si="21"/>
        <v>0</v>
      </c>
      <c r="AQ42" s="396">
        <f t="shared" si="22"/>
        <v>0</v>
      </c>
      <c r="AR42" s="397"/>
    </row>
    <row r="43" spans="1:44" ht="12" customHeight="1">
      <c r="A43" s="53"/>
      <c r="B43" s="328" t="s">
        <v>291</v>
      </c>
      <c r="C43" s="389" t="str">
        <f t="shared" si="49"/>
        <v>Residential.Standard Supply Service Charge</v>
      </c>
      <c r="D43" s="390" t="s">
        <v>335</v>
      </c>
      <c r="E43" s="328"/>
      <c r="F43" s="408">
        <f>IFERROR(VLOOKUP($C43,'Proposed Rates'!$B:$J,F$11,FALSE),0)</f>
        <v>0.25</v>
      </c>
      <c r="G43" s="409">
        <f>IF($D43="Monthly",1,IF($D43="per KWH",$F$10,0))</f>
        <v>1</v>
      </c>
      <c r="H43" s="394">
        <f t="shared" si="51"/>
        <v>0.25</v>
      </c>
      <c r="I43" s="138"/>
      <c r="J43" s="408">
        <f>IFERROR(VLOOKUP($C43,'Proposed Rates'!$B:$J,J$11,FALSE),0)</f>
        <v>0.25</v>
      </c>
      <c r="K43" s="409">
        <f>IF($D43="Monthly",1,IF($D43="per KWH",$F$10,0))</f>
        <v>1</v>
      </c>
      <c r="L43" s="394">
        <f t="shared" si="53"/>
        <v>0.25</v>
      </c>
      <c r="M43" s="138"/>
      <c r="N43" s="395">
        <f t="shared" si="5"/>
        <v>0</v>
      </c>
      <c r="O43" s="396">
        <f t="shared" si="6"/>
        <v>0</v>
      </c>
      <c r="P43" s="53"/>
      <c r="Q43" s="408">
        <f>IFERROR(VLOOKUP($C43,'Proposed Rates'!$B:$J,Q$11,FALSE),0)</f>
        <v>0.25</v>
      </c>
      <c r="R43" s="409">
        <f>IF($D43="Monthly",1,IF($D43="per KWH",$F$10,0))</f>
        <v>1</v>
      </c>
      <c r="S43" s="394">
        <f t="shared" si="55"/>
        <v>0.25</v>
      </c>
      <c r="T43" s="138"/>
      <c r="U43" s="395">
        <f t="shared" si="9"/>
        <v>0</v>
      </c>
      <c r="V43" s="396">
        <f t="shared" si="10"/>
        <v>0</v>
      </c>
      <c r="W43" s="53"/>
      <c r="X43" s="408">
        <f>IFERROR(VLOOKUP($C43,'Proposed Rates'!$B:$J,X$11,FALSE),0)</f>
        <v>0.25</v>
      </c>
      <c r="Y43" s="409">
        <f>IF($D43="Monthly",1,IF($D43="per KWH",$F$10,0))</f>
        <v>1</v>
      </c>
      <c r="Z43" s="394">
        <f t="shared" si="57"/>
        <v>0.25</v>
      </c>
      <c r="AA43" s="138"/>
      <c r="AB43" s="395">
        <f t="shared" si="13"/>
        <v>0</v>
      </c>
      <c r="AC43" s="396">
        <f t="shared" si="14"/>
        <v>0</v>
      </c>
      <c r="AD43" s="53"/>
      <c r="AE43" s="408">
        <f>IFERROR(VLOOKUP($C43,'Proposed Rates'!$B:$J,AE$11,FALSE),0)</f>
        <v>0.25</v>
      </c>
      <c r="AF43" s="409">
        <f>IF($D43="Monthly",1,IF($D43="per KWH",$F$10,0))</f>
        <v>1</v>
      </c>
      <c r="AG43" s="394">
        <f t="shared" si="59"/>
        <v>0.25</v>
      </c>
      <c r="AH43" s="138"/>
      <c r="AI43" s="395">
        <f t="shared" si="17"/>
        <v>0</v>
      </c>
      <c r="AJ43" s="396">
        <f t="shared" si="18"/>
        <v>0</v>
      </c>
      <c r="AK43" s="53"/>
      <c r="AL43" s="408">
        <f>IFERROR(VLOOKUP($C43,'Proposed Rates'!$B:$J,AL$11,FALSE),0)</f>
        <v>0.25</v>
      </c>
      <c r="AM43" s="409">
        <f>IF($D43="Monthly",1,IF($D43="per KWH",$F$10,0))</f>
        <v>1</v>
      </c>
      <c r="AN43" s="394">
        <f t="shared" si="61"/>
        <v>0.25</v>
      </c>
      <c r="AO43" s="138"/>
      <c r="AP43" s="395">
        <f t="shared" si="21"/>
        <v>0</v>
      </c>
      <c r="AQ43" s="396">
        <f t="shared" si="22"/>
        <v>0</v>
      </c>
      <c r="AR43" s="397"/>
    </row>
    <row r="44" spans="1:44" ht="12" customHeight="1">
      <c r="A44" s="53"/>
      <c r="B44" s="328" t="s">
        <v>293</v>
      </c>
      <c r="C44" s="389" t="str">
        <f t="shared" si="49"/>
        <v>Residential.TOU - Off Peak</v>
      </c>
      <c r="D44" s="390" t="s">
        <v>337</v>
      </c>
      <c r="E44" s="328"/>
      <c r="F44" s="424">
        <f>VLOOKUP($B44,'Proposed Rates'!$D$255:$J$261,+F$11-2,FALSE)</f>
        <v>9.8000000000000004E-2</v>
      </c>
      <c r="G44" s="415">
        <f>$F$10*'Proposed Rates'!$K$256</f>
        <v>1280</v>
      </c>
      <c r="H44" s="394">
        <f t="shared" si="51"/>
        <v>125.44</v>
      </c>
      <c r="I44" s="138"/>
      <c r="J44" s="424">
        <f>VLOOKUP($B44,'Proposed Rates'!$D$255:$J$261,+J$11-2,FALSE)</f>
        <v>9.8000000000000004E-2</v>
      </c>
      <c r="K44" s="415">
        <f>$F$10*'Proposed Rates'!$K$256</f>
        <v>1280</v>
      </c>
      <c r="L44" s="394">
        <f t="shared" si="53"/>
        <v>125.44</v>
      </c>
      <c r="M44" s="138"/>
      <c r="N44" s="395">
        <f t="shared" si="5"/>
        <v>0</v>
      </c>
      <c r="O44" s="396">
        <f t="shared" si="6"/>
        <v>0</v>
      </c>
      <c r="P44" s="53"/>
      <c r="Q44" s="424">
        <f>VLOOKUP($B44,'Proposed Rates'!$D$255:$J$261,+Q$11-2,FALSE)</f>
        <v>9.8000000000000004E-2</v>
      </c>
      <c r="R44" s="415">
        <f>$F$10*'Proposed Rates'!$K$256</f>
        <v>1280</v>
      </c>
      <c r="S44" s="394">
        <f t="shared" si="55"/>
        <v>125.44</v>
      </c>
      <c r="T44" s="138"/>
      <c r="U44" s="395">
        <f t="shared" si="9"/>
        <v>0</v>
      </c>
      <c r="V44" s="396">
        <f t="shared" si="10"/>
        <v>0</v>
      </c>
      <c r="W44" s="53"/>
      <c r="X44" s="424">
        <f>VLOOKUP($B44,'Proposed Rates'!$D$255:$J$261,+X$11-2,FALSE)</f>
        <v>9.8000000000000004E-2</v>
      </c>
      <c r="Y44" s="415">
        <f>$F$10*'Proposed Rates'!$K$256</f>
        <v>1280</v>
      </c>
      <c r="Z44" s="394">
        <f t="shared" si="57"/>
        <v>125.44</v>
      </c>
      <c r="AA44" s="138"/>
      <c r="AB44" s="395">
        <f t="shared" si="13"/>
        <v>0</v>
      </c>
      <c r="AC44" s="396">
        <f t="shared" si="14"/>
        <v>0</v>
      </c>
      <c r="AD44" s="53"/>
      <c r="AE44" s="424">
        <f>VLOOKUP($B44,'Proposed Rates'!$D$255:$J$261,+AE$11-2,FALSE)</f>
        <v>9.8000000000000004E-2</v>
      </c>
      <c r="AF44" s="415">
        <f>$F$10*'Proposed Rates'!$K$256</f>
        <v>1280</v>
      </c>
      <c r="AG44" s="394">
        <f t="shared" si="59"/>
        <v>125.44</v>
      </c>
      <c r="AH44" s="138"/>
      <c r="AI44" s="395">
        <f t="shared" si="17"/>
        <v>0</v>
      </c>
      <c r="AJ44" s="396">
        <f t="shared" si="18"/>
        <v>0</v>
      </c>
      <c r="AK44" s="53"/>
      <c r="AL44" s="424">
        <f>VLOOKUP($B44,'Proposed Rates'!$D$255:$J$261,+AL$11-2,FALSE)</f>
        <v>9.8000000000000004E-2</v>
      </c>
      <c r="AM44" s="415">
        <f>$F$10*'Proposed Rates'!$K$256</f>
        <v>1280</v>
      </c>
      <c r="AN44" s="394">
        <f t="shared" si="61"/>
        <v>125.44</v>
      </c>
      <c r="AO44" s="138"/>
      <c r="AP44" s="395">
        <f t="shared" si="21"/>
        <v>0</v>
      </c>
      <c r="AQ44" s="396">
        <f t="shared" si="22"/>
        <v>0</v>
      </c>
      <c r="AR44" s="397"/>
    </row>
    <row r="45" spans="1:44" ht="12" customHeight="1">
      <c r="A45" s="53"/>
      <c r="B45" s="328" t="s">
        <v>294</v>
      </c>
      <c r="C45" s="389" t="str">
        <f t="shared" si="49"/>
        <v>Residential.TOU - Mid Peak</v>
      </c>
      <c r="D45" s="390" t="s">
        <v>337</v>
      </c>
      <c r="E45" s="328"/>
      <c r="F45" s="424">
        <f>VLOOKUP($B45,'Proposed Rates'!$D$255:$J$261,+F$11-2,FALSE)</f>
        <v>0.157</v>
      </c>
      <c r="G45" s="415">
        <f>$F$10*'Proposed Rates'!$K$257</f>
        <v>360</v>
      </c>
      <c r="H45" s="394">
        <f t="shared" si="51"/>
        <v>56.52</v>
      </c>
      <c r="I45" s="138"/>
      <c r="J45" s="424">
        <f>VLOOKUP($B45,'Proposed Rates'!$D$255:$J$261,+J$11-2,FALSE)</f>
        <v>0.157</v>
      </c>
      <c r="K45" s="415">
        <f>$F$10*'Proposed Rates'!$K$257</f>
        <v>360</v>
      </c>
      <c r="L45" s="394">
        <f t="shared" si="53"/>
        <v>56.52</v>
      </c>
      <c r="M45" s="138"/>
      <c r="N45" s="395">
        <f t="shared" si="5"/>
        <v>0</v>
      </c>
      <c r="O45" s="396">
        <f t="shared" si="6"/>
        <v>0</v>
      </c>
      <c r="P45" s="53"/>
      <c r="Q45" s="424">
        <f>VLOOKUP($B45,'Proposed Rates'!$D$255:$J$261,+Q$11-2,FALSE)</f>
        <v>0.157</v>
      </c>
      <c r="R45" s="415">
        <f>$F$10*'Proposed Rates'!$K$257</f>
        <v>360</v>
      </c>
      <c r="S45" s="394">
        <f t="shared" si="55"/>
        <v>56.52</v>
      </c>
      <c r="T45" s="138"/>
      <c r="U45" s="395">
        <f t="shared" si="9"/>
        <v>0</v>
      </c>
      <c r="V45" s="396">
        <f t="shared" si="10"/>
        <v>0</v>
      </c>
      <c r="W45" s="53"/>
      <c r="X45" s="424">
        <f>VLOOKUP($B45,'Proposed Rates'!$D$255:$J$261,+X$11-2,FALSE)</f>
        <v>0.157</v>
      </c>
      <c r="Y45" s="415">
        <f>$F$10*'Proposed Rates'!$K$257</f>
        <v>360</v>
      </c>
      <c r="Z45" s="394">
        <f t="shared" si="57"/>
        <v>56.52</v>
      </c>
      <c r="AA45" s="138"/>
      <c r="AB45" s="395">
        <f t="shared" si="13"/>
        <v>0</v>
      </c>
      <c r="AC45" s="396">
        <f t="shared" si="14"/>
        <v>0</v>
      </c>
      <c r="AD45" s="53"/>
      <c r="AE45" s="424">
        <f>VLOOKUP($B45,'Proposed Rates'!$D$255:$J$261,+AE$11-2,FALSE)</f>
        <v>0.157</v>
      </c>
      <c r="AF45" s="415">
        <f>$F$10*'Proposed Rates'!$K$257</f>
        <v>360</v>
      </c>
      <c r="AG45" s="394">
        <f t="shared" si="59"/>
        <v>56.52</v>
      </c>
      <c r="AH45" s="138"/>
      <c r="AI45" s="395">
        <f t="shared" si="17"/>
        <v>0</v>
      </c>
      <c r="AJ45" s="396">
        <f t="shared" si="18"/>
        <v>0</v>
      </c>
      <c r="AK45" s="53"/>
      <c r="AL45" s="424">
        <f>VLOOKUP($B45,'Proposed Rates'!$D$255:$J$261,+AL$11-2,FALSE)</f>
        <v>0.157</v>
      </c>
      <c r="AM45" s="415">
        <f>$F$10*'Proposed Rates'!$K$257</f>
        <v>360</v>
      </c>
      <c r="AN45" s="394">
        <f t="shared" si="61"/>
        <v>56.52</v>
      </c>
      <c r="AO45" s="138"/>
      <c r="AP45" s="395">
        <f t="shared" si="21"/>
        <v>0</v>
      </c>
      <c r="AQ45" s="396">
        <f t="shared" si="22"/>
        <v>0</v>
      </c>
      <c r="AR45" s="397"/>
    </row>
    <row r="46" spans="1:44" ht="12" customHeight="1">
      <c r="A46" s="53"/>
      <c r="B46" s="53" t="s">
        <v>295</v>
      </c>
      <c r="C46" s="389" t="str">
        <f t="shared" si="49"/>
        <v>Residential.TOU - On Peak</v>
      </c>
      <c r="D46" s="390" t="s">
        <v>337</v>
      </c>
      <c r="E46" s="328"/>
      <c r="F46" s="424">
        <f>VLOOKUP($B46,'Proposed Rates'!$D$255:$J$261,+F$11-2,FALSE)</f>
        <v>0.20300000000000001</v>
      </c>
      <c r="G46" s="415">
        <f>$F$10*'Proposed Rates'!$K$258</f>
        <v>360</v>
      </c>
      <c r="H46" s="394">
        <f t="shared" si="51"/>
        <v>73.08</v>
      </c>
      <c r="I46" s="138"/>
      <c r="J46" s="424">
        <f>VLOOKUP($B46,'Proposed Rates'!$D$255:$J$261,+J$11-2,FALSE)</f>
        <v>0.20300000000000001</v>
      </c>
      <c r="K46" s="415">
        <f>$F$10*'Proposed Rates'!$K$258</f>
        <v>360</v>
      </c>
      <c r="L46" s="394">
        <f t="shared" si="53"/>
        <v>73.08</v>
      </c>
      <c r="M46" s="138"/>
      <c r="N46" s="395">
        <f t="shared" si="5"/>
        <v>0</v>
      </c>
      <c r="O46" s="396">
        <f t="shared" si="6"/>
        <v>0</v>
      </c>
      <c r="P46" s="53"/>
      <c r="Q46" s="424">
        <f>VLOOKUP($B46,'Proposed Rates'!$D$255:$J$261,+Q$11-2,FALSE)</f>
        <v>0.20300000000000001</v>
      </c>
      <c r="R46" s="415">
        <f>$F$10*'Proposed Rates'!$K$258</f>
        <v>360</v>
      </c>
      <c r="S46" s="394">
        <f t="shared" si="55"/>
        <v>73.08</v>
      </c>
      <c r="T46" s="138"/>
      <c r="U46" s="395">
        <f t="shared" si="9"/>
        <v>0</v>
      </c>
      <c r="V46" s="396">
        <f t="shared" si="10"/>
        <v>0</v>
      </c>
      <c r="W46" s="53"/>
      <c r="X46" s="424">
        <f>VLOOKUP($B46,'Proposed Rates'!$D$255:$J$261,+X$11-2,FALSE)</f>
        <v>0.20300000000000001</v>
      </c>
      <c r="Y46" s="415">
        <f>$F$10*'Proposed Rates'!$K$258</f>
        <v>360</v>
      </c>
      <c r="Z46" s="394">
        <f t="shared" si="57"/>
        <v>73.08</v>
      </c>
      <c r="AA46" s="138"/>
      <c r="AB46" s="395">
        <f t="shared" si="13"/>
        <v>0</v>
      </c>
      <c r="AC46" s="396">
        <f t="shared" si="14"/>
        <v>0</v>
      </c>
      <c r="AD46" s="53"/>
      <c r="AE46" s="424">
        <f>VLOOKUP($B46,'Proposed Rates'!$D$255:$J$261,+AE$11-2,FALSE)</f>
        <v>0.20300000000000001</v>
      </c>
      <c r="AF46" s="415">
        <f>$F$10*'Proposed Rates'!$K$258</f>
        <v>360</v>
      </c>
      <c r="AG46" s="394">
        <f t="shared" si="59"/>
        <v>73.08</v>
      </c>
      <c r="AH46" s="138"/>
      <c r="AI46" s="395">
        <f t="shared" si="17"/>
        <v>0</v>
      </c>
      <c r="AJ46" s="396">
        <f t="shared" si="18"/>
        <v>0</v>
      </c>
      <c r="AK46" s="53"/>
      <c r="AL46" s="424">
        <f>VLOOKUP($B46,'Proposed Rates'!$D$255:$J$261,+AL$11-2,FALSE)</f>
        <v>0.20300000000000001</v>
      </c>
      <c r="AM46" s="415">
        <f>$F$10*'Proposed Rates'!$K$258</f>
        <v>360</v>
      </c>
      <c r="AN46" s="394">
        <f t="shared" si="61"/>
        <v>73.08</v>
      </c>
      <c r="AO46" s="138"/>
      <c r="AP46" s="395">
        <f t="shared" si="21"/>
        <v>0</v>
      </c>
      <c r="AQ46" s="396">
        <f t="shared" si="22"/>
        <v>0</v>
      </c>
      <c r="AR46" s="397"/>
    </row>
    <row r="47" spans="1:44" ht="12" customHeight="1">
      <c r="A47" s="53"/>
      <c r="B47" s="328" t="s">
        <v>296</v>
      </c>
      <c r="C47" s="389" t="str">
        <f t="shared" si="49"/>
        <v>Residential.Energy - RPP - Tier 1</v>
      </c>
      <c r="D47" s="390" t="s">
        <v>337</v>
      </c>
      <c r="E47" s="328"/>
      <c r="F47" s="424">
        <f>VLOOKUP($B47,'Proposed Rates'!$D$255:$J$261,+F$11-2,FALSE)</f>
        <v>0.12</v>
      </c>
      <c r="G47" s="425">
        <f>IF(AND($S$2=1, $F$10&gt;=600), 600, IF(AND($S$2=1, AND($F$10&lt;600, $F$10&gt;=0)), $F$10, IF(AND($S$2=2, $F$10&gt;=1000), 1000, IF(AND($S$2=2, AND($F$10&lt;1000, $F$10&gt;=0)), $F$10))))</f>
        <v>600</v>
      </c>
      <c r="H47" s="394">
        <f t="shared" si="51"/>
        <v>72</v>
      </c>
      <c r="I47" s="138"/>
      <c r="J47" s="424">
        <f>VLOOKUP($B47,'Proposed Rates'!$D$255:$J$261,+J$11-2,FALSE)</f>
        <v>0.12</v>
      </c>
      <c r="K47" s="425">
        <f>IF(AND($S$2=1, $F$10&gt;=600), 600, IF(AND($S$2=1, AND($F$10&lt;600, $F$10&gt;=0)), $F$10, IF(AND($S$2=2, $F$10&gt;=1000), 1000, IF(AND($S$2=2, AND($F$10&lt;1000, $F$10&gt;=0)), $F$10))))</f>
        <v>600</v>
      </c>
      <c r="L47" s="394">
        <f t="shared" si="53"/>
        <v>72</v>
      </c>
      <c r="M47" s="138"/>
      <c r="N47" s="395">
        <f t="shared" si="5"/>
        <v>0</v>
      </c>
      <c r="O47" s="396">
        <f t="shared" si="6"/>
        <v>0</v>
      </c>
      <c r="P47" s="53"/>
      <c r="Q47" s="424">
        <f>VLOOKUP($B47,'Proposed Rates'!$D$255:$J$261,+Q$11-2,FALSE)</f>
        <v>0.12</v>
      </c>
      <c r="R47" s="425">
        <f>IF(AND($S$2=1, $F$10&gt;=600), 600, IF(AND($S$2=1, AND($F$10&lt;600, $F$10&gt;=0)), $F$10, IF(AND($S$2=2, $F$10&gt;=1000), 1000, IF(AND($S$2=2, AND($F$10&lt;1000, $F$10&gt;=0)), $F$10))))</f>
        <v>600</v>
      </c>
      <c r="S47" s="394">
        <f t="shared" si="55"/>
        <v>72</v>
      </c>
      <c r="T47" s="138"/>
      <c r="U47" s="395">
        <f t="shared" si="9"/>
        <v>0</v>
      </c>
      <c r="V47" s="396">
        <f t="shared" si="10"/>
        <v>0</v>
      </c>
      <c r="W47" s="53"/>
      <c r="X47" s="424">
        <f>VLOOKUP($B47,'Proposed Rates'!$D$255:$J$261,+X$11-2,FALSE)</f>
        <v>0.12</v>
      </c>
      <c r="Y47" s="425">
        <f>IF(AND($S$2=1, $F$10&gt;=600), 600, IF(AND($S$2=1, AND($F$10&lt;600, $F$10&gt;=0)), $F$10, IF(AND($S$2=2, $F$10&gt;=1000), 1000, IF(AND($S$2=2, AND($F$10&lt;1000, $F$10&gt;=0)), $F$10))))</f>
        <v>600</v>
      </c>
      <c r="Z47" s="394">
        <f t="shared" si="57"/>
        <v>72</v>
      </c>
      <c r="AA47" s="138"/>
      <c r="AB47" s="395">
        <f t="shared" si="13"/>
        <v>0</v>
      </c>
      <c r="AC47" s="396">
        <f t="shared" si="14"/>
        <v>0</v>
      </c>
      <c r="AD47" s="53"/>
      <c r="AE47" s="424">
        <f>VLOOKUP($B47,'Proposed Rates'!$D$255:$J$261,+AE$11-2,FALSE)</f>
        <v>0.12</v>
      </c>
      <c r="AF47" s="425">
        <f>IF(AND($S$2=1, $F$10&gt;=600), 600, IF(AND($S$2=1, AND($F$10&lt;600, $F$10&gt;=0)), $F$10, IF(AND($S$2=2, $F$10&gt;=1000), 1000, IF(AND($S$2=2, AND($F$10&lt;1000, $F$10&gt;=0)), $F$10))))</f>
        <v>600</v>
      </c>
      <c r="AG47" s="394">
        <f t="shared" si="59"/>
        <v>72</v>
      </c>
      <c r="AH47" s="138"/>
      <c r="AI47" s="395">
        <f t="shared" si="17"/>
        <v>0</v>
      </c>
      <c r="AJ47" s="396">
        <f t="shared" si="18"/>
        <v>0</v>
      </c>
      <c r="AK47" s="53"/>
      <c r="AL47" s="424">
        <f>VLOOKUP($B47,'Proposed Rates'!$D$255:$J$261,+AL$11-2,FALSE)</f>
        <v>0.12</v>
      </c>
      <c r="AM47" s="425">
        <f>IF(AND($S$2=1, $F$10&gt;=600), 600, IF(AND($S$2=1, AND($F$10&lt;600, $F$10&gt;=0)), $F$10, IF(AND($S$2=2, $F$10&gt;=1000), 1000, IF(AND($S$2=2, AND($F$10&lt;1000, $F$10&gt;=0)), $F$10))))</f>
        <v>600</v>
      </c>
      <c r="AN47" s="394">
        <f t="shared" si="61"/>
        <v>72</v>
      </c>
      <c r="AO47" s="138"/>
      <c r="AP47" s="395">
        <f t="shared" si="21"/>
        <v>0</v>
      </c>
      <c r="AQ47" s="396">
        <f t="shared" si="22"/>
        <v>0</v>
      </c>
      <c r="AR47" s="397"/>
    </row>
    <row r="48" spans="1:44" ht="12" customHeight="1">
      <c r="A48" s="53"/>
      <c r="B48" s="328" t="s">
        <v>297</v>
      </c>
      <c r="C48" s="389" t="str">
        <f t="shared" si="49"/>
        <v>Residential.Energy - RPP - Tier 2</v>
      </c>
      <c r="D48" s="390" t="s">
        <v>337</v>
      </c>
      <c r="E48" s="328"/>
      <c r="F48" s="424">
        <f>VLOOKUP($B48,'Proposed Rates'!$D$255:$J$261,+F$11-2,FALSE)</f>
        <v>0.14199999999999999</v>
      </c>
      <c r="G48" s="427">
        <f>IF(AND($S$2=1, $F$10&gt;=600), $F$10-600, IF(AND($S$2=1, AND($F$10&lt;600, $F$10&gt;=0)), 0, IF(AND($S$2=2, $F$10&gt;=1000), $F$10-1000, IF(AND($S$2=2, AND($F$10&lt;1000, $F$10&gt;=0)), 0))))</f>
        <v>1400</v>
      </c>
      <c r="H48" s="394">
        <f t="shared" si="51"/>
        <v>198.79999999999998</v>
      </c>
      <c r="I48" s="138"/>
      <c r="J48" s="424">
        <f>VLOOKUP($B48,'Proposed Rates'!$D$255:$J$261,+J$11-2,FALSE)</f>
        <v>0.14199999999999999</v>
      </c>
      <c r="K48" s="427">
        <f>IF(AND($S$2=1, $F$10&gt;=600), $F$10-600, IF(AND($S$2=1, AND($F$10&lt;600, $F$10&gt;=0)), 0, IF(AND($S$2=2, $F$10&gt;=1000), $F$10-1000, IF(AND($S$2=2, AND($F$10&lt;1000, $F$10&gt;=0)), 0))))</f>
        <v>1400</v>
      </c>
      <c r="L48" s="394">
        <f t="shared" si="53"/>
        <v>198.79999999999998</v>
      </c>
      <c r="M48" s="138"/>
      <c r="N48" s="395">
        <f t="shared" si="5"/>
        <v>0</v>
      </c>
      <c r="O48" s="396">
        <f t="shared" si="6"/>
        <v>0</v>
      </c>
      <c r="P48" s="53"/>
      <c r="Q48" s="424">
        <f>VLOOKUP($B48,'Proposed Rates'!$D$255:$J$261,+Q$11-2,FALSE)</f>
        <v>0.14199999999999999</v>
      </c>
      <c r="R48" s="427">
        <f>IF(AND($S$2=1, $F$10&gt;=600), $F$10-600, IF(AND($S$2=1, AND($F$10&lt;600, $F$10&gt;=0)), 0, IF(AND($S$2=2, $F$10&gt;=1000), $F$10-1000, IF(AND($S$2=2, AND($F$10&lt;1000, $F$10&gt;=0)), 0))))</f>
        <v>1400</v>
      </c>
      <c r="S48" s="394">
        <f t="shared" si="55"/>
        <v>198.79999999999998</v>
      </c>
      <c r="T48" s="138"/>
      <c r="U48" s="395">
        <f t="shared" si="9"/>
        <v>0</v>
      </c>
      <c r="V48" s="396">
        <f t="shared" si="10"/>
        <v>0</v>
      </c>
      <c r="W48" s="53"/>
      <c r="X48" s="424">
        <f>VLOOKUP($B48,'Proposed Rates'!$D$255:$J$261,+X$11-2,FALSE)</f>
        <v>0.14199999999999999</v>
      </c>
      <c r="Y48" s="427">
        <f>IF(AND($S$2=1, $F$10&gt;=600), $F$10-600, IF(AND($S$2=1, AND($F$10&lt;600, $F$10&gt;=0)), 0, IF(AND($S$2=2, $F$10&gt;=1000), $F$10-1000, IF(AND($S$2=2, AND($F$10&lt;1000, $F$10&gt;=0)), 0))))</f>
        <v>1400</v>
      </c>
      <c r="Z48" s="394">
        <f t="shared" si="57"/>
        <v>198.79999999999998</v>
      </c>
      <c r="AA48" s="138"/>
      <c r="AB48" s="395">
        <f t="shared" si="13"/>
        <v>0</v>
      </c>
      <c r="AC48" s="396">
        <f t="shared" si="14"/>
        <v>0</v>
      </c>
      <c r="AD48" s="53"/>
      <c r="AE48" s="424">
        <f>VLOOKUP($B48,'Proposed Rates'!$D$255:$J$261,+AE$11-2,FALSE)</f>
        <v>0.14199999999999999</v>
      </c>
      <c r="AF48" s="427">
        <f>IF(AND($S$2=1, $F$10&gt;=600), $F$10-600, IF(AND($S$2=1, AND($F$10&lt;600, $F$10&gt;=0)), 0, IF(AND($S$2=2, $F$10&gt;=1000), $F$10-1000, IF(AND($S$2=2, AND($F$10&lt;1000, $F$10&gt;=0)), 0))))</f>
        <v>1400</v>
      </c>
      <c r="AG48" s="394">
        <f t="shared" si="59"/>
        <v>198.79999999999998</v>
      </c>
      <c r="AH48" s="138"/>
      <c r="AI48" s="395">
        <f t="shared" si="17"/>
        <v>0</v>
      </c>
      <c r="AJ48" s="396">
        <f t="shared" si="18"/>
        <v>0</v>
      </c>
      <c r="AK48" s="53"/>
      <c r="AL48" s="424">
        <f>VLOOKUP($B48,'Proposed Rates'!$D$255:$J$261,+AL$11-2,FALSE)</f>
        <v>0.14199999999999999</v>
      </c>
      <c r="AM48" s="427">
        <f>IF(AND($S$2=1, $F$10&gt;=600), $F$10-600, IF(AND($S$2=1, AND($F$10&lt;600, $F$10&gt;=0)), 0, IF(AND($S$2=2, $F$10&gt;=1000), $F$10-1000, IF(AND($S$2=2, AND($F$10&lt;1000, $F$10&gt;=0)), 0))))</f>
        <v>1400</v>
      </c>
      <c r="AN48" s="394">
        <f t="shared" si="61"/>
        <v>198.79999999999998</v>
      </c>
      <c r="AO48" s="138"/>
      <c r="AP48" s="395">
        <f t="shared" si="21"/>
        <v>0</v>
      </c>
      <c r="AQ48" s="396">
        <f t="shared" si="22"/>
        <v>0</v>
      </c>
      <c r="AR48" s="397"/>
    </row>
    <row r="49" spans="1:44" ht="12"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 customHeight="1">
      <c r="A50" s="53"/>
      <c r="B50" s="438" t="s">
        <v>344</v>
      </c>
      <c r="C50" s="328"/>
      <c r="D50" s="328"/>
      <c r="E50" s="328"/>
      <c r="F50" s="439"/>
      <c r="G50" s="483"/>
      <c r="H50" s="441">
        <f>SUM(H41:H46,H40)</f>
        <v>352.28781200000003</v>
      </c>
      <c r="I50" s="476"/>
      <c r="J50" s="439"/>
      <c r="K50" s="440"/>
      <c r="L50" s="441">
        <f>SUM(L41:L46,L40)</f>
        <v>359.15813599999996</v>
      </c>
      <c r="M50" s="443"/>
      <c r="N50" s="442">
        <f t="shared" ref="N50:N54" si="62">L50-H50</f>
        <v>6.8703239999999255</v>
      </c>
      <c r="O50" s="444">
        <f t="shared" ref="O50:O54" si="63">IF((H50)=0,"",(N50/H50))</f>
        <v>1.9502020126656909E-2</v>
      </c>
      <c r="P50" s="53"/>
      <c r="Q50" s="440"/>
      <c r="R50" s="440"/>
      <c r="S50" s="442">
        <f>SUM(S41:S46,S40)</f>
        <v>362.84813599999995</v>
      </c>
      <c r="T50" s="443"/>
      <c r="U50" s="442">
        <f t="shared" ref="U50:U54" si="64">S50-L50</f>
        <v>3.6899999999999977</v>
      </c>
      <c r="V50" s="444">
        <f t="shared" ref="V50:V54" si="65">IF((L50)=0,"",(U50/L50))</f>
        <v>1.0274025923778594E-2</v>
      </c>
      <c r="W50" s="53"/>
      <c r="X50" s="440"/>
      <c r="Y50" s="440"/>
      <c r="Z50" s="442">
        <f>SUM(Z41:Z46,Z40)</f>
        <v>363.86879999999996</v>
      </c>
      <c r="AA50" s="443"/>
      <c r="AB50" s="442">
        <f t="shared" ref="AB50:AB54" si="66">Z50-S50</f>
        <v>1.0206640000000107</v>
      </c>
      <c r="AC50" s="444">
        <f t="shared" ref="AC50:AC54" si="67">IF((S50)=0,"",(AB50/S50))</f>
        <v>2.8129233658237968E-3</v>
      </c>
      <c r="AD50" s="53"/>
      <c r="AE50" s="440"/>
      <c r="AF50" s="440"/>
      <c r="AG50" s="442">
        <f>SUM(AG41:AG46,AG40)</f>
        <v>365.36879999999996</v>
      </c>
      <c r="AH50" s="443"/>
      <c r="AI50" s="442">
        <f t="shared" ref="AI50:AI54" si="68">AG50-Z50</f>
        <v>1.5</v>
      </c>
      <c r="AJ50" s="444">
        <f t="shared" ref="AJ50:AJ54" si="69">IF((Z50)=0,"",(AI50/Z50))</f>
        <v>4.1223649843020347E-3</v>
      </c>
      <c r="AK50" s="53"/>
      <c r="AL50" s="440"/>
      <c r="AM50" s="440"/>
      <c r="AN50" s="442">
        <f>SUM(AN41:AN46,AN40)</f>
        <v>366.73879999999997</v>
      </c>
      <c r="AO50" s="443"/>
      <c r="AP50" s="442">
        <f t="shared" ref="AP50:AP54" si="70">AN50-AG50</f>
        <v>1.3700000000000045</v>
      </c>
      <c r="AQ50" s="444">
        <f t="shared" ref="AQ50:AQ54" si="71">IF((AG50)=0,"",(AP50/AG50))</f>
        <v>3.7496359842438781E-3</v>
      </c>
      <c r="AR50" s="445"/>
    </row>
    <row r="51" spans="1:44" ht="12" customHeight="1">
      <c r="A51" s="53"/>
      <c r="B51" s="446" t="s">
        <v>345</v>
      </c>
      <c r="C51" s="328"/>
      <c r="D51" s="328"/>
      <c r="E51" s="328"/>
      <c r="F51" s="439">
        <v>0.13</v>
      </c>
      <c r="G51" s="138"/>
      <c r="H51" s="484">
        <f>H50*F51</f>
        <v>45.797415560000005</v>
      </c>
      <c r="I51" s="411"/>
      <c r="J51" s="439">
        <v>0.13</v>
      </c>
      <c r="K51" s="411"/>
      <c r="L51" s="394">
        <f>L50*J51</f>
        <v>46.690557679999998</v>
      </c>
      <c r="M51" s="138"/>
      <c r="N51" s="395">
        <f t="shared" si="62"/>
        <v>0.89314211999999316</v>
      </c>
      <c r="O51" s="396">
        <f t="shared" si="63"/>
        <v>1.9502020126656968E-2</v>
      </c>
      <c r="P51" s="53"/>
      <c r="Q51" s="447">
        <v>0.13</v>
      </c>
      <c r="R51" s="411"/>
      <c r="S51" s="394">
        <f>S50*Q51</f>
        <v>47.170257679999999</v>
      </c>
      <c r="T51" s="138"/>
      <c r="U51" s="395">
        <f t="shared" si="64"/>
        <v>0.47970000000000113</v>
      </c>
      <c r="V51" s="396">
        <f t="shared" si="65"/>
        <v>1.0274025923778624E-2</v>
      </c>
      <c r="W51" s="53"/>
      <c r="X51" s="447">
        <v>0.13</v>
      </c>
      <c r="Y51" s="411"/>
      <c r="Z51" s="394">
        <f>Z50*X51</f>
        <v>47.302943999999997</v>
      </c>
      <c r="AA51" s="138"/>
      <c r="AB51" s="395">
        <f t="shared" si="66"/>
        <v>0.13268631999999769</v>
      </c>
      <c r="AC51" s="396">
        <f t="shared" si="67"/>
        <v>2.8129233658237183E-3</v>
      </c>
      <c r="AD51" s="53"/>
      <c r="AE51" s="447">
        <v>0.13</v>
      </c>
      <c r="AF51" s="411"/>
      <c r="AG51" s="394">
        <f>AG50*AE51</f>
        <v>47.497943999999997</v>
      </c>
      <c r="AH51" s="138"/>
      <c r="AI51" s="395">
        <f t="shared" si="68"/>
        <v>0.19500000000000028</v>
      </c>
      <c r="AJ51" s="396">
        <f t="shared" si="69"/>
        <v>4.1223649843020408E-3</v>
      </c>
      <c r="AK51" s="53"/>
      <c r="AL51" s="447">
        <v>0.13</v>
      </c>
      <c r="AM51" s="411"/>
      <c r="AN51" s="394">
        <f>AN50*AL51</f>
        <v>47.676043999999997</v>
      </c>
      <c r="AO51" s="138"/>
      <c r="AP51" s="395">
        <f t="shared" si="70"/>
        <v>0.17810000000000059</v>
      </c>
      <c r="AQ51" s="396">
        <f t="shared" si="71"/>
        <v>3.7496359842438781E-3</v>
      </c>
      <c r="AR51" s="397"/>
    </row>
    <row r="52" spans="1:44" ht="12" customHeight="1">
      <c r="A52" s="53"/>
      <c r="B52" s="448" t="s">
        <v>389</v>
      </c>
      <c r="C52" s="328"/>
      <c r="D52" s="328"/>
      <c r="E52" s="328"/>
      <c r="F52" s="449"/>
      <c r="G52" s="138"/>
      <c r="H52" s="484">
        <f>H50+H51</f>
        <v>398.08522756000002</v>
      </c>
      <c r="I52" s="411"/>
      <c r="J52" s="449"/>
      <c r="K52" s="411"/>
      <c r="L52" s="394">
        <f>L50+L51</f>
        <v>405.84869367999994</v>
      </c>
      <c r="M52" s="138"/>
      <c r="N52" s="395">
        <f t="shared" si="62"/>
        <v>7.7634661199999186</v>
      </c>
      <c r="O52" s="396">
        <f t="shared" si="63"/>
        <v>1.9502020126656916E-2</v>
      </c>
      <c r="P52" s="53"/>
      <c r="Q52" s="411"/>
      <c r="R52" s="411"/>
      <c r="S52" s="394">
        <f>S50+S51</f>
        <v>410.01839367999997</v>
      </c>
      <c r="T52" s="138"/>
      <c r="U52" s="395">
        <f t="shared" si="64"/>
        <v>4.1697000000000344</v>
      </c>
      <c r="V52" s="396">
        <f t="shared" si="65"/>
        <v>1.0274025923778686E-2</v>
      </c>
      <c r="W52" s="53"/>
      <c r="X52" s="411"/>
      <c r="Y52" s="411"/>
      <c r="Z52" s="394">
        <f>Z50+Z51</f>
        <v>411.17174399999999</v>
      </c>
      <c r="AA52" s="138"/>
      <c r="AB52" s="395">
        <f t="shared" si="66"/>
        <v>1.1533503200000155</v>
      </c>
      <c r="AC52" s="396">
        <f t="shared" si="67"/>
        <v>2.812923365823805E-3</v>
      </c>
      <c r="AD52" s="53"/>
      <c r="AE52" s="411"/>
      <c r="AF52" s="411"/>
      <c r="AG52" s="394">
        <f>AG50+AG51</f>
        <v>412.86674399999998</v>
      </c>
      <c r="AH52" s="138"/>
      <c r="AI52" s="395">
        <f t="shared" si="68"/>
        <v>1.6949999999999932</v>
      </c>
      <c r="AJ52" s="396">
        <f t="shared" si="69"/>
        <v>4.1223649843020174E-3</v>
      </c>
      <c r="AK52" s="53"/>
      <c r="AL52" s="411"/>
      <c r="AM52" s="411"/>
      <c r="AN52" s="394">
        <f>AN50+AN51</f>
        <v>414.41484399999996</v>
      </c>
      <c r="AO52" s="138"/>
      <c r="AP52" s="395">
        <f t="shared" si="70"/>
        <v>1.5480999999999767</v>
      </c>
      <c r="AQ52" s="396">
        <f t="shared" si="71"/>
        <v>3.7496359842438091E-3</v>
      </c>
      <c r="AR52" s="397"/>
    </row>
    <row r="53" spans="1:44" ht="12" customHeight="1">
      <c r="A53" s="53"/>
      <c r="B53" s="626" t="s">
        <v>304</v>
      </c>
      <c r="C53" s="616"/>
      <c r="D53" s="616"/>
      <c r="E53" s="328"/>
      <c r="F53" s="450">
        <f>'Proposed Rates'!E293</f>
        <v>0.23499999999999999</v>
      </c>
      <c r="G53" s="138"/>
      <c r="H53" s="486">
        <f>F53*H50</f>
        <v>82.787635820000006</v>
      </c>
      <c r="I53" s="411"/>
      <c r="J53" s="450">
        <f>'Proposed Rates'!F293</f>
        <v>0.23499999999999999</v>
      </c>
      <c r="K53" s="411"/>
      <c r="L53" s="451">
        <f>J53*L50</f>
        <v>84.402161959999987</v>
      </c>
      <c r="M53" s="138"/>
      <c r="N53" s="451">
        <f t="shared" si="62"/>
        <v>1.6145261399999811</v>
      </c>
      <c r="O53" s="453">
        <f t="shared" si="63"/>
        <v>1.9502020126656892E-2</v>
      </c>
      <c r="P53" s="53"/>
      <c r="Q53" s="452">
        <f>'Proposed Rates'!G293</f>
        <v>0.23499999999999999</v>
      </c>
      <c r="R53" s="411"/>
      <c r="S53" s="451">
        <f>Q53*S50</f>
        <v>85.269311959999982</v>
      </c>
      <c r="T53" s="138"/>
      <c r="U53" s="451">
        <f t="shared" si="64"/>
        <v>0.8671499999999952</v>
      </c>
      <c r="V53" s="453">
        <f t="shared" si="65"/>
        <v>1.0274025923778544E-2</v>
      </c>
      <c r="W53" s="53"/>
      <c r="X53" s="452">
        <f>'Proposed Rates'!H293</f>
        <v>0.23499999999999999</v>
      </c>
      <c r="Y53" s="411"/>
      <c r="Z53" s="451">
        <f>X53*Z50</f>
        <v>85.509167999999988</v>
      </c>
      <c r="AA53" s="138"/>
      <c r="AB53" s="451">
        <f t="shared" si="66"/>
        <v>0.23985604000000649</v>
      </c>
      <c r="AC53" s="453">
        <f t="shared" si="67"/>
        <v>2.8129233658238436E-3</v>
      </c>
      <c r="AD53" s="53"/>
      <c r="AE53" s="452">
        <f>'Proposed Rates'!I293</f>
        <v>0.23499999999999999</v>
      </c>
      <c r="AF53" s="411"/>
      <c r="AG53" s="451">
        <f>AE53*AG50</f>
        <v>85.86166799999998</v>
      </c>
      <c r="AH53" s="138"/>
      <c r="AI53" s="451">
        <f t="shared" si="68"/>
        <v>0.35249999999999204</v>
      </c>
      <c r="AJ53" s="453">
        <f t="shared" si="69"/>
        <v>4.1223649843019419E-3</v>
      </c>
      <c r="AK53" s="53"/>
      <c r="AL53" s="452">
        <f>'Proposed Rates'!J293</f>
        <v>0.23499999999999999</v>
      </c>
      <c r="AM53" s="411"/>
      <c r="AN53" s="451">
        <f>AL53*AN50</f>
        <v>86.183617999999981</v>
      </c>
      <c r="AO53" s="138"/>
      <c r="AP53" s="451">
        <f t="shared" si="70"/>
        <v>0.32195000000000107</v>
      </c>
      <c r="AQ53" s="453">
        <f t="shared" si="71"/>
        <v>3.7496359842438785E-3</v>
      </c>
      <c r="AR53" s="454"/>
    </row>
    <row r="54" spans="1:44" ht="12" customHeight="1">
      <c r="A54" s="53"/>
      <c r="B54" s="627" t="s">
        <v>347</v>
      </c>
      <c r="C54" s="608"/>
      <c r="D54" s="600"/>
      <c r="E54" s="455"/>
      <c r="F54" s="456"/>
      <c r="G54" s="487"/>
      <c r="H54" s="488">
        <f>H52-H53</f>
        <v>315.29759174000003</v>
      </c>
      <c r="I54" s="457"/>
      <c r="J54" s="456"/>
      <c r="K54" s="457"/>
      <c r="L54" s="458">
        <f>L52-L53</f>
        <v>321.44653171999994</v>
      </c>
      <c r="M54" s="459"/>
      <c r="N54" s="460">
        <f t="shared" si="62"/>
        <v>6.1489399799999092</v>
      </c>
      <c r="O54" s="461">
        <f t="shared" si="63"/>
        <v>1.9502020126656829E-2</v>
      </c>
      <c r="P54" s="53"/>
      <c r="Q54" s="457"/>
      <c r="R54" s="457"/>
      <c r="S54" s="458">
        <f>S52-S53</f>
        <v>324.74908171999999</v>
      </c>
      <c r="T54" s="459"/>
      <c r="U54" s="460">
        <f t="shared" si="64"/>
        <v>3.3025500000000534</v>
      </c>
      <c r="V54" s="461">
        <f t="shared" si="65"/>
        <v>1.0274025923778768E-2</v>
      </c>
      <c r="W54" s="53"/>
      <c r="X54" s="457"/>
      <c r="Y54" s="457"/>
      <c r="Z54" s="458">
        <f>Z52-Z53</f>
        <v>325.662576</v>
      </c>
      <c r="AA54" s="459"/>
      <c r="AB54" s="460">
        <f t="shared" si="66"/>
        <v>0.91349428000000898</v>
      </c>
      <c r="AC54" s="461">
        <f t="shared" si="67"/>
        <v>2.812923365823795E-3</v>
      </c>
      <c r="AD54" s="53"/>
      <c r="AE54" s="457"/>
      <c r="AF54" s="457"/>
      <c r="AG54" s="458">
        <f>AG52-AG53</f>
        <v>327.00507600000003</v>
      </c>
      <c r="AH54" s="459"/>
      <c r="AI54" s="460">
        <f t="shared" si="68"/>
        <v>1.3425000000000296</v>
      </c>
      <c r="AJ54" s="461">
        <f t="shared" si="69"/>
        <v>4.1223649843021249E-3</v>
      </c>
      <c r="AK54" s="53"/>
      <c r="AL54" s="457"/>
      <c r="AM54" s="457"/>
      <c r="AN54" s="458">
        <f>AN52-AN53</f>
        <v>328.23122599999999</v>
      </c>
      <c r="AO54" s="459"/>
      <c r="AP54" s="460">
        <f t="shared" si="70"/>
        <v>1.2261499999999614</v>
      </c>
      <c r="AQ54" s="461">
        <f t="shared" si="71"/>
        <v>3.7496359842437471E-3</v>
      </c>
      <c r="AR54" s="462"/>
    </row>
    <row r="55" spans="1:44" ht="12"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 customHeight="1">
      <c r="A56" s="53"/>
      <c r="B56" s="438" t="s">
        <v>348</v>
      </c>
      <c r="C56" s="328"/>
      <c r="D56" s="328"/>
      <c r="E56" s="328"/>
      <c r="F56" s="439"/>
      <c r="G56" s="483"/>
      <c r="H56" s="441">
        <f>SUM(H47:H48,H40,H41:H43)</f>
        <v>368.04781199999996</v>
      </c>
      <c r="I56" s="476"/>
      <c r="J56" s="439"/>
      <c r="K56" s="440"/>
      <c r="L56" s="441">
        <f>SUM(L47:L48,L40,L41:L43)</f>
        <v>374.91813599999995</v>
      </c>
      <c r="M56" s="443"/>
      <c r="N56" s="442">
        <f t="shared" ref="N56:N60" si="72">L56-H56</f>
        <v>6.8703239999999823</v>
      </c>
      <c r="O56" s="444">
        <f t="shared" ref="O56:O60" si="73">IF((H56)=0,"",(N56/H56))</f>
        <v>1.8666933414618378E-2</v>
      </c>
      <c r="P56" s="53"/>
      <c r="Q56" s="440"/>
      <c r="R56" s="440"/>
      <c r="S56" s="442">
        <f>SUM(S47:S48,S40,S41:S43)</f>
        <v>378.60813599999994</v>
      </c>
      <c r="T56" s="443"/>
      <c r="U56" s="442">
        <f t="shared" ref="U56:U60" si="74">S56-L56</f>
        <v>3.6899999999999977</v>
      </c>
      <c r="V56" s="444">
        <f t="shared" ref="V56:V60" si="75">IF((L56)=0,"",(U56/L56))</f>
        <v>9.8421485804036923E-3</v>
      </c>
      <c r="W56" s="53"/>
      <c r="X56" s="440"/>
      <c r="Y56" s="440"/>
      <c r="Z56" s="442">
        <f>SUM(Z47:Z48,Z40,Z41:Z43)</f>
        <v>379.6287999999999</v>
      </c>
      <c r="AA56" s="443"/>
      <c r="AB56" s="442">
        <f t="shared" ref="AB56:AB60" si="76">Z56-S56</f>
        <v>1.0206639999999538</v>
      </c>
      <c r="AC56" s="444">
        <f t="shared" ref="AC56:AC60" si="77">IF((S56)=0,"",(AB56/S56))</f>
        <v>2.695832188878144E-3</v>
      </c>
      <c r="AD56" s="53"/>
      <c r="AE56" s="440"/>
      <c r="AF56" s="440"/>
      <c r="AG56" s="442">
        <f>SUM(AG47:AG48,AG40,AG41:AG43)</f>
        <v>381.1287999999999</v>
      </c>
      <c r="AH56" s="443"/>
      <c r="AI56" s="442">
        <f t="shared" ref="AI56:AI60" si="78">AG56-Z56</f>
        <v>1.5</v>
      </c>
      <c r="AJ56" s="444">
        <f t="shared" ref="AJ56:AJ60" si="79">IF((Z56)=0,"",(AI56/Z56))</f>
        <v>3.9512281470741959E-3</v>
      </c>
      <c r="AK56" s="53"/>
      <c r="AL56" s="440"/>
      <c r="AM56" s="440"/>
      <c r="AN56" s="442">
        <f>SUM(AN47:AN48,AN40,AN41:AN43)</f>
        <v>382.4987999999999</v>
      </c>
      <c r="AO56" s="443"/>
      <c r="AP56" s="442">
        <f t="shared" ref="AP56:AP60" si="80">AN56-AG56</f>
        <v>1.3700000000000045</v>
      </c>
      <c r="AQ56" s="444">
        <f t="shared" ref="AQ56:AQ60" si="81">IF((AG56)=0,"",(AP56/AG56))</f>
        <v>3.5945853475255738E-3</v>
      </c>
      <c r="AR56" s="445"/>
    </row>
    <row r="57" spans="1:44" ht="12" customHeight="1">
      <c r="A57" s="53"/>
      <c r="B57" s="446" t="s">
        <v>345</v>
      </c>
      <c r="C57" s="328"/>
      <c r="D57" s="328"/>
      <c r="E57" s="328"/>
      <c r="F57" s="439">
        <v>0.13</v>
      </c>
      <c r="G57" s="483"/>
      <c r="H57" s="484">
        <f>H56*F57</f>
        <v>47.846215559999997</v>
      </c>
      <c r="I57" s="411"/>
      <c r="J57" s="439">
        <v>0.13</v>
      </c>
      <c r="K57" s="447"/>
      <c r="L57" s="394">
        <f>L56*J57</f>
        <v>48.739357679999998</v>
      </c>
      <c r="M57" s="138"/>
      <c r="N57" s="395">
        <f t="shared" si="72"/>
        <v>0.89314212000000026</v>
      </c>
      <c r="O57" s="396">
        <f t="shared" si="73"/>
        <v>1.866693341461843E-2</v>
      </c>
      <c r="P57" s="53"/>
      <c r="Q57" s="439">
        <v>0.13</v>
      </c>
      <c r="R57" s="447"/>
      <c r="S57" s="394">
        <f>S56*Q57</f>
        <v>49.219057679999992</v>
      </c>
      <c r="T57" s="138"/>
      <c r="U57" s="395">
        <f t="shared" si="74"/>
        <v>0.47969999999999402</v>
      </c>
      <c r="V57" s="396">
        <f t="shared" si="75"/>
        <v>9.8421485804035744E-3</v>
      </c>
      <c r="W57" s="53"/>
      <c r="X57" s="439">
        <v>0.13</v>
      </c>
      <c r="Y57" s="447"/>
      <c r="Z57" s="394">
        <f>Z56*X57</f>
        <v>49.351743999999989</v>
      </c>
      <c r="AA57" s="138"/>
      <c r="AB57" s="395">
        <f t="shared" si="76"/>
        <v>0.13268631999999769</v>
      </c>
      <c r="AC57" s="396">
        <f t="shared" si="77"/>
        <v>2.6958321888782191E-3</v>
      </c>
      <c r="AD57" s="53"/>
      <c r="AE57" s="439">
        <v>0.13</v>
      </c>
      <c r="AF57" s="447"/>
      <c r="AG57" s="394">
        <f>AG56*AE57</f>
        <v>49.54674399999999</v>
      </c>
      <c r="AH57" s="138"/>
      <c r="AI57" s="395">
        <f t="shared" si="78"/>
        <v>0.19500000000000028</v>
      </c>
      <c r="AJ57" s="396">
        <f t="shared" si="79"/>
        <v>3.9512281470742011E-3</v>
      </c>
      <c r="AK57" s="53"/>
      <c r="AL57" s="439">
        <v>0.13</v>
      </c>
      <c r="AM57" s="447"/>
      <c r="AN57" s="394">
        <f>AN56*AL57</f>
        <v>49.72484399999999</v>
      </c>
      <c r="AO57" s="138"/>
      <c r="AP57" s="395">
        <f t="shared" si="80"/>
        <v>0.17810000000000059</v>
      </c>
      <c r="AQ57" s="396">
        <f t="shared" si="81"/>
        <v>3.5945853475255734E-3</v>
      </c>
      <c r="AR57" s="397"/>
    </row>
    <row r="58" spans="1:44" ht="12" customHeight="1">
      <c r="A58" s="53"/>
      <c r="B58" s="448" t="s">
        <v>390</v>
      </c>
      <c r="C58" s="328"/>
      <c r="D58" s="328"/>
      <c r="E58" s="328"/>
      <c r="F58" s="449"/>
      <c r="G58" s="138"/>
      <c r="H58" s="484">
        <f>H56+H57</f>
        <v>415.89402755999998</v>
      </c>
      <c r="I58" s="411"/>
      <c r="J58" s="449"/>
      <c r="K58" s="411"/>
      <c r="L58" s="394">
        <f>L56+L57</f>
        <v>423.65749367999996</v>
      </c>
      <c r="M58" s="138"/>
      <c r="N58" s="395">
        <f t="shared" si="72"/>
        <v>7.7634661199999755</v>
      </c>
      <c r="O58" s="396">
        <f t="shared" si="73"/>
        <v>1.8666933414618368E-2</v>
      </c>
      <c r="P58" s="53"/>
      <c r="Q58" s="411"/>
      <c r="R58" s="411"/>
      <c r="S58" s="394">
        <f>S56+S57</f>
        <v>427.82719367999994</v>
      </c>
      <c r="T58" s="138"/>
      <c r="U58" s="395">
        <f t="shared" si="74"/>
        <v>4.1696999999999775</v>
      </c>
      <c r="V58" s="396">
        <f t="shared" si="75"/>
        <v>9.8421485804036438E-3</v>
      </c>
      <c r="W58" s="53"/>
      <c r="X58" s="411"/>
      <c r="Y58" s="411"/>
      <c r="Z58" s="394">
        <f>Z56+Z57</f>
        <v>428.9805439999999</v>
      </c>
      <c r="AA58" s="138"/>
      <c r="AB58" s="395">
        <f t="shared" si="76"/>
        <v>1.1533503199999586</v>
      </c>
      <c r="AC58" s="396">
        <f t="shared" si="77"/>
        <v>2.6958321888781692E-3</v>
      </c>
      <c r="AD58" s="53"/>
      <c r="AE58" s="411"/>
      <c r="AF58" s="411"/>
      <c r="AG58" s="394">
        <f>AG56+AG57</f>
        <v>430.67554399999989</v>
      </c>
      <c r="AH58" s="138"/>
      <c r="AI58" s="395">
        <f t="shared" si="78"/>
        <v>1.6949999999999932</v>
      </c>
      <c r="AJ58" s="396">
        <f t="shared" si="79"/>
        <v>3.9512281470741794E-3</v>
      </c>
      <c r="AK58" s="53"/>
      <c r="AL58" s="411"/>
      <c r="AM58" s="411"/>
      <c r="AN58" s="394">
        <f>AN56+AN57</f>
        <v>432.22364399999992</v>
      </c>
      <c r="AO58" s="138"/>
      <c r="AP58" s="395">
        <f t="shared" si="80"/>
        <v>1.5481000000000336</v>
      </c>
      <c r="AQ58" s="396">
        <f t="shared" si="81"/>
        <v>3.5945853475256397E-3</v>
      </c>
      <c r="AR58" s="397"/>
    </row>
    <row r="59" spans="1:44" ht="12" customHeight="1">
      <c r="A59" s="53"/>
      <c r="B59" s="626" t="s">
        <v>304</v>
      </c>
      <c r="C59" s="616"/>
      <c r="D59" s="616"/>
      <c r="E59" s="328"/>
      <c r="F59" s="450">
        <f>F53</f>
        <v>0.23499999999999999</v>
      </c>
      <c r="G59" s="138"/>
      <c r="H59" s="486">
        <f>F59*H56</f>
        <v>86.491235819999986</v>
      </c>
      <c r="I59" s="411"/>
      <c r="J59" s="450">
        <f>J53</f>
        <v>0.23499999999999999</v>
      </c>
      <c r="K59" s="411"/>
      <c r="L59" s="451">
        <f>J59*L56</f>
        <v>88.105761959999981</v>
      </c>
      <c r="M59" s="138"/>
      <c r="N59" s="451">
        <f t="shared" si="72"/>
        <v>1.6145261399999953</v>
      </c>
      <c r="O59" s="453">
        <f t="shared" si="73"/>
        <v>1.8666933414618374E-2</v>
      </c>
      <c r="P59" s="53"/>
      <c r="Q59" s="452">
        <f>Q53</f>
        <v>0.23499999999999999</v>
      </c>
      <c r="R59" s="411"/>
      <c r="S59" s="451">
        <f>Q59*S56</f>
        <v>88.972911959999976</v>
      </c>
      <c r="T59" s="138"/>
      <c r="U59" s="451">
        <f t="shared" si="74"/>
        <v>0.8671499999999952</v>
      </c>
      <c r="V59" s="453">
        <f t="shared" si="75"/>
        <v>9.8421485804036438E-3</v>
      </c>
      <c r="W59" s="53"/>
      <c r="X59" s="452">
        <f>X53</f>
        <v>0.23499999999999999</v>
      </c>
      <c r="Y59" s="411"/>
      <c r="Z59" s="451">
        <f>X59*Z56</f>
        <v>89.212767999999969</v>
      </c>
      <c r="AA59" s="138"/>
      <c r="AB59" s="451">
        <f t="shared" si="76"/>
        <v>0.23985603999999228</v>
      </c>
      <c r="AC59" s="453">
        <f t="shared" si="77"/>
        <v>2.6958321888781792E-3</v>
      </c>
      <c r="AD59" s="53"/>
      <c r="AE59" s="452">
        <f>AE53</f>
        <v>0.23499999999999999</v>
      </c>
      <c r="AF59" s="411"/>
      <c r="AG59" s="451">
        <f>AE59*AG56</f>
        <v>89.565267999999975</v>
      </c>
      <c r="AH59" s="138"/>
      <c r="AI59" s="451">
        <f t="shared" si="78"/>
        <v>0.35250000000000625</v>
      </c>
      <c r="AJ59" s="453">
        <f t="shared" si="79"/>
        <v>3.9512281470742662E-3</v>
      </c>
      <c r="AK59" s="53"/>
      <c r="AL59" s="452">
        <f>AL53</f>
        <v>0.23499999999999999</v>
      </c>
      <c r="AM59" s="411"/>
      <c r="AN59" s="451">
        <f>AL59*AN56</f>
        <v>89.887217999999976</v>
      </c>
      <c r="AO59" s="138"/>
      <c r="AP59" s="451">
        <f t="shared" si="80"/>
        <v>0.32195000000000107</v>
      </c>
      <c r="AQ59" s="453">
        <f t="shared" si="81"/>
        <v>3.5945853475255738E-3</v>
      </c>
      <c r="AR59" s="454"/>
    </row>
    <row r="60" spans="1:44" ht="12" customHeight="1">
      <c r="A60" s="53"/>
      <c r="B60" s="627" t="s">
        <v>350</v>
      </c>
      <c r="C60" s="608"/>
      <c r="D60" s="600"/>
      <c r="E60" s="455"/>
      <c r="F60" s="463"/>
      <c r="G60" s="489"/>
      <c r="H60" s="490">
        <f>H58-H59</f>
        <v>329.40279174</v>
      </c>
      <c r="I60" s="464"/>
      <c r="J60" s="463"/>
      <c r="K60" s="464"/>
      <c r="L60" s="465">
        <f>L58-L59</f>
        <v>335.55173171999996</v>
      </c>
      <c r="M60" s="466"/>
      <c r="N60" s="467">
        <f t="shared" si="72"/>
        <v>6.148939979999966</v>
      </c>
      <c r="O60" s="468">
        <f t="shared" si="73"/>
        <v>1.8666933414618322E-2</v>
      </c>
      <c r="P60" s="53"/>
      <c r="Q60" s="464"/>
      <c r="R60" s="464"/>
      <c r="S60" s="465">
        <f>S58-S59</f>
        <v>338.85428171999996</v>
      </c>
      <c r="T60" s="466"/>
      <c r="U60" s="467">
        <f t="shared" si="74"/>
        <v>3.3025499999999965</v>
      </c>
      <c r="V60" s="468">
        <f t="shared" si="75"/>
        <v>9.8421485804036871E-3</v>
      </c>
      <c r="W60" s="53"/>
      <c r="X60" s="464"/>
      <c r="Y60" s="464"/>
      <c r="Z60" s="465">
        <f>Z58-Z59</f>
        <v>339.76777599999991</v>
      </c>
      <c r="AA60" s="466"/>
      <c r="AB60" s="467">
        <f t="shared" si="76"/>
        <v>0.91349427999995214</v>
      </c>
      <c r="AC60" s="468">
        <f t="shared" si="77"/>
        <v>2.6958321888781245E-3</v>
      </c>
      <c r="AD60" s="53"/>
      <c r="AE60" s="464"/>
      <c r="AF60" s="464"/>
      <c r="AG60" s="465">
        <f>AG58-AG59</f>
        <v>341.11027599999989</v>
      </c>
      <c r="AH60" s="466"/>
      <c r="AI60" s="467">
        <f t="shared" si="78"/>
        <v>1.3424999999999727</v>
      </c>
      <c r="AJ60" s="468">
        <f t="shared" si="79"/>
        <v>3.9512281470741152E-3</v>
      </c>
      <c r="AK60" s="53"/>
      <c r="AL60" s="464"/>
      <c r="AM60" s="464"/>
      <c r="AN60" s="465">
        <f>AN58-AN59</f>
        <v>342.33642599999996</v>
      </c>
      <c r="AO60" s="466"/>
      <c r="AP60" s="467">
        <f t="shared" si="80"/>
        <v>1.2261500000000751</v>
      </c>
      <c r="AQ60" s="468">
        <f t="shared" si="81"/>
        <v>3.5945853475257824E-3</v>
      </c>
      <c r="AR60" s="462"/>
    </row>
    <row r="61" spans="1:44" ht="12"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473" t="s">
        <v>391</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474"/>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row>
    <row r="193" spans="1:44"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row>
    <row r="194" spans="1:44"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53"/>
    </row>
    <row r="195" spans="1:44"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row>
    <row r="196" spans="1:44"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row>
    <row r="197" spans="1:44"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53"/>
    </row>
    <row r="198" spans="1:44"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53"/>
    </row>
    <row r="199" spans="1:44"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53"/>
    </row>
    <row r="200" spans="1:44"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53"/>
    </row>
    <row r="201" spans="1:44"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53"/>
    </row>
    <row r="202" spans="1:44"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row>
    <row r="203" spans="1:44"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53"/>
    </row>
    <row r="204" spans="1:44"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53"/>
    </row>
    <row r="205" spans="1:44"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53"/>
    </row>
    <row r="206" spans="1:44"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53"/>
    </row>
    <row r="207" spans="1:44"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53"/>
    </row>
    <row r="208" spans="1:44"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53"/>
    </row>
    <row r="209" spans="1:44"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53"/>
    </row>
    <row r="210" spans="1:44"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53"/>
    </row>
    <row r="211" spans="1:44"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53"/>
    </row>
    <row r="212" spans="1:44"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53"/>
    </row>
    <row r="213" spans="1:44"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53"/>
    </row>
    <row r="214" spans="1:44"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53"/>
    </row>
    <row r="215" spans="1:44"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53"/>
    </row>
    <row r="216" spans="1:44"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53"/>
    </row>
    <row r="217" spans="1:44"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53"/>
    </row>
    <row r="218" spans="1:44"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row>
    <row r="219" spans="1:44"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53"/>
    </row>
    <row r="220" spans="1:44"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row>
    <row r="221" spans="1:44"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53"/>
    </row>
    <row r="222" spans="1:44"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53"/>
    </row>
    <row r="223" spans="1:44"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53"/>
    </row>
    <row r="224" spans="1:44"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53"/>
    </row>
    <row r="225" spans="1:44"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53"/>
    </row>
    <row r="226" spans="1:44"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row>
    <row r="227" spans="1:44"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53"/>
    </row>
    <row r="228" spans="1:44"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53"/>
    </row>
    <row r="229" spans="1:44"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53"/>
    </row>
    <row r="230" spans="1:44"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53"/>
    </row>
    <row r="231" spans="1:44"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53"/>
    </row>
    <row r="232" spans="1:44"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53"/>
    </row>
    <row r="233" spans="1:44"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53"/>
    </row>
    <row r="234" spans="1:44"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row>
    <row r="235" spans="1:44"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53"/>
    </row>
    <row r="236" spans="1:44"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53"/>
    </row>
    <row r="237" spans="1:44"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row>
    <row r="238" spans="1:44"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53"/>
    </row>
    <row r="239" spans="1:44"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53"/>
    </row>
    <row r="240" spans="1:44"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53"/>
    </row>
    <row r="241" spans="1:44"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53"/>
    </row>
    <row r="242" spans="1:44"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53"/>
    </row>
    <row r="243" spans="1:44"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row>
    <row r="244" spans="1:44"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row>
    <row r="245" spans="1:44"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row>
    <row r="246" spans="1:44"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53"/>
    </row>
    <row r="247" spans="1:44"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row>
    <row r="248" spans="1:44"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53"/>
    </row>
    <row r="249" spans="1:44"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53"/>
    </row>
    <row r="250" spans="1:44"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53"/>
    </row>
    <row r="251" spans="1:44"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53"/>
    </row>
    <row r="252" spans="1:44"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53"/>
    </row>
    <row r="253" spans="1:44"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53"/>
    </row>
    <row r="254" spans="1:44"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53"/>
    </row>
    <row r="255" spans="1:44"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53"/>
    </row>
    <row r="256" spans="1:44"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53"/>
    </row>
    <row r="257" spans="1:44"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53"/>
    </row>
    <row r="258" spans="1:44"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53"/>
    </row>
    <row r="259" spans="1:44"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53"/>
    </row>
    <row r="260" spans="1:44"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53"/>
    </row>
    <row r="261" spans="1:44"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53"/>
    </row>
    <row r="262" spans="1:44"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53"/>
    </row>
    <row r="263" spans="1:44"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row>
    <row r="264" spans="1:44"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53"/>
    </row>
    <row r="265" spans="1:44"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53"/>
    </row>
    <row r="266" spans="1:44"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row>
    <row r="267" spans="1:44"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53"/>
    </row>
    <row r="268" spans="1:44"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53"/>
    </row>
    <row r="269" spans="1:44"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row>
    <row r="270" spans="1:44"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53"/>
    </row>
    <row r="271" spans="1:44"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53"/>
    </row>
    <row r="272" spans="1:44"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53"/>
    </row>
    <row r="273" spans="1:44"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53"/>
    </row>
    <row r="274" spans="1:44"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53"/>
    </row>
    <row r="275" spans="1:44"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53"/>
    </row>
    <row r="276" spans="1:44"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53"/>
    </row>
    <row r="277" spans="1:44"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53"/>
    </row>
    <row r="278" spans="1:44"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53"/>
    </row>
    <row r="279" spans="1:44"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53"/>
    </row>
    <row r="280" spans="1:44"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53"/>
    </row>
    <row r="281" spans="1:44"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53"/>
    </row>
    <row r="282" spans="1:44" ht="15.75" customHeight="1"/>
    <row r="283" spans="1:44" ht="15.75" customHeight="1"/>
    <row r="284" spans="1:44" ht="15.75" customHeight="1"/>
    <row r="285" spans="1:44" ht="15.75" customHeight="1"/>
    <row r="286" spans="1:44" ht="15.75" customHeight="1"/>
    <row r="287" spans="1:44" ht="15.75" customHeight="1"/>
    <row r="288" spans="1:4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100-000000000000}">
      <formula1>"TOU,non-TOU"</formula1>
    </dataValidation>
    <dataValidation type="list" allowBlank="1" showErrorMessage="1" sqref="E15:E28 E30:E36 E38:E39 E41:E49 E55 E61" xr:uid="{00000000-0002-0000-1100-000001000000}">
      <formula1>#REF!</formula1>
    </dataValidation>
    <dataValidation type="list" allowBlank="1" showInputMessage="1" showErrorMessage="1" prompt="Select Charge Unit - monthly, per kWh, per kW" sqref="D15:D28 D30:D36 D38:D39 D41:D49 D55 D61" xr:uid="{00000000-0002-0000-1100-000002000000}">
      <formula1>"Monthly,per kWh,per kW"</formula1>
    </dataValidation>
  </dataValidations>
  <pageMargins left="0.74803149606299213" right="0.74803149606299213" top="0.98425196850393704" bottom="0.98425196850393704"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38" customWidth="1"/>
    <col min="3" max="3" width="3.42578125" customWidth="1"/>
    <col min="4" max="4" width="11.42578125" customWidth="1"/>
    <col min="5" max="5" width="1.42578125" customWidth="1"/>
    <col min="6" max="6" width="10.7109375" customWidth="1"/>
    <col min="7" max="7" width="8" customWidth="1"/>
    <col min="8" max="8" width="9.5703125" customWidth="1"/>
    <col min="9" max="9" width="0.42578125" customWidth="1"/>
    <col min="10" max="10" width="10.42578125" customWidth="1"/>
    <col min="11" max="11" width="8" customWidth="1"/>
    <col min="12" max="12" width="9.710937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3"/>
      <c r="B1" s="53"/>
      <c r="C1" s="53"/>
      <c r="D1" s="53"/>
      <c r="E1" s="53"/>
      <c r="F1" s="53"/>
      <c r="G1" s="53"/>
      <c r="H1" s="53"/>
      <c r="I1" s="53"/>
      <c r="J1" s="53"/>
      <c r="K1" s="53"/>
      <c r="Q1" s="53"/>
      <c r="R1" s="53"/>
      <c r="S1" s="628" t="s">
        <v>319</v>
      </c>
      <c r="T1" s="629"/>
      <c r="U1" s="629"/>
      <c r="V1" s="629"/>
      <c r="W1" s="629"/>
      <c r="X1" s="629"/>
      <c r="Y1" s="630"/>
      <c r="Z1" s="53"/>
      <c r="AA1" s="53"/>
      <c r="AB1" s="53"/>
      <c r="AC1" s="53"/>
      <c r="AD1" s="53"/>
      <c r="AE1" s="53"/>
      <c r="AF1" s="53"/>
      <c r="AG1" s="53"/>
      <c r="AH1" s="53"/>
      <c r="AI1" s="53"/>
      <c r="AJ1" s="53"/>
      <c r="AK1" s="53"/>
      <c r="AL1" s="53"/>
      <c r="AM1" s="53"/>
      <c r="AN1" s="53"/>
      <c r="AO1" s="53"/>
      <c r="AP1" s="53"/>
      <c r="AQ1" s="53"/>
      <c r="AR1" s="53"/>
    </row>
    <row r="2" spans="1:45" ht="12"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5"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 customHeight="1">
      <c r="A6" s="53"/>
      <c r="B6" s="327" t="s">
        <v>323</v>
      </c>
      <c r="C6" s="53"/>
      <c r="D6" s="499" t="s">
        <v>248</v>
      </c>
      <c r="E6" s="500"/>
      <c r="F6" s="500"/>
      <c r="G6" s="500"/>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5" ht="12"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 customHeight="1">
      <c r="A10" s="53"/>
      <c r="B10" s="53"/>
      <c r="C10" s="53"/>
      <c r="D10" s="314" t="s">
        <v>326</v>
      </c>
      <c r="E10" s="314"/>
      <c r="F10" s="380">
        <v>1000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5" ht="12"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5" ht="12"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5" ht="12"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5" ht="12" customHeight="1">
      <c r="A15" s="53"/>
      <c r="B15" s="328" t="s">
        <v>246</v>
      </c>
      <c r="C15" s="389" t="str">
        <f t="shared" ref="C15:C28" si="0">D$6&amp;"."&amp;B15</f>
        <v>General Service &lt; 50 kW.Monthly Service Charge</v>
      </c>
      <c r="D15" s="390" t="s">
        <v>335</v>
      </c>
      <c r="E15" s="328"/>
      <c r="F15" s="391">
        <f>IFERROR(VLOOKUP($C15,'Proposed Rates'!$B:$J,F$11,FALSE),0)</f>
        <v>23.53</v>
      </c>
      <c r="G15" s="392">
        <f t="shared" ref="G15:G28" si="1">IF($D15="Monthly",1,IF($D15="per KWH",$F$10,0))</f>
        <v>1</v>
      </c>
      <c r="H15" s="394">
        <f t="shared" ref="H15:H28" si="2">G15*F15</f>
        <v>23.53</v>
      </c>
      <c r="I15" s="138"/>
      <c r="J15" s="391">
        <f>IFERROR(VLOOKUP($C15,'Proposed Rates'!$B:$J,J$11,FALSE),0)</f>
        <v>26.16</v>
      </c>
      <c r="K15" s="392">
        <f t="shared" ref="K15:K28" si="3">IF($D15="Monthly",1,IF($D15="per KWH",$F$10,0))</f>
        <v>1</v>
      </c>
      <c r="L15" s="394">
        <f t="shared" ref="L15:L28" si="4">K15*J15</f>
        <v>26.16</v>
      </c>
      <c r="M15" s="138"/>
      <c r="N15" s="395">
        <f t="shared" ref="N15:N48" si="5">L15-H15</f>
        <v>2.629999999999999</v>
      </c>
      <c r="O15" s="396">
        <f t="shared" ref="O15:O48" si="6">IF((H15)=0,"",(N15/H15))</f>
        <v>0.11177220569485759</v>
      </c>
      <c r="P15" s="53"/>
      <c r="Q15" s="391">
        <f>IFERROR(VLOOKUP($C15,'Proposed Rates'!$B:$J,Q$11,FALSE),0)</f>
        <v>27.42</v>
      </c>
      <c r="R15" s="392">
        <f t="shared" ref="R15:R28" si="7">IF($D15="Monthly",1,IF($D15="per KWH",$F$10,0))</f>
        <v>1</v>
      </c>
      <c r="S15" s="394">
        <f t="shared" ref="S15:S28" si="8">R15*Q15</f>
        <v>27.42</v>
      </c>
      <c r="T15" s="138"/>
      <c r="U15" s="395">
        <f t="shared" ref="U15:U48" si="9">S15-L15</f>
        <v>1.2600000000000016</v>
      </c>
      <c r="V15" s="396">
        <f t="shared" ref="V15:V48" si="10">IF((L15)=0,"",(U15/L15))</f>
        <v>4.8165137614678957E-2</v>
      </c>
      <c r="W15" s="53"/>
      <c r="X15" s="391">
        <f>IFERROR(VLOOKUP($C15,'Proposed Rates'!$B:$J,X$11,FALSE),0)</f>
        <v>29.3</v>
      </c>
      <c r="Y15" s="392">
        <f t="shared" ref="Y15:Y28" si="11">IF($D15="Monthly",1,IF($D15="per KWH",$F$10,0))</f>
        <v>1</v>
      </c>
      <c r="Z15" s="394">
        <f t="shared" ref="Z15:Z28" si="12">Y15*X15</f>
        <v>29.3</v>
      </c>
      <c r="AA15" s="138"/>
      <c r="AB15" s="395">
        <f t="shared" ref="AB15:AB48" si="13">Z15-S15</f>
        <v>1.879999999999999</v>
      </c>
      <c r="AC15" s="396">
        <f t="shared" ref="AC15:AC48" si="14">IF((S15)=0,"",(AB15/S15))</f>
        <v>6.856309263311447E-2</v>
      </c>
      <c r="AD15" s="53"/>
      <c r="AE15" s="391">
        <f>IFERROR(VLOOKUP($C15,'Proposed Rates'!$B:$J,AE$11,FALSE),0)</f>
        <v>29.77</v>
      </c>
      <c r="AF15" s="392">
        <f t="shared" ref="AF15:AF28" si="15">IF($D15="Monthly",1,IF($D15="per KWH",$F$10,0))</f>
        <v>1</v>
      </c>
      <c r="AG15" s="394">
        <f t="shared" ref="AG15:AG28" si="16">AF15*AE15</f>
        <v>29.77</v>
      </c>
      <c r="AH15" s="138"/>
      <c r="AI15" s="395">
        <f t="shared" ref="AI15:AI48" si="17">AG15-Z15</f>
        <v>0.46999999999999886</v>
      </c>
      <c r="AJ15" s="396">
        <f t="shared" ref="AJ15:AJ48" si="18">IF((Z15)=0,"",(AI15/Z15))</f>
        <v>1.6040955631399279E-2</v>
      </c>
      <c r="AK15" s="53"/>
      <c r="AL15" s="391">
        <f>IFERROR(VLOOKUP($C15,'Proposed Rates'!$B:$J,AL$11,FALSE),0)</f>
        <v>30.21</v>
      </c>
      <c r="AM15" s="392">
        <f t="shared" ref="AM15:AM28" si="19">IF($D15="Monthly",1,IF($D15="per KWH",$F$10,0))</f>
        <v>1</v>
      </c>
      <c r="AN15" s="394">
        <f t="shared" ref="AN15:AN28" si="20">AM15*AL15</f>
        <v>30.21</v>
      </c>
      <c r="AO15" s="138"/>
      <c r="AP15" s="395">
        <f t="shared" ref="AP15:AP48" si="21">AN15-AG15</f>
        <v>0.44000000000000128</v>
      </c>
      <c r="AQ15" s="396">
        <f t="shared" ref="AQ15:AQ48" si="22">IF((AG15)=0,"",(AP15/AG15))</f>
        <v>1.4779979845482072E-2</v>
      </c>
      <c r="AR15" s="397"/>
    </row>
    <row r="16" spans="1:45" ht="12" customHeight="1">
      <c r="A16" s="53"/>
      <c r="B16" s="328" t="s">
        <v>336</v>
      </c>
      <c r="C16" s="389" t="str">
        <f t="shared" si="0"/>
        <v>General Service &lt; 50 kW.Smart Meter Rate Adder</v>
      </c>
      <c r="D16" s="390" t="s">
        <v>335</v>
      </c>
      <c r="E16" s="328"/>
      <c r="F16" s="408">
        <f>IFERROR(VLOOKUP($C16,'Proposed Rates'!$B:$J,F$11,FALSE),0)</f>
        <v>0</v>
      </c>
      <c r="G16" s="392">
        <f t="shared" si="1"/>
        <v>1</v>
      </c>
      <c r="H16" s="394">
        <f t="shared" si="2"/>
        <v>0</v>
      </c>
      <c r="I16" s="138"/>
      <c r="J16" s="408">
        <f>IFERROR(VLOOKUP($C16,'Proposed Rates'!$B:$J,J$11,FALSE),0)</f>
        <v>0</v>
      </c>
      <c r="K16" s="392">
        <f t="shared" si="3"/>
        <v>1</v>
      </c>
      <c r="L16" s="394">
        <f t="shared" si="4"/>
        <v>0</v>
      </c>
      <c r="M16" s="138"/>
      <c r="N16" s="395">
        <f t="shared" si="5"/>
        <v>0</v>
      </c>
      <c r="O16" s="396" t="str">
        <f t="shared" si="6"/>
        <v/>
      </c>
      <c r="P16" s="53"/>
      <c r="Q16" s="408">
        <f>IFERROR(VLOOKUP($C16,'Proposed Rates'!$B:$J,Q$11,FALSE),0)</f>
        <v>0</v>
      </c>
      <c r="R16" s="392">
        <f t="shared" si="7"/>
        <v>1</v>
      </c>
      <c r="S16" s="394">
        <f t="shared" si="8"/>
        <v>0</v>
      </c>
      <c r="T16" s="138"/>
      <c r="U16" s="395">
        <f t="shared" si="9"/>
        <v>0</v>
      </c>
      <c r="V16" s="396" t="str">
        <f t="shared" si="10"/>
        <v/>
      </c>
      <c r="W16" s="53"/>
      <c r="X16" s="408">
        <f>IFERROR(VLOOKUP($C16,'Proposed Rates'!$B:$J,X$11,FALSE),0)</f>
        <v>0</v>
      </c>
      <c r="Y16" s="392">
        <f t="shared" si="11"/>
        <v>1</v>
      </c>
      <c r="Z16" s="394">
        <f t="shared" si="12"/>
        <v>0</v>
      </c>
      <c r="AA16" s="138"/>
      <c r="AB16" s="395">
        <f t="shared" si="13"/>
        <v>0</v>
      </c>
      <c r="AC16" s="396" t="str">
        <f t="shared" si="14"/>
        <v/>
      </c>
      <c r="AD16" s="53"/>
      <c r="AE16" s="408">
        <f>IFERROR(VLOOKUP($C16,'Proposed Rates'!$B:$J,AE$11,FALSE),0)</f>
        <v>0</v>
      </c>
      <c r="AF16" s="392">
        <f t="shared" si="15"/>
        <v>1</v>
      </c>
      <c r="AG16" s="394">
        <f t="shared" si="16"/>
        <v>0</v>
      </c>
      <c r="AH16" s="138"/>
      <c r="AI16" s="395">
        <f t="shared" si="17"/>
        <v>0</v>
      </c>
      <c r="AJ16" s="396" t="str">
        <f t="shared" si="18"/>
        <v/>
      </c>
      <c r="AK16" s="53"/>
      <c r="AL16" s="408">
        <f>IFERROR(VLOOKUP($C16,'Proposed Rates'!$B:$J,AL$11,FALSE),0)</f>
        <v>0</v>
      </c>
      <c r="AM16" s="392">
        <f t="shared" si="19"/>
        <v>1</v>
      </c>
      <c r="AN16" s="394">
        <f t="shared" si="20"/>
        <v>0</v>
      </c>
      <c r="AO16" s="138"/>
      <c r="AP16" s="395">
        <f t="shared" si="21"/>
        <v>0</v>
      </c>
      <c r="AQ16" s="396" t="str">
        <f t="shared" si="22"/>
        <v/>
      </c>
      <c r="AR16" s="397"/>
    </row>
    <row r="17" spans="1:44" ht="12" customHeight="1">
      <c r="A17" s="53"/>
      <c r="B17" s="398" t="str">
        <f>'Proposed Rates'!C115</f>
        <v>Rate Rider Calculation for Forgone Revenue - variable</v>
      </c>
      <c r="C17" s="389" t="str">
        <f t="shared" si="0"/>
        <v>General Service &lt; 50 kW.Rate Rider Calculation for Forgone Revenue - variable</v>
      </c>
      <c r="D17" s="390" t="s">
        <v>337</v>
      </c>
      <c r="E17" s="328"/>
      <c r="F17" s="408">
        <f>IFERROR(VLOOKUP($C17,'Proposed Rates'!$B:$J,F$11,FALSE),0)</f>
        <v>0</v>
      </c>
      <c r="G17" s="392">
        <f t="shared" si="1"/>
        <v>1000</v>
      </c>
      <c r="H17" s="394">
        <f t="shared" si="2"/>
        <v>0</v>
      </c>
      <c r="I17" s="138"/>
      <c r="J17" s="408">
        <f>IFERROR(VLOOKUP($C17,'Proposed Rates'!$B:$J,J$11,FALSE),0)</f>
        <v>1.4E-3</v>
      </c>
      <c r="K17" s="392">
        <f t="shared" si="3"/>
        <v>1000</v>
      </c>
      <c r="L17" s="394">
        <f t="shared" si="4"/>
        <v>1.4</v>
      </c>
      <c r="M17" s="138"/>
      <c r="N17" s="395">
        <f t="shared" si="5"/>
        <v>1.4</v>
      </c>
      <c r="O17" s="396" t="str">
        <f t="shared" si="6"/>
        <v/>
      </c>
      <c r="P17" s="53"/>
      <c r="Q17" s="408">
        <f>IFERROR(VLOOKUP($C17,'Proposed Rates'!$B:$J,Q$11,FALSE),0)</f>
        <v>1.4E-3</v>
      </c>
      <c r="R17" s="392">
        <f t="shared" si="7"/>
        <v>1000</v>
      </c>
      <c r="S17" s="394">
        <f t="shared" si="8"/>
        <v>1.4</v>
      </c>
      <c r="T17" s="138"/>
      <c r="U17" s="395">
        <f t="shared" si="9"/>
        <v>0</v>
      </c>
      <c r="V17" s="396">
        <f t="shared" si="10"/>
        <v>0</v>
      </c>
      <c r="W17" s="53"/>
      <c r="X17" s="408">
        <f>IFERROR(VLOOKUP($C17,'Proposed Rates'!$B:$J,X$11,FALSE),0)</f>
        <v>0</v>
      </c>
      <c r="Y17" s="392">
        <f t="shared" si="11"/>
        <v>1000</v>
      </c>
      <c r="Z17" s="394">
        <f t="shared" si="12"/>
        <v>0</v>
      </c>
      <c r="AA17" s="138"/>
      <c r="AB17" s="395">
        <f t="shared" si="13"/>
        <v>-1.4</v>
      </c>
      <c r="AC17" s="396">
        <f t="shared" si="14"/>
        <v>-1</v>
      </c>
      <c r="AD17" s="53"/>
      <c r="AE17" s="408">
        <f>IFERROR(VLOOKUP($C17,'Proposed Rates'!$B:$J,AE$11,FALSE),0)</f>
        <v>0</v>
      </c>
      <c r="AF17" s="392">
        <f t="shared" si="15"/>
        <v>1000</v>
      </c>
      <c r="AG17" s="394">
        <f t="shared" si="16"/>
        <v>0</v>
      </c>
      <c r="AH17" s="138"/>
      <c r="AI17" s="395">
        <f t="shared" si="17"/>
        <v>0</v>
      </c>
      <c r="AJ17" s="396" t="str">
        <f t="shared" si="18"/>
        <v/>
      </c>
      <c r="AK17" s="53"/>
      <c r="AL17" s="408">
        <f>IFERROR(VLOOKUP($C17,'Proposed Rates'!$B:$J,AL$11,FALSE),0)</f>
        <v>0</v>
      </c>
      <c r="AM17" s="392">
        <f t="shared" si="19"/>
        <v>1000</v>
      </c>
      <c r="AN17" s="394">
        <f t="shared" si="20"/>
        <v>0</v>
      </c>
      <c r="AO17" s="138"/>
      <c r="AP17" s="395">
        <f t="shared" si="21"/>
        <v>0</v>
      </c>
      <c r="AQ17" s="396" t="str">
        <f t="shared" si="22"/>
        <v/>
      </c>
      <c r="AR17" s="397"/>
    </row>
    <row r="18" spans="1:44" ht="12" customHeight="1">
      <c r="A18" s="53"/>
      <c r="B18" s="398" t="str">
        <f>'Proposed Rates'!C128</f>
        <v>Rate Rider Calculation for Forgone Revenue - fixed</v>
      </c>
      <c r="C18" s="389" t="str">
        <f t="shared" si="0"/>
        <v>General Service &lt; 50 kW.Rate Rider Calculation for Forgone Revenue - fixed</v>
      </c>
      <c r="D18" s="390" t="s">
        <v>335</v>
      </c>
      <c r="E18" s="328"/>
      <c r="F18" s="408">
        <f>IFERROR(VLOOKUP($C18,'Proposed Rates'!$B:$J,F$11,FALSE),0)</f>
        <v>0</v>
      </c>
      <c r="G18" s="392">
        <f t="shared" si="1"/>
        <v>1</v>
      </c>
      <c r="H18" s="394">
        <f t="shared" si="2"/>
        <v>0</v>
      </c>
      <c r="I18" s="138"/>
      <c r="J18" s="408">
        <f>IFERROR(VLOOKUP($C18,'Proposed Rates'!$B:$J,J$11,FALSE),0)</f>
        <v>0.99</v>
      </c>
      <c r="K18" s="392">
        <f t="shared" si="3"/>
        <v>1</v>
      </c>
      <c r="L18" s="394">
        <f t="shared" si="4"/>
        <v>0.99</v>
      </c>
      <c r="M18" s="138"/>
      <c r="N18" s="395">
        <f t="shared" si="5"/>
        <v>0.99</v>
      </c>
      <c r="O18" s="396" t="str">
        <f t="shared" si="6"/>
        <v/>
      </c>
      <c r="P18" s="53"/>
      <c r="Q18" s="408">
        <f>IFERROR(VLOOKUP($C18,'Proposed Rates'!$B:$J,Q$11,FALSE),0)</f>
        <v>0.99</v>
      </c>
      <c r="R18" s="392">
        <f t="shared" si="7"/>
        <v>1</v>
      </c>
      <c r="S18" s="394">
        <f t="shared" si="8"/>
        <v>0.99</v>
      </c>
      <c r="T18" s="138"/>
      <c r="U18" s="395">
        <f t="shared" si="9"/>
        <v>0</v>
      </c>
      <c r="V18" s="396">
        <f t="shared" si="10"/>
        <v>0</v>
      </c>
      <c r="W18" s="53"/>
      <c r="X18" s="408">
        <f>IFERROR(VLOOKUP($C18,'Proposed Rates'!$B:$J,X$11,FALSE),0)</f>
        <v>0</v>
      </c>
      <c r="Y18" s="392">
        <f t="shared" si="11"/>
        <v>1</v>
      </c>
      <c r="Z18" s="394">
        <f t="shared" si="12"/>
        <v>0</v>
      </c>
      <c r="AA18" s="138"/>
      <c r="AB18" s="395">
        <f t="shared" si="13"/>
        <v>-0.99</v>
      </c>
      <c r="AC18" s="396">
        <f t="shared" si="14"/>
        <v>-1</v>
      </c>
      <c r="AD18" s="53"/>
      <c r="AE18" s="408">
        <f>IFERROR(VLOOKUP($C18,'Proposed Rates'!$B:$J,AE$11,FALSE),0)</f>
        <v>0</v>
      </c>
      <c r="AF18" s="392">
        <f t="shared" si="15"/>
        <v>1</v>
      </c>
      <c r="AG18" s="394">
        <f t="shared" si="16"/>
        <v>0</v>
      </c>
      <c r="AH18" s="138"/>
      <c r="AI18" s="395">
        <f t="shared" si="17"/>
        <v>0</v>
      </c>
      <c r="AJ18" s="396" t="str">
        <f t="shared" si="18"/>
        <v/>
      </c>
      <c r="AK18" s="53"/>
      <c r="AL18" s="408">
        <f>IFERROR(VLOOKUP($C18,'Proposed Rates'!$B:$J,AL$11,FALSE),0)</f>
        <v>0</v>
      </c>
      <c r="AM18" s="392">
        <f t="shared" si="19"/>
        <v>1</v>
      </c>
      <c r="AN18" s="394">
        <f t="shared" si="20"/>
        <v>0</v>
      </c>
      <c r="AO18" s="138"/>
      <c r="AP18" s="395">
        <f t="shared" si="21"/>
        <v>0</v>
      </c>
      <c r="AQ18" s="396" t="str">
        <f t="shared" si="22"/>
        <v/>
      </c>
      <c r="AR18" s="397"/>
    </row>
    <row r="19" spans="1:44" ht="12" customHeight="1">
      <c r="A19" s="53"/>
      <c r="B19" s="328" t="s">
        <v>62</v>
      </c>
      <c r="C19" s="389" t="str">
        <f t="shared" si="0"/>
        <v>General Service &lt; 50 kW.Distribution Volumetric Rate</v>
      </c>
      <c r="D19" s="390" t="s">
        <v>337</v>
      </c>
      <c r="E19" s="328"/>
      <c r="F19" s="408">
        <f>IFERROR(VLOOKUP($C19,'Proposed Rates'!$B:$J,F$11,FALSE),0)</f>
        <v>3.0499999999999999E-2</v>
      </c>
      <c r="G19" s="392">
        <f t="shared" si="1"/>
        <v>1000</v>
      </c>
      <c r="H19" s="394">
        <f t="shared" si="2"/>
        <v>30.5</v>
      </c>
      <c r="I19" s="138"/>
      <c r="J19" s="408">
        <f>IFERROR(VLOOKUP($C19,'Proposed Rates'!$B:$J,J$11,FALSE),0)</f>
        <v>3.39E-2</v>
      </c>
      <c r="K19" s="392">
        <f t="shared" si="3"/>
        <v>1000</v>
      </c>
      <c r="L19" s="394">
        <f t="shared" si="4"/>
        <v>33.9</v>
      </c>
      <c r="M19" s="138"/>
      <c r="N19" s="395">
        <f t="shared" si="5"/>
        <v>3.3999999999999986</v>
      </c>
      <c r="O19" s="396">
        <f t="shared" si="6"/>
        <v>0.11147540983606553</v>
      </c>
      <c r="P19" s="53"/>
      <c r="Q19" s="408">
        <f>IFERROR(VLOOKUP($C19,'Proposed Rates'!$B:$J,Q$11,FALSE),0)</f>
        <v>3.5499999999999997E-2</v>
      </c>
      <c r="R19" s="392">
        <f t="shared" si="7"/>
        <v>1000</v>
      </c>
      <c r="S19" s="394">
        <f t="shared" si="8"/>
        <v>35.5</v>
      </c>
      <c r="T19" s="138"/>
      <c r="U19" s="395">
        <f t="shared" si="9"/>
        <v>1.6000000000000014</v>
      </c>
      <c r="V19" s="396">
        <f t="shared" si="10"/>
        <v>4.7197640117994141E-2</v>
      </c>
      <c r="W19" s="53"/>
      <c r="X19" s="408">
        <f>IFERROR(VLOOKUP($C19,'Proposed Rates'!$B:$J,X$11,FALSE),0)</f>
        <v>3.7900000000000003E-2</v>
      </c>
      <c r="Y19" s="392">
        <f t="shared" si="11"/>
        <v>1000</v>
      </c>
      <c r="Z19" s="394">
        <f t="shared" si="12"/>
        <v>37.900000000000006</v>
      </c>
      <c r="AA19" s="138"/>
      <c r="AB19" s="395">
        <f t="shared" si="13"/>
        <v>2.4000000000000057</v>
      </c>
      <c r="AC19" s="396">
        <f t="shared" si="14"/>
        <v>6.7605633802817061E-2</v>
      </c>
      <c r="AD19" s="53"/>
      <c r="AE19" s="408">
        <f>IFERROR(VLOOKUP($C19,'Proposed Rates'!$B:$J,AE$11,FALSE),0)</f>
        <v>3.85E-2</v>
      </c>
      <c r="AF19" s="392">
        <f t="shared" si="15"/>
        <v>1000</v>
      </c>
      <c r="AG19" s="394">
        <f t="shared" si="16"/>
        <v>38.5</v>
      </c>
      <c r="AH19" s="138"/>
      <c r="AI19" s="395">
        <f t="shared" si="17"/>
        <v>0.59999999999999432</v>
      </c>
      <c r="AJ19" s="396">
        <f t="shared" si="18"/>
        <v>1.5831134564643648E-2</v>
      </c>
      <c r="AK19" s="53"/>
      <c r="AL19" s="408">
        <f>IFERROR(VLOOKUP($C19,'Proposed Rates'!$B:$J,AL$11,FALSE),0)</f>
        <v>3.9100000000000003E-2</v>
      </c>
      <c r="AM19" s="392">
        <f t="shared" si="19"/>
        <v>1000</v>
      </c>
      <c r="AN19" s="394">
        <f t="shared" si="20"/>
        <v>39.1</v>
      </c>
      <c r="AO19" s="138"/>
      <c r="AP19" s="395">
        <f t="shared" si="21"/>
        <v>0.60000000000000142</v>
      </c>
      <c r="AQ19" s="396">
        <f t="shared" si="22"/>
        <v>1.5584415584415621E-2</v>
      </c>
      <c r="AR19" s="397"/>
    </row>
    <row r="20" spans="1:44" ht="12" customHeight="1">
      <c r="A20" s="53"/>
      <c r="B20" s="328" t="s">
        <v>338</v>
      </c>
      <c r="C20" s="389" t="str">
        <f t="shared" si="0"/>
        <v>General Service &lt; 50 kW.Smart Meter Disposition Rider</v>
      </c>
      <c r="D20" s="390" t="s">
        <v>337</v>
      </c>
      <c r="E20" s="328"/>
      <c r="F20" s="408">
        <f>IFERROR(VLOOKUP($C20,'Proposed Rates'!$B:$J,F$11,FALSE),0)</f>
        <v>0</v>
      </c>
      <c r="G20" s="392">
        <f t="shared" si="1"/>
        <v>1000</v>
      </c>
      <c r="H20" s="394">
        <f t="shared" si="2"/>
        <v>0</v>
      </c>
      <c r="I20" s="138"/>
      <c r="J20" s="408">
        <f>IFERROR(VLOOKUP($C20,'Proposed Rates'!$B:$J,J$11,FALSE),0)</f>
        <v>0</v>
      </c>
      <c r="K20" s="392">
        <f t="shared" si="3"/>
        <v>1000</v>
      </c>
      <c r="L20" s="394">
        <f t="shared" si="4"/>
        <v>0</v>
      </c>
      <c r="M20" s="138"/>
      <c r="N20" s="395">
        <f t="shared" si="5"/>
        <v>0</v>
      </c>
      <c r="O20" s="396" t="str">
        <f t="shared" si="6"/>
        <v/>
      </c>
      <c r="P20" s="53"/>
      <c r="Q20" s="408">
        <f>IFERROR(VLOOKUP($C20,'Proposed Rates'!$B:$J,Q$11,FALSE),0)</f>
        <v>0</v>
      </c>
      <c r="R20" s="392">
        <f t="shared" si="7"/>
        <v>1000</v>
      </c>
      <c r="S20" s="394">
        <f t="shared" si="8"/>
        <v>0</v>
      </c>
      <c r="T20" s="138"/>
      <c r="U20" s="395">
        <f t="shared" si="9"/>
        <v>0</v>
      </c>
      <c r="V20" s="396" t="str">
        <f t="shared" si="10"/>
        <v/>
      </c>
      <c r="W20" s="53"/>
      <c r="X20" s="408">
        <f>IFERROR(VLOOKUP($C20,'Proposed Rates'!$B:$J,X$11,FALSE),0)</f>
        <v>0</v>
      </c>
      <c r="Y20" s="392">
        <f t="shared" si="11"/>
        <v>1000</v>
      </c>
      <c r="Z20" s="394">
        <f t="shared" si="12"/>
        <v>0</v>
      </c>
      <c r="AA20" s="138"/>
      <c r="AB20" s="395">
        <f t="shared" si="13"/>
        <v>0</v>
      </c>
      <c r="AC20" s="396" t="str">
        <f t="shared" si="14"/>
        <v/>
      </c>
      <c r="AD20" s="53"/>
      <c r="AE20" s="408">
        <f>IFERROR(VLOOKUP($C20,'Proposed Rates'!$B:$J,AE$11,FALSE),0)</f>
        <v>0</v>
      </c>
      <c r="AF20" s="392">
        <f t="shared" si="15"/>
        <v>1000</v>
      </c>
      <c r="AG20" s="394">
        <f t="shared" si="16"/>
        <v>0</v>
      </c>
      <c r="AH20" s="138"/>
      <c r="AI20" s="395">
        <f t="shared" si="17"/>
        <v>0</v>
      </c>
      <c r="AJ20" s="396" t="str">
        <f t="shared" si="18"/>
        <v/>
      </c>
      <c r="AK20" s="53"/>
      <c r="AL20" s="408">
        <f>IFERROR(VLOOKUP($C20,'Proposed Rates'!$B:$J,AL$11,FALSE),0)</f>
        <v>0</v>
      </c>
      <c r="AM20" s="392">
        <f t="shared" si="19"/>
        <v>1000</v>
      </c>
      <c r="AN20" s="394">
        <f t="shared" si="20"/>
        <v>0</v>
      </c>
      <c r="AO20" s="138"/>
      <c r="AP20" s="395">
        <f t="shared" si="21"/>
        <v>0</v>
      </c>
      <c r="AQ20" s="396" t="str">
        <f t="shared" si="22"/>
        <v/>
      </c>
      <c r="AR20" s="397"/>
    </row>
    <row r="21" spans="1:44" ht="12" customHeight="1">
      <c r="A21" s="53"/>
      <c r="B21" s="328" t="s">
        <v>269</v>
      </c>
      <c r="C21" s="389" t="str">
        <f t="shared" si="0"/>
        <v>General Service &lt; 50 kW.LRAM Rate Rider</v>
      </c>
      <c r="D21" s="390" t="s">
        <v>337</v>
      </c>
      <c r="E21" s="328"/>
      <c r="F21" s="408">
        <f>'Proposed Rates'!E78+'Proposed Rates'!E91</f>
        <v>6.9999999999999999E-4</v>
      </c>
      <c r="G21" s="392">
        <f t="shared" si="1"/>
        <v>1000</v>
      </c>
      <c r="H21" s="394">
        <f t="shared" si="2"/>
        <v>0.7</v>
      </c>
      <c r="I21" s="138"/>
      <c r="J21" s="408">
        <f>'Proposed Rates'!F78+'Proposed Rates'!F91</f>
        <v>5.9999999999999995E-4</v>
      </c>
      <c r="K21" s="392">
        <f t="shared" si="3"/>
        <v>1000</v>
      </c>
      <c r="L21" s="394">
        <f t="shared" si="4"/>
        <v>0.6</v>
      </c>
      <c r="M21" s="138"/>
      <c r="N21" s="395">
        <f t="shared" si="5"/>
        <v>-9.9999999999999978E-2</v>
      </c>
      <c r="O21" s="396">
        <f t="shared" si="6"/>
        <v>-0.14285714285714282</v>
      </c>
      <c r="P21" s="53"/>
      <c r="Q21" s="408">
        <f>'Proposed Rates'!G78+'Proposed Rates'!G91</f>
        <v>0</v>
      </c>
      <c r="R21" s="392">
        <f t="shared" si="7"/>
        <v>1000</v>
      </c>
      <c r="S21" s="394">
        <f t="shared" si="8"/>
        <v>0</v>
      </c>
      <c r="T21" s="138"/>
      <c r="U21" s="395">
        <f t="shared" si="9"/>
        <v>-0.6</v>
      </c>
      <c r="V21" s="396">
        <f t="shared" si="10"/>
        <v>-1</v>
      </c>
      <c r="W21" s="53"/>
      <c r="X21" s="408">
        <f>IFERROR(VLOOKUP($C21,'Proposed Rates'!$B:$J,X$11,FALSE),0)</f>
        <v>0</v>
      </c>
      <c r="Y21" s="392">
        <f t="shared" si="11"/>
        <v>1000</v>
      </c>
      <c r="Z21" s="394">
        <f t="shared" si="12"/>
        <v>0</v>
      </c>
      <c r="AA21" s="138"/>
      <c r="AB21" s="395">
        <f t="shared" si="13"/>
        <v>0</v>
      </c>
      <c r="AC21" s="396" t="str">
        <f t="shared" si="14"/>
        <v/>
      </c>
      <c r="AD21" s="53"/>
      <c r="AE21" s="408">
        <f>IFERROR(VLOOKUP($C21,'Proposed Rates'!$B:$J,AE$11,FALSE),0)</f>
        <v>0</v>
      </c>
      <c r="AF21" s="392">
        <f t="shared" si="15"/>
        <v>1000</v>
      </c>
      <c r="AG21" s="394">
        <f t="shared" si="16"/>
        <v>0</v>
      </c>
      <c r="AH21" s="138"/>
      <c r="AI21" s="395">
        <f t="shared" si="17"/>
        <v>0</v>
      </c>
      <c r="AJ21" s="396" t="str">
        <f t="shared" si="18"/>
        <v/>
      </c>
      <c r="AK21" s="53"/>
      <c r="AL21" s="408">
        <f>IFERROR(VLOOKUP($C21,'Proposed Rates'!$B:$J,AL$11,FALSE),0)</f>
        <v>0</v>
      </c>
      <c r="AM21" s="392">
        <f t="shared" si="19"/>
        <v>1000</v>
      </c>
      <c r="AN21" s="394">
        <f t="shared" si="20"/>
        <v>0</v>
      </c>
      <c r="AO21" s="138"/>
      <c r="AP21" s="395">
        <f t="shared" si="21"/>
        <v>0</v>
      </c>
      <c r="AQ21" s="396" t="str">
        <f t="shared" si="22"/>
        <v/>
      </c>
      <c r="AR21" s="397"/>
    </row>
    <row r="22" spans="1:44" ht="12" customHeight="1">
      <c r="A22" s="53"/>
      <c r="B22" s="398" t="s">
        <v>265</v>
      </c>
      <c r="C22" s="389" t="str">
        <f t="shared" si="0"/>
        <v>General Service &lt; 50 kW.Deferral/Variance Account Disposition Rate Rider Group 2</v>
      </c>
      <c r="D22" s="390" t="s">
        <v>337</v>
      </c>
      <c r="E22" s="328"/>
      <c r="F22" s="408">
        <f>IFERROR(VLOOKUP($C22,'Proposed Rates'!$B:$J,F$11,FALSE),0)</f>
        <v>0</v>
      </c>
      <c r="G22" s="392">
        <f t="shared" si="1"/>
        <v>1000</v>
      </c>
      <c r="H22" s="394">
        <f t="shared" si="2"/>
        <v>0</v>
      </c>
      <c r="I22" s="138"/>
      <c r="J22" s="408">
        <f>IFERROR(VLOOKUP($C22,'Proposed Rates'!$B:$J,J$11,FALSE),0)</f>
        <v>-1.4E-3</v>
      </c>
      <c r="K22" s="392">
        <f t="shared" si="3"/>
        <v>1000</v>
      </c>
      <c r="L22" s="394">
        <f t="shared" si="4"/>
        <v>-1.4</v>
      </c>
      <c r="M22" s="138"/>
      <c r="N22" s="395">
        <f t="shared" si="5"/>
        <v>-1.4</v>
      </c>
      <c r="O22" s="396" t="str">
        <f t="shared" si="6"/>
        <v/>
      </c>
      <c r="P22" s="53"/>
      <c r="Q22" s="408">
        <f>IFERROR(VLOOKUP($C22,'Proposed Rates'!$B:$J,Q$11,FALSE),0)</f>
        <v>0</v>
      </c>
      <c r="R22" s="392">
        <f t="shared" si="7"/>
        <v>1000</v>
      </c>
      <c r="S22" s="394">
        <f t="shared" si="8"/>
        <v>0</v>
      </c>
      <c r="T22" s="138"/>
      <c r="U22" s="395">
        <f t="shared" si="9"/>
        <v>1.4</v>
      </c>
      <c r="V22" s="396">
        <f t="shared" si="10"/>
        <v>-1</v>
      </c>
      <c r="W22" s="53"/>
      <c r="X22" s="408">
        <f>IFERROR(VLOOKUP($C22,'Proposed Rates'!$B:$J,X$11,FALSE),0)</f>
        <v>0</v>
      </c>
      <c r="Y22" s="392">
        <f t="shared" si="11"/>
        <v>1000</v>
      </c>
      <c r="Z22" s="394">
        <f t="shared" si="12"/>
        <v>0</v>
      </c>
      <c r="AA22" s="138"/>
      <c r="AB22" s="395">
        <f t="shared" si="13"/>
        <v>0</v>
      </c>
      <c r="AC22" s="396" t="str">
        <f t="shared" si="14"/>
        <v/>
      </c>
      <c r="AD22" s="53"/>
      <c r="AE22" s="408">
        <f>IFERROR(VLOOKUP($C22,'Proposed Rates'!$B:$J,AE$11,FALSE),0)</f>
        <v>0</v>
      </c>
      <c r="AF22" s="392">
        <f t="shared" si="15"/>
        <v>1000</v>
      </c>
      <c r="AG22" s="394">
        <f t="shared" si="16"/>
        <v>0</v>
      </c>
      <c r="AH22" s="138"/>
      <c r="AI22" s="395">
        <f t="shared" si="17"/>
        <v>0</v>
      </c>
      <c r="AJ22" s="396" t="str">
        <f t="shared" si="18"/>
        <v/>
      </c>
      <c r="AK22" s="53"/>
      <c r="AL22" s="408">
        <f>IFERROR(VLOOKUP($C22,'Proposed Rates'!$B:$J,AL$11,FALSE),0)</f>
        <v>0</v>
      </c>
      <c r="AM22" s="392">
        <f t="shared" si="19"/>
        <v>1000</v>
      </c>
      <c r="AN22" s="394">
        <f t="shared" si="20"/>
        <v>0</v>
      </c>
      <c r="AO22" s="138"/>
      <c r="AP22" s="395">
        <f t="shared" si="21"/>
        <v>0</v>
      </c>
      <c r="AQ22" s="396" t="str">
        <f t="shared" si="22"/>
        <v/>
      </c>
      <c r="AR22" s="397"/>
    </row>
    <row r="23" spans="1:44" ht="12" customHeight="1">
      <c r="A23" s="53"/>
      <c r="B23" s="398"/>
      <c r="C23" s="389" t="str">
        <f t="shared" si="0"/>
        <v>General Service &lt; 50 kW.</v>
      </c>
      <c r="D23" s="390"/>
      <c r="E23" s="328"/>
      <c r="F23" s="408">
        <f>IFERROR(VLOOKUP($C23,'Proposed Rates'!$B:$J,F$11,FALSE),0)</f>
        <v>0</v>
      </c>
      <c r="G23" s="392">
        <f t="shared" si="1"/>
        <v>0</v>
      </c>
      <c r="H23" s="394">
        <f t="shared" si="2"/>
        <v>0</v>
      </c>
      <c r="I23" s="138"/>
      <c r="J23" s="408">
        <f>IFERROR(VLOOKUP($C23,'Proposed Rates'!$B:$J,J$11,FALSE),0)</f>
        <v>0</v>
      </c>
      <c r="K23" s="392">
        <f t="shared" si="3"/>
        <v>0</v>
      </c>
      <c r="L23" s="394">
        <f t="shared" si="4"/>
        <v>0</v>
      </c>
      <c r="M23" s="138"/>
      <c r="N23" s="395">
        <f t="shared" si="5"/>
        <v>0</v>
      </c>
      <c r="O23" s="396" t="str">
        <f t="shared" si="6"/>
        <v/>
      </c>
      <c r="P23" s="53"/>
      <c r="Q23" s="408">
        <f>IFERROR(VLOOKUP($C23,'Proposed Rates'!$B:$J,Q$11,FALSE),0)</f>
        <v>0</v>
      </c>
      <c r="R23" s="392">
        <f t="shared" si="7"/>
        <v>0</v>
      </c>
      <c r="S23" s="394">
        <f t="shared" si="8"/>
        <v>0</v>
      </c>
      <c r="T23" s="138"/>
      <c r="U23" s="395">
        <f t="shared" si="9"/>
        <v>0</v>
      </c>
      <c r="V23" s="396" t="str">
        <f t="shared" si="10"/>
        <v/>
      </c>
      <c r="W23" s="53"/>
      <c r="X23" s="408">
        <f>IFERROR(VLOOKUP($C23,'Proposed Rates'!$B:$J,X$11,FALSE),0)</f>
        <v>0</v>
      </c>
      <c r="Y23" s="392">
        <f t="shared" si="11"/>
        <v>0</v>
      </c>
      <c r="Z23" s="394">
        <f t="shared" si="12"/>
        <v>0</v>
      </c>
      <c r="AA23" s="138"/>
      <c r="AB23" s="395">
        <f t="shared" si="13"/>
        <v>0</v>
      </c>
      <c r="AC23" s="396" t="str">
        <f t="shared" si="14"/>
        <v/>
      </c>
      <c r="AD23" s="53"/>
      <c r="AE23" s="408">
        <f>IFERROR(VLOOKUP($C23,'Proposed Rates'!$B:$J,AE$11,FALSE),0)</f>
        <v>0</v>
      </c>
      <c r="AF23" s="392">
        <f t="shared" si="15"/>
        <v>0</v>
      </c>
      <c r="AG23" s="394">
        <f t="shared" si="16"/>
        <v>0</v>
      </c>
      <c r="AH23" s="138"/>
      <c r="AI23" s="395">
        <f t="shared" si="17"/>
        <v>0</v>
      </c>
      <c r="AJ23" s="396" t="str">
        <f t="shared" si="18"/>
        <v/>
      </c>
      <c r="AK23" s="53"/>
      <c r="AL23" s="408">
        <f>IFERROR(VLOOKUP($C23,'Proposed Rates'!$B:$J,AL$11,FALSE),0)</f>
        <v>0</v>
      </c>
      <c r="AM23" s="392">
        <f t="shared" si="19"/>
        <v>0</v>
      </c>
      <c r="AN23" s="394">
        <f t="shared" si="20"/>
        <v>0</v>
      </c>
      <c r="AO23" s="138"/>
      <c r="AP23" s="395">
        <f t="shared" si="21"/>
        <v>0</v>
      </c>
      <c r="AQ23" s="396" t="str">
        <f t="shared" si="22"/>
        <v/>
      </c>
      <c r="AR23" s="397"/>
    </row>
    <row r="24" spans="1:44" ht="12" customHeight="1">
      <c r="A24" s="53"/>
      <c r="B24" s="398"/>
      <c r="C24" s="389" t="str">
        <f t="shared" si="0"/>
        <v>General Service &lt; 50 kW.</v>
      </c>
      <c r="D24" s="390"/>
      <c r="E24" s="328"/>
      <c r="F24" s="408">
        <f>IFERROR(VLOOKUP($C24,'Proposed Rates'!$B:$J,F$11,FALSE),0)</f>
        <v>0</v>
      </c>
      <c r="G24" s="392">
        <f t="shared" si="1"/>
        <v>0</v>
      </c>
      <c r="H24" s="394">
        <f t="shared" si="2"/>
        <v>0</v>
      </c>
      <c r="I24" s="138"/>
      <c r="J24" s="408">
        <f>IFERROR(VLOOKUP($C24,'Proposed Rates'!$B:$J,J$11,FALSE),0)</f>
        <v>0</v>
      </c>
      <c r="K24" s="392">
        <f t="shared" si="3"/>
        <v>0</v>
      </c>
      <c r="L24" s="394">
        <f t="shared" si="4"/>
        <v>0</v>
      </c>
      <c r="M24" s="138"/>
      <c r="N24" s="395">
        <f t="shared" si="5"/>
        <v>0</v>
      </c>
      <c r="O24" s="396" t="str">
        <f t="shared" si="6"/>
        <v/>
      </c>
      <c r="P24" s="53"/>
      <c r="Q24" s="408">
        <f>IFERROR(VLOOKUP($C24,'Proposed Rates'!$B:$J,Q$11,FALSE),0)</f>
        <v>0</v>
      </c>
      <c r="R24" s="392">
        <f t="shared" si="7"/>
        <v>0</v>
      </c>
      <c r="S24" s="394">
        <f t="shared" si="8"/>
        <v>0</v>
      </c>
      <c r="T24" s="138"/>
      <c r="U24" s="395">
        <f t="shared" si="9"/>
        <v>0</v>
      </c>
      <c r="V24" s="396" t="str">
        <f t="shared" si="10"/>
        <v/>
      </c>
      <c r="W24" s="53"/>
      <c r="X24" s="408">
        <f>IFERROR(VLOOKUP($C24,'Proposed Rates'!$B:$J,X$11,FALSE),0)</f>
        <v>0</v>
      </c>
      <c r="Y24" s="392">
        <f t="shared" si="11"/>
        <v>0</v>
      </c>
      <c r="Z24" s="394">
        <f t="shared" si="12"/>
        <v>0</v>
      </c>
      <c r="AA24" s="138"/>
      <c r="AB24" s="395">
        <f t="shared" si="13"/>
        <v>0</v>
      </c>
      <c r="AC24" s="396" t="str">
        <f t="shared" si="14"/>
        <v/>
      </c>
      <c r="AD24" s="53"/>
      <c r="AE24" s="408">
        <f>IFERROR(VLOOKUP($C24,'Proposed Rates'!$B:$J,AE$11,FALSE),0)</f>
        <v>0</v>
      </c>
      <c r="AF24" s="392">
        <f t="shared" si="15"/>
        <v>0</v>
      </c>
      <c r="AG24" s="394">
        <f t="shared" si="16"/>
        <v>0</v>
      </c>
      <c r="AH24" s="138"/>
      <c r="AI24" s="395">
        <f t="shared" si="17"/>
        <v>0</v>
      </c>
      <c r="AJ24" s="396" t="str">
        <f t="shared" si="18"/>
        <v/>
      </c>
      <c r="AK24" s="53"/>
      <c r="AL24" s="408">
        <f>IFERROR(VLOOKUP($C24,'Proposed Rates'!$B:$J,AL$11,FALSE),0)</f>
        <v>0</v>
      </c>
      <c r="AM24" s="392">
        <f t="shared" si="19"/>
        <v>0</v>
      </c>
      <c r="AN24" s="394">
        <f t="shared" si="20"/>
        <v>0</v>
      </c>
      <c r="AO24" s="138"/>
      <c r="AP24" s="395">
        <f t="shared" si="21"/>
        <v>0</v>
      </c>
      <c r="AQ24" s="396" t="str">
        <f t="shared" si="22"/>
        <v/>
      </c>
      <c r="AR24" s="397"/>
    </row>
    <row r="25" spans="1:44" ht="12" customHeight="1">
      <c r="A25" s="53"/>
      <c r="B25" s="398"/>
      <c r="C25" s="389" t="str">
        <f t="shared" si="0"/>
        <v>General Service &lt; 50 kW.</v>
      </c>
      <c r="D25" s="390"/>
      <c r="E25" s="328"/>
      <c r="F25" s="408">
        <f>IFERROR(VLOOKUP($C25,'Proposed Rates'!$B:$J,F$11,FALSE),0)</f>
        <v>0</v>
      </c>
      <c r="G25" s="392">
        <f t="shared" si="1"/>
        <v>0</v>
      </c>
      <c r="H25" s="394">
        <f t="shared" si="2"/>
        <v>0</v>
      </c>
      <c r="I25" s="138"/>
      <c r="J25" s="408">
        <f>IFERROR(VLOOKUP($C25,'Proposed Rates'!$B:$J,J$11,FALSE),0)</f>
        <v>0</v>
      </c>
      <c r="K25" s="392">
        <f t="shared" si="3"/>
        <v>0</v>
      </c>
      <c r="L25" s="394">
        <f t="shared" si="4"/>
        <v>0</v>
      </c>
      <c r="M25" s="138"/>
      <c r="N25" s="395">
        <f t="shared" si="5"/>
        <v>0</v>
      </c>
      <c r="O25" s="396" t="str">
        <f t="shared" si="6"/>
        <v/>
      </c>
      <c r="P25" s="53"/>
      <c r="Q25" s="408">
        <f>IFERROR(VLOOKUP($C25,'Proposed Rates'!$B:$J,Q$11,FALSE),0)</f>
        <v>0</v>
      </c>
      <c r="R25" s="392">
        <f t="shared" si="7"/>
        <v>0</v>
      </c>
      <c r="S25" s="394">
        <f t="shared" si="8"/>
        <v>0</v>
      </c>
      <c r="T25" s="138"/>
      <c r="U25" s="395">
        <f t="shared" si="9"/>
        <v>0</v>
      </c>
      <c r="V25" s="396" t="str">
        <f t="shared" si="10"/>
        <v/>
      </c>
      <c r="W25" s="53"/>
      <c r="X25" s="408">
        <f>IFERROR(VLOOKUP($C25,'Proposed Rates'!$B:$J,X$11,FALSE),0)</f>
        <v>0</v>
      </c>
      <c r="Y25" s="392">
        <f t="shared" si="11"/>
        <v>0</v>
      </c>
      <c r="Z25" s="394">
        <f t="shared" si="12"/>
        <v>0</v>
      </c>
      <c r="AA25" s="138"/>
      <c r="AB25" s="395">
        <f t="shared" si="13"/>
        <v>0</v>
      </c>
      <c r="AC25" s="396" t="str">
        <f t="shared" si="14"/>
        <v/>
      </c>
      <c r="AD25" s="53"/>
      <c r="AE25" s="408">
        <f>IFERROR(VLOOKUP($C25,'Proposed Rates'!$B:$J,AE$11,FALSE),0)</f>
        <v>0</v>
      </c>
      <c r="AF25" s="392">
        <f t="shared" si="15"/>
        <v>0</v>
      </c>
      <c r="AG25" s="394">
        <f t="shared" si="16"/>
        <v>0</v>
      </c>
      <c r="AH25" s="138"/>
      <c r="AI25" s="395">
        <f t="shared" si="17"/>
        <v>0</v>
      </c>
      <c r="AJ25" s="396" t="str">
        <f t="shared" si="18"/>
        <v/>
      </c>
      <c r="AK25" s="53"/>
      <c r="AL25" s="408">
        <f>IFERROR(VLOOKUP($C25,'Proposed Rates'!$B:$J,AL$11,FALSE),0)</f>
        <v>0</v>
      </c>
      <c r="AM25" s="392">
        <f t="shared" si="19"/>
        <v>0</v>
      </c>
      <c r="AN25" s="394">
        <f t="shared" si="20"/>
        <v>0</v>
      </c>
      <c r="AO25" s="138"/>
      <c r="AP25" s="395">
        <f t="shared" si="21"/>
        <v>0</v>
      </c>
      <c r="AQ25" s="396" t="str">
        <f t="shared" si="22"/>
        <v/>
      </c>
      <c r="AR25" s="397"/>
    </row>
    <row r="26" spans="1:44" ht="12" customHeight="1">
      <c r="A26" s="53"/>
      <c r="B26" s="398"/>
      <c r="C26" s="389" t="str">
        <f t="shared" si="0"/>
        <v>General Service &lt; 50 kW.</v>
      </c>
      <c r="D26" s="390"/>
      <c r="E26" s="328"/>
      <c r="F26" s="408">
        <f>IFERROR(VLOOKUP($C26,'Proposed Rates'!$B:$J,F$11,FALSE),0)</f>
        <v>0</v>
      </c>
      <c r="G26" s="392">
        <f t="shared" si="1"/>
        <v>0</v>
      </c>
      <c r="H26" s="394">
        <f t="shared" si="2"/>
        <v>0</v>
      </c>
      <c r="I26" s="138"/>
      <c r="J26" s="408">
        <f>IFERROR(VLOOKUP($C26,'Proposed Rates'!$B:$J,J$11,FALSE),0)</f>
        <v>0</v>
      </c>
      <c r="K26" s="392">
        <f t="shared" si="3"/>
        <v>0</v>
      </c>
      <c r="L26" s="394">
        <f t="shared" si="4"/>
        <v>0</v>
      </c>
      <c r="M26" s="138"/>
      <c r="N26" s="395">
        <f t="shared" si="5"/>
        <v>0</v>
      </c>
      <c r="O26" s="396" t="str">
        <f t="shared" si="6"/>
        <v/>
      </c>
      <c r="P26" s="53"/>
      <c r="Q26" s="408">
        <f>IFERROR(VLOOKUP($C26,'Proposed Rates'!$B:$J,Q$11,FALSE),0)</f>
        <v>0</v>
      </c>
      <c r="R26" s="392">
        <f t="shared" si="7"/>
        <v>0</v>
      </c>
      <c r="S26" s="394">
        <f t="shared" si="8"/>
        <v>0</v>
      </c>
      <c r="T26" s="138"/>
      <c r="U26" s="395">
        <f t="shared" si="9"/>
        <v>0</v>
      </c>
      <c r="V26" s="396" t="str">
        <f t="shared" si="10"/>
        <v/>
      </c>
      <c r="W26" s="53"/>
      <c r="X26" s="408">
        <f>IFERROR(VLOOKUP($C26,'Proposed Rates'!$B:$J,X$11,FALSE),0)</f>
        <v>0</v>
      </c>
      <c r="Y26" s="392">
        <f t="shared" si="11"/>
        <v>0</v>
      </c>
      <c r="Z26" s="394">
        <f t="shared" si="12"/>
        <v>0</v>
      </c>
      <c r="AA26" s="138"/>
      <c r="AB26" s="395">
        <f t="shared" si="13"/>
        <v>0</v>
      </c>
      <c r="AC26" s="396" t="str">
        <f t="shared" si="14"/>
        <v/>
      </c>
      <c r="AD26" s="53"/>
      <c r="AE26" s="408">
        <f>IFERROR(VLOOKUP($C26,'Proposed Rates'!$B:$J,AE$11,FALSE),0)</f>
        <v>0</v>
      </c>
      <c r="AF26" s="392">
        <f t="shared" si="15"/>
        <v>0</v>
      </c>
      <c r="AG26" s="394">
        <f t="shared" si="16"/>
        <v>0</v>
      </c>
      <c r="AH26" s="138"/>
      <c r="AI26" s="395">
        <f t="shared" si="17"/>
        <v>0</v>
      </c>
      <c r="AJ26" s="396" t="str">
        <f t="shared" si="18"/>
        <v/>
      </c>
      <c r="AK26" s="53"/>
      <c r="AL26" s="408">
        <f>IFERROR(VLOOKUP($C26,'Proposed Rates'!$B:$J,AL$11,FALSE),0)</f>
        <v>0</v>
      </c>
      <c r="AM26" s="392">
        <f t="shared" si="19"/>
        <v>0</v>
      </c>
      <c r="AN26" s="394">
        <f t="shared" si="20"/>
        <v>0</v>
      </c>
      <c r="AO26" s="138"/>
      <c r="AP26" s="395">
        <f t="shared" si="21"/>
        <v>0</v>
      </c>
      <c r="AQ26" s="396" t="str">
        <f t="shared" si="22"/>
        <v/>
      </c>
      <c r="AR26" s="397"/>
    </row>
    <row r="27" spans="1:44" ht="12" customHeight="1">
      <c r="A27" s="53"/>
      <c r="B27" s="398"/>
      <c r="C27" s="389" t="str">
        <f t="shared" si="0"/>
        <v>General Service &lt; 50 kW.</v>
      </c>
      <c r="D27" s="390"/>
      <c r="E27" s="328"/>
      <c r="F27" s="408">
        <f>IFERROR(VLOOKUP($C27,'Proposed Rates'!$B:$J,F$11,FALSE),0)</f>
        <v>0</v>
      </c>
      <c r="G27" s="392">
        <f t="shared" si="1"/>
        <v>0</v>
      </c>
      <c r="H27" s="394">
        <f t="shared" si="2"/>
        <v>0</v>
      </c>
      <c r="I27" s="138"/>
      <c r="J27" s="408">
        <f>IFERROR(VLOOKUP($C27,'Proposed Rates'!$B:$J,J$11,FALSE),0)</f>
        <v>0</v>
      </c>
      <c r="K27" s="392">
        <f t="shared" si="3"/>
        <v>0</v>
      </c>
      <c r="L27" s="394">
        <f t="shared" si="4"/>
        <v>0</v>
      </c>
      <c r="M27" s="138"/>
      <c r="N27" s="395">
        <f t="shared" si="5"/>
        <v>0</v>
      </c>
      <c r="O27" s="396" t="str">
        <f t="shared" si="6"/>
        <v/>
      </c>
      <c r="P27" s="53"/>
      <c r="Q27" s="408">
        <f>IFERROR(VLOOKUP($C27,'Proposed Rates'!$B:$J,Q$11,FALSE),0)</f>
        <v>0</v>
      </c>
      <c r="R27" s="392">
        <f t="shared" si="7"/>
        <v>0</v>
      </c>
      <c r="S27" s="394">
        <f t="shared" si="8"/>
        <v>0</v>
      </c>
      <c r="T27" s="138"/>
      <c r="U27" s="395">
        <f t="shared" si="9"/>
        <v>0</v>
      </c>
      <c r="V27" s="396" t="str">
        <f t="shared" si="10"/>
        <v/>
      </c>
      <c r="W27" s="53"/>
      <c r="X27" s="408">
        <f>IFERROR(VLOOKUP($C27,'Proposed Rates'!$B:$J,X$11,FALSE),0)</f>
        <v>0</v>
      </c>
      <c r="Y27" s="392">
        <f t="shared" si="11"/>
        <v>0</v>
      </c>
      <c r="Z27" s="394">
        <f t="shared" si="12"/>
        <v>0</v>
      </c>
      <c r="AA27" s="138"/>
      <c r="AB27" s="395">
        <f t="shared" si="13"/>
        <v>0</v>
      </c>
      <c r="AC27" s="396" t="str">
        <f t="shared" si="14"/>
        <v/>
      </c>
      <c r="AD27" s="53"/>
      <c r="AE27" s="408">
        <f>IFERROR(VLOOKUP($C27,'Proposed Rates'!$B:$J,AE$11,FALSE),0)</f>
        <v>0</v>
      </c>
      <c r="AF27" s="392">
        <f t="shared" si="15"/>
        <v>0</v>
      </c>
      <c r="AG27" s="394">
        <f t="shared" si="16"/>
        <v>0</v>
      </c>
      <c r="AH27" s="138"/>
      <c r="AI27" s="395">
        <f t="shared" si="17"/>
        <v>0</v>
      </c>
      <c r="AJ27" s="396" t="str">
        <f t="shared" si="18"/>
        <v/>
      </c>
      <c r="AK27" s="53"/>
      <c r="AL27" s="408">
        <f>IFERROR(VLOOKUP($C27,'Proposed Rates'!$B:$J,AL$11,FALSE),0)</f>
        <v>0</v>
      </c>
      <c r="AM27" s="392">
        <f t="shared" si="19"/>
        <v>0</v>
      </c>
      <c r="AN27" s="394">
        <f t="shared" si="20"/>
        <v>0</v>
      </c>
      <c r="AO27" s="138"/>
      <c r="AP27" s="395">
        <f t="shared" si="21"/>
        <v>0</v>
      </c>
      <c r="AQ27" s="396" t="str">
        <f t="shared" si="22"/>
        <v/>
      </c>
      <c r="AR27" s="397"/>
    </row>
    <row r="28" spans="1:44" ht="12" customHeight="1">
      <c r="A28" s="53"/>
      <c r="B28" s="398"/>
      <c r="C28" s="389" t="str">
        <f t="shared" si="0"/>
        <v>General Service &lt; 50 kW.</v>
      </c>
      <c r="D28" s="390"/>
      <c r="E28" s="328"/>
      <c r="F28" s="408">
        <f>IFERROR(VLOOKUP($C28,'Proposed Rates'!$B:$J,F$11,FALSE),0)</f>
        <v>0</v>
      </c>
      <c r="G28" s="392">
        <f t="shared" si="1"/>
        <v>0</v>
      </c>
      <c r="H28" s="394">
        <f t="shared" si="2"/>
        <v>0</v>
      </c>
      <c r="I28" s="138"/>
      <c r="J28" s="408">
        <f>IFERROR(VLOOKUP($C28,'Proposed Rates'!$B:$J,J$11,FALSE),0)</f>
        <v>0</v>
      </c>
      <c r="K28" s="392">
        <f t="shared" si="3"/>
        <v>0</v>
      </c>
      <c r="L28" s="394">
        <f t="shared" si="4"/>
        <v>0</v>
      </c>
      <c r="M28" s="138"/>
      <c r="N28" s="395">
        <f t="shared" si="5"/>
        <v>0</v>
      </c>
      <c r="O28" s="396" t="str">
        <f t="shared" si="6"/>
        <v/>
      </c>
      <c r="P28" s="53"/>
      <c r="Q28" s="408">
        <f>IFERROR(VLOOKUP($C28,'Proposed Rates'!$B:$J,Q$11,FALSE),0)</f>
        <v>0</v>
      </c>
      <c r="R28" s="392">
        <f t="shared" si="7"/>
        <v>0</v>
      </c>
      <c r="S28" s="394">
        <f t="shared" si="8"/>
        <v>0</v>
      </c>
      <c r="T28" s="138"/>
      <c r="U28" s="395">
        <f t="shared" si="9"/>
        <v>0</v>
      </c>
      <c r="V28" s="396" t="str">
        <f t="shared" si="10"/>
        <v/>
      </c>
      <c r="W28" s="53"/>
      <c r="X28" s="408">
        <f>IFERROR(VLOOKUP($C28,'Proposed Rates'!$B:$J,X$11,FALSE),0)</f>
        <v>0</v>
      </c>
      <c r="Y28" s="392">
        <f t="shared" si="11"/>
        <v>0</v>
      </c>
      <c r="Z28" s="394">
        <f t="shared" si="12"/>
        <v>0</v>
      </c>
      <c r="AA28" s="138"/>
      <c r="AB28" s="395">
        <f t="shared" si="13"/>
        <v>0</v>
      </c>
      <c r="AC28" s="396" t="str">
        <f t="shared" si="14"/>
        <v/>
      </c>
      <c r="AD28" s="53"/>
      <c r="AE28" s="408">
        <f>IFERROR(VLOOKUP($C28,'Proposed Rates'!$B:$J,AE$11,FALSE),0)</f>
        <v>0</v>
      </c>
      <c r="AF28" s="392">
        <f t="shared" si="15"/>
        <v>0</v>
      </c>
      <c r="AG28" s="394">
        <f t="shared" si="16"/>
        <v>0</v>
      </c>
      <c r="AH28" s="138"/>
      <c r="AI28" s="395">
        <f t="shared" si="17"/>
        <v>0</v>
      </c>
      <c r="AJ28" s="396" t="str">
        <f t="shared" si="18"/>
        <v/>
      </c>
      <c r="AK28" s="53"/>
      <c r="AL28" s="408">
        <f>IFERROR(VLOOKUP($C28,'Proposed Rates'!$B:$J,AL$11,FALSE),0)</f>
        <v>0</v>
      </c>
      <c r="AM28" s="392">
        <f t="shared" si="19"/>
        <v>0</v>
      </c>
      <c r="AN28" s="394">
        <f t="shared" si="20"/>
        <v>0</v>
      </c>
      <c r="AO28" s="138"/>
      <c r="AP28" s="395">
        <f t="shared" si="21"/>
        <v>0</v>
      </c>
      <c r="AQ28" s="396" t="str">
        <f t="shared" si="22"/>
        <v/>
      </c>
      <c r="AR28" s="397"/>
    </row>
    <row r="29" spans="1:44" ht="12" customHeight="1">
      <c r="A29" s="314"/>
      <c r="B29" s="399" t="s">
        <v>339</v>
      </c>
      <c r="C29" s="400"/>
      <c r="D29" s="400"/>
      <c r="E29" s="400"/>
      <c r="F29" s="401"/>
      <c r="G29" s="494"/>
      <c r="H29" s="403">
        <f>SUM(H15:H28)</f>
        <v>54.730000000000004</v>
      </c>
      <c r="I29" s="404"/>
      <c r="J29" s="401"/>
      <c r="K29" s="494"/>
      <c r="L29" s="403">
        <f>SUM(L15:L28)</f>
        <v>61.65</v>
      </c>
      <c r="M29" s="404"/>
      <c r="N29" s="405">
        <f t="shared" si="5"/>
        <v>6.9199999999999946</v>
      </c>
      <c r="O29" s="406">
        <f t="shared" si="6"/>
        <v>0.12643888178329973</v>
      </c>
      <c r="P29" s="314"/>
      <c r="Q29" s="401"/>
      <c r="R29" s="494"/>
      <c r="S29" s="403">
        <f>SUM(S15:S28)</f>
        <v>65.31</v>
      </c>
      <c r="T29" s="404"/>
      <c r="U29" s="405">
        <f t="shared" si="9"/>
        <v>3.6600000000000037</v>
      </c>
      <c r="V29" s="406">
        <f t="shared" si="10"/>
        <v>5.9367396593674029E-2</v>
      </c>
      <c r="W29" s="314"/>
      <c r="X29" s="401"/>
      <c r="Y29" s="494"/>
      <c r="Z29" s="403">
        <f>SUM(Z15:Z28)</f>
        <v>67.2</v>
      </c>
      <c r="AA29" s="404"/>
      <c r="AB29" s="405">
        <f t="shared" si="13"/>
        <v>1.8900000000000006</v>
      </c>
      <c r="AC29" s="406">
        <f t="shared" si="14"/>
        <v>2.8938906752411585E-2</v>
      </c>
      <c r="AD29" s="314"/>
      <c r="AE29" s="401"/>
      <c r="AF29" s="494"/>
      <c r="AG29" s="403">
        <f>SUM(AG15:AG28)</f>
        <v>68.27</v>
      </c>
      <c r="AH29" s="404"/>
      <c r="AI29" s="405">
        <f t="shared" si="17"/>
        <v>1.0699999999999932</v>
      </c>
      <c r="AJ29" s="406">
        <f t="shared" si="18"/>
        <v>1.5922619047618946E-2</v>
      </c>
      <c r="AK29" s="314"/>
      <c r="AL29" s="401"/>
      <c r="AM29" s="494"/>
      <c r="AN29" s="403">
        <f>SUM(AN15:AN28)</f>
        <v>69.31</v>
      </c>
      <c r="AO29" s="404"/>
      <c r="AP29" s="405">
        <f t="shared" si="21"/>
        <v>1.0400000000000063</v>
      </c>
      <c r="AQ29" s="406">
        <f t="shared" si="22"/>
        <v>1.5233631170353102E-2</v>
      </c>
      <c r="AR29" s="407"/>
    </row>
    <row r="30" spans="1:44" ht="12" customHeight="1">
      <c r="A30" s="53"/>
      <c r="B30" s="398" t="s">
        <v>262</v>
      </c>
      <c r="C30" s="389" t="str">
        <f t="shared" ref="C30:C36" si="23">D$6&amp;"."&amp;B30</f>
        <v>General Service &lt; 50 kW.DVA Disposition Rate Rider Group 1 -2025</v>
      </c>
      <c r="D30" s="390" t="s">
        <v>337</v>
      </c>
      <c r="E30" s="328"/>
      <c r="F30" s="408">
        <f>IFERROR(VLOOKUP($C30,'Proposed Rates'!$B:$J,F$11,FALSE),0)</f>
        <v>0</v>
      </c>
      <c r="G30" s="392">
        <f t="shared" ref="G30:G33" si="24">IF($D30="Monthly",1,IF($D30="per KWH",$F$10,0))</f>
        <v>1000</v>
      </c>
      <c r="H30" s="394">
        <f t="shared" ref="H30:H36" si="25">G30*F30</f>
        <v>0</v>
      </c>
      <c r="I30" s="138"/>
      <c r="J30" s="408">
        <f>IFERROR(VLOOKUP($C30,'Proposed Rates'!$B:$J,J$11,FALSE),0)</f>
        <v>-8.9999999999999998E-4</v>
      </c>
      <c r="K30" s="392">
        <f t="shared" ref="K30:K33" si="26">IF($D30="Monthly",1,IF($D30="per KWH",$F$10,0))</f>
        <v>1000</v>
      </c>
      <c r="L30" s="410">
        <f t="shared" ref="L30:L36" si="27">K30*J30</f>
        <v>-0.9</v>
      </c>
      <c r="M30" s="138"/>
      <c r="N30" s="395">
        <f t="shared" si="5"/>
        <v>-0.9</v>
      </c>
      <c r="O30" s="396" t="str">
        <f t="shared" si="6"/>
        <v/>
      </c>
      <c r="P30" s="53"/>
      <c r="Q30" s="408">
        <f>IFERROR(VLOOKUP($C30,'Proposed Rates'!$B:$J,Q$11,FALSE),0)</f>
        <v>0</v>
      </c>
      <c r="R30" s="392">
        <f t="shared" ref="R30:R33" si="28">IF($D30="Monthly",1,IF($D30="per KWH",$F$10,0))</f>
        <v>1000</v>
      </c>
      <c r="S30" s="394">
        <f t="shared" ref="S30:S36" si="29">R30*Q30</f>
        <v>0</v>
      </c>
      <c r="T30" s="138"/>
      <c r="U30" s="395">
        <f t="shared" si="9"/>
        <v>0.9</v>
      </c>
      <c r="V30" s="396">
        <f t="shared" si="10"/>
        <v>-1</v>
      </c>
      <c r="W30" s="53"/>
      <c r="X30" s="408">
        <f>IFERROR(VLOOKUP($C30,'Proposed Rates'!$B:$J,X$11,FALSE),0)</f>
        <v>0</v>
      </c>
      <c r="Y30" s="392">
        <f t="shared" ref="Y30:Y33" si="30">IF($D30="Monthly",1,IF($D30="per KWH",$F$10,0))</f>
        <v>1000</v>
      </c>
      <c r="Z30" s="394">
        <f t="shared" ref="Z30:Z36" si="31">Y30*X30</f>
        <v>0</v>
      </c>
      <c r="AA30" s="138"/>
      <c r="AB30" s="395">
        <f t="shared" si="13"/>
        <v>0</v>
      </c>
      <c r="AC30" s="396" t="str">
        <f t="shared" si="14"/>
        <v/>
      </c>
      <c r="AD30" s="53"/>
      <c r="AE30" s="408">
        <f>IFERROR(VLOOKUP($C30,'Proposed Rates'!$B:$J,AE$11,FALSE),0)</f>
        <v>0</v>
      </c>
      <c r="AF30" s="392">
        <f t="shared" ref="AF30:AF33" si="32">IF($D30="Monthly",1,IF($D30="per KWH",$F$10,0))</f>
        <v>1000</v>
      </c>
      <c r="AG30" s="394">
        <f t="shared" ref="AG30:AG36" si="33">AF30*AE30</f>
        <v>0</v>
      </c>
      <c r="AH30" s="138"/>
      <c r="AI30" s="395">
        <f t="shared" si="17"/>
        <v>0</v>
      </c>
      <c r="AJ30" s="396" t="str">
        <f t="shared" si="18"/>
        <v/>
      </c>
      <c r="AK30" s="53"/>
      <c r="AL30" s="408">
        <f>IFERROR(VLOOKUP($C30,'Proposed Rates'!$B:$J,AL$11,FALSE),0)</f>
        <v>0</v>
      </c>
      <c r="AM30" s="392">
        <f t="shared" ref="AM30:AM33" si="34">IF($D30="Monthly",1,IF($D30="per KWH",$F$10,0))</f>
        <v>1000</v>
      </c>
      <c r="AN30" s="394">
        <f t="shared" ref="AN30:AN36" si="35">AM30*AL30</f>
        <v>0</v>
      </c>
      <c r="AO30" s="138"/>
      <c r="AP30" s="395">
        <f t="shared" si="21"/>
        <v>0</v>
      </c>
      <c r="AQ30" s="396" t="str">
        <f t="shared" si="22"/>
        <v/>
      </c>
      <c r="AR30" s="397"/>
    </row>
    <row r="31" spans="1:44" ht="12" customHeight="1">
      <c r="A31" s="53"/>
      <c r="B31" s="398" t="s">
        <v>264</v>
      </c>
      <c r="C31" s="389" t="str">
        <f t="shared" si="23"/>
        <v>General Service &lt; 50 kW.DVA Disposition Rate Rider Group 1 - 2024</v>
      </c>
      <c r="D31" s="390" t="s">
        <v>337</v>
      </c>
      <c r="E31" s="328"/>
      <c r="F31" s="408">
        <f>IFERROR(VLOOKUP($C31,'Proposed Rates'!$B:$J,F$11,FALSE),0)</f>
        <v>0</v>
      </c>
      <c r="G31" s="392">
        <f t="shared" si="24"/>
        <v>1000</v>
      </c>
      <c r="H31" s="394">
        <f t="shared" si="25"/>
        <v>0</v>
      </c>
      <c r="I31" s="479"/>
      <c r="J31" s="408">
        <f>IFERROR(VLOOKUP($C31,'Proposed Rates'!$B:$J,J$11,FALSE),0)</f>
        <v>0</v>
      </c>
      <c r="K31" s="392">
        <f t="shared" si="26"/>
        <v>1000</v>
      </c>
      <c r="L31" s="394">
        <f t="shared" si="27"/>
        <v>0</v>
      </c>
      <c r="M31" s="411"/>
      <c r="N31" s="395">
        <f t="shared" si="5"/>
        <v>0</v>
      </c>
      <c r="O31" s="396" t="str">
        <f t="shared" si="6"/>
        <v/>
      </c>
      <c r="P31" s="53"/>
      <c r="Q31" s="408">
        <f>IFERROR(VLOOKUP($C31,'Proposed Rates'!$B:$J,Q$11,FALSE),0)</f>
        <v>0</v>
      </c>
      <c r="R31" s="392">
        <f t="shared" si="28"/>
        <v>1000</v>
      </c>
      <c r="S31" s="394">
        <f t="shared" si="29"/>
        <v>0</v>
      </c>
      <c r="T31" s="138"/>
      <c r="U31" s="395">
        <f t="shared" si="9"/>
        <v>0</v>
      </c>
      <c r="V31" s="396" t="str">
        <f t="shared" si="10"/>
        <v/>
      </c>
      <c r="W31" s="53"/>
      <c r="X31" s="408">
        <f>IFERROR(VLOOKUP($C31,'Proposed Rates'!$B:$J,X$11,FALSE),0)</f>
        <v>0</v>
      </c>
      <c r="Y31" s="392">
        <f t="shared" si="30"/>
        <v>1000</v>
      </c>
      <c r="Z31" s="394">
        <f t="shared" si="31"/>
        <v>0</v>
      </c>
      <c r="AA31" s="138"/>
      <c r="AB31" s="395">
        <f t="shared" si="13"/>
        <v>0</v>
      </c>
      <c r="AC31" s="396" t="str">
        <f t="shared" si="14"/>
        <v/>
      </c>
      <c r="AD31" s="53"/>
      <c r="AE31" s="408">
        <f>IFERROR(VLOOKUP($C31,'Proposed Rates'!$B:$J,AE$11,FALSE),0)</f>
        <v>0</v>
      </c>
      <c r="AF31" s="392">
        <f t="shared" si="32"/>
        <v>1000</v>
      </c>
      <c r="AG31" s="394">
        <f t="shared" si="33"/>
        <v>0</v>
      </c>
      <c r="AH31" s="138"/>
      <c r="AI31" s="395">
        <f t="shared" si="17"/>
        <v>0</v>
      </c>
      <c r="AJ31" s="396" t="str">
        <f t="shared" si="18"/>
        <v/>
      </c>
      <c r="AK31" s="53"/>
      <c r="AL31" s="408">
        <f>IFERROR(VLOOKUP($C31,'Proposed Rates'!$B:$J,AL$11,FALSE),0)</f>
        <v>0</v>
      </c>
      <c r="AM31" s="392">
        <f t="shared" si="34"/>
        <v>1000</v>
      </c>
      <c r="AN31" s="394">
        <f t="shared" si="35"/>
        <v>0</v>
      </c>
      <c r="AO31" s="138"/>
      <c r="AP31" s="395">
        <f t="shared" si="21"/>
        <v>0</v>
      </c>
      <c r="AQ31" s="396" t="str">
        <f t="shared" si="22"/>
        <v/>
      </c>
      <c r="AR31" s="397"/>
    </row>
    <row r="32" spans="1:44" ht="12" customHeight="1">
      <c r="A32" s="53"/>
      <c r="B32" s="398" t="s">
        <v>272</v>
      </c>
      <c r="C32" s="389" t="str">
        <f t="shared" si="23"/>
        <v>General Service &lt; 50 kW.CBR Class B Rate Riders</v>
      </c>
      <c r="D32" s="390" t="s">
        <v>337</v>
      </c>
      <c r="E32" s="328"/>
      <c r="F32" s="408">
        <f>IFERROR(VLOOKUP($C32,'Proposed Rates'!$B:$J,F$11,FALSE),0)</f>
        <v>2.0000000000000001E-4</v>
      </c>
      <c r="G32" s="392">
        <f t="shared" si="24"/>
        <v>1000</v>
      </c>
      <c r="H32" s="394">
        <f t="shared" si="25"/>
        <v>0.2</v>
      </c>
      <c r="I32" s="479"/>
      <c r="J32" s="408">
        <f>IFERROR(VLOOKUP($C32,'Proposed Rates'!$B:$J,J$11,FALSE),0)</f>
        <v>8.0000000000000004E-4</v>
      </c>
      <c r="K32" s="392">
        <f t="shared" si="26"/>
        <v>1000</v>
      </c>
      <c r="L32" s="394">
        <f t="shared" si="27"/>
        <v>0.8</v>
      </c>
      <c r="M32" s="411"/>
      <c r="N32" s="395">
        <f t="shared" si="5"/>
        <v>0.60000000000000009</v>
      </c>
      <c r="O32" s="396">
        <f t="shared" si="6"/>
        <v>3.0000000000000004</v>
      </c>
      <c r="P32" s="53"/>
      <c r="Q32" s="408">
        <f>IFERROR(VLOOKUP($C32,'Proposed Rates'!$B:$J,Q$11,FALSE),0)</f>
        <v>0</v>
      </c>
      <c r="R32" s="392">
        <f t="shared" si="28"/>
        <v>1000</v>
      </c>
      <c r="S32" s="394">
        <f t="shared" si="29"/>
        <v>0</v>
      </c>
      <c r="T32" s="411"/>
      <c r="U32" s="395">
        <f t="shared" si="9"/>
        <v>-0.8</v>
      </c>
      <c r="V32" s="396">
        <f t="shared" si="10"/>
        <v>-1</v>
      </c>
      <c r="W32" s="53"/>
      <c r="X32" s="408">
        <f>IFERROR(VLOOKUP($C32,'Proposed Rates'!$B:$J,X$11,FALSE),0)</f>
        <v>0</v>
      </c>
      <c r="Y32" s="392">
        <f t="shared" si="30"/>
        <v>1000</v>
      </c>
      <c r="Z32" s="394">
        <f t="shared" si="31"/>
        <v>0</v>
      </c>
      <c r="AA32" s="411"/>
      <c r="AB32" s="395">
        <f t="shared" si="13"/>
        <v>0</v>
      </c>
      <c r="AC32" s="396" t="str">
        <f t="shared" si="14"/>
        <v/>
      </c>
      <c r="AD32" s="53"/>
      <c r="AE32" s="408">
        <f>IFERROR(VLOOKUP($C32,'Proposed Rates'!$B:$J,AE$11,FALSE),0)</f>
        <v>0</v>
      </c>
      <c r="AF32" s="392">
        <f t="shared" si="32"/>
        <v>1000</v>
      </c>
      <c r="AG32" s="394">
        <f t="shared" si="33"/>
        <v>0</v>
      </c>
      <c r="AH32" s="411"/>
      <c r="AI32" s="395">
        <f t="shared" si="17"/>
        <v>0</v>
      </c>
      <c r="AJ32" s="396" t="str">
        <f t="shared" si="18"/>
        <v/>
      </c>
      <c r="AK32" s="53"/>
      <c r="AL32" s="408">
        <f>IFERROR(VLOOKUP($C32,'Proposed Rates'!$B:$J,AL$11,FALSE),0)</f>
        <v>0</v>
      </c>
      <c r="AM32" s="392">
        <f t="shared" si="34"/>
        <v>1000</v>
      </c>
      <c r="AN32" s="394">
        <f t="shared" si="35"/>
        <v>0</v>
      </c>
      <c r="AO32" s="411"/>
      <c r="AP32" s="395">
        <f t="shared" si="21"/>
        <v>0</v>
      </c>
      <c r="AQ32" s="396" t="str">
        <f t="shared" si="22"/>
        <v/>
      </c>
      <c r="AR32" s="397"/>
    </row>
    <row r="33" spans="1:44" ht="12" customHeight="1">
      <c r="A33" s="53"/>
      <c r="B33" s="398" t="s">
        <v>340</v>
      </c>
      <c r="C33" s="389" t="str">
        <f t="shared" si="23"/>
        <v>General Service &lt; 50 kW.GA Disposition Rate Rider-NonRPP</v>
      </c>
      <c r="D33" s="390" t="s">
        <v>337</v>
      </c>
      <c r="E33" s="328"/>
      <c r="F33" s="408">
        <f>IFERROR(VLOOKUP($C33,'Proposed Rates'!$B:$J,F$11,FALSE),0)</f>
        <v>0</v>
      </c>
      <c r="G33" s="392">
        <f t="shared" si="24"/>
        <v>1000</v>
      </c>
      <c r="H33" s="394">
        <f t="shared" si="25"/>
        <v>0</v>
      </c>
      <c r="I33" s="479"/>
      <c r="J33" s="408">
        <f>IFERROR(VLOOKUP($C33,'Proposed Rates'!$B:$J,J$11,FALSE),0)</f>
        <v>0</v>
      </c>
      <c r="K33" s="392">
        <f t="shared" si="26"/>
        <v>1000</v>
      </c>
      <c r="L33" s="394">
        <f t="shared" si="27"/>
        <v>0</v>
      </c>
      <c r="M33" s="411"/>
      <c r="N33" s="395">
        <f t="shared" si="5"/>
        <v>0</v>
      </c>
      <c r="O33" s="396" t="str">
        <f t="shared" si="6"/>
        <v/>
      </c>
      <c r="P33" s="53"/>
      <c r="Q33" s="408">
        <f>IFERROR(VLOOKUP($C33,'Proposed Rates'!$B:$J,Q$11,FALSE),0)</f>
        <v>0</v>
      </c>
      <c r="R33" s="392">
        <f t="shared" si="28"/>
        <v>1000</v>
      </c>
      <c r="S33" s="394">
        <f t="shared" si="29"/>
        <v>0</v>
      </c>
      <c r="T33" s="411"/>
      <c r="U33" s="395">
        <f t="shared" si="9"/>
        <v>0</v>
      </c>
      <c r="V33" s="396" t="str">
        <f t="shared" si="10"/>
        <v/>
      </c>
      <c r="W33" s="53"/>
      <c r="X33" s="408">
        <f>IFERROR(VLOOKUP($C33,'Proposed Rates'!$B:$J,X$11,FALSE),0)</f>
        <v>0</v>
      </c>
      <c r="Y33" s="392">
        <f t="shared" si="30"/>
        <v>1000</v>
      </c>
      <c r="Z33" s="394">
        <f t="shared" si="31"/>
        <v>0</v>
      </c>
      <c r="AA33" s="411"/>
      <c r="AB33" s="395">
        <f t="shared" si="13"/>
        <v>0</v>
      </c>
      <c r="AC33" s="396" t="str">
        <f t="shared" si="14"/>
        <v/>
      </c>
      <c r="AD33" s="53"/>
      <c r="AE33" s="408">
        <f>IFERROR(VLOOKUP($C33,'Proposed Rates'!$B:$J,AE$11,FALSE),0)</f>
        <v>0</v>
      </c>
      <c r="AF33" s="392">
        <f t="shared" si="32"/>
        <v>1000</v>
      </c>
      <c r="AG33" s="394">
        <f t="shared" si="33"/>
        <v>0</v>
      </c>
      <c r="AH33" s="411"/>
      <c r="AI33" s="395">
        <f t="shared" si="17"/>
        <v>0</v>
      </c>
      <c r="AJ33" s="396" t="str">
        <f t="shared" si="18"/>
        <v/>
      </c>
      <c r="AK33" s="53"/>
      <c r="AL33" s="408">
        <f>IFERROR(VLOOKUP($C33,'Proposed Rates'!$B:$J,AL$11,FALSE),0)</f>
        <v>0</v>
      </c>
      <c r="AM33" s="392">
        <f t="shared" si="34"/>
        <v>1000</v>
      </c>
      <c r="AN33" s="394">
        <f t="shared" si="35"/>
        <v>0</v>
      </c>
      <c r="AO33" s="411"/>
      <c r="AP33" s="395">
        <f t="shared" si="21"/>
        <v>0</v>
      </c>
      <c r="AQ33" s="396" t="str">
        <f t="shared" si="22"/>
        <v/>
      </c>
      <c r="AR33" s="397"/>
    </row>
    <row r="34" spans="1:44" ht="12" customHeight="1">
      <c r="A34" s="53"/>
      <c r="B34" s="328" t="s">
        <v>300</v>
      </c>
      <c r="C34" s="389" t="str">
        <f t="shared" si="23"/>
        <v>General Service &lt; 50 kW.Low Voltage Service Charge</v>
      </c>
      <c r="D34" s="390" t="s">
        <v>337</v>
      </c>
      <c r="E34" s="328"/>
      <c r="F34" s="412">
        <f>IFERROR(VLOOKUP($C34,'Proposed Rates'!$B:$J,F$11,FALSE),0)</f>
        <v>5.0000000000000002E-5</v>
      </c>
      <c r="G34" s="413">
        <f>$F$10*(1+F$63)</f>
        <v>1033.8</v>
      </c>
      <c r="H34" s="394">
        <f t="shared" si="25"/>
        <v>5.169E-2</v>
      </c>
      <c r="I34" s="138"/>
      <c r="J34" s="412">
        <f>IFERROR(VLOOKUP($C34,'Proposed Rates'!$B:$J,J$11,FALSE),0)</f>
        <v>6.0000000000000002E-5</v>
      </c>
      <c r="K34" s="413">
        <f>$F$10*(1+J$63)</f>
        <v>1033.1999999999998</v>
      </c>
      <c r="L34" s="394">
        <f t="shared" si="27"/>
        <v>6.1991999999999992E-2</v>
      </c>
      <c r="M34" s="138"/>
      <c r="N34" s="395">
        <f t="shared" si="5"/>
        <v>1.0301999999999992E-2</v>
      </c>
      <c r="O34" s="396">
        <f t="shared" si="6"/>
        <v>0.19930354033662201</v>
      </c>
      <c r="P34" s="53"/>
      <c r="Q34" s="412">
        <f>IFERROR(VLOOKUP($C34,'Proposed Rates'!$B:$J,Q$11,FALSE),0)</f>
        <v>6.0000000000000002E-5</v>
      </c>
      <c r="R34" s="413">
        <f>$F$10*(1+Q$63)</f>
        <v>1033.1999999999998</v>
      </c>
      <c r="S34" s="394">
        <f t="shared" si="29"/>
        <v>6.1991999999999992E-2</v>
      </c>
      <c r="T34" s="138"/>
      <c r="U34" s="395">
        <f t="shared" si="9"/>
        <v>0</v>
      </c>
      <c r="V34" s="396">
        <f t="shared" si="10"/>
        <v>0</v>
      </c>
      <c r="W34" s="53"/>
      <c r="X34" s="412">
        <f>IFERROR(VLOOKUP($C34,'Proposed Rates'!$B:$J,X$11,FALSE),0)</f>
        <v>6.0000000000000002E-5</v>
      </c>
      <c r="Y34" s="413">
        <f>$F$10*(1+X$63)</f>
        <v>1033.1999999999998</v>
      </c>
      <c r="Z34" s="394">
        <f t="shared" si="31"/>
        <v>6.1991999999999992E-2</v>
      </c>
      <c r="AA34" s="138"/>
      <c r="AB34" s="395">
        <f t="shared" si="13"/>
        <v>0</v>
      </c>
      <c r="AC34" s="396">
        <f t="shared" si="14"/>
        <v>0</v>
      </c>
      <c r="AD34" s="53"/>
      <c r="AE34" s="412">
        <f>IFERROR(VLOOKUP($C34,'Proposed Rates'!$B:$J,AE$11,FALSE),0)</f>
        <v>6.0000000000000002E-5</v>
      </c>
      <c r="AF34" s="413">
        <f>$F$10*(1+AE$63)</f>
        <v>1033.1999999999998</v>
      </c>
      <c r="AG34" s="394">
        <f t="shared" si="33"/>
        <v>6.1991999999999992E-2</v>
      </c>
      <c r="AH34" s="138"/>
      <c r="AI34" s="395">
        <f t="shared" si="17"/>
        <v>0</v>
      </c>
      <c r="AJ34" s="396">
        <f t="shared" si="18"/>
        <v>0</v>
      </c>
      <c r="AK34" s="53"/>
      <c r="AL34" s="412">
        <f>IFERROR(VLOOKUP($C34,'Proposed Rates'!$B:$J,AL$11,FALSE),0)</f>
        <v>6.0000000000000002E-5</v>
      </c>
      <c r="AM34" s="413">
        <f>$F$10*(1+AL$63)</f>
        <v>1033.1999999999998</v>
      </c>
      <c r="AN34" s="394">
        <f t="shared" si="35"/>
        <v>6.1991999999999992E-2</v>
      </c>
      <c r="AO34" s="138"/>
      <c r="AP34" s="395">
        <f t="shared" si="21"/>
        <v>0</v>
      </c>
      <c r="AQ34" s="396">
        <f t="shared" si="22"/>
        <v>0</v>
      </c>
      <c r="AR34" s="397"/>
    </row>
    <row r="35" spans="1:44" ht="12" customHeight="1">
      <c r="A35" s="53"/>
      <c r="B35" s="328" t="s">
        <v>341</v>
      </c>
      <c r="C35" s="389" t="str">
        <f t="shared" si="23"/>
        <v>General Service &lt; 50 kW.Line Losses on Cost of Power</v>
      </c>
      <c r="D35" s="390" t="s">
        <v>337</v>
      </c>
      <c r="E35" s="328"/>
      <c r="F35" s="414">
        <f>'Proposed Rates'!$K$256*F$44+'Proposed Rates'!$K$257*F$45+'Proposed Rates'!$K$258*F$46</f>
        <v>0.12752000000000002</v>
      </c>
      <c r="G35" s="501">
        <f>$F$10*(1+F$63)-$F$10</f>
        <v>33.799999999999955</v>
      </c>
      <c r="H35" s="394">
        <f t="shared" si="25"/>
        <v>4.3101759999999949</v>
      </c>
      <c r="I35" s="138"/>
      <c r="J35" s="414">
        <f>'Proposed Rates'!$K$256*J$44+'Proposed Rates'!$K$257*J$45+'Proposed Rates'!$K$258*J$46</f>
        <v>0.12752000000000002</v>
      </c>
      <c r="K35" s="501">
        <f>$F$10*(1+J$63)-$F$10</f>
        <v>33.199999999999818</v>
      </c>
      <c r="L35" s="394">
        <f t="shared" si="27"/>
        <v>4.2336639999999779</v>
      </c>
      <c r="M35" s="138"/>
      <c r="N35" s="395">
        <f t="shared" si="5"/>
        <v>-7.6512000000017011E-2</v>
      </c>
      <c r="O35" s="396">
        <f t="shared" si="6"/>
        <v>-1.7751479289944794E-2</v>
      </c>
      <c r="P35" s="53"/>
      <c r="Q35" s="414">
        <f>'Proposed Rates'!$K$256*Q$44+'Proposed Rates'!$K$257*Q$45+'Proposed Rates'!$K$258*Q$46</f>
        <v>0.12752000000000002</v>
      </c>
      <c r="R35" s="501">
        <f>$F$10*(1+Q$63)-$F$10</f>
        <v>33.199999999999818</v>
      </c>
      <c r="S35" s="394">
        <f t="shared" si="29"/>
        <v>4.2336639999999779</v>
      </c>
      <c r="T35" s="138"/>
      <c r="U35" s="395">
        <f t="shared" si="9"/>
        <v>0</v>
      </c>
      <c r="V35" s="396">
        <f t="shared" si="10"/>
        <v>0</v>
      </c>
      <c r="W35" s="53"/>
      <c r="X35" s="414">
        <f>'Proposed Rates'!$K$256*X$44+'Proposed Rates'!$K$257*X$45+'Proposed Rates'!$K$258*X$46</f>
        <v>0.12752000000000002</v>
      </c>
      <c r="Y35" s="501">
        <f>$F$10*(1+X$63)-$F$10</f>
        <v>33.199999999999818</v>
      </c>
      <c r="Z35" s="394">
        <f t="shared" si="31"/>
        <v>4.2336639999999779</v>
      </c>
      <c r="AA35" s="138"/>
      <c r="AB35" s="395">
        <f t="shared" si="13"/>
        <v>0</v>
      </c>
      <c r="AC35" s="396">
        <f t="shared" si="14"/>
        <v>0</v>
      </c>
      <c r="AD35" s="53"/>
      <c r="AE35" s="414">
        <f>'Proposed Rates'!$K$256*AE$44+'Proposed Rates'!$K$257*AE$45+'Proposed Rates'!$K$258*AE$46</f>
        <v>0.12752000000000002</v>
      </c>
      <c r="AF35" s="501">
        <f>$F$10*(1+AE$63)-$F$10</f>
        <v>33.199999999999818</v>
      </c>
      <c r="AG35" s="394">
        <f t="shared" si="33"/>
        <v>4.2336639999999779</v>
      </c>
      <c r="AH35" s="138"/>
      <c r="AI35" s="395">
        <f t="shared" si="17"/>
        <v>0</v>
      </c>
      <c r="AJ35" s="396">
        <f t="shared" si="18"/>
        <v>0</v>
      </c>
      <c r="AK35" s="53"/>
      <c r="AL35" s="414">
        <f>'Proposed Rates'!$K$256*AL$44+'Proposed Rates'!$K$257*AL$45+'Proposed Rates'!$K$258*AL$46</f>
        <v>0.12752000000000002</v>
      </c>
      <c r="AM35" s="501">
        <f>$F$10*(1+AL$63)-$F$10</f>
        <v>33.199999999999818</v>
      </c>
      <c r="AN35" s="394">
        <f t="shared" si="35"/>
        <v>4.2336639999999779</v>
      </c>
      <c r="AO35" s="138"/>
      <c r="AP35" s="395">
        <f t="shared" si="21"/>
        <v>0</v>
      </c>
      <c r="AQ35" s="396">
        <f t="shared" si="22"/>
        <v>0</v>
      </c>
      <c r="AR35" s="397"/>
    </row>
    <row r="36" spans="1:44" ht="12" customHeight="1">
      <c r="A36" s="53"/>
      <c r="B36" s="328" t="s">
        <v>302</v>
      </c>
      <c r="C36" s="389" t="str">
        <f t="shared" si="23"/>
        <v>General Service &lt; 50 kW.Smart Meter Entity Charge</v>
      </c>
      <c r="D36" s="390" t="s">
        <v>335</v>
      </c>
      <c r="E36" s="328"/>
      <c r="F36" s="391">
        <f>IFERROR(VLOOKUP($C36,'Proposed Rates'!$B:$J,F$11,FALSE),0)</f>
        <v>0.42</v>
      </c>
      <c r="G36" s="392">
        <f>IF($D36="Monthly",1,IF($D36="per KWH",$F$10,0))</f>
        <v>1</v>
      </c>
      <c r="H36" s="394">
        <f t="shared" si="25"/>
        <v>0.42</v>
      </c>
      <c r="I36" s="138"/>
      <c r="J36" s="391">
        <f>IFERROR(VLOOKUP($C36,'Proposed Rates'!$B:$J,J$11,FALSE),0)</f>
        <v>0.42</v>
      </c>
      <c r="K36" s="392">
        <f>IF($D36="Monthly",1,IF($D36="per KWH",$F$10,0))</f>
        <v>1</v>
      </c>
      <c r="L36" s="394">
        <f t="shared" si="27"/>
        <v>0.42</v>
      </c>
      <c r="M36" s="138"/>
      <c r="N36" s="395">
        <f t="shared" si="5"/>
        <v>0</v>
      </c>
      <c r="O36" s="396">
        <f t="shared" si="6"/>
        <v>0</v>
      </c>
      <c r="P36" s="53"/>
      <c r="Q36" s="391">
        <f>IFERROR(VLOOKUP($C36,'Proposed Rates'!$B:$J,Q$11,FALSE),0)</f>
        <v>0.42</v>
      </c>
      <c r="R36" s="392">
        <f>IF($D36="Monthly",1,IF($D36="per KWH",$F$10,0))</f>
        <v>1</v>
      </c>
      <c r="S36" s="394">
        <f t="shared" si="29"/>
        <v>0.42</v>
      </c>
      <c r="T36" s="138"/>
      <c r="U36" s="395">
        <f t="shared" si="9"/>
        <v>0</v>
      </c>
      <c r="V36" s="396">
        <f t="shared" si="10"/>
        <v>0</v>
      </c>
      <c r="W36" s="53"/>
      <c r="X36" s="391">
        <f>IFERROR(VLOOKUP($C36,'Proposed Rates'!$B:$J,X$11,FALSE),0)</f>
        <v>0.43</v>
      </c>
      <c r="Y36" s="392">
        <f>IF($D36="Monthly",1,IF($D36="per KWH",$F$10,0))</f>
        <v>1</v>
      </c>
      <c r="Z36" s="394">
        <f t="shared" si="31"/>
        <v>0.43</v>
      </c>
      <c r="AA36" s="138"/>
      <c r="AB36" s="395">
        <f t="shared" si="13"/>
        <v>1.0000000000000009E-2</v>
      </c>
      <c r="AC36" s="396">
        <f t="shared" si="14"/>
        <v>2.3809523809523832E-2</v>
      </c>
      <c r="AD36" s="53"/>
      <c r="AE36" s="391">
        <f>IFERROR(VLOOKUP($C36,'Proposed Rates'!$B:$J,AE$11,FALSE),0)</f>
        <v>0.44</v>
      </c>
      <c r="AF36" s="392">
        <f>IF($D36="Monthly",1,IF($D36="per KWH",$F$10,0))</f>
        <v>1</v>
      </c>
      <c r="AG36" s="394">
        <f t="shared" si="33"/>
        <v>0.44</v>
      </c>
      <c r="AH36" s="138"/>
      <c r="AI36" s="395">
        <f t="shared" si="17"/>
        <v>1.0000000000000009E-2</v>
      </c>
      <c r="AJ36" s="396">
        <f t="shared" si="18"/>
        <v>2.3255813953488393E-2</v>
      </c>
      <c r="AK36" s="53"/>
      <c r="AL36" s="391">
        <f>IFERROR(VLOOKUP($C36,'Proposed Rates'!$B:$J,AL$11,FALSE),0)</f>
        <v>0.45</v>
      </c>
      <c r="AM36" s="392">
        <f>IF($D36="Monthly",1,IF($D36="per KWH",$F$10,0))</f>
        <v>1</v>
      </c>
      <c r="AN36" s="394">
        <f t="shared" si="35"/>
        <v>0.45</v>
      </c>
      <c r="AO36" s="138"/>
      <c r="AP36" s="395">
        <f t="shared" si="21"/>
        <v>1.0000000000000009E-2</v>
      </c>
      <c r="AQ36" s="396">
        <f t="shared" si="22"/>
        <v>2.2727272727272749E-2</v>
      </c>
      <c r="AR36" s="397"/>
    </row>
    <row r="37" spans="1:44" ht="12" customHeight="1">
      <c r="A37" s="53"/>
      <c r="B37" s="399" t="s">
        <v>342</v>
      </c>
      <c r="C37" s="416"/>
      <c r="D37" s="416"/>
      <c r="E37" s="416"/>
      <c r="F37" s="417"/>
      <c r="G37" s="495"/>
      <c r="H37" s="403">
        <f>SUM(H30:H36)+H29</f>
        <v>59.711866000000001</v>
      </c>
      <c r="I37" s="419"/>
      <c r="J37" s="417"/>
      <c r="K37" s="495"/>
      <c r="L37" s="403">
        <f>SUM(L30:L36)+L29</f>
        <v>66.265655999999979</v>
      </c>
      <c r="M37" s="419"/>
      <c r="N37" s="405">
        <f t="shared" si="5"/>
        <v>6.553789999999978</v>
      </c>
      <c r="O37" s="406">
        <f t="shared" si="6"/>
        <v>0.10975691163294039</v>
      </c>
      <c r="P37" s="53"/>
      <c r="Q37" s="417"/>
      <c r="R37" s="495"/>
      <c r="S37" s="403">
        <f>SUM(S30:S36)+S29</f>
        <v>70.025655999999984</v>
      </c>
      <c r="T37" s="419"/>
      <c r="U37" s="405">
        <f t="shared" si="9"/>
        <v>3.7600000000000051</v>
      </c>
      <c r="V37" s="406">
        <f t="shared" si="10"/>
        <v>5.6741308046509134E-2</v>
      </c>
      <c r="W37" s="53"/>
      <c r="X37" s="417"/>
      <c r="Y37" s="495"/>
      <c r="Z37" s="403">
        <f>SUM(Z30:Z36)+Z29</f>
        <v>71.925655999999975</v>
      </c>
      <c r="AA37" s="419"/>
      <c r="AB37" s="405">
        <f t="shared" si="13"/>
        <v>1.8999999999999915</v>
      </c>
      <c r="AC37" s="406">
        <f t="shared" si="14"/>
        <v>2.7132912542797056E-2</v>
      </c>
      <c r="AD37" s="53"/>
      <c r="AE37" s="417"/>
      <c r="AF37" s="495"/>
      <c r="AG37" s="403">
        <f>SUM(AG30:AG36)+AG29</f>
        <v>73.005655999999973</v>
      </c>
      <c r="AH37" s="419"/>
      <c r="AI37" s="405">
        <f t="shared" si="17"/>
        <v>1.0799999999999983</v>
      </c>
      <c r="AJ37" s="406">
        <f t="shared" si="18"/>
        <v>1.5015504342428224E-2</v>
      </c>
      <c r="AK37" s="53"/>
      <c r="AL37" s="417"/>
      <c r="AM37" s="495"/>
      <c r="AN37" s="403">
        <f>SUM(AN30:AN36)+AN29</f>
        <v>74.055655999999985</v>
      </c>
      <c r="AO37" s="419"/>
      <c r="AP37" s="405">
        <f t="shared" si="21"/>
        <v>1.0500000000000114</v>
      </c>
      <c r="AQ37" s="406">
        <f t="shared" si="22"/>
        <v>1.4382447299699789E-2</v>
      </c>
      <c r="AR37" s="407"/>
    </row>
    <row r="38" spans="1:44" ht="12" customHeight="1">
      <c r="A38" s="53"/>
      <c r="B38" s="138" t="s">
        <v>285</v>
      </c>
      <c r="C38" s="389" t="str">
        <f t="shared" ref="C38:C39" si="36">D$6&amp;"."&amp;B38</f>
        <v>General Service &lt; 50 kW.RTSR - Network</v>
      </c>
      <c r="D38" s="420" t="s">
        <v>337</v>
      </c>
      <c r="E38" s="138"/>
      <c r="F38" s="408">
        <f>IFERROR(VLOOKUP($C38,'Proposed Rates'!$B:$J,F$11,FALSE),0)</f>
        <v>1.18E-2</v>
      </c>
      <c r="G38" s="502">
        <f t="shared" ref="G38:G39" si="37">$F$10*(1+F$63)</f>
        <v>1033.8</v>
      </c>
      <c r="H38" s="394">
        <f t="shared" ref="H38:H39" si="38">G38*F38</f>
        <v>12.198839999999999</v>
      </c>
      <c r="I38" s="138"/>
      <c r="J38" s="408">
        <f>IFERROR(VLOOKUP($C38,'Proposed Rates'!$B:$J,J$11,FALSE),0)</f>
        <v>1.0699999999999999E-2</v>
      </c>
      <c r="K38" s="502">
        <f t="shared" ref="K38:K39" si="39">$F$10*(1+J$63)</f>
        <v>1033.1999999999998</v>
      </c>
      <c r="L38" s="394">
        <f t="shared" ref="L38:L39" si="40">K38*J38</f>
        <v>11.055239999999998</v>
      </c>
      <c r="M38" s="138"/>
      <c r="N38" s="395">
        <f t="shared" si="5"/>
        <v>-1.1436000000000011</v>
      </c>
      <c r="O38" s="396">
        <f t="shared" si="6"/>
        <v>-9.3746618530942377E-2</v>
      </c>
      <c r="P38" s="53"/>
      <c r="Q38" s="408">
        <f>IFERROR(VLOOKUP($C38,'Proposed Rates'!$B:$J,Q$11,FALSE),0)</f>
        <v>1.0699999999999999E-2</v>
      </c>
      <c r="R38" s="502">
        <f t="shared" ref="R38:R39" si="41">$F$10*(1+Q$63)</f>
        <v>1033.1999999999998</v>
      </c>
      <c r="S38" s="394">
        <f t="shared" ref="S38:S39" si="42">R38*Q38</f>
        <v>11.055239999999998</v>
      </c>
      <c r="T38" s="138"/>
      <c r="U38" s="395">
        <f t="shared" si="9"/>
        <v>0</v>
      </c>
      <c r="V38" s="396">
        <f t="shared" si="10"/>
        <v>0</v>
      </c>
      <c r="W38" s="53"/>
      <c r="X38" s="408">
        <f>IFERROR(VLOOKUP($C38,'Proposed Rates'!$B:$J,X$11,FALSE),0)</f>
        <v>1.0699999999999999E-2</v>
      </c>
      <c r="Y38" s="502">
        <f t="shared" ref="Y38:Y39" si="43">$F$10*(1+X$63)</f>
        <v>1033.1999999999998</v>
      </c>
      <c r="Z38" s="394">
        <f t="shared" ref="Z38:Z39" si="44">Y38*X38</f>
        <v>11.055239999999998</v>
      </c>
      <c r="AA38" s="138"/>
      <c r="AB38" s="395">
        <f t="shared" si="13"/>
        <v>0</v>
      </c>
      <c r="AC38" s="396">
        <f t="shared" si="14"/>
        <v>0</v>
      </c>
      <c r="AD38" s="53"/>
      <c r="AE38" s="408">
        <f>IFERROR(VLOOKUP($C38,'Proposed Rates'!$B:$J,AE$11,FALSE),0)</f>
        <v>1.0699999999999999E-2</v>
      </c>
      <c r="AF38" s="502">
        <f t="shared" ref="AF38:AF39" si="45">$F$10*(1+AE$63)</f>
        <v>1033.1999999999998</v>
      </c>
      <c r="AG38" s="394">
        <f t="shared" ref="AG38:AG39" si="46">AF38*AE38</f>
        <v>11.055239999999998</v>
      </c>
      <c r="AH38" s="138"/>
      <c r="AI38" s="395">
        <f t="shared" si="17"/>
        <v>0</v>
      </c>
      <c r="AJ38" s="396">
        <f t="shared" si="18"/>
        <v>0</v>
      </c>
      <c r="AK38" s="53"/>
      <c r="AL38" s="408">
        <f>IFERROR(VLOOKUP($C38,'Proposed Rates'!$B:$J,AL$11,FALSE),0)</f>
        <v>1.0699999999999999E-2</v>
      </c>
      <c r="AM38" s="502">
        <f t="shared" ref="AM38:AM39" si="47">$F$10*(1+AL$63)</f>
        <v>1033.1999999999998</v>
      </c>
      <c r="AN38" s="394">
        <f t="shared" ref="AN38:AN39" si="48">AM38*AL38</f>
        <v>11.055239999999998</v>
      </c>
      <c r="AO38" s="138"/>
      <c r="AP38" s="395">
        <f t="shared" si="21"/>
        <v>0</v>
      </c>
      <c r="AQ38" s="396">
        <f t="shared" si="22"/>
        <v>0</v>
      </c>
      <c r="AR38" s="397"/>
    </row>
    <row r="39" spans="1:44" ht="12" customHeight="1">
      <c r="A39" s="53"/>
      <c r="B39" s="138" t="s">
        <v>288</v>
      </c>
      <c r="C39" s="389" t="str">
        <f t="shared" si="36"/>
        <v>General Service &lt; 50 kW.RTSR - Line and Transformation Connection</v>
      </c>
      <c r="D39" s="420" t="s">
        <v>337</v>
      </c>
      <c r="E39" s="138"/>
      <c r="F39" s="408">
        <f>IFERROR(VLOOKUP($C39,'Proposed Rates'!$B:$J,F$11,FALSE),0)</f>
        <v>7.0000000000000001E-3</v>
      </c>
      <c r="G39" s="502">
        <f t="shared" si="37"/>
        <v>1033.8</v>
      </c>
      <c r="H39" s="394">
        <f t="shared" si="38"/>
        <v>7.2366000000000001</v>
      </c>
      <c r="I39" s="138"/>
      <c r="J39" s="408">
        <f>IFERROR(VLOOKUP($C39,'Proposed Rates'!$B:$J,J$11,FALSE),0)</f>
        <v>6.1000000000000004E-3</v>
      </c>
      <c r="K39" s="502">
        <f t="shared" si="39"/>
        <v>1033.1999999999998</v>
      </c>
      <c r="L39" s="394">
        <f t="shared" si="40"/>
        <v>6.3025199999999995</v>
      </c>
      <c r="M39" s="138"/>
      <c r="N39" s="395">
        <f t="shared" si="5"/>
        <v>-0.93408000000000069</v>
      </c>
      <c r="O39" s="396">
        <f t="shared" si="6"/>
        <v>-0.12907719094602446</v>
      </c>
      <c r="P39" s="53"/>
      <c r="Q39" s="408">
        <f>IFERROR(VLOOKUP($C39,'Proposed Rates'!$B:$J,Q$11,FALSE),0)</f>
        <v>6.1000000000000004E-3</v>
      </c>
      <c r="R39" s="502">
        <f t="shared" si="41"/>
        <v>1033.1999999999998</v>
      </c>
      <c r="S39" s="394">
        <f t="shared" si="42"/>
        <v>6.3025199999999995</v>
      </c>
      <c r="T39" s="138"/>
      <c r="U39" s="395">
        <f t="shared" si="9"/>
        <v>0</v>
      </c>
      <c r="V39" s="396">
        <f t="shared" si="10"/>
        <v>0</v>
      </c>
      <c r="W39" s="53"/>
      <c r="X39" s="408">
        <f>IFERROR(VLOOKUP($C39,'Proposed Rates'!$B:$J,X$11,FALSE),0)</f>
        <v>6.1000000000000004E-3</v>
      </c>
      <c r="Y39" s="502">
        <f t="shared" si="43"/>
        <v>1033.1999999999998</v>
      </c>
      <c r="Z39" s="394">
        <f t="shared" si="44"/>
        <v>6.3025199999999995</v>
      </c>
      <c r="AA39" s="138"/>
      <c r="AB39" s="395">
        <f t="shared" si="13"/>
        <v>0</v>
      </c>
      <c r="AC39" s="396">
        <f t="shared" si="14"/>
        <v>0</v>
      </c>
      <c r="AD39" s="53"/>
      <c r="AE39" s="408">
        <f>IFERROR(VLOOKUP($C39,'Proposed Rates'!$B:$J,AE$11,FALSE),0)</f>
        <v>6.1000000000000004E-3</v>
      </c>
      <c r="AF39" s="502">
        <f t="shared" si="45"/>
        <v>1033.1999999999998</v>
      </c>
      <c r="AG39" s="394">
        <f t="shared" si="46"/>
        <v>6.3025199999999995</v>
      </c>
      <c r="AH39" s="138"/>
      <c r="AI39" s="395">
        <f t="shared" si="17"/>
        <v>0</v>
      </c>
      <c r="AJ39" s="396">
        <f t="shared" si="18"/>
        <v>0</v>
      </c>
      <c r="AK39" s="53"/>
      <c r="AL39" s="408">
        <f>IFERROR(VLOOKUP($C39,'Proposed Rates'!$B:$J,AL$11,FALSE),0)</f>
        <v>6.1000000000000004E-3</v>
      </c>
      <c r="AM39" s="502">
        <f t="shared" si="47"/>
        <v>1033.1999999999998</v>
      </c>
      <c r="AN39" s="394">
        <f t="shared" si="48"/>
        <v>6.3025199999999995</v>
      </c>
      <c r="AO39" s="138"/>
      <c r="AP39" s="395">
        <f t="shared" si="21"/>
        <v>0</v>
      </c>
      <c r="AQ39" s="396">
        <f t="shared" si="22"/>
        <v>0</v>
      </c>
      <c r="AR39" s="397"/>
    </row>
    <row r="40" spans="1:44" ht="12" customHeight="1">
      <c r="A40" s="53"/>
      <c r="B40" s="399" t="s">
        <v>343</v>
      </c>
      <c r="C40" s="421"/>
      <c r="D40" s="421"/>
      <c r="E40" s="421"/>
      <c r="F40" s="422"/>
      <c r="G40" s="495"/>
      <c r="H40" s="403">
        <f>SUM(H37:H39)</f>
        <v>79.147306</v>
      </c>
      <c r="I40" s="404"/>
      <c r="J40" s="422"/>
      <c r="K40" s="495"/>
      <c r="L40" s="403">
        <f>SUM(L37:L39)</f>
        <v>83.623415999999978</v>
      </c>
      <c r="M40" s="404"/>
      <c r="N40" s="405">
        <f t="shared" si="5"/>
        <v>4.4761099999999772</v>
      </c>
      <c r="O40" s="406">
        <f t="shared" si="6"/>
        <v>5.6554167491183804E-2</v>
      </c>
      <c r="P40" s="53"/>
      <c r="Q40" s="422"/>
      <c r="R40" s="495"/>
      <c r="S40" s="403">
        <f>SUM(S37:S39)</f>
        <v>87.383415999999983</v>
      </c>
      <c r="T40" s="404"/>
      <c r="U40" s="405">
        <f t="shared" si="9"/>
        <v>3.7600000000000051</v>
      </c>
      <c r="V40" s="406">
        <f t="shared" si="10"/>
        <v>4.4963482477204782E-2</v>
      </c>
      <c r="W40" s="53"/>
      <c r="X40" s="422"/>
      <c r="Y40" s="495"/>
      <c r="Z40" s="403">
        <f>SUM(Z37:Z39)</f>
        <v>89.283415999999974</v>
      </c>
      <c r="AA40" s="404"/>
      <c r="AB40" s="405">
        <f t="shared" si="13"/>
        <v>1.8999999999999915</v>
      </c>
      <c r="AC40" s="406">
        <f t="shared" si="14"/>
        <v>2.174325618032593E-2</v>
      </c>
      <c r="AD40" s="53"/>
      <c r="AE40" s="422"/>
      <c r="AF40" s="495"/>
      <c r="AG40" s="403">
        <f>SUM(AG37:AG39)</f>
        <v>90.363415999999972</v>
      </c>
      <c r="AH40" s="404"/>
      <c r="AI40" s="405">
        <f t="shared" si="17"/>
        <v>1.0799999999999983</v>
      </c>
      <c r="AJ40" s="406">
        <f t="shared" si="18"/>
        <v>1.2096311368731665E-2</v>
      </c>
      <c r="AK40" s="53"/>
      <c r="AL40" s="422"/>
      <c r="AM40" s="495"/>
      <c r="AN40" s="403">
        <f>SUM(AN37:AN39)</f>
        <v>91.413415999999984</v>
      </c>
      <c r="AO40" s="404"/>
      <c r="AP40" s="405">
        <f t="shared" si="21"/>
        <v>1.0500000000000114</v>
      </c>
      <c r="AQ40" s="406">
        <f t="shared" si="22"/>
        <v>1.1619746646142856E-2</v>
      </c>
      <c r="AR40" s="407"/>
    </row>
    <row r="41" spans="1:44" ht="12" customHeight="1">
      <c r="A41" s="53"/>
      <c r="B41" s="328" t="s">
        <v>289</v>
      </c>
      <c r="C41" s="389" t="str">
        <f t="shared" ref="C41:C48" si="49">D$6&amp;"."&amp;B41</f>
        <v>General Service &lt; 50 kW.Wholesale Market Service Charge (WMSC)</v>
      </c>
      <c r="D41" s="390" t="s">
        <v>337</v>
      </c>
      <c r="E41" s="328"/>
      <c r="F41" s="408">
        <f>IFERROR(VLOOKUP($C41,'Proposed Rates'!$B:$J,F$11,FALSE),0)</f>
        <v>4.4999999999999997E-3</v>
      </c>
      <c r="G41" s="502">
        <f t="shared" ref="G41:G42" si="50">$F$10*(1+F$63)</f>
        <v>1033.8</v>
      </c>
      <c r="H41" s="394">
        <f t="shared" ref="H41:H48" si="51">G41*F41</f>
        <v>4.652099999999999</v>
      </c>
      <c r="I41" s="138"/>
      <c r="J41" s="408">
        <f>IFERROR(VLOOKUP($C41,'Proposed Rates'!$B:$J,J$11,FALSE),0)</f>
        <v>4.7000000000000002E-3</v>
      </c>
      <c r="K41" s="502">
        <f t="shared" ref="K41:K42" si="52">$F$10*(1+J$63)</f>
        <v>1033.1999999999998</v>
      </c>
      <c r="L41" s="394">
        <f t="shared" ref="L41:L48" si="53">K41*J41</f>
        <v>4.8560399999999992</v>
      </c>
      <c r="M41" s="138"/>
      <c r="N41" s="395">
        <f t="shared" si="5"/>
        <v>0.20394000000000023</v>
      </c>
      <c r="O41" s="396">
        <f t="shared" si="6"/>
        <v>4.3838266589282318E-2</v>
      </c>
      <c r="P41" s="53"/>
      <c r="Q41" s="408">
        <f>IFERROR(VLOOKUP($C41,'Proposed Rates'!$B:$J,Q$11,FALSE),0)</f>
        <v>4.7000000000000002E-3</v>
      </c>
      <c r="R41" s="502">
        <f t="shared" ref="R41:R42" si="54">$F$10*(1+Q$63)</f>
        <v>1033.1999999999998</v>
      </c>
      <c r="S41" s="394">
        <f t="shared" ref="S41:S48" si="55">R41*Q41</f>
        <v>4.8560399999999992</v>
      </c>
      <c r="T41" s="138"/>
      <c r="U41" s="395">
        <f t="shared" si="9"/>
        <v>0</v>
      </c>
      <c r="V41" s="396">
        <f t="shared" si="10"/>
        <v>0</v>
      </c>
      <c r="W41" s="53"/>
      <c r="X41" s="408">
        <f>IFERROR(VLOOKUP($C41,'Proposed Rates'!$B:$J,X$11,FALSE),0)</f>
        <v>4.7000000000000002E-3</v>
      </c>
      <c r="Y41" s="502">
        <f t="shared" ref="Y41:Y42" si="56">$F$10*(1+X$63)</f>
        <v>1033.1999999999998</v>
      </c>
      <c r="Z41" s="394">
        <f t="shared" ref="Z41:Z48" si="57">Y41*X41</f>
        <v>4.8560399999999992</v>
      </c>
      <c r="AA41" s="138"/>
      <c r="AB41" s="395">
        <f t="shared" si="13"/>
        <v>0</v>
      </c>
      <c r="AC41" s="396">
        <f t="shared" si="14"/>
        <v>0</v>
      </c>
      <c r="AD41" s="53"/>
      <c r="AE41" s="408">
        <f>IFERROR(VLOOKUP($C41,'Proposed Rates'!$B:$J,AE$11,FALSE),0)</f>
        <v>4.7000000000000002E-3</v>
      </c>
      <c r="AF41" s="502">
        <f t="shared" ref="AF41:AF42" si="58">$F$10*(1+AE$63)</f>
        <v>1033.1999999999998</v>
      </c>
      <c r="AG41" s="394">
        <f t="shared" ref="AG41:AG48" si="59">AF41*AE41</f>
        <v>4.8560399999999992</v>
      </c>
      <c r="AH41" s="138"/>
      <c r="AI41" s="395">
        <f t="shared" si="17"/>
        <v>0</v>
      </c>
      <c r="AJ41" s="396">
        <f t="shared" si="18"/>
        <v>0</v>
      </c>
      <c r="AK41" s="53"/>
      <c r="AL41" s="408">
        <f>IFERROR(VLOOKUP($C41,'Proposed Rates'!$B:$J,AL$11,FALSE),0)</f>
        <v>4.7000000000000002E-3</v>
      </c>
      <c r="AM41" s="502">
        <f t="shared" ref="AM41:AM42" si="60">$F$10*(1+AL$63)</f>
        <v>1033.1999999999998</v>
      </c>
      <c r="AN41" s="394">
        <f t="shared" ref="AN41:AN48" si="61">AM41*AL41</f>
        <v>4.8560399999999992</v>
      </c>
      <c r="AO41" s="138"/>
      <c r="AP41" s="395">
        <f t="shared" si="21"/>
        <v>0</v>
      </c>
      <c r="AQ41" s="396">
        <f t="shared" si="22"/>
        <v>0</v>
      </c>
      <c r="AR41" s="397"/>
    </row>
    <row r="42" spans="1:44" ht="12" customHeight="1">
      <c r="A42" s="53"/>
      <c r="B42" s="328" t="s">
        <v>290</v>
      </c>
      <c r="C42" s="389" t="str">
        <f t="shared" si="49"/>
        <v>General Service &lt; 50 kW.Rural and Remote Rate Protection (RRRP)</v>
      </c>
      <c r="D42" s="390" t="s">
        <v>337</v>
      </c>
      <c r="E42" s="328"/>
      <c r="F42" s="408">
        <f>IFERROR(VLOOKUP($C42,'Proposed Rates'!$B:$J,F$11,FALSE),0)</f>
        <v>1.5E-3</v>
      </c>
      <c r="G42" s="502">
        <f t="shared" si="50"/>
        <v>1033.8</v>
      </c>
      <c r="H42" s="394">
        <f t="shared" si="51"/>
        <v>1.5507</v>
      </c>
      <c r="I42" s="138"/>
      <c r="J42" s="408">
        <f>IFERROR(VLOOKUP($C42,'Proposed Rates'!$B:$J,J$11,FALSE),0)</f>
        <v>5.9999999999999995E-4</v>
      </c>
      <c r="K42" s="502">
        <f t="shared" si="52"/>
        <v>1033.1999999999998</v>
      </c>
      <c r="L42" s="394">
        <f t="shared" si="53"/>
        <v>0.6199199999999998</v>
      </c>
      <c r="M42" s="138"/>
      <c r="N42" s="395">
        <f t="shared" si="5"/>
        <v>-0.93078000000000016</v>
      </c>
      <c r="O42" s="396">
        <f t="shared" si="6"/>
        <v>-0.60023215322112611</v>
      </c>
      <c r="P42" s="53"/>
      <c r="Q42" s="408">
        <f>IFERROR(VLOOKUP($C42,'Proposed Rates'!$B:$J,Q$11,FALSE),0)</f>
        <v>5.9999999999999995E-4</v>
      </c>
      <c r="R42" s="502">
        <f t="shared" si="54"/>
        <v>1033.1999999999998</v>
      </c>
      <c r="S42" s="394">
        <f t="shared" si="55"/>
        <v>0.6199199999999998</v>
      </c>
      <c r="T42" s="138"/>
      <c r="U42" s="395">
        <f t="shared" si="9"/>
        <v>0</v>
      </c>
      <c r="V42" s="396">
        <f t="shared" si="10"/>
        <v>0</v>
      </c>
      <c r="W42" s="53"/>
      <c r="X42" s="408">
        <f>IFERROR(VLOOKUP($C42,'Proposed Rates'!$B:$J,X$11,FALSE),0)</f>
        <v>5.9999999999999995E-4</v>
      </c>
      <c r="Y42" s="502">
        <f t="shared" si="56"/>
        <v>1033.1999999999998</v>
      </c>
      <c r="Z42" s="394">
        <f t="shared" si="57"/>
        <v>0.6199199999999998</v>
      </c>
      <c r="AA42" s="138"/>
      <c r="AB42" s="395">
        <f t="shared" si="13"/>
        <v>0</v>
      </c>
      <c r="AC42" s="396">
        <f t="shared" si="14"/>
        <v>0</v>
      </c>
      <c r="AD42" s="53"/>
      <c r="AE42" s="408">
        <f>IFERROR(VLOOKUP($C42,'Proposed Rates'!$B:$J,AE$11,FALSE),0)</f>
        <v>5.9999999999999995E-4</v>
      </c>
      <c r="AF42" s="502">
        <f t="shared" si="58"/>
        <v>1033.1999999999998</v>
      </c>
      <c r="AG42" s="394">
        <f t="shared" si="59"/>
        <v>0.6199199999999998</v>
      </c>
      <c r="AH42" s="138"/>
      <c r="AI42" s="395">
        <f t="shared" si="17"/>
        <v>0</v>
      </c>
      <c r="AJ42" s="396">
        <f t="shared" si="18"/>
        <v>0</v>
      </c>
      <c r="AK42" s="53"/>
      <c r="AL42" s="408">
        <f>IFERROR(VLOOKUP($C42,'Proposed Rates'!$B:$J,AL$11,FALSE),0)</f>
        <v>5.9999999999999995E-4</v>
      </c>
      <c r="AM42" s="502">
        <f t="shared" si="60"/>
        <v>1033.1999999999998</v>
      </c>
      <c r="AN42" s="394">
        <f t="shared" si="61"/>
        <v>0.6199199999999998</v>
      </c>
      <c r="AO42" s="138"/>
      <c r="AP42" s="395">
        <f t="shared" si="21"/>
        <v>0</v>
      </c>
      <c r="AQ42" s="396">
        <f t="shared" si="22"/>
        <v>0</v>
      </c>
      <c r="AR42" s="397"/>
    </row>
    <row r="43" spans="1:44" ht="12" customHeight="1">
      <c r="A43" s="53"/>
      <c r="B43" s="328" t="s">
        <v>291</v>
      </c>
      <c r="C43" s="389" t="str">
        <f t="shared" si="49"/>
        <v>General Service &lt; 50 kW.Standard Supply Service Charge</v>
      </c>
      <c r="D43" s="390" t="s">
        <v>335</v>
      </c>
      <c r="E43" s="328"/>
      <c r="F43" s="391">
        <f>IFERROR(VLOOKUP($C43,'Proposed Rates'!$B:$J,F$11,FALSE),0)</f>
        <v>0.25</v>
      </c>
      <c r="G43" s="392">
        <f>IF($D43="Monthly",1,IF($D43="per KWH",$F$10,0))</f>
        <v>1</v>
      </c>
      <c r="H43" s="394">
        <f t="shared" si="51"/>
        <v>0.25</v>
      </c>
      <c r="I43" s="138"/>
      <c r="J43" s="391">
        <f>IFERROR(VLOOKUP($C43,'Proposed Rates'!$B:$J,J$11,FALSE),0)</f>
        <v>0.25</v>
      </c>
      <c r="K43" s="392">
        <f>IF($D43="Monthly",1,IF($D43="per KWH",$F$10,0))</f>
        <v>1</v>
      </c>
      <c r="L43" s="394">
        <f t="shared" si="53"/>
        <v>0.25</v>
      </c>
      <c r="M43" s="138"/>
      <c r="N43" s="395">
        <f t="shared" si="5"/>
        <v>0</v>
      </c>
      <c r="O43" s="396">
        <f t="shared" si="6"/>
        <v>0</v>
      </c>
      <c r="P43" s="53"/>
      <c r="Q43" s="391">
        <f>IFERROR(VLOOKUP($C43,'Proposed Rates'!$B:$J,Q$11,FALSE),0)</f>
        <v>0.25</v>
      </c>
      <c r="R43" s="392">
        <f>IF($D43="Monthly",1,IF($D43="per KWH",$F$10,0))</f>
        <v>1</v>
      </c>
      <c r="S43" s="394">
        <f t="shared" si="55"/>
        <v>0.25</v>
      </c>
      <c r="T43" s="138"/>
      <c r="U43" s="395">
        <f t="shared" si="9"/>
        <v>0</v>
      </c>
      <c r="V43" s="396">
        <f t="shared" si="10"/>
        <v>0</v>
      </c>
      <c r="W43" s="53"/>
      <c r="X43" s="391">
        <f>IFERROR(VLOOKUP($C43,'Proposed Rates'!$B:$J,X$11,FALSE),0)</f>
        <v>0.25</v>
      </c>
      <c r="Y43" s="392">
        <f>IF($D43="Monthly",1,IF($D43="per KWH",$F$10,0))</f>
        <v>1</v>
      </c>
      <c r="Z43" s="394">
        <f t="shared" si="57"/>
        <v>0.25</v>
      </c>
      <c r="AA43" s="138"/>
      <c r="AB43" s="395">
        <f t="shared" si="13"/>
        <v>0</v>
      </c>
      <c r="AC43" s="396">
        <f t="shared" si="14"/>
        <v>0</v>
      </c>
      <c r="AD43" s="53"/>
      <c r="AE43" s="391">
        <f>IFERROR(VLOOKUP($C43,'Proposed Rates'!$B:$J,AE$11,FALSE),0)</f>
        <v>0.25</v>
      </c>
      <c r="AF43" s="392">
        <f>IF($D43="Monthly",1,IF($D43="per KWH",$F$10,0))</f>
        <v>1</v>
      </c>
      <c r="AG43" s="394">
        <f t="shared" si="59"/>
        <v>0.25</v>
      </c>
      <c r="AH43" s="138"/>
      <c r="AI43" s="395">
        <f t="shared" si="17"/>
        <v>0</v>
      </c>
      <c r="AJ43" s="396">
        <f t="shared" si="18"/>
        <v>0</v>
      </c>
      <c r="AK43" s="53"/>
      <c r="AL43" s="391">
        <f>IFERROR(VLOOKUP($C43,'Proposed Rates'!$B:$J,AL$11,FALSE),0)</f>
        <v>0.25</v>
      </c>
      <c r="AM43" s="392">
        <f>IF($D43="Monthly",1,IF($D43="per KWH",$F$10,0))</f>
        <v>1</v>
      </c>
      <c r="AN43" s="394">
        <f t="shared" si="61"/>
        <v>0.25</v>
      </c>
      <c r="AO43" s="138"/>
      <c r="AP43" s="395">
        <f t="shared" si="21"/>
        <v>0</v>
      </c>
      <c r="AQ43" s="396">
        <f t="shared" si="22"/>
        <v>0</v>
      </c>
      <c r="AR43" s="397"/>
    </row>
    <row r="44" spans="1:44" ht="12" customHeight="1">
      <c r="A44" s="53"/>
      <c r="B44" s="328" t="s">
        <v>293</v>
      </c>
      <c r="C44" s="389" t="str">
        <f t="shared" si="49"/>
        <v>General Service &lt; 50 kW.TOU - Off Peak</v>
      </c>
      <c r="D44" s="390" t="s">
        <v>337</v>
      </c>
      <c r="E44" s="328"/>
      <c r="F44" s="424">
        <f>VLOOKUP($B44,'Proposed Rates'!$D$255:$J$261,+F$11-2,FALSE)</f>
        <v>9.8000000000000004E-2</v>
      </c>
      <c r="G44" s="502">
        <f>'Proposed Rates'!$K$256*$F$10</f>
        <v>640</v>
      </c>
      <c r="H44" s="394">
        <f t="shared" si="51"/>
        <v>62.72</v>
      </c>
      <c r="I44" s="138"/>
      <c r="J44" s="424">
        <f>VLOOKUP($B44,'Proposed Rates'!$D$255:$J$261,+J$11-2,FALSE)</f>
        <v>9.8000000000000004E-2</v>
      </c>
      <c r="K44" s="502">
        <f>'Proposed Rates'!$K$256*$F$10</f>
        <v>640</v>
      </c>
      <c r="L44" s="394">
        <f t="shared" si="53"/>
        <v>62.72</v>
      </c>
      <c r="M44" s="138"/>
      <c r="N44" s="395">
        <f t="shared" si="5"/>
        <v>0</v>
      </c>
      <c r="O44" s="396">
        <f t="shared" si="6"/>
        <v>0</v>
      </c>
      <c r="P44" s="53"/>
      <c r="Q44" s="424">
        <f>VLOOKUP($B44,'Proposed Rates'!$D$255:$J$261,+Q$11-2,FALSE)</f>
        <v>9.8000000000000004E-2</v>
      </c>
      <c r="R44" s="502">
        <f>'Proposed Rates'!$K$256*$F$10</f>
        <v>640</v>
      </c>
      <c r="S44" s="394">
        <f t="shared" si="55"/>
        <v>62.72</v>
      </c>
      <c r="T44" s="138"/>
      <c r="U44" s="395">
        <f t="shared" si="9"/>
        <v>0</v>
      </c>
      <c r="V44" s="396">
        <f t="shared" si="10"/>
        <v>0</v>
      </c>
      <c r="W44" s="53"/>
      <c r="X44" s="424">
        <f>VLOOKUP($B44,'Proposed Rates'!$D$255:$J$261,+X$11-2,FALSE)</f>
        <v>9.8000000000000004E-2</v>
      </c>
      <c r="Y44" s="502">
        <f>'Proposed Rates'!$K$256*$F$10</f>
        <v>640</v>
      </c>
      <c r="Z44" s="394">
        <f t="shared" si="57"/>
        <v>62.72</v>
      </c>
      <c r="AA44" s="138"/>
      <c r="AB44" s="395">
        <f t="shared" si="13"/>
        <v>0</v>
      </c>
      <c r="AC44" s="396">
        <f t="shared" si="14"/>
        <v>0</v>
      </c>
      <c r="AD44" s="53"/>
      <c r="AE44" s="424">
        <f>VLOOKUP($B44,'Proposed Rates'!$D$255:$J$261,+AE$11-2,FALSE)</f>
        <v>9.8000000000000004E-2</v>
      </c>
      <c r="AF44" s="502">
        <f>'Proposed Rates'!$K$256*$F$10</f>
        <v>640</v>
      </c>
      <c r="AG44" s="394">
        <f t="shared" si="59"/>
        <v>62.72</v>
      </c>
      <c r="AH44" s="138"/>
      <c r="AI44" s="395">
        <f t="shared" si="17"/>
        <v>0</v>
      </c>
      <c r="AJ44" s="396">
        <f t="shared" si="18"/>
        <v>0</v>
      </c>
      <c r="AK44" s="53"/>
      <c r="AL44" s="424">
        <f>VLOOKUP($B44,'Proposed Rates'!$D$255:$J$261,+AL$11-2,FALSE)</f>
        <v>9.8000000000000004E-2</v>
      </c>
      <c r="AM44" s="502">
        <f>'Proposed Rates'!$K$256*$F$10</f>
        <v>640</v>
      </c>
      <c r="AN44" s="394">
        <f t="shared" si="61"/>
        <v>62.72</v>
      </c>
      <c r="AO44" s="138"/>
      <c r="AP44" s="395">
        <f t="shared" si="21"/>
        <v>0</v>
      </c>
      <c r="AQ44" s="396">
        <f t="shared" si="22"/>
        <v>0</v>
      </c>
      <c r="AR44" s="397"/>
    </row>
    <row r="45" spans="1:44" ht="12" customHeight="1">
      <c r="A45" s="53"/>
      <c r="B45" s="328" t="s">
        <v>294</v>
      </c>
      <c r="C45" s="389" t="str">
        <f t="shared" si="49"/>
        <v>General Service &lt; 50 kW.TOU - Mid Peak</v>
      </c>
      <c r="D45" s="390" t="s">
        <v>337</v>
      </c>
      <c r="E45" s="328"/>
      <c r="F45" s="424">
        <f>VLOOKUP($B45,'Proposed Rates'!$D$255:$J$261,+F$11-2,FALSE)</f>
        <v>0.157</v>
      </c>
      <c r="G45" s="502">
        <f>'Proposed Rates'!$K$257*$F$10</f>
        <v>180</v>
      </c>
      <c r="H45" s="394">
        <f t="shared" si="51"/>
        <v>28.26</v>
      </c>
      <c r="I45" s="138"/>
      <c r="J45" s="424">
        <f>VLOOKUP($B45,'Proposed Rates'!$D$255:$J$261,+J$11-2,FALSE)</f>
        <v>0.157</v>
      </c>
      <c r="K45" s="502">
        <f>'Proposed Rates'!$K$257*$F$10</f>
        <v>180</v>
      </c>
      <c r="L45" s="394">
        <f t="shared" si="53"/>
        <v>28.26</v>
      </c>
      <c r="M45" s="138"/>
      <c r="N45" s="395">
        <f t="shared" si="5"/>
        <v>0</v>
      </c>
      <c r="O45" s="396">
        <f t="shared" si="6"/>
        <v>0</v>
      </c>
      <c r="P45" s="53"/>
      <c r="Q45" s="424">
        <f>VLOOKUP($B45,'Proposed Rates'!$D$255:$J$261,+Q$11-2,FALSE)</f>
        <v>0.157</v>
      </c>
      <c r="R45" s="502">
        <f>'Proposed Rates'!$K$257*$F$10</f>
        <v>180</v>
      </c>
      <c r="S45" s="394">
        <f t="shared" si="55"/>
        <v>28.26</v>
      </c>
      <c r="T45" s="138"/>
      <c r="U45" s="395">
        <f t="shared" si="9"/>
        <v>0</v>
      </c>
      <c r="V45" s="396">
        <f t="shared" si="10"/>
        <v>0</v>
      </c>
      <c r="W45" s="53"/>
      <c r="X45" s="424">
        <f>VLOOKUP($B45,'Proposed Rates'!$D$255:$J$261,+X$11-2,FALSE)</f>
        <v>0.157</v>
      </c>
      <c r="Y45" s="502">
        <f>'Proposed Rates'!$K$257*$F$10</f>
        <v>180</v>
      </c>
      <c r="Z45" s="394">
        <f t="shared" si="57"/>
        <v>28.26</v>
      </c>
      <c r="AA45" s="138"/>
      <c r="AB45" s="395">
        <f t="shared" si="13"/>
        <v>0</v>
      </c>
      <c r="AC45" s="396">
        <f t="shared" si="14"/>
        <v>0</v>
      </c>
      <c r="AD45" s="53"/>
      <c r="AE45" s="424">
        <f>VLOOKUP($B45,'Proposed Rates'!$D$255:$J$261,+AE$11-2,FALSE)</f>
        <v>0.157</v>
      </c>
      <c r="AF45" s="502">
        <f>'Proposed Rates'!$K$257*$F$10</f>
        <v>180</v>
      </c>
      <c r="AG45" s="394">
        <f t="shared" si="59"/>
        <v>28.26</v>
      </c>
      <c r="AH45" s="138"/>
      <c r="AI45" s="395">
        <f t="shared" si="17"/>
        <v>0</v>
      </c>
      <c r="AJ45" s="396">
        <f t="shared" si="18"/>
        <v>0</v>
      </c>
      <c r="AK45" s="53"/>
      <c r="AL45" s="424">
        <f>VLOOKUP($B45,'Proposed Rates'!$D$255:$J$261,+AL$11-2,FALSE)</f>
        <v>0.157</v>
      </c>
      <c r="AM45" s="502">
        <f>'Proposed Rates'!$K$257*$F$10</f>
        <v>180</v>
      </c>
      <c r="AN45" s="394">
        <f t="shared" si="61"/>
        <v>28.26</v>
      </c>
      <c r="AO45" s="138"/>
      <c r="AP45" s="395">
        <f t="shared" si="21"/>
        <v>0</v>
      </c>
      <c r="AQ45" s="396">
        <f t="shared" si="22"/>
        <v>0</v>
      </c>
      <c r="AR45" s="397"/>
    </row>
    <row r="46" spans="1:44" ht="12" customHeight="1">
      <c r="A46" s="53"/>
      <c r="B46" s="53" t="s">
        <v>295</v>
      </c>
      <c r="C46" s="389" t="str">
        <f t="shared" si="49"/>
        <v>General Service &lt; 50 kW.TOU - On Peak</v>
      </c>
      <c r="D46" s="390" t="s">
        <v>337</v>
      </c>
      <c r="E46" s="328"/>
      <c r="F46" s="424">
        <f>VLOOKUP($B46,'Proposed Rates'!$D$255:$J$261,+F$11-2,FALSE)</f>
        <v>0.20300000000000001</v>
      </c>
      <c r="G46" s="502">
        <f>'Proposed Rates'!$K$258*$F$10</f>
        <v>180</v>
      </c>
      <c r="H46" s="394">
        <f t="shared" si="51"/>
        <v>36.54</v>
      </c>
      <c r="I46" s="138"/>
      <c r="J46" s="424">
        <f>VLOOKUP($B46,'Proposed Rates'!$D$255:$J$261,+J$11-2,FALSE)</f>
        <v>0.20300000000000001</v>
      </c>
      <c r="K46" s="502">
        <f>'Proposed Rates'!$K$258*$F$10</f>
        <v>180</v>
      </c>
      <c r="L46" s="394">
        <f t="shared" si="53"/>
        <v>36.54</v>
      </c>
      <c r="M46" s="138"/>
      <c r="N46" s="395">
        <f t="shared" si="5"/>
        <v>0</v>
      </c>
      <c r="O46" s="396">
        <f t="shared" si="6"/>
        <v>0</v>
      </c>
      <c r="P46" s="53"/>
      <c r="Q46" s="424">
        <f>VLOOKUP($B46,'Proposed Rates'!$D$255:$J$261,+Q$11-2,FALSE)</f>
        <v>0.20300000000000001</v>
      </c>
      <c r="R46" s="502">
        <f>'Proposed Rates'!$K$258*$F$10</f>
        <v>180</v>
      </c>
      <c r="S46" s="394">
        <f t="shared" si="55"/>
        <v>36.54</v>
      </c>
      <c r="T46" s="138"/>
      <c r="U46" s="395">
        <f t="shared" si="9"/>
        <v>0</v>
      </c>
      <c r="V46" s="396">
        <f t="shared" si="10"/>
        <v>0</v>
      </c>
      <c r="W46" s="53"/>
      <c r="X46" s="424">
        <f>VLOOKUP($B46,'Proposed Rates'!$D$255:$J$261,+X$11-2,FALSE)</f>
        <v>0.20300000000000001</v>
      </c>
      <c r="Y46" s="502">
        <f>'Proposed Rates'!$K$258*$F$10</f>
        <v>180</v>
      </c>
      <c r="Z46" s="394">
        <f t="shared" si="57"/>
        <v>36.54</v>
      </c>
      <c r="AA46" s="138"/>
      <c r="AB46" s="395">
        <f t="shared" si="13"/>
        <v>0</v>
      </c>
      <c r="AC46" s="396">
        <f t="shared" si="14"/>
        <v>0</v>
      </c>
      <c r="AD46" s="53"/>
      <c r="AE46" s="424">
        <f>VLOOKUP($B46,'Proposed Rates'!$D$255:$J$261,+AE$11-2,FALSE)</f>
        <v>0.20300000000000001</v>
      </c>
      <c r="AF46" s="502">
        <f>'Proposed Rates'!$K$258*$F$10</f>
        <v>180</v>
      </c>
      <c r="AG46" s="394">
        <f t="shared" si="59"/>
        <v>36.54</v>
      </c>
      <c r="AH46" s="138"/>
      <c r="AI46" s="395">
        <f t="shared" si="17"/>
        <v>0</v>
      </c>
      <c r="AJ46" s="396">
        <f t="shared" si="18"/>
        <v>0</v>
      </c>
      <c r="AK46" s="53"/>
      <c r="AL46" s="424">
        <f>VLOOKUP($B46,'Proposed Rates'!$D$255:$J$261,+AL$11-2,FALSE)</f>
        <v>0.20300000000000001</v>
      </c>
      <c r="AM46" s="502">
        <f>'Proposed Rates'!$K$258*$F$10</f>
        <v>180</v>
      </c>
      <c r="AN46" s="394">
        <f t="shared" si="61"/>
        <v>36.54</v>
      </c>
      <c r="AO46" s="138"/>
      <c r="AP46" s="395">
        <f t="shared" si="21"/>
        <v>0</v>
      </c>
      <c r="AQ46" s="396">
        <f t="shared" si="22"/>
        <v>0</v>
      </c>
      <c r="AR46" s="397"/>
    </row>
    <row r="47" spans="1:44" ht="12" customHeight="1">
      <c r="A47" s="53"/>
      <c r="B47" s="328" t="s">
        <v>296</v>
      </c>
      <c r="C47" s="389" t="str">
        <f t="shared" si="49"/>
        <v>General Service &lt; 50 kW.Energy - RPP - Tier 1</v>
      </c>
      <c r="D47" s="390" t="s">
        <v>337</v>
      </c>
      <c r="E47" s="328"/>
      <c r="F47" s="424">
        <f>VLOOKUP($B47,'Proposed Rates'!$D$255:$J$261,+F$11-2,FALSE)</f>
        <v>0.12</v>
      </c>
      <c r="G47" s="502">
        <f>IF(AND($S$2=1, $F$10&gt;=750), 750, IF(AND($S$2=1, AND($F$10&lt;750, $F$10&gt;=0)), $F$10, IF(AND($S$2=2, $F$10&gt;=1000), 1000, IF(AND($S$2=2, AND($F$10&lt;1000, $F$10&gt;=0)), $F$10))))</f>
        <v>750</v>
      </c>
      <c r="H47" s="394">
        <f t="shared" si="51"/>
        <v>90</v>
      </c>
      <c r="I47" s="138"/>
      <c r="J47" s="424">
        <f>VLOOKUP($B47,'Proposed Rates'!$D$255:$J$261,+J$11-2,FALSE)</f>
        <v>0.12</v>
      </c>
      <c r="K47" s="502">
        <f>IF(AND($S$2=1, $F$10&gt;=750), 750, IF(AND($S$2=1, AND($F$10&lt;750, $F$10&gt;=0)), $F$10, IF(AND($S$2=2, $F$10&gt;=1000), 1000, IF(AND($S$2=2, AND($F$10&lt;1000, $F$10&gt;=0)), $F$10))))</f>
        <v>750</v>
      </c>
      <c r="L47" s="394">
        <f t="shared" si="53"/>
        <v>90</v>
      </c>
      <c r="M47" s="138"/>
      <c r="N47" s="395">
        <f t="shared" si="5"/>
        <v>0</v>
      </c>
      <c r="O47" s="396">
        <f t="shared" si="6"/>
        <v>0</v>
      </c>
      <c r="P47" s="53"/>
      <c r="Q47" s="424">
        <f>VLOOKUP($B47,'Proposed Rates'!$D$255:$J$261,+Q$11-2,FALSE)</f>
        <v>0.12</v>
      </c>
      <c r="R47" s="502">
        <f>IF(AND($S$2=1, $F$10&gt;=750), 750, IF(AND($S$2=1, AND($F$10&lt;750, $F$10&gt;=0)), $F$10, IF(AND($S$2=2, $F$10&gt;=1000), 1000, IF(AND($S$2=2, AND($F$10&lt;1000, $F$10&gt;=0)), $F$10))))</f>
        <v>750</v>
      </c>
      <c r="S47" s="394">
        <f t="shared" si="55"/>
        <v>90</v>
      </c>
      <c r="T47" s="138"/>
      <c r="U47" s="395">
        <f t="shared" si="9"/>
        <v>0</v>
      </c>
      <c r="V47" s="396">
        <f t="shared" si="10"/>
        <v>0</v>
      </c>
      <c r="W47" s="53"/>
      <c r="X47" s="424">
        <f>VLOOKUP($B47,'Proposed Rates'!$D$255:$J$261,+X$11-2,FALSE)</f>
        <v>0.12</v>
      </c>
      <c r="Y47" s="502">
        <f>IF(AND($S$2=1, $F$10&gt;=750), 750, IF(AND($S$2=1, AND($F$10&lt;750, $F$10&gt;=0)), $F$10, IF(AND($S$2=2, $F$10&gt;=1000), 1000, IF(AND($S$2=2, AND($F$10&lt;1000, $F$10&gt;=0)), $F$10))))</f>
        <v>750</v>
      </c>
      <c r="Z47" s="394">
        <f t="shared" si="57"/>
        <v>90</v>
      </c>
      <c r="AA47" s="138"/>
      <c r="AB47" s="395">
        <f t="shared" si="13"/>
        <v>0</v>
      </c>
      <c r="AC47" s="396">
        <f t="shared" si="14"/>
        <v>0</v>
      </c>
      <c r="AD47" s="53"/>
      <c r="AE47" s="424">
        <f>VLOOKUP($B47,'Proposed Rates'!$D$255:$J$261,+AE$11-2,FALSE)</f>
        <v>0.12</v>
      </c>
      <c r="AF47" s="502">
        <f>IF(AND($S$2=1, $F$10&gt;=750), 750, IF(AND($S$2=1, AND($F$10&lt;750, $F$10&gt;=0)), $F$10, IF(AND($S$2=2, $F$10&gt;=1000), 1000, IF(AND($S$2=2, AND($F$10&lt;1000, $F$10&gt;=0)), $F$10))))</f>
        <v>750</v>
      </c>
      <c r="AG47" s="394">
        <f t="shared" si="59"/>
        <v>90</v>
      </c>
      <c r="AH47" s="138"/>
      <c r="AI47" s="395">
        <f t="shared" si="17"/>
        <v>0</v>
      </c>
      <c r="AJ47" s="396">
        <f t="shared" si="18"/>
        <v>0</v>
      </c>
      <c r="AK47" s="53"/>
      <c r="AL47" s="424">
        <f>VLOOKUP($B47,'Proposed Rates'!$D$255:$J$261,+AL$11-2,FALSE)</f>
        <v>0.12</v>
      </c>
      <c r="AM47" s="502">
        <f>IF(AND($S$2=1, $F$10&gt;=750), 750, IF(AND($S$2=1, AND($F$10&lt;750, $F$10&gt;=0)), $F$10, IF(AND($S$2=2, $F$10&gt;=1000), 1000, IF(AND($S$2=2, AND($F$10&lt;1000, $F$10&gt;=0)), $F$10))))</f>
        <v>750</v>
      </c>
      <c r="AN47" s="394">
        <f t="shared" si="61"/>
        <v>90</v>
      </c>
      <c r="AO47" s="138"/>
      <c r="AP47" s="395">
        <f t="shared" si="21"/>
        <v>0</v>
      </c>
      <c r="AQ47" s="396">
        <f t="shared" si="22"/>
        <v>0</v>
      </c>
      <c r="AR47" s="397"/>
    </row>
    <row r="48" spans="1:44" ht="12" customHeight="1">
      <c r="A48" s="53"/>
      <c r="B48" s="328" t="s">
        <v>297</v>
      </c>
      <c r="C48" s="389" t="str">
        <f t="shared" si="49"/>
        <v>General Service &lt; 50 kW.Energy - RPP - Tier 2</v>
      </c>
      <c r="D48" s="390" t="s">
        <v>337</v>
      </c>
      <c r="E48" s="328"/>
      <c r="F48" s="424">
        <f>VLOOKUP($B48,'Proposed Rates'!$D$255:$J$261,+F$11-2,FALSE)</f>
        <v>0.14199999999999999</v>
      </c>
      <c r="G48" s="502">
        <f>IF(AND($S$2=1, $F$10&gt;=750), $F$10-750, IF(AND($S$2=1, AND($F$10&lt;750, $F$10&gt;=0)), 0, IF(AND($S$2=2, $F$10&gt;=1000), $F$10-1000, IF(AND($S$2=2, AND($F$10&lt;1000, $F$10&gt;=0)), 0))))</f>
        <v>250</v>
      </c>
      <c r="H48" s="394">
        <f t="shared" si="51"/>
        <v>35.5</v>
      </c>
      <c r="I48" s="138"/>
      <c r="J48" s="424">
        <f>VLOOKUP($B48,'Proposed Rates'!$D$255:$J$261,+J$11-2,FALSE)</f>
        <v>0.14199999999999999</v>
      </c>
      <c r="K48" s="502">
        <f>IF(AND($S$2=1, $F$10&gt;=750), $F$10-750, IF(AND($S$2=1, AND($F$10&lt;750, $F$10&gt;=0)), 0, IF(AND($S$2=2, $F$10&gt;=1000), $F$10-1000, IF(AND($S$2=2, AND($F$10&lt;1000, $F$10&gt;=0)), 0))))</f>
        <v>250</v>
      </c>
      <c r="L48" s="394">
        <f t="shared" si="53"/>
        <v>35.5</v>
      </c>
      <c r="M48" s="138"/>
      <c r="N48" s="395">
        <f t="shared" si="5"/>
        <v>0</v>
      </c>
      <c r="O48" s="396">
        <f t="shared" si="6"/>
        <v>0</v>
      </c>
      <c r="P48" s="53"/>
      <c r="Q48" s="424">
        <f>VLOOKUP($B48,'Proposed Rates'!$D$255:$J$261,+Q$11-2,FALSE)</f>
        <v>0.14199999999999999</v>
      </c>
      <c r="R48" s="502">
        <f>IF(AND($S$2=1, $F$10&gt;=750), $F$10-750, IF(AND($S$2=1, AND($F$10&lt;750, $F$10&gt;=0)), 0, IF(AND($S$2=2, $F$10&gt;=1000), $F$10-1000, IF(AND($S$2=2, AND($F$10&lt;1000, $F$10&gt;=0)), 0))))</f>
        <v>250</v>
      </c>
      <c r="S48" s="394">
        <f t="shared" si="55"/>
        <v>35.5</v>
      </c>
      <c r="T48" s="138"/>
      <c r="U48" s="395">
        <f t="shared" si="9"/>
        <v>0</v>
      </c>
      <c r="V48" s="396">
        <f t="shared" si="10"/>
        <v>0</v>
      </c>
      <c r="W48" s="53"/>
      <c r="X48" s="424">
        <f>VLOOKUP($B48,'Proposed Rates'!$D$255:$J$261,+X$11-2,FALSE)</f>
        <v>0.14199999999999999</v>
      </c>
      <c r="Y48" s="502">
        <f>IF(AND($S$2=1, $F$10&gt;=750), $F$10-750, IF(AND($S$2=1, AND($F$10&lt;750, $F$10&gt;=0)), 0, IF(AND($S$2=2, $F$10&gt;=1000), $F$10-1000, IF(AND($S$2=2, AND($F$10&lt;1000, $F$10&gt;=0)), 0))))</f>
        <v>250</v>
      </c>
      <c r="Z48" s="394">
        <f t="shared" si="57"/>
        <v>35.5</v>
      </c>
      <c r="AA48" s="138"/>
      <c r="AB48" s="395">
        <f t="shared" si="13"/>
        <v>0</v>
      </c>
      <c r="AC48" s="396">
        <f t="shared" si="14"/>
        <v>0</v>
      </c>
      <c r="AD48" s="53"/>
      <c r="AE48" s="424">
        <f>VLOOKUP($B48,'Proposed Rates'!$D$255:$J$261,+AE$11-2,FALSE)</f>
        <v>0.14199999999999999</v>
      </c>
      <c r="AF48" s="502">
        <f>IF(AND($S$2=1, $F$10&gt;=750), $F$10-750, IF(AND($S$2=1, AND($F$10&lt;750, $F$10&gt;=0)), 0, IF(AND($S$2=2, $F$10&gt;=1000), $F$10-1000, IF(AND($S$2=2, AND($F$10&lt;1000, $F$10&gt;=0)), 0))))</f>
        <v>250</v>
      </c>
      <c r="AG48" s="394">
        <f t="shared" si="59"/>
        <v>35.5</v>
      </c>
      <c r="AH48" s="138"/>
      <c r="AI48" s="395">
        <f t="shared" si="17"/>
        <v>0</v>
      </c>
      <c r="AJ48" s="396">
        <f t="shared" si="18"/>
        <v>0</v>
      </c>
      <c r="AK48" s="53"/>
      <c r="AL48" s="424">
        <f>VLOOKUP($B48,'Proposed Rates'!$D$255:$J$261,+AL$11-2,FALSE)</f>
        <v>0.14199999999999999</v>
      </c>
      <c r="AM48" s="502">
        <f>IF(AND($S$2=1, $F$10&gt;=750), $F$10-750, IF(AND($S$2=1, AND($F$10&lt;750, $F$10&gt;=0)), 0, IF(AND($S$2=2, $F$10&gt;=1000), $F$10-1000, IF(AND($S$2=2, AND($F$10&lt;1000, $F$10&gt;=0)), 0))))</f>
        <v>250</v>
      </c>
      <c r="AN48" s="394">
        <f t="shared" si="61"/>
        <v>35.5</v>
      </c>
      <c r="AO48" s="138"/>
      <c r="AP48" s="395">
        <f t="shared" si="21"/>
        <v>0</v>
      </c>
      <c r="AQ48" s="396">
        <f t="shared" si="22"/>
        <v>0</v>
      </c>
      <c r="AR48" s="397"/>
    </row>
    <row r="49" spans="1:44" ht="12"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 customHeight="1">
      <c r="A50" s="53"/>
      <c r="B50" s="438" t="s">
        <v>344</v>
      </c>
      <c r="C50" s="328"/>
      <c r="D50" s="328"/>
      <c r="E50" s="328"/>
      <c r="F50" s="439"/>
      <c r="G50" s="483"/>
      <c r="H50" s="441">
        <f>SUM(H41:H46,H40)</f>
        <v>213.12010600000002</v>
      </c>
      <c r="I50" s="476"/>
      <c r="J50" s="439"/>
      <c r="K50" s="440"/>
      <c r="L50" s="441">
        <f>SUM(L41:L46,L40)</f>
        <v>216.86937599999999</v>
      </c>
      <c r="M50" s="443"/>
      <c r="N50" s="442">
        <f t="shared" ref="N50:N54" si="62">L50-H50</f>
        <v>3.7492699999999672</v>
      </c>
      <c r="O50" s="444">
        <f t="shared" ref="O50:O54" si="63">IF((H50)=0,"",(N50/H50))</f>
        <v>1.7592286670502909E-2</v>
      </c>
      <c r="P50" s="53"/>
      <c r="Q50" s="440"/>
      <c r="R50" s="440"/>
      <c r="S50" s="442">
        <f>SUM(S41:S46,S40)</f>
        <v>220.62937599999998</v>
      </c>
      <c r="T50" s="443"/>
      <c r="U50" s="442">
        <f t="shared" ref="U50:U54" si="64">S50-L50</f>
        <v>3.7599999999999909</v>
      </c>
      <c r="V50" s="444">
        <f t="shared" ref="V50:V54" si="65">IF((L50)=0,"",(U50/L50))</f>
        <v>1.7337625391608963E-2</v>
      </c>
      <c r="W50" s="53"/>
      <c r="X50" s="440"/>
      <c r="Y50" s="440"/>
      <c r="Z50" s="442">
        <f>SUM(Z41:Z46,Z40)</f>
        <v>222.52937599999996</v>
      </c>
      <c r="AA50" s="443"/>
      <c r="AB50" s="442">
        <f t="shared" ref="AB50:AB54" si="66">Z50-S50</f>
        <v>1.8999999999999773</v>
      </c>
      <c r="AC50" s="444">
        <f t="shared" ref="AC50:AC54" si="67">IF((S50)=0,"",(AB50/S50))</f>
        <v>8.611727207169264E-3</v>
      </c>
      <c r="AD50" s="53"/>
      <c r="AE50" s="440"/>
      <c r="AF50" s="440"/>
      <c r="AG50" s="442">
        <f>SUM(AG41:AG46,AG40)</f>
        <v>223.60937599999997</v>
      </c>
      <c r="AH50" s="443"/>
      <c r="AI50" s="442">
        <f t="shared" ref="AI50:AI54" si="68">AG50-Z50</f>
        <v>1.0800000000000125</v>
      </c>
      <c r="AJ50" s="444">
        <f t="shared" ref="AJ50:AJ54" si="69">IF((Z50)=0,"",(AI50/Z50))</f>
        <v>4.8532918188743434E-3</v>
      </c>
      <c r="AK50" s="53"/>
      <c r="AL50" s="440"/>
      <c r="AM50" s="440"/>
      <c r="AN50" s="442">
        <f>SUM(AN41:AN46,AN40)</f>
        <v>224.65937599999998</v>
      </c>
      <c r="AO50" s="443"/>
      <c r="AP50" s="442">
        <f t="shared" ref="AP50:AP54" si="70">AN50-AG50</f>
        <v>1.0500000000000114</v>
      </c>
      <c r="AQ50" s="444">
        <f t="shared" ref="AQ50:AQ54" si="71">IF((AG50)=0,"",(AP50/AG50))</f>
        <v>4.6956886101234482E-3</v>
      </c>
      <c r="AR50" s="445"/>
    </row>
    <row r="51" spans="1:44" ht="12" customHeight="1">
      <c r="A51" s="53"/>
      <c r="B51" s="446" t="s">
        <v>345</v>
      </c>
      <c r="C51" s="328"/>
      <c r="D51" s="328"/>
      <c r="E51" s="328"/>
      <c r="F51" s="439">
        <v>0.13</v>
      </c>
      <c r="G51" s="138"/>
      <c r="H51" s="484">
        <f>H50*F51</f>
        <v>27.705613780000004</v>
      </c>
      <c r="I51" s="411"/>
      <c r="J51" s="439">
        <v>0.13</v>
      </c>
      <c r="K51" s="411"/>
      <c r="L51" s="394">
        <f>L50*J51</f>
        <v>28.19301888</v>
      </c>
      <c r="M51" s="138"/>
      <c r="N51" s="395">
        <f t="shared" si="62"/>
        <v>0.48740509999999659</v>
      </c>
      <c r="O51" s="396">
        <f t="shared" si="63"/>
        <v>1.759228667050294E-2</v>
      </c>
      <c r="P51" s="53"/>
      <c r="Q51" s="447">
        <v>0.13</v>
      </c>
      <c r="R51" s="411"/>
      <c r="S51" s="394">
        <f>S50*Q51</f>
        <v>28.681818879999998</v>
      </c>
      <c r="T51" s="138"/>
      <c r="U51" s="395">
        <f t="shared" si="64"/>
        <v>0.48879999999999768</v>
      </c>
      <c r="V51" s="396">
        <f t="shared" si="65"/>
        <v>1.7337625391608921E-2</v>
      </c>
      <c r="W51" s="53"/>
      <c r="X51" s="447">
        <v>0.13</v>
      </c>
      <c r="Y51" s="411"/>
      <c r="Z51" s="394">
        <f>Z50*X51</f>
        <v>28.928818879999994</v>
      </c>
      <c r="AA51" s="138"/>
      <c r="AB51" s="395">
        <f t="shared" si="66"/>
        <v>0.24699999999999633</v>
      </c>
      <c r="AC51" s="396">
        <f t="shared" si="67"/>
        <v>8.6117272071692397E-3</v>
      </c>
      <c r="AD51" s="53"/>
      <c r="AE51" s="447">
        <v>0.13</v>
      </c>
      <c r="AF51" s="411"/>
      <c r="AG51" s="394">
        <f>AG50*AE51</f>
        <v>29.069218879999998</v>
      </c>
      <c r="AH51" s="138"/>
      <c r="AI51" s="395">
        <f t="shared" si="68"/>
        <v>0.14040000000000319</v>
      </c>
      <c r="AJ51" s="396">
        <f t="shared" si="69"/>
        <v>4.853291818874398E-3</v>
      </c>
      <c r="AK51" s="53"/>
      <c r="AL51" s="447">
        <v>0.13</v>
      </c>
      <c r="AM51" s="411"/>
      <c r="AN51" s="394">
        <f>AN50*AL51</f>
        <v>29.205718879999999</v>
      </c>
      <c r="AO51" s="138"/>
      <c r="AP51" s="395">
        <f t="shared" si="70"/>
        <v>0.13650000000000162</v>
      </c>
      <c r="AQ51" s="396">
        <f t="shared" si="71"/>
        <v>4.6956886101234526E-3</v>
      </c>
      <c r="AR51" s="397"/>
    </row>
    <row r="52" spans="1:44" ht="12" customHeight="1">
      <c r="A52" s="53"/>
      <c r="B52" s="448" t="s">
        <v>392</v>
      </c>
      <c r="C52" s="328"/>
      <c r="D52" s="328"/>
      <c r="E52" s="328"/>
      <c r="F52" s="449"/>
      <c r="G52" s="138"/>
      <c r="H52" s="484">
        <f>H50+H51</f>
        <v>240.82571978000001</v>
      </c>
      <c r="I52" s="411"/>
      <c r="J52" s="449"/>
      <c r="K52" s="411"/>
      <c r="L52" s="394">
        <f>L50+L51</f>
        <v>245.06239488</v>
      </c>
      <c r="M52" s="138"/>
      <c r="N52" s="395">
        <f t="shared" si="62"/>
        <v>4.2366750999999852</v>
      </c>
      <c r="O52" s="396">
        <f t="shared" si="63"/>
        <v>1.7592286670503002E-2</v>
      </c>
      <c r="P52" s="53"/>
      <c r="Q52" s="411"/>
      <c r="R52" s="411"/>
      <c r="S52" s="394">
        <f>S50+S51</f>
        <v>249.31119487999999</v>
      </c>
      <c r="T52" s="138"/>
      <c r="U52" s="395">
        <f t="shared" si="64"/>
        <v>4.2487999999999886</v>
      </c>
      <c r="V52" s="396">
        <f t="shared" si="65"/>
        <v>1.7337625391608956E-2</v>
      </c>
      <c r="W52" s="53"/>
      <c r="X52" s="411"/>
      <c r="Y52" s="411"/>
      <c r="Z52" s="394">
        <f>Z50+Z51</f>
        <v>251.45819487999995</v>
      </c>
      <c r="AA52" s="138"/>
      <c r="AB52" s="395">
        <f t="shared" si="66"/>
        <v>2.1469999999999629</v>
      </c>
      <c r="AC52" s="396">
        <f t="shared" si="67"/>
        <v>8.6117272071692189E-3</v>
      </c>
      <c r="AD52" s="53"/>
      <c r="AE52" s="411"/>
      <c r="AF52" s="411"/>
      <c r="AG52" s="394">
        <f>AG50+AG51</f>
        <v>252.67859487999996</v>
      </c>
      <c r="AH52" s="138"/>
      <c r="AI52" s="395">
        <f t="shared" si="68"/>
        <v>1.2204000000000121</v>
      </c>
      <c r="AJ52" s="396">
        <f t="shared" si="69"/>
        <v>4.8532918188743356E-3</v>
      </c>
      <c r="AK52" s="53"/>
      <c r="AL52" s="411"/>
      <c r="AM52" s="411"/>
      <c r="AN52" s="394">
        <f>AN50+AN51</f>
        <v>253.86509487999999</v>
      </c>
      <c r="AO52" s="138"/>
      <c r="AP52" s="395">
        <f t="shared" si="70"/>
        <v>1.1865000000000236</v>
      </c>
      <c r="AQ52" s="396">
        <f t="shared" si="71"/>
        <v>4.6956886101234907E-3</v>
      </c>
      <c r="AR52" s="397"/>
    </row>
    <row r="53" spans="1:44" ht="12" customHeight="1">
      <c r="A53" s="53"/>
      <c r="B53" s="626" t="s">
        <v>304</v>
      </c>
      <c r="C53" s="616"/>
      <c r="D53" s="616"/>
      <c r="E53" s="328"/>
      <c r="F53" s="450">
        <f>'Proposed Rates'!E293</f>
        <v>0.23499999999999999</v>
      </c>
      <c r="G53" s="138"/>
      <c r="H53" s="486">
        <f>F53*H50</f>
        <v>50.083224910000006</v>
      </c>
      <c r="I53" s="411"/>
      <c r="J53" s="450">
        <f>'Proposed Rates'!F293</f>
        <v>0.23499999999999999</v>
      </c>
      <c r="K53" s="411"/>
      <c r="L53" s="451">
        <f>J53*L50</f>
        <v>50.964303359999995</v>
      </c>
      <c r="M53" s="138"/>
      <c r="N53" s="451">
        <f t="shared" si="62"/>
        <v>0.88107844999998974</v>
      </c>
      <c r="O53" s="453">
        <f t="shared" si="63"/>
        <v>1.7592286670502857E-2</v>
      </c>
      <c r="P53" s="53"/>
      <c r="Q53" s="452">
        <f>'Proposed Rates'!G293</f>
        <v>0.23499999999999999</v>
      </c>
      <c r="R53" s="411"/>
      <c r="S53" s="451">
        <f>Q53*S50</f>
        <v>51.847903359999989</v>
      </c>
      <c r="T53" s="138"/>
      <c r="U53" s="451">
        <f t="shared" si="64"/>
        <v>0.88359999999999417</v>
      </c>
      <c r="V53" s="453">
        <f t="shared" si="65"/>
        <v>1.733762539160889E-2</v>
      </c>
      <c r="W53" s="53"/>
      <c r="X53" s="452">
        <f>'Proposed Rates'!H293</f>
        <v>0.23499999999999999</v>
      </c>
      <c r="Y53" s="411"/>
      <c r="Z53" s="451">
        <f>X53*Z50</f>
        <v>52.29440335999999</v>
      </c>
      <c r="AA53" s="138"/>
      <c r="AB53" s="451">
        <f t="shared" si="66"/>
        <v>0.44650000000000034</v>
      </c>
      <c r="AC53" s="453">
        <f t="shared" si="67"/>
        <v>8.611727207169375E-3</v>
      </c>
      <c r="AD53" s="53"/>
      <c r="AE53" s="452">
        <f>'Proposed Rates'!I293</f>
        <v>0.23499999999999999</v>
      </c>
      <c r="AF53" s="411"/>
      <c r="AG53" s="451">
        <f>AE53*AG50</f>
        <v>52.548203359999988</v>
      </c>
      <c r="AH53" s="138"/>
      <c r="AI53" s="451">
        <f t="shared" si="68"/>
        <v>0.25379999999999825</v>
      </c>
      <c r="AJ53" s="453">
        <f t="shared" si="69"/>
        <v>4.853291818874254E-3</v>
      </c>
      <c r="AK53" s="53"/>
      <c r="AL53" s="452">
        <f>'Proposed Rates'!J293</f>
        <v>0.23499999999999999</v>
      </c>
      <c r="AM53" s="411"/>
      <c r="AN53" s="451">
        <f>AL53*AN50</f>
        <v>52.794953359999994</v>
      </c>
      <c r="AO53" s="138"/>
      <c r="AP53" s="451">
        <f t="shared" si="70"/>
        <v>0.2467500000000058</v>
      </c>
      <c r="AQ53" s="453">
        <f t="shared" si="71"/>
        <v>4.6956886101235081E-3</v>
      </c>
      <c r="AR53" s="454"/>
    </row>
    <row r="54" spans="1:44" ht="12" customHeight="1">
      <c r="A54" s="53"/>
      <c r="B54" s="627" t="s">
        <v>347</v>
      </c>
      <c r="C54" s="608"/>
      <c r="D54" s="600"/>
      <c r="E54" s="455"/>
      <c r="F54" s="456"/>
      <c r="G54" s="487"/>
      <c r="H54" s="488">
        <f>H52-H53</f>
        <v>190.74249487</v>
      </c>
      <c r="I54" s="457"/>
      <c r="J54" s="456"/>
      <c r="K54" s="457"/>
      <c r="L54" s="458">
        <f>L52-L53</f>
        <v>194.09809152</v>
      </c>
      <c r="M54" s="459"/>
      <c r="N54" s="460">
        <f t="shared" si="62"/>
        <v>3.3555966499999954</v>
      </c>
      <c r="O54" s="461">
        <f t="shared" si="63"/>
        <v>1.7592286670503041E-2</v>
      </c>
      <c r="P54" s="53"/>
      <c r="Q54" s="457"/>
      <c r="R54" s="457"/>
      <c r="S54" s="458">
        <f>S52-S53</f>
        <v>197.46329151999998</v>
      </c>
      <c r="T54" s="459"/>
      <c r="U54" s="460">
        <f t="shared" si="64"/>
        <v>3.3651999999999873</v>
      </c>
      <c r="V54" s="461">
        <f t="shared" si="65"/>
        <v>1.7337625391608939E-2</v>
      </c>
      <c r="W54" s="53"/>
      <c r="X54" s="457"/>
      <c r="Y54" s="457"/>
      <c r="Z54" s="458">
        <f>Z52-Z53</f>
        <v>199.16379151999996</v>
      </c>
      <c r="AA54" s="459"/>
      <c r="AB54" s="460">
        <f t="shared" si="66"/>
        <v>1.7004999999999768</v>
      </c>
      <c r="AC54" s="461">
        <f t="shared" si="67"/>
        <v>8.6117272071692501E-3</v>
      </c>
      <c r="AD54" s="53"/>
      <c r="AE54" s="457"/>
      <c r="AF54" s="457"/>
      <c r="AG54" s="458">
        <f>AG52-AG53</f>
        <v>200.13039151999999</v>
      </c>
      <c r="AH54" s="459"/>
      <c r="AI54" s="460">
        <f t="shared" si="68"/>
        <v>0.9666000000000281</v>
      </c>
      <c r="AJ54" s="461">
        <f t="shared" si="69"/>
        <v>4.8532918188744284E-3</v>
      </c>
      <c r="AK54" s="53"/>
      <c r="AL54" s="457"/>
      <c r="AM54" s="457"/>
      <c r="AN54" s="458">
        <f>AN52-AN53</f>
        <v>201.07014151999999</v>
      </c>
      <c r="AO54" s="459"/>
      <c r="AP54" s="460">
        <f t="shared" si="70"/>
        <v>0.93975000000000364</v>
      </c>
      <c r="AQ54" s="461">
        <f t="shared" si="71"/>
        <v>4.6956886101234153E-3</v>
      </c>
      <c r="AR54" s="462"/>
    </row>
    <row r="55" spans="1:44" ht="12"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 customHeight="1">
      <c r="A56" s="53"/>
      <c r="B56" s="438" t="s">
        <v>348</v>
      </c>
      <c r="C56" s="328"/>
      <c r="D56" s="328"/>
      <c r="E56" s="328"/>
      <c r="F56" s="439"/>
      <c r="G56" s="483"/>
      <c r="H56" s="441">
        <f>SUM(H47:H48,H40,H41:H43)</f>
        <v>211.10010600000001</v>
      </c>
      <c r="I56" s="476"/>
      <c r="J56" s="439"/>
      <c r="K56" s="440"/>
      <c r="L56" s="441">
        <f>SUM(L47:L48,L40,L41:L43)</f>
        <v>214.84937599999998</v>
      </c>
      <c r="M56" s="443"/>
      <c r="N56" s="442">
        <f t="shared" ref="N56:N60" si="72">L56-H56</f>
        <v>3.7492699999999672</v>
      </c>
      <c r="O56" s="444">
        <f t="shared" ref="O56:O60" si="73">IF((H56)=0,"",(N56/H56))</f>
        <v>1.7760625852077813E-2</v>
      </c>
      <c r="P56" s="53"/>
      <c r="Q56" s="440"/>
      <c r="R56" s="440"/>
      <c r="S56" s="442">
        <f>SUM(S47:S48,S40,S41:S43)</f>
        <v>218.609376</v>
      </c>
      <c r="T56" s="443"/>
      <c r="U56" s="442">
        <f t="shared" ref="U56:U60" si="74">S56-L56</f>
        <v>3.7600000000000193</v>
      </c>
      <c r="V56" s="444">
        <f t="shared" ref="V56:V60" si="75">IF((L56)=0,"",(U56/L56))</f>
        <v>1.7500632629251944E-2</v>
      </c>
      <c r="W56" s="53"/>
      <c r="X56" s="440"/>
      <c r="Y56" s="440"/>
      <c r="Z56" s="442">
        <f>SUM(Z47:Z48,Z40,Z41:Z43)</f>
        <v>220.509376</v>
      </c>
      <c r="AA56" s="443"/>
      <c r="AB56" s="442">
        <f t="shared" ref="AB56:AB60" si="76">Z56-S56</f>
        <v>1.9000000000000057</v>
      </c>
      <c r="AC56" s="444">
        <f t="shared" ref="AC56:AC60" si="77">IF((S56)=0,"",(AB56/S56))</f>
        <v>8.6913015112398736E-3</v>
      </c>
      <c r="AD56" s="53"/>
      <c r="AE56" s="440"/>
      <c r="AF56" s="440"/>
      <c r="AG56" s="442">
        <f>SUM(AG47:AG48,AG40,AG41:AG43)</f>
        <v>221.58937599999999</v>
      </c>
      <c r="AH56" s="443"/>
      <c r="AI56" s="442">
        <f t="shared" ref="AI56:AI60" si="78">AG56-Z56</f>
        <v>1.0799999999999841</v>
      </c>
      <c r="AJ56" s="444">
        <f t="shared" ref="AJ56:AJ60" si="79">IF((Z56)=0,"",(AI56/Z56))</f>
        <v>4.8977509237520317E-3</v>
      </c>
      <c r="AK56" s="53"/>
      <c r="AL56" s="440"/>
      <c r="AM56" s="440"/>
      <c r="AN56" s="442">
        <f>SUM(AN47:AN48,AN40,AN41:AN43)</f>
        <v>222.639376</v>
      </c>
      <c r="AO56" s="443"/>
      <c r="AP56" s="442">
        <f t="shared" ref="AP56:AP60" si="80">AN56-AG56</f>
        <v>1.0500000000000114</v>
      </c>
      <c r="AQ56" s="444">
        <f t="shared" ref="AQ56:AQ60" si="81">IF((AG56)=0,"",(AP56/AG56))</f>
        <v>4.7384943220383068E-3</v>
      </c>
      <c r="AR56" s="445"/>
    </row>
    <row r="57" spans="1:44" ht="12" customHeight="1">
      <c r="A57" s="53"/>
      <c r="B57" s="446" t="s">
        <v>345</v>
      </c>
      <c r="C57" s="328"/>
      <c r="D57" s="328"/>
      <c r="E57" s="328"/>
      <c r="F57" s="439">
        <v>0.13</v>
      </c>
      <c r="G57" s="483"/>
      <c r="H57" s="484">
        <f>H56*F57</f>
        <v>27.443013780000001</v>
      </c>
      <c r="I57" s="411"/>
      <c r="J57" s="439">
        <v>0.13</v>
      </c>
      <c r="K57" s="447"/>
      <c r="L57" s="394">
        <f>L56*J57</f>
        <v>27.930418879999998</v>
      </c>
      <c r="M57" s="138"/>
      <c r="N57" s="395">
        <f t="shared" si="72"/>
        <v>0.48740509999999659</v>
      </c>
      <c r="O57" s="396">
        <f t="shared" si="73"/>
        <v>1.7760625852077848E-2</v>
      </c>
      <c r="P57" s="53"/>
      <c r="Q57" s="439">
        <v>0.13</v>
      </c>
      <c r="R57" s="447"/>
      <c r="S57" s="394">
        <f>S56*Q57</f>
        <v>28.419218879999999</v>
      </c>
      <c r="T57" s="138"/>
      <c r="U57" s="395">
        <f t="shared" si="74"/>
        <v>0.48880000000000123</v>
      </c>
      <c r="V57" s="396">
        <f t="shared" si="75"/>
        <v>1.7500632629251899E-2</v>
      </c>
      <c r="W57" s="53"/>
      <c r="X57" s="439">
        <v>0.13</v>
      </c>
      <c r="Y57" s="447"/>
      <c r="Z57" s="394">
        <f>Z56*X57</f>
        <v>28.666218880000002</v>
      </c>
      <c r="AA57" s="138"/>
      <c r="AB57" s="395">
        <f t="shared" si="76"/>
        <v>0.24700000000000344</v>
      </c>
      <c r="AC57" s="396">
        <f t="shared" si="77"/>
        <v>8.691301511239969E-3</v>
      </c>
      <c r="AD57" s="53"/>
      <c r="AE57" s="439">
        <v>0.13</v>
      </c>
      <c r="AF57" s="447"/>
      <c r="AG57" s="394">
        <f>AG56*AE57</f>
        <v>28.806618879999998</v>
      </c>
      <c r="AH57" s="138"/>
      <c r="AI57" s="395">
        <f t="shared" si="78"/>
        <v>0.14039999999999608</v>
      </c>
      <c r="AJ57" s="396">
        <f t="shared" si="79"/>
        <v>4.8977509237519666E-3</v>
      </c>
      <c r="AK57" s="53"/>
      <c r="AL57" s="439">
        <v>0.13</v>
      </c>
      <c r="AM57" s="447"/>
      <c r="AN57" s="394">
        <f>AN56*AL57</f>
        <v>28.94311888</v>
      </c>
      <c r="AO57" s="138"/>
      <c r="AP57" s="395">
        <f t="shared" si="80"/>
        <v>0.13650000000000162</v>
      </c>
      <c r="AQ57" s="396">
        <f t="shared" si="81"/>
        <v>4.738494322038312E-3</v>
      </c>
      <c r="AR57" s="397"/>
    </row>
    <row r="58" spans="1:44" ht="12" customHeight="1">
      <c r="A58" s="53"/>
      <c r="B58" s="448" t="s">
        <v>393</v>
      </c>
      <c r="C58" s="328"/>
      <c r="D58" s="328"/>
      <c r="E58" s="328"/>
      <c r="F58" s="449"/>
      <c r="G58" s="138"/>
      <c r="H58" s="484">
        <f>H56+H57</f>
        <v>238.54311978000001</v>
      </c>
      <c r="I58" s="411"/>
      <c r="J58" s="449"/>
      <c r="K58" s="411"/>
      <c r="L58" s="394">
        <f>L56+L57</f>
        <v>242.77979487999997</v>
      </c>
      <c r="M58" s="138"/>
      <c r="N58" s="395">
        <f t="shared" si="72"/>
        <v>4.2366750999999567</v>
      </c>
      <c r="O58" s="396">
        <f t="shared" si="73"/>
        <v>1.7760625852077789E-2</v>
      </c>
      <c r="P58" s="53"/>
      <c r="Q58" s="411"/>
      <c r="R58" s="411"/>
      <c r="S58" s="394">
        <f>S56+S57</f>
        <v>247.02859487999999</v>
      </c>
      <c r="T58" s="138"/>
      <c r="U58" s="395">
        <f t="shared" si="74"/>
        <v>4.248800000000017</v>
      </c>
      <c r="V58" s="396">
        <f t="shared" si="75"/>
        <v>1.7500632629251927E-2</v>
      </c>
      <c r="W58" s="53"/>
      <c r="X58" s="411"/>
      <c r="Y58" s="411"/>
      <c r="Z58" s="394">
        <f>Z56+Z57</f>
        <v>249.17559488000001</v>
      </c>
      <c r="AA58" s="138"/>
      <c r="AB58" s="395">
        <f t="shared" si="76"/>
        <v>2.1470000000000198</v>
      </c>
      <c r="AC58" s="396">
        <f t="shared" si="77"/>
        <v>8.6913015112399274E-3</v>
      </c>
      <c r="AD58" s="53"/>
      <c r="AE58" s="411"/>
      <c r="AF58" s="411"/>
      <c r="AG58" s="394">
        <f>AG56+AG57</f>
        <v>250.39599487999999</v>
      </c>
      <c r="AH58" s="138"/>
      <c r="AI58" s="395">
        <f t="shared" si="78"/>
        <v>1.2203999999999837</v>
      </c>
      <c r="AJ58" s="396">
        <f t="shared" si="79"/>
        <v>4.8977509237520386E-3</v>
      </c>
      <c r="AK58" s="53"/>
      <c r="AL58" s="411"/>
      <c r="AM58" s="411"/>
      <c r="AN58" s="394">
        <f>AN56+AN57</f>
        <v>251.58249488000001</v>
      </c>
      <c r="AO58" s="138"/>
      <c r="AP58" s="395">
        <f t="shared" si="80"/>
        <v>1.1865000000000236</v>
      </c>
      <c r="AQ58" s="396">
        <f t="shared" si="81"/>
        <v>4.7384943220383502E-3</v>
      </c>
      <c r="AR58" s="397"/>
    </row>
    <row r="59" spans="1:44" ht="12" customHeight="1">
      <c r="A59" s="53"/>
      <c r="B59" s="626" t="s">
        <v>304</v>
      </c>
      <c r="C59" s="616"/>
      <c r="D59" s="616"/>
      <c r="E59" s="328"/>
      <c r="F59" s="450">
        <f>F53</f>
        <v>0.23499999999999999</v>
      </c>
      <c r="G59" s="138"/>
      <c r="H59" s="486">
        <f>F59*H56</f>
        <v>49.60852491</v>
      </c>
      <c r="I59" s="411"/>
      <c r="J59" s="450">
        <f>J53</f>
        <v>0.23499999999999999</v>
      </c>
      <c r="K59" s="411"/>
      <c r="L59" s="451">
        <f>J59*L56</f>
        <v>50.48960335999999</v>
      </c>
      <c r="M59" s="138"/>
      <c r="N59" s="451">
        <f t="shared" si="72"/>
        <v>0.88107844999998974</v>
      </c>
      <c r="O59" s="453">
        <f t="shared" si="73"/>
        <v>1.7760625852077765E-2</v>
      </c>
      <c r="P59" s="53"/>
      <c r="Q59" s="452">
        <f>Q53</f>
        <v>0.23499999999999999</v>
      </c>
      <c r="R59" s="411"/>
      <c r="S59" s="451">
        <f>Q59*S56</f>
        <v>51.373203359999998</v>
      </c>
      <c r="T59" s="138"/>
      <c r="U59" s="451">
        <f t="shared" si="74"/>
        <v>0.88360000000000838</v>
      </c>
      <c r="V59" s="453">
        <f t="shared" si="75"/>
        <v>1.7500632629252024E-2</v>
      </c>
      <c r="W59" s="53"/>
      <c r="X59" s="452">
        <f>X53</f>
        <v>0.23499999999999999</v>
      </c>
      <c r="Y59" s="411"/>
      <c r="Z59" s="451">
        <f>X59*Z56</f>
        <v>51.819703359999998</v>
      </c>
      <c r="AA59" s="138"/>
      <c r="AB59" s="451">
        <f t="shared" si="76"/>
        <v>0.44650000000000034</v>
      </c>
      <c r="AC59" s="453">
        <f t="shared" si="77"/>
        <v>8.6913015112398545E-3</v>
      </c>
      <c r="AD59" s="53"/>
      <c r="AE59" s="452">
        <f>AE53</f>
        <v>0.23499999999999999</v>
      </c>
      <c r="AF59" s="411"/>
      <c r="AG59" s="451">
        <f>AE59*AG56</f>
        <v>52.073503359999997</v>
      </c>
      <c r="AH59" s="138"/>
      <c r="AI59" s="451">
        <f t="shared" si="78"/>
        <v>0.25379999999999825</v>
      </c>
      <c r="AJ59" s="453">
        <f t="shared" si="79"/>
        <v>4.8977509237520698E-3</v>
      </c>
      <c r="AK59" s="53"/>
      <c r="AL59" s="452">
        <f>AL53</f>
        <v>0.23499999999999999</v>
      </c>
      <c r="AM59" s="411"/>
      <c r="AN59" s="451">
        <f>AL59*AN56</f>
        <v>52.320253359999995</v>
      </c>
      <c r="AO59" s="138"/>
      <c r="AP59" s="451">
        <f t="shared" si="80"/>
        <v>0.24674999999999869</v>
      </c>
      <c r="AQ59" s="453">
        <f t="shared" si="81"/>
        <v>4.7384943220382305E-3</v>
      </c>
      <c r="AR59" s="454"/>
    </row>
    <row r="60" spans="1:44" ht="12" customHeight="1">
      <c r="A60" s="53"/>
      <c r="B60" s="627" t="s">
        <v>350</v>
      </c>
      <c r="C60" s="608"/>
      <c r="D60" s="600"/>
      <c r="E60" s="455"/>
      <c r="F60" s="463"/>
      <c r="G60" s="489"/>
      <c r="H60" s="490">
        <f>H58-H59</f>
        <v>188.93459487000001</v>
      </c>
      <c r="I60" s="464"/>
      <c r="J60" s="463"/>
      <c r="K60" s="464"/>
      <c r="L60" s="465">
        <f>L58-L59</f>
        <v>192.29019151999998</v>
      </c>
      <c r="M60" s="466"/>
      <c r="N60" s="467">
        <f t="shared" si="72"/>
        <v>3.355596649999967</v>
      </c>
      <c r="O60" s="468">
        <f t="shared" si="73"/>
        <v>1.7760625852077796E-2</v>
      </c>
      <c r="P60" s="53"/>
      <c r="Q60" s="464"/>
      <c r="R60" s="464"/>
      <c r="S60" s="465">
        <f>S58-S59</f>
        <v>195.65539151999999</v>
      </c>
      <c r="T60" s="466"/>
      <c r="U60" s="467">
        <f t="shared" si="74"/>
        <v>3.3652000000000157</v>
      </c>
      <c r="V60" s="468">
        <f t="shared" si="75"/>
        <v>1.7500632629251937E-2</v>
      </c>
      <c r="W60" s="53"/>
      <c r="X60" s="464"/>
      <c r="Y60" s="464"/>
      <c r="Z60" s="465">
        <f>Z58-Z59</f>
        <v>197.35589152</v>
      </c>
      <c r="AA60" s="466"/>
      <c r="AB60" s="467">
        <f t="shared" si="76"/>
        <v>1.7005000000000052</v>
      </c>
      <c r="AC60" s="468">
        <f t="shared" si="77"/>
        <v>8.6913015112398736E-3</v>
      </c>
      <c r="AD60" s="53"/>
      <c r="AE60" s="464"/>
      <c r="AF60" s="464"/>
      <c r="AG60" s="465">
        <f>AG58-AG59</f>
        <v>198.32249152</v>
      </c>
      <c r="AH60" s="466"/>
      <c r="AI60" s="467">
        <f t="shared" si="78"/>
        <v>0.96659999999999968</v>
      </c>
      <c r="AJ60" s="468">
        <f t="shared" si="79"/>
        <v>4.8977509237521019E-3</v>
      </c>
      <c r="AK60" s="53"/>
      <c r="AL60" s="464"/>
      <c r="AM60" s="464"/>
      <c r="AN60" s="465">
        <f>AN58-AN59</f>
        <v>199.26224152000003</v>
      </c>
      <c r="AO60" s="466"/>
      <c r="AP60" s="467">
        <f t="shared" si="80"/>
        <v>0.93975000000003206</v>
      </c>
      <c r="AQ60" s="468">
        <f t="shared" si="81"/>
        <v>4.738494322038417E-3</v>
      </c>
      <c r="AR60" s="462"/>
    </row>
    <row r="61" spans="1:44" ht="12"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474"/>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200-000000000000}">
      <formula1>"TOU,non-TOU"</formula1>
    </dataValidation>
    <dataValidation type="list" allowBlank="1" showErrorMessage="1" sqref="E15:E28 E30:E36 E38:E39 E41:E49 E55 E61" xr:uid="{00000000-0002-0000-1200-000001000000}">
      <formula1>#REF!</formula1>
    </dataValidation>
    <dataValidation type="list" allowBlank="1" showInputMessage="1" showErrorMessage="1" prompt="Select Charge Unit - monthly, per kWh, per kW" sqref="D15:D28 D30:D36 D38:D39 D41:D49 D55 D61" xr:uid="{00000000-0002-0000-1200-000002000000}">
      <formula1>"Monthly,per kWh,per kW"</formula1>
    </dataValidation>
  </dataValidations>
  <pageMargins left="0.74803149606299213" right="0.74803149606299213" top="0.98425196850393704" bottom="0.98425196850393704"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94"/>
  <sheetViews>
    <sheetView workbookViewId="0"/>
  </sheetViews>
  <sheetFormatPr defaultColWidth="12.5703125" defaultRowHeight="15" customHeight="1"/>
  <cols>
    <col min="1" max="1" width="62.7109375" customWidth="1"/>
    <col min="2" max="2" width="3.28515625" customWidth="1"/>
    <col min="3" max="3" width="10.42578125" customWidth="1"/>
    <col min="4" max="4" width="9.42578125" customWidth="1"/>
    <col min="5" max="24" width="9.140625" customWidth="1"/>
  </cols>
  <sheetData>
    <row r="1" spans="1:26" ht="23.25" customHeight="1">
      <c r="A1" s="588" t="s">
        <v>26</v>
      </c>
      <c r="B1" s="589"/>
      <c r="C1" s="589"/>
      <c r="D1" s="590"/>
      <c r="E1" s="54"/>
      <c r="F1" s="54"/>
      <c r="G1" s="54"/>
      <c r="H1" s="54"/>
      <c r="I1" s="54"/>
      <c r="J1" s="54"/>
      <c r="K1" s="54"/>
      <c r="L1" s="54"/>
      <c r="M1" s="54"/>
      <c r="N1" s="54"/>
      <c r="O1" s="54"/>
      <c r="P1" s="54"/>
      <c r="Q1" s="54"/>
      <c r="R1" s="54"/>
      <c r="S1" s="54"/>
      <c r="T1" s="54"/>
      <c r="U1" s="54"/>
      <c r="V1" s="54"/>
      <c r="W1" s="54"/>
      <c r="X1" s="54"/>
      <c r="Y1" s="54"/>
      <c r="Z1" s="54"/>
    </row>
    <row r="2" spans="1:26" ht="18" customHeight="1">
      <c r="A2" s="591" t="s">
        <v>27</v>
      </c>
      <c r="B2" s="589"/>
      <c r="C2" s="589"/>
      <c r="D2" s="590"/>
      <c r="E2" s="54"/>
      <c r="F2" s="54"/>
      <c r="G2" s="54"/>
      <c r="H2" s="54"/>
      <c r="I2" s="54"/>
      <c r="J2" s="54"/>
      <c r="K2" s="54"/>
      <c r="L2" s="54"/>
      <c r="M2" s="54"/>
      <c r="N2" s="54"/>
      <c r="O2" s="54"/>
      <c r="P2" s="54"/>
      <c r="Q2" s="54"/>
      <c r="R2" s="54"/>
      <c r="S2" s="54"/>
      <c r="T2" s="54"/>
      <c r="U2" s="54"/>
      <c r="V2" s="54"/>
      <c r="W2" s="54"/>
      <c r="X2" s="54"/>
      <c r="Y2" s="54"/>
      <c r="Z2" s="54"/>
    </row>
    <row r="3" spans="1:26" ht="15.75" customHeight="1">
      <c r="A3" s="592" t="s">
        <v>28</v>
      </c>
      <c r="B3" s="589"/>
      <c r="C3" s="589"/>
      <c r="D3" s="590"/>
      <c r="E3" s="54"/>
      <c r="F3" s="54"/>
      <c r="G3" s="54"/>
      <c r="H3" s="54"/>
      <c r="I3" s="54"/>
      <c r="J3" s="54"/>
      <c r="K3" s="54"/>
      <c r="L3" s="54"/>
      <c r="M3" s="54"/>
      <c r="N3" s="54"/>
      <c r="O3" s="54"/>
      <c r="P3" s="54"/>
      <c r="Q3" s="54"/>
      <c r="R3" s="54"/>
      <c r="S3" s="54"/>
      <c r="T3" s="54"/>
      <c r="U3" s="54"/>
      <c r="V3" s="54"/>
      <c r="W3" s="54"/>
      <c r="X3" s="54"/>
      <c r="Y3" s="54"/>
      <c r="Z3" s="54"/>
    </row>
    <row r="4" spans="1:26" ht="15.75" customHeight="1">
      <c r="A4" s="592" t="s">
        <v>29</v>
      </c>
      <c r="B4" s="589"/>
      <c r="C4" s="589"/>
      <c r="D4" s="590"/>
      <c r="E4" s="54"/>
      <c r="F4" s="54"/>
      <c r="G4" s="54"/>
      <c r="H4" s="54"/>
      <c r="I4" s="54"/>
      <c r="J4" s="54"/>
      <c r="K4" s="54"/>
      <c r="L4" s="54"/>
      <c r="M4" s="54"/>
      <c r="N4" s="54"/>
      <c r="O4" s="54"/>
      <c r="P4" s="54"/>
      <c r="Q4" s="54"/>
      <c r="R4" s="54"/>
      <c r="S4" s="54"/>
      <c r="T4" s="54"/>
      <c r="U4" s="54"/>
      <c r="V4" s="54"/>
      <c r="W4" s="54"/>
      <c r="X4" s="54"/>
      <c r="Y4" s="54"/>
      <c r="Z4" s="54"/>
    </row>
    <row r="5" spans="1:26" ht="11.25" customHeight="1">
      <c r="A5" s="593" t="s">
        <v>30</v>
      </c>
      <c r="B5" s="589"/>
      <c r="C5" s="589"/>
      <c r="D5" s="590"/>
      <c r="E5" s="54"/>
      <c r="F5" s="54"/>
      <c r="G5" s="54"/>
      <c r="H5" s="54"/>
      <c r="I5" s="54"/>
      <c r="J5" s="54"/>
      <c r="K5" s="54"/>
      <c r="L5" s="54"/>
      <c r="M5" s="54"/>
      <c r="N5" s="54"/>
      <c r="O5" s="54"/>
      <c r="P5" s="54"/>
      <c r="Q5" s="54"/>
      <c r="R5" s="54"/>
      <c r="S5" s="54"/>
      <c r="T5" s="54"/>
      <c r="U5" s="54"/>
      <c r="V5" s="54"/>
      <c r="W5" s="54"/>
      <c r="X5" s="54"/>
      <c r="Y5" s="54"/>
      <c r="Z5" s="54"/>
    </row>
    <row r="6" spans="1:26" ht="11.25" customHeight="1">
      <c r="A6" s="593" t="s">
        <v>31</v>
      </c>
      <c r="B6" s="589"/>
      <c r="C6" s="589"/>
      <c r="D6" s="590"/>
      <c r="E6" s="54"/>
      <c r="F6" s="54"/>
      <c r="G6" s="54"/>
      <c r="H6" s="54"/>
      <c r="I6" s="54"/>
      <c r="J6" s="54"/>
      <c r="K6" s="54"/>
      <c r="L6" s="54"/>
      <c r="M6" s="54"/>
      <c r="N6" s="54"/>
      <c r="O6" s="54"/>
      <c r="P6" s="54"/>
      <c r="Q6" s="54"/>
      <c r="R6" s="54"/>
      <c r="S6" s="54"/>
      <c r="T6" s="54"/>
      <c r="U6" s="54"/>
      <c r="V6" s="54"/>
      <c r="W6" s="54"/>
      <c r="X6" s="54"/>
      <c r="Y6" s="54"/>
      <c r="Z6" s="54"/>
    </row>
    <row r="7" spans="1:26" ht="11.25" customHeight="1">
      <c r="A7" s="594" t="s">
        <v>32</v>
      </c>
      <c r="B7" s="589"/>
      <c r="C7" s="589"/>
      <c r="D7" s="590"/>
      <c r="E7" s="54"/>
      <c r="F7" s="54"/>
      <c r="G7" s="54"/>
      <c r="H7" s="54"/>
      <c r="I7" s="54"/>
      <c r="J7" s="54"/>
      <c r="K7" s="54"/>
      <c r="L7" s="54"/>
      <c r="M7" s="54"/>
      <c r="N7" s="54"/>
      <c r="O7" s="54"/>
      <c r="P7" s="54"/>
      <c r="Q7" s="54"/>
      <c r="R7" s="54"/>
      <c r="S7" s="54"/>
      <c r="T7" s="54"/>
      <c r="U7" s="54"/>
      <c r="V7" s="54"/>
      <c r="W7" s="54"/>
      <c r="X7" s="54"/>
      <c r="Y7" s="54"/>
      <c r="Z7" s="54"/>
    </row>
    <row r="8" spans="1:26" ht="18.75" customHeight="1">
      <c r="A8" s="595" t="s">
        <v>33</v>
      </c>
      <c r="B8" s="589"/>
      <c r="C8" s="589"/>
      <c r="D8" s="590"/>
      <c r="E8" s="54"/>
      <c r="F8" s="54"/>
      <c r="G8" s="54"/>
      <c r="H8" s="54"/>
      <c r="I8" s="54"/>
      <c r="J8" s="54"/>
      <c r="K8" s="54"/>
      <c r="L8" s="54"/>
      <c r="M8" s="54"/>
      <c r="N8" s="54"/>
      <c r="O8" s="54"/>
      <c r="P8" s="54"/>
      <c r="Q8" s="54"/>
      <c r="R8" s="54"/>
      <c r="S8" s="54"/>
      <c r="T8" s="54"/>
      <c r="U8" s="54"/>
      <c r="V8" s="54"/>
      <c r="W8" s="54"/>
      <c r="X8" s="54"/>
      <c r="Y8" s="54"/>
      <c r="Z8" s="54"/>
    </row>
    <row r="9" spans="1:26" ht="72" customHeight="1">
      <c r="A9" s="596" t="s">
        <v>34</v>
      </c>
      <c r="B9" s="589"/>
      <c r="C9" s="589"/>
      <c r="D9" s="590"/>
      <c r="E9" s="54"/>
      <c r="F9" s="54"/>
      <c r="G9" s="54"/>
      <c r="H9" s="54"/>
      <c r="I9" s="54"/>
      <c r="J9" s="54"/>
      <c r="K9" s="54"/>
      <c r="L9" s="54"/>
      <c r="M9" s="54"/>
      <c r="N9" s="54"/>
      <c r="O9" s="54"/>
      <c r="P9" s="54"/>
      <c r="Q9" s="54"/>
      <c r="R9" s="54"/>
      <c r="S9" s="54"/>
      <c r="T9" s="54"/>
      <c r="U9" s="54"/>
      <c r="V9" s="54"/>
      <c r="W9" s="54"/>
      <c r="X9" s="54"/>
      <c r="Y9" s="54"/>
      <c r="Z9" s="54"/>
    </row>
    <row r="10" spans="1:26" ht="6.75" customHeight="1">
      <c r="A10" s="55"/>
      <c r="B10" s="55"/>
      <c r="C10" s="55"/>
      <c r="D10" s="56"/>
      <c r="E10" s="54"/>
      <c r="F10" s="54"/>
      <c r="G10" s="54"/>
      <c r="H10" s="54"/>
      <c r="I10" s="54"/>
      <c r="J10" s="54"/>
      <c r="K10" s="54"/>
      <c r="L10" s="54"/>
      <c r="M10" s="54"/>
      <c r="N10" s="54"/>
      <c r="O10" s="54"/>
      <c r="P10" s="54"/>
      <c r="Q10" s="54"/>
      <c r="R10" s="54"/>
      <c r="S10" s="54"/>
      <c r="T10" s="54"/>
      <c r="U10" s="54"/>
      <c r="V10" s="54"/>
      <c r="W10" s="54"/>
      <c r="X10" s="54"/>
      <c r="Y10" s="54"/>
      <c r="Z10" s="54"/>
    </row>
    <row r="11" spans="1:26" ht="11.25" customHeight="1">
      <c r="A11" s="597" t="s">
        <v>35</v>
      </c>
      <c r="B11" s="589"/>
      <c r="C11" s="589"/>
      <c r="D11" s="590"/>
      <c r="E11" s="54"/>
      <c r="F11" s="54"/>
      <c r="G11" s="54"/>
      <c r="H11" s="54"/>
      <c r="I11" s="54"/>
      <c r="J11" s="54"/>
      <c r="K11" s="54"/>
      <c r="L11" s="54"/>
      <c r="M11" s="54"/>
      <c r="N11" s="54"/>
      <c r="O11" s="54"/>
      <c r="P11" s="54"/>
      <c r="Q11" s="54"/>
      <c r="R11" s="54"/>
      <c r="S11" s="54"/>
      <c r="T11" s="54"/>
      <c r="U11" s="54"/>
      <c r="V11" s="54"/>
      <c r="W11" s="54"/>
      <c r="X11" s="54"/>
      <c r="Y11" s="54"/>
      <c r="Z11" s="54"/>
    </row>
    <row r="12" spans="1:26" ht="6.75" customHeight="1">
      <c r="A12" s="57"/>
      <c r="B12" s="58"/>
      <c r="C12" s="58"/>
      <c r="D12" s="59"/>
      <c r="E12" s="54"/>
      <c r="F12" s="54"/>
      <c r="G12" s="54"/>
      <c r="H12" s="54"/>
      <c r="I12" s="54"/>
      <c r="J12" s="54"/>
      <c r="K12" s="54"/>
      <c r="L12" s="54"/>
      <c r="M12" s="54"/>
      <c r="N12" s="54"/>
      <c r="O12" s="54"/>
      <c r="P12" s="54"/>
      <c r="Q12" s="54"/>
      <c r="R12" s="54"/>
      <c r="S12" s="54"/>
      <c r="T12" s="54"/>
      <c r="U12" s="54"/>
      <c r="V12" s="54"/>
      <c r="W12" s="54"/>
      <c r="X12" s="54"/>
      <c r="Y12" s="54"/>
      <c r="Z12" s="54"/>
    </row>
    <row r="13" spans="1:26" ht="36" customHeight="1">
      <c r="A13" s="596" t="s">
        <v>36</v>
      </c>
      <c r="B13" s="589"/>
      <c r="C13" s="589"/>
      <c r="D13" s="590"/>
      <c r="E13" s="54"/>
      <c r="F13" s="54"/>
      <c r="G13" s="54"/>
      <c r="H13" s="54"/>
      <c r="I13" s="54"/>
      <c r="J13" s="54"/>
      <c r="K13" s="54"/>
      <c r="L13" s="54"/>
      <c r="M13" s="54"/>
      <c r="N13" s="54"/>
      <c r="O13" s="54"/>
      <c r="P13" s="54"/>
      <c r="Q13" s="54"/>
      <c r="R13" s="54"/>
      <c r="S13" s="54"/>
      <c r="T13" s="54"/>
      <c r="U13" s="54"/>
      <c r="V13" s="54"/>
      <c r="W13" s="54"/>
      <c r="X13" s="54"/>
      <c r="Y13" s="54"/>
      <c r="Z13" s="54"/>
    </row>
    <row r="14" spans="1:26" ht="6.75" customHeight="1">
      <c r="A14" s="55"/>
      <c r="B14" s="55"/>
      <c r="C14" s="55"/>
      <c r="D14" s="56"/>
      <c r="E14" s="54"/>
      <c r="F14" s="54"/>
      <c r="G14" s="54"/>
      <c r="H14" s="54"/>
      <c r="I14" s="54"/>
      <c r="J14" s="54"/>
      <c r="K14" s="54"/>
      <c r="L14" s="54"/>
      <c r="M14" s="54"/>
      <c r="N14" s="54"/>
      <c r="O14" s="54"/>
      <c r="P14" s="54"/>
      <c r="Q14" s="54"/>
      <c r="R14" s="54"/>
      <c r="S14" s="54"/>
      <c r="T14" s="54"/>
      <c r="U14" s="54"/>
      <c r="V14" s="54"/>
      <c r="W14" s="54"/>
      <c r="X14" s="54"/>
      <c r="Y14" s="54"/>
      <c r="Z14" s="54"/>
    </row>
    <row r="15" spans="1:26" ht="48" customHeight="1">
      <c r="A15" s="596" t="s">
        <v>37</v>
      </c>
      <c r="B15" s="589"/>
      <c r="C15" s="589"/>
      <c r="D15" s="590"/>
      <c r="E15" s="54"/>
      <c r="F15" s="54"/>
      <c r="G15" s="54"/>
      <c r="H15" s="54"/>
      <c r="I15" s="54"/>
      <c r="J15" s="54"/>
      <c r="K15" s="54"/>
      <c r="L15" s="54"/>
      <c r="M15" s="54"/>
      <c r="N15" s="54"/>
      <c r="O15" s="54"/>
      <c r="P15" s="54"/>
      <c r="Q15" s="54"/>
      <c r="R15" s="54"/>
      <c r="S15" s="54"/>
      <c r="T15" s="54"/>
      <c r="U15" s="54"/>
      <c r="V15" s="54"/>
      <c r="W15" s="54"/>
      <c r="X15" s="54"/>
      <c r="Y15" s="54"/>
      <c r="Z15" s="54"/>
    </row>
    <row r="16" spans="1:26" ht="6.75" customHeight="1">
      <c r="A16" s="55"/>
      <c r="B16" s="55"/>
      <c r="C16" s="55"/>
      <c r="D16" s="56"/>
      <c r="E16" s="54"/>
      <c r="F16" s="54"/>
      <c r="G16" s="54"/>
      <c r="H16" s="54"/>
      <c r="I16" s="54"/>
      <c r="J16" s="54"/>
      <c r="K16" s="54"/>
      <c r="L16" s="54"/>
      <c r="M16" s="54"/>
      <c r="N16" s="54"/>
      <c r="O16" s="54"/>
      <c r="P16" s="54"/>
      <c r="Q16" s="54"/>
      <c r="R16" s="54"/>
      <c r="S16" s="54"/>
      <c r="T16" s="54"/>
      <c r="U16" s="54"/>
      <c r="V16" s="54"/>
      <c r="W16" s="54"/>
      <c r="X16" s="54"/>
      <c r="Y16" s="54"/>
      <c r="Z16" s="54"/>
    </row>
    <row r="17" spans="1:26" ht="48" customHeight="1">
      <c r="A17" s="596" t="s">
        <v>38</v>
      </c>
      <c r="B17" s="589"/>
      <c r="C17" s="589"/>
      <c r="D17" s="590"/>
      <c r="E17" s="54"/>
      <c r="F17" s="54"/>
      <c r="G17" s="54"/>
      <c r="H17" s="54"/>
      <c r="I17" s="54"/>
      <c r="J17" s="54"/>
      <c r="K17" s="54"/>
      <c r="L17" s="54"/>
      <c r="M17" s="54"/>
      <c r="N17" s="54"/>
      <c r="O17" s="54"/>
      <c r="P17" s="54"/>
      <c r="Q17" s="54"/>
      <c r="R17" s="54"/>
      <c r="S17" s="54"/>
      <c r="T17" s="54"/>
      <c r="U17" s="54"/>
      <c r="V17" s="54"/>
      <c r="W17" s="54"/>
      <c r="X17" s="54"/>
      <c r="Y17" s="54"/>
      <c r="Z17" s="54"/>
    </row>
    <row r="18" spans="1:26" ht="6.75" customHeight="1">
      <c r="A18" s="55"/>
      <c r="B18" s="55"/>
      <c r="C18" s="55"/>
      <c r="D18" s="56"/>
      <c r="E18" s="54"/>
      <c r="F18" s="54"/>
      <c r="G18" s="54"/>
      <c r="H18" s="54"/>
      <c r="I18" s="54"/>
      <c r="J18" s="54"/>
      <c r="K18" s="54"/>
      <c r="L18" s="54"/>
      <c r="M18" s="54"/>
      <c r="N18" s="54"/>
      <c r="O18" s="54"/>
      <c r="P18" s="54"/>
      <c r="Q18" s="54"/>
      <c r="R18" s="54"/>
      <c r="S18" s="54"/>
      <c r="T18" s="54"/>
      <c r="U18" s="54"/>
      <c r="V18" s="54"/>
      <c r="W18" s="54"/>
      <c r="X18" s="54"/>
      <c r="Y18" s="54"/>
      <c r="Z18" s="54"/>
    </row>
    <row r="19" spans="1:26" ht="36" customHeight="1">
      <c r="A19" s="596" t="s">
        <v>39</v>
      </c>
      <c r="B19" s="589"/>
      <c r="C19" s="589"/>
      <c r="D19" s="590"/>
      <c r="E19" s="54"/>
      <c r="F19" s="54"/>
      <c r="G19" s="54"/>
      <c r="H19" s="54"/>
      <c r="I19" s="54"/>
      <c r="J19" s="54"/>
      <c r="K19" s="54"/>
      <c r="L19" s="54"/>
      <c r="M19" s="54"/>
      <c r="N19" s="54"/>
      <c r="O19" s="54"/>
      <c r="P19" s="54"/>
      <c r="Q19" s="54"/>
      <c r="R19" s="54"/>
      <c r="S19" s="54"/>
      <c r="T19" s="54"/>
      <c r="U19" s="54"/>
      <c r="V19" s="54"/>
      <c r="W19" s="54"/>
      <c r="X19" s="54"/>
      <c r="Y19" s="54"/>
      <c r="Z19" s="54"/>
    </row>
    <row r="20" spans="1:26" ht="6.75" customHeight="1">
      <c r="A20" s="55"/>
      <c r="B20" s="55"/>
      <c r="C20" s="55"/>
      <c r="D20" s="56"/>
      <c r="E20" s="54"/>
      <c r="F20" s="54"/>
      <c r="G20" s="54"/>
      <c r="H20" s="54"/>
      <c r="I20" s="54"/>
      <c r="J20" s="54"/>
      <c r="K20" s="54"/>
      <c r="L20" s="54"/>
      <c r="M20" s="54"/>
      <c r="N20" s="54"/>
      <c r="O20" s="54"/>
      <c r="P20" s="54"/>
      <c r="Q20" s="54"/>
      <c r="R20" s="54"/>
      <c r="S20" s="54"/>
      <c r="T20" s="54"/>
      <c r="U20" s="54"/>
      <c r="V20" s="54"/>
      <c r="W20" s="54"/>
      <c r="X20" s="54"/>
      <c r="Y20" s="54"/>
      <c r="Z20" s="54"/>
    </row>
    <row r="21" spans="1:26" ht="15" customHeight="1">
      <c r="A21" s="598" t="s">
        <v>40</v>
      </c>
      <c r="B21" s="589"/>
      <c r="C21" s="589"/>
      <c r="D21" s="590"/>
      <c r="E21" s="54"/>
      <c r="F21" s="54"/>
      <c r="G21" s="54"/>
      <c r="H21" s="54"/>
      <c r="I21" s="54"/>
      <c r="J21" s="54"/>
      <c r="K21" s="54"/>
      <c r="L21" s="54"/>
      <c r="M21" s="54"/>
      <c r="N21" s="54"/>
      <c r="O21" s="54"/>
      <c r="P21" s="54"/>
      <c r="Q21" s="54"/>
      <c r="R21" s="54"/>
      <c r="S21" s="54"/>
      <c r="T21" s="54"/>
      <c r="U21" s="54"/>
      <c r="V21" s="54"/>
      <c r="W21" s="54"/>
      <c r="X21" s="54"/>
      <c r="Y21" s="54"/>
      <c r="Z21" s="54"/>
    </row>
    <row r="22" spans="1:26" ht="6.75" customHeight="1">
      <c r="A22" s="60"/>
      <c r="B22" s="61"/>
      <c r="C22" s="61"/>
      <c r="D22" s="62"/>
      <c r="E22" s="54"/>
      <c r="F22" s="54"/>
      <c r="G22" s="54"/>
      <c r="H22" s="54"/>
      <c r="I22" s="54"/>
      <c r="J22" s="54"/>
      <c r="K22" s="54"/>
      <c r="L22" s="54"/>
      <c r="M22" s="54"/>
      <c r="N22" s="54"/>
      <c r="O22" s="54"/>
      <c r="P22" s="54"/>
      <c r="Q22" s="54"/>
      <c r="R22" s="54"/>
      <c r="S22" s="54"/>
      <c r="T22" s="54"/>
      <c r="U22" s="54"/>
      <c r="V22" s="54"/>
      <c r="W22" s="54"/>
      <c r="X22" s="54"/>
      <c r="Y22" s="54"/>
      <c r="Z22" s="54"/>
    </row>
    <row r="23" spans="1:26" ht="12" customHeight="1">
      <c r="A23" s="63" t="s">
        <v>41</v>
      </c>
      <c r="B23" s="64"/>
      <c r="C23" s="65" t="s">
        <v>42</v>
      </c>
      <c r="D23" s="66">
        <f>'Proposed Rates'!F8</f>
        <v>39.200000000000003</v>
      </c>
      <c r="E23" s="54"/>
      <c r="F23" s="54"/>
      <c r="G23" s="54"/>
      <c r="H23" s="54"/>
      <c r="I23" s="54"/>
      <c r="J23" s="54"/>
      <c r="K23" s="54"/>
      <c r="L23" s="54"/>
      <c r="M23" s="54"/>
      <c r="N23" s="54"/>
      <c r="O23" s="54"/>
      <c r="P23" s="54"/>
      <c r="Q23" s="54"/>
      <c r="R23" s="54"/>
      <c r="S23" s="54"/>
      <c r="T23" s="54"/>
      <c r="U23" s="54"/>
      <c r="V23" s="54"/>
      <c r="W23" s="54"/>
      <c r="X23" s="54"/>
      <c r="Y23" s="54"/>
      <c r="Z23" s="54"/>
    </row>
    <row r="24" spans="1:26" ht="12" customHeight="1">
      <c r="A24" s="599" t="s">
        <v>43</v>
      </c>
      <c r="B24" s="600"/>
      <c r="C24" s="67" t="s">
        <v>42</v>
      </c>
      <c r="D24" s="68">
        <f>'Proposed Rates'!F129</f>
        <v>1.84</v>
      </c>
      <c r="E24" s="69"/>
      <c r="F24" s="54"/>
      <c r="G24" s="54"/>
      <c r="H24" s="54"/>
      <c r="I24" s="54"/>
      <c r="J24" s="54"/>
      <c r="K24" s="54"/>
      <c r="L24" s="54"/>
      <c r="M24" s="54"/>
      <c r="N24" s="54"/>
      <c r="O24" s="54"/>
      <c r="P24" s="54"/>
      <c r="Q24" s="54"/>
      <c r="R24" s="54"/>
      <c r="S24" s="54"/>
      <c r="T24" s="54"/>
      <c r="U24" s="54"/>
      <c r="V24" s="54"/>
      <c r="W24" s="54"/>
      <c r="X24" s="54"/>
      <c r="Y24" s="54"/>
      <c r="Z24" s="54"/>
    </row>
    <row r="25" spans="1:26" ht="12" customHeight="1">
      <c r="A25" s="63" t="s">
        <v>44</v>
      </c>
      <c r="B25" s="64"/>
      <c r="C25" s="65" t="s">
        <v>42</v>
      </c>
      <c r="D25" s="69">
        <f>'Proposed Rates'!F90</f>
        <v>0</v>
      </c>
      <c r="E25" s="69"/>
      <c r="F25" s="54"/>
      <c r="G25" s="54"/>
      <c r="H25" s="54"/>
      <c r="I25" s="54"/>
      <c r="J25" s="54"/>
      <c r="K25" s="54"/>
      <c r="L25" s="54"/>
      <c r="M25" s="54"/>
      <c r="N25" s="54"/>
      <c r="O25" s="54"/>
      <c r="P25" s="54"/>
      <c r="Q25" s="54"/>
      <c r="R25" s="54"/>
      <c r="S25" s="54"/>
      <c r="T25" s="54"/>
      <c r="U25" s="54"/>
      <c r="V25" s="54"/>
      <c r="W25" s="54"/>
      <c r="X25" s="54"/>
      <c r="Y25" s="54"/>
      <c r="Z25" s="54"/>
    </row>
    <row r="26" spans="1:26" ht="12" customHeight="1">
      <c r="A26" s="63" t="s">
        <v>45</v>
      </c>
      <c r="B26" s="64"/>
      <c r="C26" s="65" t="s">
        <v>42</v>
      </c>
      <c r="D26" s="68">
        <f>'Proposed Rates'!F64</f>
        <v>-1.19</v>
      </c>
      <c r="E26" s="54"/>
      <c r="F26" s="54"/>
      <c r="G26" s="54"/>
      <c r="H26" s="54"/>
      <c r="I26" s="54"/>
      <c r="J26" s="54"/>
      <c r="K26" s="54"/>
      <c r="L26" s="54"/>
      <c r="M26" s="54"/>
      <c r="N26" s="54"/>
      <c r="O26" s="54"/>
      <c r="P26" s="54"/>
      <c r="Q26" s="54"/>
      <c r="R26" s="54"/>
      <c r="S26" s="54"/>
      <c r="T26" s="54"/>
      <c r="U26" s="54"/>
      <c r="V26" s="54"/>
      <c r="W26" s="54"/>
      <c r="X26" s="54"/>
      <c r="Y26" s="54"/>
      <c r="Z26" s="54"/>
    </row>
    <row r="27" spans="1:26" ht="12" customHeight="1">
      <c r="A27" s="63" t="s">
        <v>46</v>
      </c>
      <c r="B27" s="64"/>
      <c r="C27" s="65" t="s">
        <v>42</v>
      </c>
      <c r="D27" s="70">
        <f>'Proposed Rates'!F280</f>
        <v>0.42</v>
      </c>
      <c r="E27" s="54"/>
      <c r="F27" s="54"/>
      <c r="G27" s="54"/>
      <c r="H27" s="54"/>
      <c r="I27" s="54"/>
      <c r="J27" s="54"/>
      <c r="K27" s="54"/>
      <c r="L27" s="54"/>
      <c r="M27" s="54"/>
      <c r="N27" s="54"/>
      <c r="O27" s="54"/>
      <c r="P27" s="54"/>
      <c r="Q27" s="54"/>
      <c r="R27" s="54"/>
      <c r="S27" s="54"/>
      <c r="T27" s="54"/>
      <c r="U27" s="54"/>
      <c r="V27" s="54"/>
      <c r="W27" s="54"/>
      <c r="X27" s="54"/>
      <c r="Y27" s="54"/>
      <c r="Z27" s="54"/>
    </row>
    <row r="28" spans="1:26" ht="12" customHeight="1">
      <c r="A28" s="63" t="s">
        <v>47</v>
      </c>
      <c r="B28" s="64"/>
      <c r="C28" s="65" t="s">
        <v>48</v>
      </c>
      <c r="D28" s="71">
        <f>'Proposed Rates'!F267</f>
        <v>6.9999999999999994E-5</v>
      </c>
      <c r="E28" s="54"/>
      <c r="F28" s="54"/>
      <c r="G28" s="54"/>
      <c r="H28" s="54"/>
      <c r="I28" s="54"/>
      <c r="J28" s="54"/>
      <c r="K28" s="54"/>
      <c r="L28" s="54"/>
      <c r="M28" s="54"/>
      <c r="N28" s="54"/>
      <c r="O28" s="54"/>
      <c r="P28" s="54"/>
      <c r="Q28" s="54"/>
      <c r="R28" s="54"/>
      <c r="S28" s="54"/>
      <c r="T28" s="54"/>
      <c r="U28" s="54"/>
      <c r="V28" s="54"/>
      <c r="W28" s="54"/>
      <c r="X28" s="54"/>
      <c r="Y28" s="54"/>
      <c r="Z28" s="54"/>
    </row>
    <row r="29" spans="1:26" ht="12" customHeight="1">
      <c r="A29" s="63" t="s">
        <v>49</v>
      </c>
      <c r="B29" s="64"/>
      <c r="C29" s="65" t="s">
        <v>48</v>
      </c>
      <c r="D29" s="72">
        <f>'Proposed Rates'!F37</f>
        <v>-1E-3</v>
      </c>
      <c r="E29" s="54"/>
      <c r="F29" s="54"/>
      <c r="G29" s="54"/>
      <c r="H29" s="54"/>
      <c r="I29" s="54"/>
      <c r="J29" s="54"/>
      <c r="K29" s="54"/>
      <c r="L29" s="54"/>
      <c r="M29" s="54"/>
      <c r="N29" s="54"/>
      <c r="O29" s="54"/>
      <c r="P29" s="54"/>
      <c r="Q29" s="54"/>
      <c r="R29" s="54"/>
      <c r="S29" s="54"/>
      <c r="T29" s="54"/>
      <c r="U29" s="54"/>
      <c r="V29" s="54"/>
      <c r="W29" s="54"/>
      <c r="X29" s="54"/>
      <c r="Y29" s="54"/>
      <c r="Z29" s="54"/>
    </row>
    <row r="30" spans="1:26" ht="24.75" customHeight="1">
      <c r="A30" s="73" t="s">
        <v>50</v>
      </c>
      <c r="B30" s="64"/>
      <c r="C30" s="65" t="s">
        <v>48</v>
      </c>
      <c r="D30" s="69">
        <f>'Proposed Rates'!$F$103</f>
        <v>6.9999999999999999E-4</v>
      </c>
      <c r="E30" s="54"/>
      <c r="F30" s="54"/>
      <c r="G30" s="54"/>
      <c r="H30" s="54"/>
      <c r="I30" s="54"/>
      <c r="J30" s="54"/>
      <c r="K30" s="54"/>
      <c r="L30" s="54"/>
      <c r="M30" s="54"/>
      <c r="N30" s="54"/>
      <c r="O30" s="54"/>
      <c r="P30" s="54"/>
      <c r="Q30" s="54"/>
      <c r="R30" s="54"/>
      <c r="S30" s="54"/>
      <c r="T30" s="54"/>
      <c r="U30" s="54"/>
      <c r="V30" s="54"/>
      <c r="W30" s="54"/>
      <c r="X30" s="54"/>
      <c r="Y30" s="54"/>
      <c r="Z30" s="54"/>
    </row>
    <row r="31" spans="1:26" ht="12" customHeight="1">
      <c r="A31" s="63" t="s">
        <v>51</v>
      </c>
      <c r="B31" s="64"/>
      <c r="C31" s="65" t="s">
        <v>48</v>
      </c>
      <c r="D31" s="69">
        <f>'Proposed Rates'!F145</f>
        <v>4.4999999999999997E-3</v>
      </c>
      <c r="E31" s="54"/>
      <c r="F31" s="54"/>
      <c r="G31" s="54"/>
      <c r="H31" s="54"/>
      <c r="I31" s="54"/>
      <c r="J31" s="54"/>
      <c r="K31" s="54"/>
      <c r="L31" s="54"/>
      <c r="M31" s="54"/>
      <c r="N31" s="54"/>
      <c r="O31" s="54"/>
      <c r="P31" s="54"/>
      <c r="Q31" s="54"/>
      <c r="R31" s="54"/>
      <c r="S31" s="54"/>
      <c r="T31" s="54"/>
      <c r="U31" s="54"/>
      <c r="V31" s="54"/>
      <c r="W31" s="54"/>
      <c r="X31" s="54"/>
      <c r="Y31" s="54"/>
      <c r="Z31" s="54"/>
    </row>
    <row r="32" spans="1:26" ht="12" customHeight="1">
      <c r="A32" s="63" t="s">
        <v>52</v>
      </c>
      <c r="B32" s="64"/>
      <c r="C32" s="65" t="s">
        <v>48</v>
      </c>
      <c r="D32" s="69">
        <f>'Proposed Rates'!F186</f>
        <v>1.38E-2</v>
      </c>
      <c r="E32" s="54"/>
      <c r="F32" s="54"/>
      <c r="G32" s="54"/>
      <c r="H32" s="54"/>
      <c r="I32" s="54"/>
      <c r="J32" s="54"/>
      <c r="K32" s="54"/>
      <c r="L32" s="54"/>
      <c r="M32" s="54"/>
      <c r="N32" s="54"/>
      <c r="O32" s="54"/>
      <c r="P32" s="54"/>
      <c r="Q32" s="54"/>
      <c r="R32" s="54"/>
      <c r="S32" s="54"/>
      <c r="T32" s="54"/>
      <c r="U32" s="54"/>
      <c r="V32" s="54"/>
      <c r="W32" s="54"/>
      <c r="X32" s="54"/>
      <c r="Y32" s="54"/>
      <c r="Z32" s="54"/>
    </row>
    <row r="33" spans="1:26" ht="12" customHeight="1">
      <c r="A33" s="63" t="s">
        <v>53</v>
      </c>
      <c r="B33" s="64"/>
      <c r="C33" s="65" t="s">
        <v>48</v>
      </c>
      <c r="D33" s="69">
        <f>'Proposed Rates'!F201</f>
        <v>7.7999999999999996E-3</v>
      </c>
      <c r="E33" s="54"/>
      <c r="F33" s="54"/>
      <c r="G33" s="54"/>
      <c r="H33" s="54"/>
      <c r="I33" s="54"/>
      <c r="J33" s="54"/>
      <c r="K33" s="54"/>
      <c r="L33" s="54"/>
      <c r="M33" s="54"/>
      <c r="N33" s="54"/>
      <c r="O33" s="54"/>
      <c r="P33" s="54"/>
      <c r="Q33" s="54"/>
      <c r="R33" s="54"/>
      <c r="S33" s="54"/>
      <c r="T33" s="54"/>
      <c r="U33" s="54"/>
      <c r="V33" s="54"/>
      <c r="W33" s="54"/>
      <c r="X33" s="54"/>
      <c r="Y33" s="54"/>
      <c r="Z33" s="54"/>
    </row>
    <row r="34" spans="1:26" ht="6.75" customHeight="1">
      <c r="A34" s="65"/>
      <c r="B34" s="65"/>
      <c r="C34" s="65"/>
      <c r="D34" s="74"/>
      <c r="E34" s="54"/>
      <c r="F34" s="54"/>
      <c r="G34" s="54"/>
      <c r="H34" s="54"/>
      <c r="I34" s="54"/>
      <c r="J34" s="54"/>
      <c r="K34" s="54"/>
      <c r="L34" s="54"/>
      <c r="M34" s="54"/>
      <c r="N34" s="54"/>
      <c r="O34" s="54"/>
      <c r="P34" s="54"/>
      <c r="Q34" s="54"/>
      <c r="R34" s="54"/>
      <c r="S34" s="54"/>
      <c r="T34" s="54"/>
      <c r="U34" s="54"/>
      <c r="V34" s="54"/>
      <c r="W34" s="54"/>
      <c r="X34" s="54"/>
      <c r="Y34" s="54"/>
      <c r="Z34" s="54"/>
    </row>
    <row r="35" spans="1:26" ht="15" customHeight="1">
      <c r="A35" s="75" t="s">
        <v>54</v>
      </c>
      <c r="B35" s="64"/>
      <c r="C35" s="65"/>
      <c r="D35" s="74"/>
      <c r="E35" s="54"/>
      <c r="F35" s="54"/>
      <c r="G35" s="54"/>
      <c r="H35" s="54"/>
      <c r="I35" s="54"/>
      <c r="J35" s="54"/>
      <c r="K35" s="54"/>
      <c r="L35" s="54"/>
      <c r="M35" s="54"/>
      <c r="N35" s="54"/>
      <c r="O35" s="54"/>
      <c r="P35" s="54"/>
      <c r="Q35" s="54"/>
      <c r="R35" s="54"/>
      <c r="S35" s="54"/>
      <c r="T35" s="54"/>
      <c r="U35" s="54"/>
      <c r="V35" s="54"/>
      <c r="W35" s="54"/>
      <c r="X35" s="54"/>
      <c r="Y35" s="54"/>
      <c r="Z35" s="54"/>
    </row>
    <row r="36" spans="1:26" ht="6.75" customHeight="1">
      <c r="A36" s="60"/>
      <c r="B36" s="65"/>
      <c r="C36" s="65"/>
      <c r="D36" s="74"/>
      <c r="E36" s="54"/>
      <c r="F36" s="54"/>
      <c r="G36" s="54"/>
      <c r="H36" s="54"/>
      <c r="I36" s="54"/>
      <c r="J36" s="54"/>
      <c r="K36" s="54"/>
      <c r="L36" s="54"/>
      <c r="M36" s="54"/>
      <c r="N36" s="54"/>
      <c r="O36" s="54"/>
      <c r="P36" s="54"/>
      <c r="Q36" s="54"/>
      <c r="R36" s="54"/>
      <c r="S36" s="54"/>
      <c r="T36" s="54"/>
      <c r="U36" s="54"/>
      <c r="V36" s="54"/>
      <c r="W36" s="54"/>
      <c r="X36" s="54"/>
      <c r="Y36" s="54"/>
      <c r="Z36" s="54"/>
    </row>
    <row r="37" spans="1:26" ht="12" customHeight="1">
      <c r="A37" s="63" t="s">
        <v>55</v>
      </c>
      <c r="B37" s="64"/>
      <c r="C37" s="65" t="s">
        <v>48</v>
      </c>
      <c r="D37" s="69">
        <v>4.1000000000000003E-3</v>
      </c>
      <c r="E37" s="54"/>
      <c r="F37" s="54"/>
      <c r="G37" s="54"/>
      <c r="H37" s="54"/>
      <c r="I37" s="54"/>
      <c r="J37" s="54"/>
      <c r="K37" s="54"/>
      <c r="L37" s="54"/>
      <c r="M37" s="54"/>
      <c r="N37" s="54"/>
      <c r="O37" s="54"/>
      <c r="P37" s="54"/>
      <c r="Q37" s="54"/>
      <c r="R37" s="54"/>
      <c r="S37" s="54"/>
      <c r="T37" s="54"/>
      <c r="U37" s="54"/>
      <c r="V37" s="54"/>
      <c r="W37" s="54"/>
      <c r="X37" s="54"/>
      <c r="Y37" s="54"/>
      <c r="Z37" s="54"/>
    </row>
    <row r="38" spans="1:26" ht="12" customHeight="1">
      <c r="A38" s="63" t="s">
        <v>56</v>
      </c>
      <c r="B38" s="64"/>
      <c r="C38" s="65" t="s">
        <v>48</v>
      </c>
      <c r="D38" s="69">
        <f>'Proposed Rates'!F216-'2026'!D37</f>
        <v>5.9999999999999984E-4</v>
      </c>
      <c r="E38" s="54"/>
      <c r="F38" s="54"/>
      <c r="G38" s="54"/>
      <c r="H38" s="54"/>
      <c r="I38" s="54"/>
      <c r="J38" s="54"/>
      <c r="K38" s="54"/>
      <c r="L38" s="54"/>
      <c r="M38" s="54"/>
      <c r="N38" s="54"/>
      <c r="O38" s="54"/>
      <c r="P38" s="54"/>
      <c r="Q38" s="54"/>
      <c r="R38" s="54"/>
      <c r="S38" s="54"/>
      <c r="T38" s="54"/>
      <c r="U38" s="54"/>
      <c r="V38" s="54"/>
      <c r="W38" s="54"/>
      <c r="X38" s="54"/>
      <c r="Y38" s="54"/>
      <c r="Z38" s="54"/>
    </row>
    <row r="39" spans="1:26" ht="12" customHeight="1">
      <c r="A39" s="63" t="s">
        <v>57</v>
      </c>
      <c r="B39" s="64"/>
      <c r="C39" s="65" t="s">
        <v>48</v>
      </c>
      <c r="D39" s="69">
        <f>'Proposed Rates'!F229</f>
        <v>5.9999999999999995E-4</v>
      </c>
      <c r="E39" s="54"/>
      <c r="F39" s="54"/>
      <c r="G39" s="54"/>
      <c r="H39" s="54"/>
      <c r="I39" s="54"/>
      <c r="J39" s="54"/>
      <c r="K39" s="54"/>
      <c r="L39" s="54"/>
      <c r="M39" s="54"/>
      <c r="N39" s="54"/>
      <c r="O39" s="54"/>
      <c r="P39" s="54"/>
      <c r="Q39" s="54"/>
      <c r="R39" s="54"/>
      <c r="S39" s="54"/>
      <c r="T39" s="54"/>
      <c r="U39" s="54"/>
      <c r="V39" s="54"/>
      <c r="W39" s="54"/>
      <c r="X39" s="54"/>
      <c r="Y39" s="54"/>
      <c r="Z39" s="54"/>
    </row>
    <row r="40" spans="1:26" ht="12" customHeight="1">
      <c r="A40" s="63" t="s">
        <v>58</v>
      </c>
      <c r="B40" s="64"/>
      <c r="C40" s="65" t="s">
        <v>42</v>
      </c>
      <c r="D40" s="69">
        <f>'Proposed Rates'!F243</f>
        <v>0.25</v>
      </c>
      <c r="E40" s="54"/>
      <c r="F40" s="54"/>
      <c r="G40" s="54"/>
      <c r="H40" s="54"/>
      <c r="I40" s="54"/>
      <c r="J40" s="54"/>
      <c r="K40" s="54"/>
      <c r="L40" s="54"/>
      <c r="M40" s="54"/>
      <c r="N40" s="54"/>
      <c r="O40" s="54"/>
      <c r="P40" s="54"/>
      <c r="Q40" s="54"/>
      <c r="R40" s="54"/>
      <c r="S40" s="54"/>
      <c r="T40" s="54"/>
      <c r="U40" s="54"/>
      <c r="V40" s="54"/>
      <c r="W40" s="54"/>
      <c r="X40" s="54"/>
      <c r="Y40" s="54"/>
      <c r="Z40" s="54"/>
    </row>
    <row r="41" spans="1:26" ht="6" customHeight="1">
      <c r="A41" s="63"/>
      <c r="B41" s="64"/>
      <c r="C41" s="65"/>
      <c r="D41" s="74"/>
      <c r="E41" s="54"/>
      <c r="F41" s="54"/>
      <c r="G41" s="54"/>
      <c r="H41" s="54"/>
      <c r="I41" s="54"/>
      <c r="J41" s="54"/>
      <c r="K41" s="54"/>
      <c r="L41" s="54"/>
      <c r="M41" s="54"/>
      <c r="N41" s="54"/>
      <c r="O41" s="54"/>
      <c r="P41" s="54"/>
      <c r="Q41" s="54"/>
      <c r="R41" s="54"/>
      <c r="S41" s="54"/>
      <c r="T41" s="54"/>
      <c r="U41" s="54"/>
      <c r="V41" s="54"/>
      <c r="W41" s="54"/>
      <c r="X41" s="54"/>
      <c r="Y41" s="54"/>
      <c r="Z41" s="54"/>
    </row>
    <row r="42" spans="1:26" ht="23.25" customHeight="1">
      <c r="A42" s="588" t="str">
        <f t="shared" ref="A42:A43" si="0">A1</f>
        <v>Hydro Ottawa Limited</v>
      </c>
      <c r="B42" s="589"/>
      <c r="C42" s="589"/>
      <c r="D42" s="590"/>
      <c r="E42" s="54"/>
      <c r="F42" s="54"/>
      <c r="G42" s="54"/>
      <c r="H42" s="54"/>
      <c r="I42" s="54"/>
      <c r="J42" s="54"/>
      <c r="K42" s="54"/>
      <c r="L42" s="54"/>
      <c r="M42" s="54"/>
      <c r="N42" s="54"/>
      <c r="O42" s="54"/>
      <c r="P42" s="54"/>
      <c r="Q42" s="54"/>
      <c r="R42" s="54"/>
      <c r="S42" s="54"/>
      <c r="T42" s="54"/>
      <c r="U42" s="54"/>
      <c r="V42" s="54"/>
      <c r="W42" s="54"/>
      <c r="X42" s="54"/>
      <c r="Y42" s="54"/>
      <c r="Z42" s="54"/>
    </row>
    <row r="43" spans="1:26" ht="18" customHeight="1">
      <c r="A43" s="591" t="str">
        <f t="shared" si="0"/>
        <v>TARIFF OF RATES AND CHARGES</v>
      </c>
      <c r="B43" s="589"/>
      <c r="C43" s="589"/>
      <c r="D43" s="590"/>
      <c r="E43" s="54"/>
      <c r="F43" s="54"/>
      <c r="G43" s="54"/>
      <c r="H43" s="54"/>
      <c r="I43" s="54"/>
      <c r="J43" s="54"/>
      <c r="K43" s="54"/>
      <c r="L43" s="54"/>
      <c r="M43" s="54"/>
      <c r="N43" s="54"/>
      <c r="O43" s="54"/>
      <c r="P43" s="54"/>
      <c r="Q43" s="54"/>
      <c r="R43" s="54"/>
      <c r="S43" s="54"/>
      <c r="T43" s="54"/>
      <c r="U43" s="54"/>
      <c r="V43" s="54"/>
      <c r="W43" s="54"/>
      <c r="X43" s="54"/>
      <c r="Y43" s="54"/>
      <c r="Z43" s="54"/>
    </row>
    <row r="44" spans="1:26" ht="15.75" customHeight="1">
      <c r="A44" s="592" t="s">
        <v>28</v>
      </c>
      <c r="B44" s="589"/>
      <c r="C44" s="589"/>
      <c r="D44" s="590"/>
      <c r="E44" s="54"/>
      <c r="F44" s="54"/>
      <c r="G44" s="54"/>
      <c r="H44" s="54"/>
      <c r="I44" s="54"/>
      <c r="J44" s="54"/>
      <c r="K44" s="54"/>
      <c r="L44" s="54"/>
      <c r="M44" s="54"/>
      <c r="N44" s="54"/>
      <c r="O44" s="54"/>
      <c r="P44" s="54"/>
      <c r="Q44" s="54"/>
      <c r="R44" s="54"/>
      <c r="S44" s="54"/>
      <c r="T44" s="54"/>
      <c r="U44" s="54"/>
      <c r="V44" s="54"/>
      <c r="W44" s="54"/>
      <c r="X44" s="54"/>
      <c r="Y44" s="54"/>
      <c r="Z44" s="54"/>
    </row>
    <row r="45" spans="1:26" ht="15.75" customHeight="1">
      <c r="A45" s="592" t="s">
        <v>29</v>
      </c>
      <c r="B45" s="589"/>
      <c r="C45" s="589"/>
      <c r="D45" s="590"/>
      <c r="E45" s="54"/>
      <c r="F45" s="54"/>
      <c r="G45" s="54"/>
      <c r="H45" s="54"/>
      <c r="I45" s="54"/>
      <c r="J45" s="54"/>
      <c r="K45" s="54"/>
      <c r="L45" s="54"/>
      <c r="M45" s="54"/>
      <c r="N45" s="54"/>
      <c r="O45" s="54"/>
      <c r="P45" s="54"/>
      <c r="Q45" s="54"/>
      <c r="R45" s="54"/>
      <c r="S45" s="54"/>
      <c r="T45" s="54"/>
      <c r="U45" s="54"/>
      <c r="V45" s="54"/>
      <c r="W45" s="54"/>
      <c r="X45" s="54"/>
      <c r="Y45" s="54"/>
      <c r="Z45" s="54"/>
    </row>
    <row r="46" spans="1:26" ht="11.25" customHeight="1">
      <c r="A46" s="593" t="str">
        <f t="shared" ref="A46:A48" si="1">A5</f>
        <v>This schedule supersedes and replaces all previously</v>
      </c>
      <c r="B46" s="589"/>
      <c r="C46" s="589"/>
      <c r="D46" s="590"/>
      <c r="E46" s="54"/>
      <c r="F46" s="54"/>
      <c r="G46" s="54"/>
      <c r="H46" s="54"/>
      <c r="I46" s="54"/>
      <c r="J46" s="54"/>
      <c r="K46" s="54"/>
      <c r="L46" s="54"/>
      <c r="M46" s="54"/>
      <c r="N46" s="54"/>
      <c r="O46" s="54"/>
      <c r="P46" s="54"/>
      <c r="Q46" s="54"/>
      <c r="R46" s="54"/>
      <c r="S46" s="54"/>
      <c r="T46" s="54"/>
      <c r="U46" s="54"/>
      <c r="V46" s="54"/>
      <c r="W46" s="54"/>
      <c r="X46" s="54"/>
      <c r="Y46" s="54"/>
      <c r="Z46" s="54"/>
    </row>
    <row r="47" spans="1:26" ht="11.25" customHeight="1">
      <c r="A47" s="593" t="str">
        <f t="shared" si="1"/>
        <v>approved schedules of Rates, Charges and Loss Factors</v>
      </c>
      <c r="B47" s="589"/>
      <c r="C47" s="589"/>
      <c r="D47" s="590"/>
      <c r="E47" s="54"/>
      <c r="F47" s="54"/>
      <c r="G47" s="54"/>
      <c r="H47" s="54"/>
      <c r="I47" s="54"/>
      <c r="J47" s="54"/>
      <c r="K47" s="54"/>
      <c r="L47" s="54"/>
      <c r="M47" s="54"/>
      <c r="N47" s="54"/>
      <c r="O47" s="54"/>
      <c r="P47" s="54"/>
      <c r="Q47" s="54"/>
      <c r="R47" s="54"/>
      <c r="S47" s="54"/>
      <c r="T47" s="54"/>
      <c r="U47" s="54"/>
      <c r="V47" s="54"/>
      <c r="W47" s="54"/>
      <c r="X47" s="54"/>
      <c r="Y47" s="54"/>
      <c r="Z47" s="54"/>
    </row>
    <row r="48" spans="1:26" ht="11.25" customHeight="1">
      <c r="A48" s="594" t="str">
        <f t="shared" si="1"/>
        <v>EB-2024-0115</v>
      </c>
      <c r="B48" s="589"/>
      <c r="C48" s="589"/>
      <c r="D48" s="590"/>
      <c r="E48" s="54"/>
      <c r="F48" s="54"/>
      <c r="G48" s="54"/>
      <c r="H48" s="54"/>
      <c r="I48" s="54"/>
      <c r="J48" s="54"/>
      <c r="K48" s="54"/>
      <c r="L48" s="54"/>
      <c r="M48" s="54"/>
      <c r="N48" s="54"/>
      <c r="O48" s="54"/>
      <c r="P48" s="54"/>
      <c r="Q48" s="54"/>
      <c r="R48" s="54"/>
      <c r="S48" s="54"/>
      <c r="T48" s="54"/>
      <c r="U48" s="54"/>
      <c r="V48" s="54"/>
      <c r="W48" s="54"/>
      <c r="X48" s="54"/>
      <c r="Y48" s="54"/>
      <c r="Z48" s="54"/>
    </row>
    <row r="49" spans="1:26" ht="18.75" customHeight="1">
      <c r="A49" s="595" t="s">
        <v>59</v>
      </c>
      <c r="B49" s="589"/>
      <c r="C49" s="589"/>
      <c r="D49" s="590"/>
      <c r="E49" s="76"/>
      <c r="F49" s="76"/>
      <c r="G49" s="76"/>
      <c r="H49" s="76"/>
      <c r="I49" s="76"/>
      <c r="J49" s="76"/>
      <c r="K49" s="76"/>
      <c r="L49" s="76"/>
      <c r="M49" s="76"/>
      <c r="N49" s="76"/>
      <c r="O49" s="76"/>
      <c r="P49" s="76"/>
      <c r="Q49" s="76"/>
      <c r="R49" s="76"/>
      <c r="S49" s="76"/>
      <c r="T49" s="76"/>
      <c r="U49" s="76"/>
      <c r="V49" s="76"/>
      <c r="W49" s="76"/>
      <c r="X49" s="76"/>
      <c r="Y49" s="76"/>
      <c r="Z49" s="76"/>
    </row>
    <row r="50" spans="1:26" ht="48" customHeight="1">
      <c r="A50" s="596" t="s">
        <v>60</v>
      </c>
      <c r="B50" s="589"/>
      <c r="C50" s="589"/>
      <c r="D50" s="590"/>
      <c r="E50" s="54"/>
      <c r="F50" s="54"/>
      <c r="G50" s="54"/>
      <c r="H50" s="54"/>
      <c r="I50" s="54"/>
      <c r="J50" s="54"/>
      <c r="K50" s="54"/>
      <c r="L50" s="54"/>
      <c r="M50" s="54"/>
      <c r="N50" s="54"/>
      <c r="O50" s="54"/>
      <c r="P50" s="54"/>
      <c r="Q50" s="54"/>
      <c r="R50" s="54"/>
      <c r="S50" s="54"/>
      <c r="T50" s="54"/>
      <c r="U50" s="54"/>
      <c r="V50" s="54"/>
      <c r="W50" s="54"/>
      <c r="X50" s="54"/>
      <c r="Y50" s="54"/>
      <c r="Z50" s="54"/>
    </row>
    <row r="51" spans="1:26" ht="6.75" customHeight="1">
      <c r="A51" s="55"/>
      <c r="B51" s="55"/>
      <c r="C51" s="55"/>
      <c r="D51" s="56"/>
      <c r="E51" s="54"/>
      <c r="F51" s="54"/>
      <c r="G51" s="54"/>
      <c r="H51" s="54"/>
      <c r="I51" s="54"/>
      <c r="J51" s="54"/>
      <c r="K51" s="54"/>
      <c r="L51" s="54"/>
      <c r="M51" s="54"/>
      <c r="N51" s="54"/>
      <c r="O51" s="54"/>
      <c r="P51" s="54"/>
      <c r="Q51" s="54"/>
      <c r="R51" s="54"/>
      <c r="S51" s="54"/>
      <c r="T51" s="54"/>
      <c r="U51" s="54"/>
      <c r="V51" s="54"/>
      <c r="W51" s="54"/>
      <c r="X51" s="54"/>
      <c r="Y51" s="54"/>
      <c r="Z51" s="54"/>
    </row>
    <row r="52" spans="1:26" ht="11.25" customHeight="1">
      <c r="A52" s="597" t="s">
        <v>35</v>
      </c>
      <c r="B52" s="589"/>
      <c r="C52" s="589"/>
      <c r="D52" s="590"/>
      <c r="E52" s="54"/>
      <c r="F52" s="54"/>
      <c r="G52" s="54"/>
      <c r="H52" s="54"/>
      <c r="I52" s="54"/>
      <c r="J52" s="54"/>
      <c r="K52" s="54"/>
      <c r="L52" s="54"/>
      <c r="M52" s="54"/>
      <c r="N52" s="54"/>
      <c r="O52" s="54"/>
      <c r="P52" s="54"/>
      <c r="Q52" s="54"/>
      <c r="R52" s="54"/>
      <c r="S52" s="54"/>
      <c r="T52" s="54"/>
      <c r="U52" s="54"/>
      <c r="V52" s="54"/>
      <c r="W52" s="54"/>
      <c r="X52" s="54"/>
      <c r="Y52" s="54"/>
      <c r="Z52" s="54"/>
    </row>
    <row r="53" spans="1:26" ht="6.75" customHeight="1">
      <c r="A53" s="57"/>
      <c r="B53" s="58"/>
      <c r="C53" s="58"/>
      <c r="D53" s="59"/>
      <c r="E53" s="54"/>
      <c r="F53" s="54"/>
      <c r="G53" s="54"/>
      <c r="H53" s="54"/>
      <c r="I53" s="54"/>
      <c r="J53" s="54"/>
      <c r="K53" s="54"/>
      <c r="L53" s="54"/>
      <c r="M53" s="54"/>
      <c r="N53" s="54"/>
      <c r="O53" s="54"/>
      <c r="P53" s="54"/>
      <c r="Q53" s="54"/>
      <c r="R53" s="54"/>
      <c r="S53" s="54"/>
      <c r="T53" s="54"/>
      <c r="U53" s="54"/>
      <c r="V53" s="54"/>
      <c r="W53" s="54"/>
      <c r="X53" s="54"/>
      <c r="Y53" s="54"/>
      <c r="Z53" s="54"/>
    </row>
    <row r="54" spans="1:26" ht="36" customHeight="1">
      <c r="A54" s="596" t="s">
        <v>36</v>
      </c>
      <c r="B54" s="589"/>
      <c r="C54" s="589"/>
      <c r="D54" s="590"/>
      <c r="E54" s="54"/>
      <c r="F54" s="54"/>
      <c r="G54" s="54"/>
      <c r="H54" s="54"/>
      <c r="I54" s="54"/>
      <c r="J54" s="54"/>
      <c r="K54" s="54"/>
      <c r="L54" s="54"/>
      <c r="M54" s="54"/>
      <c r="N54" s="54"/>
      <c r="O54" s="54"/>
      <c r="P54" s="54"/>
      <c r="Q54" s="54"/>
      <c r="R54" s="54"/>
      <c r="S54" s="54"/>
      <c r="T54" s="54"/>
      <c r="U54" s="54"/>
      <c r="V54" s="54"/>
      <c r="W54" s="54"/>
      <c r="X54" s="54"/>
      <c r="Y54" s="54"/>
      <c r="Z54" s="54"/>
    </row>
    <row r="55" spans="1:26" ht="6.75" customHeight="1">
      <c r="A55" s="55"/>
      <c r="B55" s="55"/>
      <c r="C55" s="55"/>
      <c r="D55" s="56"/>
      <c r="E55" s="54"/>
      <c r="F55" s="54"/>
      <c r="G55" s="54"/>
      <c r="H55" s="54"/>
      <c r="I55" s="54"/>
      <c r="J55" s="54"/>
      <c r="K55" s="54"/>
      <c r="L55" s="54"/>
      <c r="M55" s="54"/>
      <c r="N55" s="54"/>
      <c r="O55" s="54"/>
      <c r="P55" s="54"/>
      <c r="Q55" s="54"/>
      <c r="R55" s="54"/>
      <c r="S55" s="54"/>
      <c r="T55" s="54"/>
      <c r="U55" s="54"/>
      <c r="V55" s="54"/>
      <c r="W55" s="54"/>
      <c r="X55" s="54"/>
      <c r="Y55" s="54"/>
      <c r="Z55" s="54"/>
    </row>
    <row r="56" spans="1:26" ht="48" customHeight="1">
      <c r="A56" s="596" t="s">
        <v>37</v>
      </c>
      <c r="B56" s="589"/>
      <c r="C56" s="589"/>
      <c r="D56" s="590"/>
      <c r="E56" s="54"/>
      <c r="F56" s="54"/>
      <c r="G56" s="54"/>
      <c r="H56" s="54"/>
      <c r="I56" s="54"/>
      <c r="J56" s="54"/>
      <c r="K56" s="54"/>
      <c r="L56" s="54"/>
      <c r="M56" s="54"/>
      <c r="N56" s="54"/>
      <c r="O56" s="54"/>
      <c r="P56" s="54"/>
      <c r="Q56" s="54"/>
      <c r="R56" s="54"/>
      <c r="S56" s="54"/>
      <c r="T56" s="54"/>
      <c r="U56" s="54"/>
      <c r="V56" s="54"/>
      <c r="W56" s="54"/>
      <c r="X56" s="54"/>
      <c r="Y56" s="54"/>
      <c r="Z56" s="54"/>
    </row>
    <row r="57" spans="1:26" ht="6.75" customHeight="1">
      <c r="A57" s="55"/>
      <c r="B57" s="55"/>
      <c r="C57" s="55"/>
      <c r="D57" s="56"/>
      <c r="E57" s="54"/>
      <c r="F57" s="54"/>
      <c r="G57" s="54"/>
      <c r="H57" s="54"/>
      <c r="I57" s="54"/>
      <c r="J57" s="54"/>
      <c r="K57" s="54"/>
      <c r="L57" s="54"/>
      <c r="M57" s="54"/>
      <c r="N57" s="54"/>
      <c r="O57" s="54"/>
      <c r="P57" s="54"/>
      <c r="Q57" s="54"/>
      <c r="R57" s="54"/>
      <c r="S57" s="54"/>
      <c r="T57" s="54"/>
      <c r="U57" s="54"/>
      <c r="V57" s="54"/>
      <c r="W57" s="54"/>
      <c r="X57" s="54"/>
      <c r="Y57" s="54"/>
      <c r="Z57" s="54"/>
    </row>
    <row r="58" spans="1:26" ht="48" customHeight="1">
      <c r="A58" s="596" t="s">
        <v>38</v>
      </c>
      <c r="B58" s="589"/>
      <c r="C58" s="589"/>
      <c r="D58" s="590"/>
      <c r="E58" s="54"/>
      <c r="F58" s="54"/>
      <c r="G58" s="54"/>
      <c r="H58" s="54"/>
      <c r="I58" s="54"/>
      <c r="J58" s="54"/>
      <c r="K58" s="54"/>
      <c r="L58" s="54"/>
      <c r="M58" s="54"/>
      <c r="N58" s="54"/>
      <c r="O58" s="54"/>
      <c r="P58" s="54"/>
      <c r="Q58" s="54"/>
      <c r="R58" s="54"/>
      <c r="S58" s="54"/>
      <c r="T58" s="54"/>
      <c r="U58" s="54"/>
      <c r="V58" s="54"/>
      <c r="W58" s="54"/>
      <c r="X58" s="54"/>
      <c r="Y58" s="54"/>
      <c r="Z58" s="54"/>
    </row>
    <row r="59" spans="1:26" ht="6.75" customHeight="1">
      <c r="A59" s="55"/>
      <c r="B59" s="55"/>
      <c r="C59" s="55"/>
      <c r="D59" s="56"/>
      <c r="E59" s="54"/>
      <c r="F59" s="54"/>
      <c r="G59" s="54"/>
      <c r="H59" s="54"/>
      <c r="I59" s="54"/>
      <c r="J59" s="54"/>
      <c r="K59" s="54"/>
      <c r="L59" s="54"/>
      <c r="M59" s="54"/>
      <c r="N59" s="54"/>
      <c r="O59" s="54"/>
      <c r="P59" s="54"/>
      <c r="Q59" s="54"/>
      <c r="R59" s="54"/>
      <c r="S59" s="54"/>
      <c r="T59" s="54"/>
      <c r="U59" s="54"/>
      <c r="V59" s="54"/>
      <c r="W59" s="54"/>
      <c r="X59" s="54"/>
      <c r="Y59" s="54"/>
      <c r="Z59" s="54"/>
    </row>
    <row r="60" spans="1:26" ht="36" customHeight="1">
      <c r="A60" s="596" t="s">
        <v>61</v>
      </c>
      <c r="B60" s="589"/>
      <c r="C60" s="589"/>
      <c r="D60" s="590"/>
      <c r="E60" s="54"/>
      <c r="F60" s="54"/>
      <c r="G60" s="54"/>
      <c r="H60" s="54"/>
      <c r="I60" s="54"/>
      <c r="J60" s="54"/>
      <c r="K60" s="54"/>
      <c r="L60" s="54"/>
      <c r="M60" s="54"/>
      <c r="N60" s="54"/>
      <c r="O60" s="54"/>
      <c r="P60" s="54"/>
      <c r="Q60" s="54"/>
      <c r="R60" s="54"/>
      <c r="S60" s="54"/>
      <c r="T60" s="54"/>
      <c r="U60" s="54"/>
      <c r="V60" s="54"/>
      <c r="W60" s="54"/>
      <c r="X60" s="54"/>
      <c r="Y60" s="54"/>
      <c r="Z60" s="54"/>
    </row>
    <row r="61" spans="1:26" ht="6.75" customHeight="1">
      <c r="A61" s="55"/>
      <c r="B61" s="55"/>
      <c r="C61" s="55"/>
      <c r="D61" s="56"/>
      <c r="E61" s="54"/>
      <c r="F61" s="54"/>
      <c r="G61" s="54"/>
      <c r="H61" s="54"/>
      <c r="I61" s="54"/>
      <c r="J61" s="54"/>
      <c r="K61" s="54"/>
      <c r="L61" s="54"/>
      <c r="M61" s="54"/>
      <c r="N61" s="54"/>
      <c r="O61" s="54"/>
      <c r="P61" s="54"/>
      <c r="Q61" s="54"/>
      <c r="R61" s="54"/>
      <c r="S61" s="54"/>
      <c r="T61" s="54"/>
      <c r="U61" s="54"/>
      <c r="V61" s="54"/>
      <c r="W61" s="54"/>
      <c r="X61" s="54"/>
      <c r="Y61" s="54"/>
      <c r="Z61" s="54"/>
    </row>
    <row r="62" spans="1:26" ht="15" customHeight="1">
      <c r="A62" s="75" t="s">
        <v>40</v>
      </c>
      <c r="B62" s="64"/>
      <c r="C62" s="64"/>
      <c r="D62" s="77"/>
      <c r="E62" s="54"/>
      <c r="F62" s="54"/>
      <c r="G62" s="54"/>
      <c r="H62" s="54"/>
      <c r="I62" s="54"/>
      <c r="J62" s="54"/>
      <c r="K62" s="54"/>
      <c r="L62" s="54"/>
      <c r="M62" s="54"/>
      <c r="N62" s="54"/>
      <c r="O62" s="54"/>
      <c r="P62" s="54"/>
      <c r="Q62" s="54"/>
      <c r="R62" s="54"/>
      <c r="S62" s="54"/>
      <c r="T62" s="54"/>
      <c r="U62" s="54"/>
      <c r="V62" s="54"/>
      <c r="W62" s="54"/>
      <c r="X62" s="54"/>
      <c r="Y62" s="54"/>
      <c r="Z62" s="54"/>
    </row>
    <row r="63" spans="1:26" ht="6.75" customHeight="1">
      <c r="A63" s="60"/>
      <c r="B63" s="61"/>
      <c r="C63" s="61"/>
      <c r="D63" s="62"/>
      <c r="E63" s="54"/>
      <c r="F63" s="54"/>
      <c r="G63" s="54"/>
      <c r="H63" s="54"/>
      <c r="I63" s="54"/>
      <c r="J63" s="54"/>
      <c r="K63" s="54"/>
      <c r="L63" s="54"/>
      <c r="M63" s="54"/>
      <c r="N63" s="54"/>
      <c r="O63" s="54"/>
      <c r="P63" s="54"/>
      <c r="Q63" s="54"/>
      <c r="R63" s="54"/>
      <c r="S63" s="54"/>
      <c r="T63" s="54"/>
      <c r="U63" s="54"/>
      <c r="V63" s="54"/>
      <c r="W63" s="54"/>
      <c r="X63" s="54"/>
      <c r="Y63" s="54"/>
      <c r="Z63" s="54"/>
    </row>
    <row r="64" spans="1:26" ht="11.25" customHeight="1">
      <c r="A64" s="63" t="s">
        <v>41</v>
      </c>
      <c r="B64" s="64"/>
      <c r="C64" s="65" t="s">
        <v>42</v>
      </c>
      <c r="D64" s="66">
        <f>'Proposed Rates'!F9</f>
        <v>26.16</v>
      </c>
      <c r="E64" s="54"/>
      <c r="F64" s="54"/>
      <c r="G64" s="54"/>
      <c r="H64" s="54"/>
      <c r="I64" s="54"/>
      <c r="J64" s="54"/>
      <c r="K64" s="54"/>
      <c r="L64" s="54"/>
      <c r="M64" s="54"/>
      <c r="N64" s="54"/>
      <c r="O64" s="54"/>
      <c r="P64" s="54"/>
      <c r="Q64" s="54"/>
      <c r="R64" s="54"/>
      <c r="S64" s="54"/>
      <c r="T64" s="54"/>
      <c r="U64" s="54"/>
      <c r="V64" s="54"/>
      <c r="W64" s="54"/>
      <c r="X64" s="54"/>
      <c r="Y64" s="54"/>
      <c r="Z64" s="54"/>
    </row>
    <row r="65" spans="1:26" ht="11.25" customHeight="1">
      <c r="A65" s="599" t="s">
        <v>43</v>
      </c>
      <c r="B65" s="600"/>
      <c r="C65" s="67" t="s">
        <v>42</v>
      </c>
      <c r="D65" s="68">
        <f>'Proposed Rates'!F130</f>
        <v>0.99</v>
      </c>
      <c r="E65" s="54"/>
      <c r="F65" s="54"/>
      <c r="G65" s="54"/>
      <c r="H65" s="54"/>
      <c r="I65" s="54"/>
      <c r="J65" s="54"/>
      <c r="K65" s="54"/>
      <c r="L65" s="54"/>
      <c r="M65" s="54"/>
      <c r="N65" s="54"/>
      <c r="O65" s="54"/>
      <c r="P65" s="54"/>
      <c r="Q65" s="54"/>
      <c r="R65" s="54"/>
      <c r="S65" s="54"/>
      <c r="T65" s="54"/>
      <c r="U65" s="54"/>
      <c r="V65" s="54"/>
      <c r="W65" s="54"/>
      <c r="X65" s="54"/>
      <c r="Y65" s="54"/>
      <c r="Z65" s="54"/>
    </row>
    <row r="66" spans="1:26" ht="11.25" customHeight="1">
      <c r="A66" s="63" t="s">
        <v>46</v>
      </c>
      <c r="B66" s="64"/>
      <c r="C66" s="65" t="s">
        <v>42</v>
      </c>
      <c r="D66" s="70">
        <f>'Proposed Rates'!F281</f>
        <v>0.42</v>
      </c>
      <c r="E66" s="54"/>
      <c r="F66" s="54"/>
      <c r="G66" s="54"/>
      <c r="H66" s="54"/>
      <c r="I66" s="54"/>
      <c r="J66" s="54"/>
      <c r="K66" s="54"/>
      <c r="L66" s="54"/>
      <c r="M66" s="54"/>
      <c r="N66" s="54"/>
      <c r="O66" s="54"/>
      <c r="P66" s="54"/>
      <c r="Q66" s="54"/>
      <c r="R66" s="54"/>
      <c r="S66" s="54"/>
      <c r="T66" s="54"/>
      <c r="U66" s="54"/>
      <c r="V66" s="54"/>
      <c r="W66" s="54"/>
      <c r="X66" s="54"/>
      <c r="Y66" s="54"/>
      <c r="Z66" s="54"/>
    </row>
    <row r="67" spans="1:26" ht="11.25" customHeight="1">
      <c r="A67" s="63" t="s">
        <v>62</v>
      </c>
      <c r="B67" s="64"/>
      <c r="C67" s="65" t="s">
        <v>48</v>
      </c>
      <c r="D67" s="69">
        <f>'Proposed Rates'!F22</f>
        <v>3.39E-2</v>
      </c>
      <c r="E67" s="54"/>
      <c r="F67" s="54"/>
      <c r="G67" s="54"/>
      <c r="H67" s="54"/>
      <c r="I67" s="54"/>
      <c r="J67" s="54"/>
      <c r="K67" s="54"/>
      <c r="L67" s="54"/>
      <c r="M67" s="54"/>
      <c r="N67" s="54"/>
      <c r="O67" s="54"/>
      <c r="P67" s="54"/>
      <c r="Q67" s="54"/>
      <c r="R67" s="54"/>
      <c r="S67" s="54"/>
      <c r="T67" s="54"/>
      <c r="U67" s="54"/>
      <c r="V67" s="54"/>
      <c r="W67" s="54"/>
      <c r="X67" s="54"/>
      <c r="Y67" s="54"/>
      <c r="Z67" s="54"/>
    </row>
    <row r="68" spans="1:26" ht="11.25" customHeight="1">
      <c r="A68" s="63" t="s">
        <v>47</v>
      </c>
      <c r="B68" s="64"/>
      <c r="C68" s="65" t="s">
        <v>48</v>
      </c>
      <c r="D68" s="71">
        <f>'Proposed Rates'!F268</f>
        <v>6.0000000000000002E-5</v>
      </c>
      <c r="E68" s="54"/>
      <c r="F68" s="54"/>
      <c r="G68" s="54"/>
      <c r="H68" s="54"/>
      <c r="I68" s="54"/>
      <c r="J68" s="54"/>
      <c r="K68" s="54"/>
      <c r="L68" s="54"/>
      <c r="M68" s="54"/>
      <c r="N68" s="54"/>
      <c r="O68" s="54"/>
      <c r="P68" s="54"/>
      <c r="Q68" s="54"/>
      <c r="R68" s="54"/>
      <c r="S68" s="54"/>
      <c r="T68" s="54"/>
      <c r="U68" s="54"/>
      <c r="V68" s="54"/>
      <c r="W68" s="54"/>
      <c r="X68" s="54"/>
      <c r="Y68" s="54"/>
      <c r="Z68" s="54"/>
    </row>
    <row r="69" spans="1:26" ht="11.25" customHeight="1">
      <c r="A69" s="63" t="s">
        <v>49</v>
      </c>
      <c r="B69" s="64"/>
      <c r="C69" s="65" t="s">
        <v>48</v>
      </c>
      <c r="D69" s="72">
        <f>'Proposed Rates'!F38</f>
        <v>-8.9999999999999998E-4</v>
      </c>
      <c r="E69" s="54"/>
      <c r="F69" s="54"/>
      <c r="G69" s="54"/>
      <c r="H69" s="54"/>
      <c r="I69" s="54"/>
      <c r="J69" s="54"/>
      <c r="K69" s="54"/>
      <c r="L69" s="54"/>
      <c r="M69" s="54"/>
      <c r="N69" s="54"/>
      <c r="O69" s="54"/>
      <c r="P69" s="54"/>
      <c r="Q69" s="54"/>
      <c r="R69" s="54"/>
      <c r="S69" s="54"/>
      <c r="T69" s="54"/>
      <c r="U69" s="54"/>
      <c r="V69" s="54"/>
      <c r="W69" s="54"/>
      <c r="X69" s="54"/>
      <c r="Y69" s="54"/>
      <c r="Z69" s="54"/>
    </row>
    <row r="70" spans="1:26" ht="30.75" customHeight="1">
      <c r="A70" s="73" t="s">
        <v>50</v>
      </c>
      <c r="B70" s="64"/>
      <c r="C70" s="65" t="s">
        <v>48</v>
      </c>
      <c r="D70" s="69">
        <f>'Proposed Rates'!$F$104</f>
        <v>8.0000000000000004E-4</v>
      </c>
      <c r="E70" s="73"/>
      <c r="F70" s="64"/>
      <c r="G70" s="65"/>
      <c r="H70" s="69"/>
      <c r="I70" s="73"/>
      <c r="J70" s="64"/>
      <c r="K70" s="65"/>
      <c r="L70" s="69"/>
      <c r="M70" s="73"/>
      <c r="N70" s="64"/>
      <c r="O70" s="65"/>
      <c r="P70" s="69"/>
      <c r="Q70" s="73"/>
      <c r="R70" s="64"/>
      <c r="S70" s="65"/>
      <c r="T70" s="69"/>
      <c r="U70" s="73"/>
      <c r="V70" s="64"/>
      <c r="W70" s="65"/>
      <c r="X70" s="69"/>
      <c r="Y70" s="73"/>
      <c r="Z70" s="64"/>
    </row>
    <row r="71" spans="1:26" ht="11.25" customHeight="1">
      <c r="A71" s="63" t="s">
        <v>45</v>
      </c>
      <c r="B71" s="64"/>
      <c r="C71" s="65" t="s">
        <v>48</v>
      </c>
      <c r="D71" s="72">
        <f>'Proposed Rates'!F65</f>
        <v>-1.4E-3</v>
      </c>
      <c r="E71" s="54"/>
      <c r="F71" s="54"/>
      <c r="G71" s="54"/>
      <c r="H71" s="54"/>
      <c r="I71" s="54"/>
      <c r="J71" s="54"/>
      <c r="K71" s="54"/>
      <c r="L71" s="54"/>
      <c r="M71" s="54"/>
      <c r="N71" s="54"/>
      <c r="O71" s="54"/>
      <c r="P71" s="54"/>
      <c r="Q71" s="54"/>
      <c r="R71" s="54"/>
      <c r="S71" s="54"/>
      <c r="T71" s="54"/>
      <c r="U71" s="54"/>
      <c r="V71" s="54"/>
      <c r="W71" s="54"/>
      <c r="X71" s="54"/>
      <c r="Y71" s="54"/>
      <c r="Z71" s="54"/>
    </row>
    <row r="72" spans="1:26" ht="33" customHeight="1">
      <c r="A72" s="73" t="s">
        <v>63</v>
      </c>
      <c r="B72" s="64"/>
      <c r="C72" s="65" t="s">
        <v>48</v>
      </c>
      <c r="D72" s="69">
        <f>'Proposed Rates'!F91</f>
        <v>5.9999999999999995E-4</v>
      </c>
      <c r="E72" s="54"/>
      <c r="F72" s="54"/>
      <c r="G72" s="54"/>
      <c r="H72" s="54"/>
      <c r="I72" s="54"/>
      <c r="J72" s="54"/>
      <c r="K72" s="54"/>
      <c r="L72" s="54"/>
      <c r="M72" s="54"/>
      <c r="N72" s="54"/>
      <c r="O72" s="54"/>
      <c r="P72" s="54"/>
      <c r="Q72" s="54"/>
      <c r="R72" s="54"/>
      <c r="S72" s="54"/>
      <c r="T72" s="54"/>
      <c r="U72" s="54"/>
      <c r="V72" s="54"/>
      <c r="W72" s="54"/>
      <c r="X72" s="54"/>
      <c r="Y72" s="54"/>
      <c r="Z72" s="54"/>
    </row>
    <row r="73" spans="1:26" ht="11.25" customHeight="1">
      <c r="A73" s="599" t="s">
        <v>43</v>
      </c>
      <c r="B73" s="600"/>
      <c r="C73" s="67" t="s">
        <v>48</v>
      </c>
      <c r="D73" s="72">
        <f>'Proposed Rates'!F117</f>
        <v>1.4E-3</v>
      </c>
      <c r="E73" s="54"/>
      <c r="F73" s="54"/>
      <c r="G73" s="54"/>
      <c r="H73" s="54"/>
      <c r="I73" s="54"/>
      <c r="J73" s="54"/>
      <c r="K73" s="54"/>
      <c r="L73" s="54"/>
      <c r="M73" s="54"/>
      <c r="N73" s="54"/>
      <c r="O73" s="54"/>
      <c r="P73" s="54"/>
      <c r="Q73" s="54"/>
      <c r="R73" s="54"/>
      <c r="S73" s="54"/>
      <c r="T73" s="54"/>
      <c r="U73" s="54"/>
      <c r="V73" s="54"/>
      <c r="W73" s="54"/>
      <c r="X73" s="54"/>
      <c r="Y73" s="54"/>
      <c r="Z73" s="54"/>
    </row>
    <row r="74" spans="1:26" ht="11.25" customHeight="1">
      <c r="A74" s="63" t="s">
        <v>51</v>
      </c>
      <c r="B74" s="64"/>
      <c r="C74" s="65" t="s">
        <v>48</v>
      </c>
      <c r="D74" s="69">
        <f>'Proposed Rates'!F146</f>
        <v>4.4999999999999997E-3</v>
      </c>
      <c r="E74" s="54"/>
      <c r="F74" s="54"/>
      <c r="G74" s="54"/>
      <c r="H74" s="54"/>
      <c r="I74" s="54"/>
      <c r="J74" s="54"/>
      <c r="K74" s="54"/>
      <c r="L74" s="54"/>
      <c r="M74" s="54"/>
      <c r="N74" s="54"/>
      <c r="O74" s="54"/>
      <c r="P74" s="54"/>
      <c r="Q74" s="54"/>
      <c r="R74" s="54"/>
      <c r="S74" s="54"/>
      <c r="T74" s="54"/>
      <c r="U74" s="54"/>
      <c r="V74" s="54"/>
      <c r="W74" s="54"/>
      <c r="X74" s="54"/>
      <c r="Y74" s="54"/>
      <c r="Z74" s="54"/>
    </row>
    <row r="75" spans="1:26" ht="11.25" customHeight="1">
      <c r="A75" s="63" t="s">
        <v>52</v>
      </c>
      <c r="B75" s="64"/>
      <c r="C75" s="65" t="s">
        <v>48</v>
      </c>
      <c r="D75" s="69">
        <f>'Proposed Rates'!F187</f>
        <v>1.0699999999999999E-2</v>
      </c>
      <c r="E75" s="54"/>
      <c r="F75" s="54"/>
      <c r="G75" s="54"/>
      <c r="H75" s="54"/>
      <c r="I75" s="54"/>
      <c r="J75" s="54"/>
      <c r="K75" s="54"/>
      <c r="L75" s="54"/>
      <c r="M75" s="54"/>
      <c r="N75" s="54"/>
      <c r="O75" s="54"/>
      <c r="P75" s="54"/>
      <c r="Q75" s="54"/>
      <c r="R75" s="54"/>
      <c r="S75" s="54"/>
      <c r="T75" s="54"/>
      <c r="U75" s="54"/>
      <c r="V75" s="54"/>
      <c r="W75" s="54"/>
      <c r="X75" s="54"/>
      <c r="Y75" s="54"/>
      <c r="Z75" s="54"/>
    </row>
    <row r="76" spans="1:26" ht="11.25" customHeight="1">
      <c r="A76" s="63" t="s">
        <v>53</v>
      </c>
      <c r="B76" s="64"/>
      <c r="C76" s="65" t="s">
        <v>48</v>
      </c>
      <c r="D76" s="69">
        <f>'Proposed Rates'!F202</f>
        <v>6.1000000000000004E-3</v>
      </c>
      <c r="E76" s="54"/>
      <c r="F76" s="54"/>
      <c r="G76" s="54"/>
      <c r="H76" s="54"/>
      <c r="I76" s="54"/>
      <c r="J76" s="54"/>
      <c r="K76" s="54"/>
      <c r="L76" s="54"/>
      <c r="M76" s="54"/>
      <c r="N76" s="54"/>
      <c r="O76" s="54"/>
      <c r="P76" s="54"/>
      <c r="Q76" s="54"/>
      <c r="R76" s="54"/>
      <c r="S76" s="54"/>
      <c r="T76" s="54"/>
      <c r="U76" s="54"/>
      <c r="V76" s="54"/>
      <c r="W76" s="54"/>
      <c r="X76" s="54"/>
      <c r="Y76" s="54"/>
      <c r="Z76" s="54"/>
    </row>
    <row r="77" spans="1:26" ht="6.75" customHeight="1">
      <c r="A77" s="65"/>
      <c r="B77" s="65"/>
      <c r="C77" s="65"/>
      <c r="D77" s="74"/>
      <c r="E77" s="54"/>
      <c r="F77" s="54"/>
      <c r="G77" s="54"/>
      <c r="H77" s="54"/>
      <c r="I77" s="54"/>
      <c r="J77" s="54"/>
      <c r="K77" s="54"/>
      <c r="L77" s="54"/>
      <c r="M77" s="54"/>
      <c r="N77" s="54"/>
      <c r="O77" s="54"/>
      <c r="P77" s="54"/>
      <c r="Q77" s="54"/>
      <c r="R77" s="54"/>
      <c r="S77" s="54"/>
      <c r="T77" s="54"/>
      <c r="U77" s="54"/>
      <c r="V77" s="54"/>
      <c r="W77" s="54"/>
      <c r="X77" s="54"/>
      <c r="Y77" s="54"/>
      <c r="Z77" s="54"/>
    </row>
    <row r="78" spans="1:26" ht="15" customHeight="1">
      <c r="A78" s="75" t="s">
        <v>54</v>
      </c>
      <c r="B78" s="64"/>
      <c r="C78" s="65"/>
      <c r="D78" s="74"/>
      <c r="E78" s="54"/>
      <c r="F78" s="54"/>
      <c r="G78" s="54"/>
      <c r="H78" s="54"/>
      <c r="I78" s="54"/>
      <c r="J78" s="54"/>
      <c r="K78" s="54"/>
      <c r="L78" s="54"/>
      <c r="M78" s="54"/>
      <c r="N78" s="54"/>
      <c r="O78" s="54"/>
      <c r="P78" s="54"/>
      <c r="Q78" s="54"/>
      <c r="R78" s="54"/>
      <c r="S78" s="54"/>
      <c r="T78" s="54"/>
      <c r="U78" s="54"/>
      <c r="V78" s="54"/>
      <c r="W78" s="54"/>
      <c r="X78" s="54"/>
      <c r="Y78" s="54"/>
      <c r="Z78" s="54"/>
    </row>
    <row r="79" spans="1:26" ht="6.75" customHeight="1">
      <c r="A79" s="60"/>
      <c r="B79" s="65"/>
      <c r="C79" s="65"/>
      <c r="D79" s="74"/>
      <c r="E79" s="54"/>
      <c r="F79" s="54"/>
      <c r="G79" s="54"/>
      <c r="H79" s="54"/>
      <c r="I79" s="54"/>
      <c r="J79" s="54"/>
      <c r="K79" s="54"/>
      <c r="L79" s="54"/>
      <c r="M79" s="54"/>
      <c r="N79" s="54"/>
      <c r="O79" s="54"/>
      <c r="P79" s="54"/>
      <c r="Q79" s="54"/>
      <c r="R79" s="54"/>
      <c r="S79" s="54"/>
      <c r="T79" s="54"/>
      <c r="U79" s="54"/>
      <c r="V79" s="54"/>
      <c r="W79" s="54"/>
      <c r="X79" s="54"/>
      <c r="Y79" s="54"/>
      <c r="Z79" s="54"/>
    </row>
    <row r="80" spans="1:26" ht="11.25" customHeight="1">
      <c r="A80" s="63" t="s">
        <v>55</v>
      </c>
      <c r="B80" s="64"/>
      <c r="C80" s="65" t="s">
        <v>48</v>
      </c>
      <c r="D80" s="69">
        <f>$D$37</f>
        <v>4.1000000000000003E-3</v>
      </c>
      <c r="E80" s="54"/>
      <c r="F80" s="54"/>
      <c r="G80" s="54"/>
      <c r="H80" s="54"/>
      <c r="I80" s="54"/>
      <c r="J80" s="54"/>
      <c r="K80" s="54"/>
      <c r="L80" s="54"/>
      <c r="M80" s="54"/>
      <c r="N80" s="54"/>
      <c r="O80" s="54"/>
      <c r="P80" s="54"/>
      <c r="Q80" s="54"/>
      <c r="R80" s="54"/>
      <c r="S80" s="54"/>
      <c r="T80" s="54"/>
      <c r="U80" s="54"/>
      <c r="V80" s="54"/>
      <c r="W80" s="54"/>
      <c r="X80" s="54"/>
      <c r="Y80" s="54"/>
      <c r="Z80" s="54"/>
    </row>
    <row r="81" spans="1:26" ht="11.25" customHeight="1">
      <c r="A81" s="63" t="s">
        <v>56</v>
      </c>
      <c r="B81" s="64"/>
      <c r="C81" s="65" t="s">
        <v>48</v>
      </c>
      <c r="D81" s="69">
        <f>'Proposed Rates'!F217-'2026'!D80</f>
        <v>5.9999999999999984E-4</v>
      </c>
      <c r="E81" s="54"/>
      <c r="F81" s="54"/>
      <c r="G81" s="54"/>
      <c r="H81" s="54"/>
      <c r="I81" s="54"/>
      <c r="J81" s="54"/>
      <c r="K81" s="54"/>
      <c r="L81" s="54"/>
      <c r="M81" s="54"/>
      <c r="N81" s="54"/>
      <c r="O81" s="54"/>
      <c r="P81" s="54"/>
      <c r="Q81" s="54"/>
      <c r="R81" s="54"/>
      <c r="S81" s="54"/>
      <c r="T81" s="54"/>
      <c r="U81" s="54"/>
      <c r="V81" s="54"/>
      <c r="W81" s="54"/>
      <c r="X81" s="54"/>
      <c r="Y81" s="54"/>
      <c r="Z81" s="54"/>
    </row>
    <row r="82" spans="1:26" ht="11.25" customHeight="1">
      <c r="A82" s="63" t="s">
        <v>57</v>
      </c>
      <c r="B82" s="64"/>
      <c r="C82" s="65" t="s">
        <v>48</v>
      </c>
      <c r="D82" s="69">
        <f>'Proposed Rates'!F230</f>
        <v>5.9999999999999995E-4</v>
      </c>
      <c r="E82" s="54"/>
      <c r="F82" s="54"/>
      <c r="G82" s="54"/>
      <c r="H82" s="54"/>
      <c r="I82" s="54"/>
      <c r="J82" s="54"/>
      <c r="K82" s="54"/>
      <c r="L82" s="54"/>
      <c r="M82" s="54"/>
      <c r="N82" s="54"/>
      <c r="O82" s="54"/>
      <c r="P82" s="54"/>
      <c r="Q82" s="54"/>
      <c r="R82" s="54"/>
      <c r="S82" s="54"/>
      <c r="T82" s="54"/>
      <c r="U82" s="54"/>
      <c r="V82" s="54"/>
      <c r="W82" s="54"/>
      <c r="X82" s="54"/>
      <c r="Y82" s="54"/>
      <c r="Z82" s="54"/>
    </row>
    <row r="83" spans="1:26" ht="11.25" customHeight="1">
      <c r="A83" s="63" t="s">
        <v>58</v>
      </c>
      <c r="B83" s="64"/>
      <c r="C83" s="65" t="s">
        <v>42</v>
      </c>
      <c r="D83" s="70">
        <f>'Proposed Rates'!F244</f>
        <v>0.25</v>
      </c>
      <c r="E83" s="54"/>
      <c r="F83" s="54"/>
      <c r="G83" s="54"/>
      <c r="H83" s="54"/>
      <c r="I83" s="54"/>
      <c r="J83" s="54"/>
      <c r="K83" s="54"/>
      <c r="L83" s="54"/>
      <c r="M83" s="54"/>
      <c r="N83" s="54"/>
      <c r="O83" s="54"/>
      <c r="P83" s="54"/>
      <c r="Q83" s="54"/>
      <c r="R83" s="54"/>
      <c r="S83" s="54"/>
      <c r="T83" s="54"/>
      <c r="U83" s="54"/>
      <c r="V83" s="54"/>
      <c r="W83" s="54"/>
      <c r="X83" s="54"/>
      <c r="Y83" s="54"/>
      <c r="Z83" s="54"/>
    </row>
    <row r="84" spans="1:26" ht="11.25" customHeight="1">
      <c r="A84" s="63"/>
      <c r="B84" s="64"/>
      <c r="C84" s="65"/>
      <c r="D84" s="70"/>
      <c r="E84" s="54"/>
      <c r="F84" s="54"/>
      <c r="G84" s="54"/>
      <c r="H84" s="54"/>
      <c r="I84" s="54"/>
      <c r="J84" s="54"/>
      <c r="K84" s="54"/>
      <c r="L84" s="54"/>
      <c r="M84" s="54"/>
      <c r="N84" s="54"/>
      <c r="O84" s="54"/>
      <c r="P84" s="54"/>
      <c r="Q84" s="54"/>
      <c r="R84" s="54"/>
      <c r="S84" s="54"/>
      <c r="T84" s="54"/>
      <c r="U84" s="54"/>
      <c r="V84" s="54"/>
      <c r="W84" s="54"/>
      <c r="X84" s="54"/>
      <c r="Y84" s="54"/>
      <c r="Z84" s="54"/>
    </row>
    <row r="85" spans="1:26" ht="23.25" customHeight="1">
      <c r="A85" s="588" t="str">
        <f>$A$42</f>
        <v>Hydro Ottawa Limited</v>
      </c>
      <c r="B85" s="589"/>
      <c r="C85" s="589"/>
      <c r="D85" s="590"/>
      <c r="E85" s="54"/>
      <c r="F85" s="54"/>
      <c r="G85" s="54"/>
      <c r="H85" s="54"/>
      <c r="I85" s="54"/>
      <c r="J85" s="54"/>
      <c r="K85" s="54"/>
      <c r="L85" s="54"/>
      <c r="M85" s="54"/>
      <c r="N85" s="54"/>
      <c r="O85" s="54"/>
      <c r="P85" s="54"/>
      <c r="Q85" s="54"/>
      <c r="R85" s="54"/>
      <c r="S85" s="54"/>
      <c r="T85" s="54"/>
      <c r="U85" s="54"/>
      <c r="V85" s="54"/>
      <c r="W85" s="54"/>
      <c r="X85" s="54"/>
      <c r="Y85" s="54"/>
      <c r="Z85" s="54"/>
    </row>
    <row r="86" spans="1:26" ht="18" customHeight="1">
      <c r="A86" s="591" t="str">
        <f>$A$43</f>
        <v>TARIFF OF RATES AND CHARGES</v>
      </c>
      <c r="B86" s="589"/>
      <c r="C86" s="589"/>
      <c r="D86" s="590"/>
      <c r="E86" s="54"/>
      <c r="F86" s="54"/>
      <c r="G86" s="54"/>
      <c r="H86" s="54"/>
      <c r="I86" s="54"/>
      <c r="J86" s="54"/>
      <c r="K86" s="54"/>
      <c r="L86" s="54"/>
      <c r="M86" s="54"/>
      <c r="N86" s="54"/>
      <c r="O86" s="54"/>
      <c r="P86" s="54"/>
      <c r="Q86" s="54"/>
      <c r="R86" s="54"/>
      <c r="S86" s="54"/>
      <c r="T86" s="54"/>
      <c r="U86" s="54"/>
      <c r="V86" s="54"/>
      <c r="W86" s="54"/>
      <c r="X86" s="54"/>
      <c r="Y86" s="54"/>
      <c r="Z86" s="54"/>
    </row>
    <row r="87" spans="1:26" ht="15.75" customHeight="1">
      <c r="A87" s="592" t="s">
        <v>28</v>
      </c>
      <c r="B87" s="589"/>
      <c r="C87" s="589"/>
      <c r="D87" s="590"/>
      <c r="E87" s="54"/>
      <c r="F87" s="54"/>
      <c r="G87" s="54"/>
      <c r="H87" s="54"/>
      <c r="I87" s="54"/>
      <c r="J87" s="54"/>
      <c r="K87" s="54"/>
      <c r="L87" s="54"/>
      <c r="M87" s="54"/>
      <c r="N87" s="54"/>
      <c r="O87" s="54"/>
      <c r="P87" s="54"/>
      <c r="Q87" s="54"/>
      <c r="R87" s="54"/>
      <c r="S87" s="54"/>
      <c r="T87" s="54"/>
      <c r="U87" s="54"/>
      <c r="V87" s="54"/>
      <c r="W87" s="54"/>
      <c r="X87" s="54"/>
      <c r="Y87" s="54"/>
      <c r="Z87" s="54"/>
    </row>
    <row r="88" spans="1:26" ht="15.75" customHeight="1">
      <c r="A88" s="592" t="s">
        <v>29</v>
      </c>
      <c r="B88" s="589"/>
      <c r="C88" s="589"/>
      <c r="D88" s="590"/>
      <c r="E88" s="54"/>
      <c r="F88" s="54"/>
      <c r="G88" s="54"/>
      <c r="H88" s="54"/>
      <c r="I88" s="54"/>
      <c r="J88" s="54"/>
      <c r="K88" s="54"/>
      <c r="L88" s="54"/>
      <c r="M88" s="54"/>
      <c r="N88" s="54"/>
      <c r="O88" s="54"/>
      <c r="P88" s="54"/>
      <c r="Q88" s="54"/>
      <c r="R88" s="54"/>
      <c r="S88" s="54"/>
      <c r="T88" s="54"/>
      <c r="U88" s="54"/>
      <c r="V88" s="54"/>
      <c r="W88" s="54"/>
      <c r="X88" s="54"/>
      <c r="Y88" s="54"/>
      <c r="Z88" s="54"/>
    </row>
    <row r="89" spans="1:26" ht="11.25" customHeight="1">
      <c r="A89" s="593" t="str">
        <f>$A$46</f>
        <v>This schedule supersedes and replaces all previously</v>
      </c>
      <c r="B89" s="589"/>
      <c r="C89" s="589"/>
      <c r="D89" s="590"/>
      <c r="E89" s="54"/>
      <c r="F89" s="54"/>
      <c r="G89" s="54"/>
      <c r="H89" s="54"/>
      <c r="I89" s="54"/>
      <c r="J89" s="54"/>
      <c r="K89" s="54"/>
      <c r="L89" s="54"/>
      <c r="M89" s="54"/>
      <c r="N89" s="54"/>
      <c r="O89" s="54"/>
      <c r="P89" s="54"/>
      <c r="Q89" s="54"/>
      <c r="R89" s="54"/>
      <c r="S89" s="54"/>
      <c r="T89" s="54"/>
      <c r="U89" s="54"/>
      <c r="V89" s="54"/>
      <c r="W89" s="54"/>
      <c r="X89" s="54"/>
      <c r="Y89" s="54"/>
      <c r="Z89" s="54"/>
    </row>
    <row r="90" spans="1:26" ht="11.25" customHeight="1">
      <c r="A90" s="593" t="str">
        <f>$A$47</f>
        <v>approved schedules of Rates, Charges and Loss Factors</v>
      </c>
      <c r="B90" s="589"/>
      <c r="C90" s="589"/>
      <c r="D90" s="590"/>
      <c r="E90" s="54"/>
      <c r="F90" s="54"/>
      <c r="G90" s="54"/>
      <c r="H90" s="54"/>
      <c r="I90" s="54"/>
      <c r="J90" s="54"/>
      <c r="K90" s="54"/>
      <c r="L90" s="54"/>
      <c r="M90" s="54"/>
      <c r="N90" s="54"/>
      <c r="O90" s="54"/>
      <c r="P90" s="54"/>
      <c r="Q90" s="54"/>
      <c r="R90" s="54"/>
      <c r="S90" s="54"/>
      <c r="T90" s="54"/>
      <c r="U90" s="54"/>
      <c r="V90" s="54"/>
      <c r="W90" s="54"/>
      <c r="X90" s="54"/>
      <c r="Y90" s="54"/>
      <c r="Z90" s="54"/>
    </row>
    <row r="91" spans="1:26" ht="11.25" customHeight="1">
      <c r="A91" s="594" t="str">
        <f>$A$48</f>
        <v>EB-2024-0115</v>
      </c>
      <c r="B91" s="589"/>
      <c r="C91" s="589"/>
      <c r="D91" s="590"/>
      <c r="E91" s="54"/>
      <c r="F91" s="54"/>
      <c r="G91" s="54"/>
      <c r="H91" s="54"/>
      <c r="I91" s="54"/>
      <c r="J91" s="54"/>
      <c r="K91" s="54"/>
      <c r="L91" s="54"/>
      <c r="M91" s="54"/>
      <c r="N91" s="54"/>
      <c r="O91" s="54"/>
      <c r="P91" s="54"/>
      <c r="Q91" s="54"/>
      <c r="R91" s="54"/>
      <c r="S91" s="54"/>
      <c r="T91" s="54"/>
      <c r="U91" s="54"/>
      <c r="V91" s="54"/>
      <c r="W91" s="54"/>
      <c r="X91" s="54"/>
      <c r="Y91" s="54"/>
      <c r="Z91" s="54"/>
    </row>
    <row r="92" spans="1:26" ht="18" customHeight="1">
      <c r="A92" s="595" t="s">
        <v>64</v>
      </c>
      <c r="B92" s="589"/>
      <c r="C92" s="589"/>
      <c r="D92" s="590"/>
      <c r="E92" s="76"/>
      <c r="F92" s="76"/>
      <c r="G92" s="76"/>
      <c r="H92" s="76"/>
      <c r="I92" s="76"/>
      <c r="J92" s="76"/>
      <c r="K92" s="76"/>
      <c r="L92" s="76"/>
      <c r="M92" s="76"/>
      <c r="N92" s="76"/>
      <c r="O92" s="76"/>
      <c r="P92" s="76"/>
      <c r="Q92" s="76"/>
      <c r="R92" s="76"/>
      <c r="S92" s="76"/>
      <c r="T92" s="76"/>
      <c r="U92" s="76"/>
      <c r="V92" s="76"/>
      <c r="W92" s="76"/>
      <c r="X92" s="76"/>
      <c r="Y92" s="76"/>
      <c r="Z92" s="76"/>
    </row>
    <row r="93" spans="1:26" ht="48" customHeight="1">
      <c r="A93" s="596" t="s">
        <v>65</v>
      </c>
      <c r="B93" s="589"/>
      <c r="C93" s="589"/>
      <c r="D93" s="590"/>
      <c r="E93" s="54"/>
      <c r="F93" s="54"/>
      <c r="G93" s="54"/>
      <c r="H93" s="54"/>
      <c r="I93" s="54"/>
      <c r="J93" s="54"/>
      <c r="K93" s="54"/>
      <c r="L93" s="54"/>
      <c r="M93" s="54"/>
      <c r="N93" s="54"/>
      <c r="O93" s="54"/>
      <c r="P93" s="54"/>
      <c r="Q93" s="54"/>
      <c r="R93" s="54"/>
      <c r="S93" s="54"/>
      <c r="T93" s="54"/>
      <c r="U93" s="54"/>
      <c r="V93" s="54"/>
      <c r="W93" s="54"/>
      <c r="X93" s="54"/>
      <c r="Y93" s="54"/>
      <c r="Z93" s="54"/>
    </row>
    <row r="94" spans="1:26" ht="6.75" customHeight="1">
      <c r="A94" s="55"/>
      <c r="B94" s="55"/>
      <c r="C94" s="55"/>
      <c r="D94" s="56"/>
      <c r="E94" s="54"/>
      <c r="F94" s="54"/>
      <c r="G94" s="54"/>
      <c r="H94" s="54"/>
      <c r="I94" s="54"/>
      <c r="J94" s="54"/>
      <c r="K94" s="54"/>
      <c r="L94" s="54"/>
      <c r="M94" s="54"/>
      <c r="N94" s="54"/>
      <c r="O94" s="54"/>
      <c r="P94" s="54"/>
      <c r="Q94" s="54"/>
      <c r="R94" s="54"/>
      <c r="S94" s="54"/>
      <c r="T94" s="54"/>
      <c r="U94" s="54"/>
      <c r="V94" s="54"/>
      <c r="W94" s="54"/>
      <c r="X94" s="54"/>
      <c r="Y94" s="54"/>
      <c r="Z94" s="54"/>
    </row>
    <row r="95" spans="1:26" ht="11.25" customHeight="1">
      <c r="A95" s="597" t="s">
        <v>35</v>
      </c>
      <c r="B95" s="589"/>
      <c r="C95" s="589"/>
      <c r="D95" s="590"/>
      <c r="E95" s="54"/>
      <c r="F95" s="54"/>
      <c r="G95" s="54"/>
      <c r="H95" s="54"/>
      <c r="I95" s="54"/>
      <c r="J95" s="54"/>
      <c r="K95" s="54"/>
      <c r="L95" s="54"/>
      <c r="M95" s="54"/>
      <c r="N95" s="54"/>
      <c r="O95" s="54"/>
      <c r="P95" s="54"/>
      <c r="Q95" s="54"/>
      <c r="R95" s="54"/>
      <c r="S95" s="54"/>
      <c r="T95" s="54"/>
      <c r="U95" s="54"/>
      <c r="V95" s="54"/>
      <c r="W95" s="54"/>
      <c r="X95" s="54"/>
      <c r="Y95" s="54"/>
      <c r="Z95" s="54"/>
    </row>
    <row r="96" spans="1:26" ht="6.75" customHeight="1">
      <c r="A96" s="57"/>
      <c r="B96" s="58"/>
      <c r="C96" s="58"/>
      <c r="D96" s="59"/>
      <c r="E96" s="54"/>
      <c r="F96" s="54"/>
      <c r="G96" s="54"/>
      <c r="H96" s="54"/>
      <c r="I96" s="54"/>
      <c r="J96" s="54"/>
      <c r="K96" s="54"/>
      <c r="L96" s="54"/>
      <c r="M96" s="54"/>
      <c r="N96" s="54"/>
      <c r="O96" s="54"/>
      <c r="P96" s="54"/>
      <c r="Q96" s="54"/>
      <c r="R96" s="54"/>
      <c r="S96" s="54"/>
      <c r="T96" s="54"/>
      <c r="U96" s="54"/>
      <c r="V96" s="54"/>
      <c r="W96" s="54"/>
      <c r="X96" s="54"/>
      <c r="Y96" s="54"/>
      <c r="Z96" s="54"/>
    </row>
    <row r="97" spans="1:26" ht="36" customHeight="1">
      <c r="A97" s="596" t="s">
        <v>36</v>
      </c>
      <c r="B97" s="589"/>
      <c r="C97" s="589"/>
      <c r="D97" s="590"/>
      <c r="E97" s="54"/>
      <c r="F97" s="54"/>
      <c r="G97" s="54"/>
      <c r="H97" s="54"/>
      <c r="I97" s="54"/>
      <c r="J97" s="54"/>
      <c r="K97" s="54"/>
      <c r="L97" s="54"/>
      <c r="M97" s="54"/>
      <c r="N97" s="54"/>
      <c r="O97" s="54"/>
      <c r="P97" s="54"/>
      <c r="Q97" s="54"/>
      <c r="R97" s="54"/>
      <c r="S97" s="54"/>
      <c r="T97" s="54"/>
      <c r="U97" s="54"/>
      <c r="V97" s="54"/>
      <c r="W97" s="54"/>
      <c r="X97" s="54"/>
      <c r="Y97" s="54"/>
      <c r="Z97" s="54"/>
    </row>
    <row r="98" spans="1:26" ht="6.75" customHeight="1">
      <c r="A98" s="55"/>
      <c r="B98" s="55"/>
      <c r="C98" s="55"/>
      <c r="D98" s="56"/>
      <c r="E98" s="54"/>
      <c r="F98" s="54"/>
      <c r="G98" s="54"/>
      <c r="H98" s="54"/>
      <c r="I98" s="54"/>
      <c r="J98" s="54"/>
      <c r="K98" s="54"/>
      <c r="L98" s="54"/>
      <c r="M98" s="54"/>
      <c r="N98" s="54"/>
      <c r="O98" s="54"/>
      <c r="P98" s="54"/>
      <c r="Q98" s="54"/>
      <c r="R98" s="54"/>
      <c r="S98" s="54"/>
      <c r="T98" s="54"/>
      <c r="U98" s="54"/>
      <c r="V98" s="54"/>
      <c r="W98" s="54"/>
      <c r="X98" s="54"/>
      <c r="Y98" s="54"/>
      <c r="Z98" s="54"/>
    </row>
    <row r="99" spans="1:26" ht="48" customHeight="1">
      <c r="A99" s="596" t="s">
        <v>37</v>
      </c>
      <c r="B99" s="589"/>
      <c r="C99" s="589"/>
      <c r="D99" s="590"/>
      <c r="E99" s="54"/>
      <c r="F99" s="54"/>
      <c r="G99" s="54"/>
      <c r="H99" s="54"/>
      <c r="I99" s="54"/>
      <c r="J99" s="54"/>
      <c r="K99" s="54"/>
      <c r="L99" s="54"/>
      <c r="M99" s="54"/>
      <c r="N99" s="54"/>
      <c r="O99" s="54"/>
      <c r="P99" s="54"/>
      <c r="Q99" s="54"/>
      <c r="R99" s="54"/>
      <c r="S99" s="54"/>
      <c r="T99" s="54"/>
      <c r="U99" s="54"/>
      <c r="V99" s="54"/>
      <c r="W99" s="54"/>
      <c r="X99" s="54"/>
      <c r="Y99" s="54"/>
      <c r="Z99" s="54"/>
    </row>
    <row r="100" spans="1:26" ht="6.75" customHeight="1">
      <c r="A100" s="55"/>
      <c r="B100" s="55"/>
      <c r="C100" s="55"/>
      <c r="D100" s="56"/>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48" customHeight="1">
      <c r="A101" s="596" t="s">
        <v>38</v>
      </c>
      <c r="B101" s="589"/>
      <c r="C101" s="589"/>
      <c r="D101" s="590"/>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6.75" customHeight="1">
      <c r="A102" s="55"/>
      <c r="B102" s="55"/>
      <c r="C102" s="55"/>
      <c r="D102" s="56"/>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96" customHeight="1">
      <c r="A103" s="596" t="s">
        <v>66</v>
      </c>
      <c r="B103" s="589"/>
      <c r="C103" s="589"/>
      <c r="D103" s="590"/>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96" customHeight="1">
      <c r="A104" s="596" t="s">
        <v>67</v>
      </c>
      <c r="B104" s="589"/>
      <c r="C104" s="589"/>
      <c r="D104" s="590"/>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36" customHeight="1">
      <c r="A105" s="596" t="s">
        <v>39</v>
      </c>
      <c r="B105" s="589"/>
      <c r="C105" s="589"/>
      <c r="D105" s="590"/>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24" customHeight="1">
      <c r="A106" s="601" t="s">
        <v>68</v>
      </c>
      <c r="B106" s="589"/>
      <c r="C106" s="589"/>
      <c r="D106" s="590"/>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6.75" customHeight="1">
      <c r="A107" s="78"/>
      <c r="B107" s="78"/>
      <c r="C107" s="78"/>
      <c r="D107" s="79"/>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 customHeight="1">
      <c r="A108" s="75" t="s">
        <v>40</v>
      </c>
      <c r="B108" s="64"/>
      <c r="C108" s="64"/>
      <c r="D108" s="77"/>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6.75" customHeight="1">
      <c r="A109" s="60"/>
      <c r="B109" s="61"/>
      <c r="C109" s="61"/>
      <c r="D109" s="62"/>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0.5" customHeight="1">
      <c r="A110" s="63" t="s">
        <v>41</v>
      </c>
      <c r="B110" s="64"/>
      <c r="C110" s="65" t="s">
        <v>42</v>
      </c>
      <c r="D110" s="66">
        <f>'Proposed Rates'!F10</f>
        <v>200</v>
      </c>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0.5" customHeight="1">
      <c r="A111" s="599" t="s">
        <v>43</v>
      </c>
      <c r="B111" s="600"/>
      <c r="C111" s="67" t="s">
        <v>42</v>
      </c>
      <c r="D111" s="68">
        <f>'Proposed Rates'!F131</f>
        <v>-0.62</v>
      </c>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0.5" customHeight="1">
      <c r="A112" s="63" t="s">
        <v>62</v>
      </c>
      <c r="B112" s="64"/>
      <c r="C112" s="65" t="s">
        <v>69</v>
      </c>
      <c r="D112" s="69">
        <f>'Proposed Rates'!F23</f>
        <v>7.6543000000000001</v>
      </c>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0.5" customHeight="1">
      <c r="A113" s="63" t="s">
        <v>47</v>
      </c>
      <c r="B113" s="64"/>
      <c r="C113" s="65" t="s">
        <v>69</v>
      </c>
      <c r="D113" s="71">
        <f>'Proposed Rates'!F269</f>
        <v>2.332E-2</v>
      </c>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0.5" customHeight="1">
      <c r="A114" s="63" t="s">
        <v>49</v>
      </c>
      <c r="B114" s="64"/>
      <c r="C114" s="65" t="s">
        <v>69</v>
      </c>
      <c r="D114" s="69">
        <f>'Proposed Rates'!F39</f>
        <v>1.2999999999999999E-2</v>
      </c>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23.25" customHeight="1">
      <c r="A115" s="73" t="s">
        <v>50</v>
      </c>
      <c r="B115" s="64"/>
      <c r="C115" s="65" t="s">
        <v>48</v>
      </c>
      <c r="D115" s="69">
        <f>'Proposed Rates'!$F$105</f>
        <v>6.9999999999999999E-4</v>
      </c>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2" customHeight="1">
      <c r="A116" s="63" t="s">
        <v>45</v>
      </c>
      <c r="B116" s="64"/>
      <c r="C116" s="65" t="s">
        <v>69</v>
      </c>
      <c r="D116" s="72">
        <f>'Proposed Rates'!F66</f>
        <v>-0.26340000000000002</v>
      </c>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 customHeight="1">
      <c r="A117" s="599" t="s">
        <v>43</v>
      </c>
      <c r="B117" s="600"/>
      <c r="C117" s="67" t="s">
        <v>69</v>
      </c>
      <c r="D117" s="72">
        <f>'Proposed Rates'!F118</f>
        <v>0.45269999999999999</v>
      </c>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7.25" customHeight="1">
      <c r="A118" s="63" t="s">
        <v>51</v>
      </c>
      <c r="B118" s="64"/>
      <c r="C118" s="65" t="s">
        <v>48</v>
      </c>
      <c r="D118" s="69">
        <f>'Proposed Rates'!F148</f>
        <v>4.4999999999999997E-3</v>
      </c>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7.25" customHeight="1">
      <c r="A119" s="63" t="s">
        <v>70</v>
      </c>
      <c r="B119" s="64"/>
      <c r="C119" s="65" t="s">
        <v>48</v>
      </c>
      <c r="D119" s="72">
        <f>'Proposed Rates'!F161</f>
        <v>-0.37569999999999998</v>
      </c>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0.5" customHeight="1">
      <c r="A120" s="63" t="s">
        <v>52</v>
      </c>
      <c r="B120" s="64"/>
      <c r="C120" s="65" t="s">
        <v>69</v>
      </c>
      <c r="D120" s="69">
        <f>'Proposed Rates'!F188</f>
        <v>4.5787000000000004</v>
      </c>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0.5" customHeight="1">
      <c r="A121" s="63" t="s">
        <v>71</v>
      </c>
      <c r="B121" s="64"/>
      <c r="C121" s="65" t="s">
        <v>69</v>
      </c>
      <c r="D121" s="69">
        <f>'Proposed Rates'!F189</f>
        <v>0.77839999999999998</v>
      </c>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0.5" customHeight="1">
      <c r="A122" s="63" t="s">
        <v>53</v>
      </c>
      <c r="B122" s="64"/>
      <c r="C122" s="65" t="s">
        <v>69</v>
      </c>
      <c r="D122" s="69">
        <f>'Proposed Rates'!F203</f>
        <v>2.5918000000000001</v>
      </c>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0.5" customHeight="1">
      <c r="A123" s="63" t="s">
        <v>72</v>
      </c>
      <c r="B123" s="64"/>
      <c r="C123" s="65" t="s">
        <v>69</v>
      </c>
      <c r="D123" s="69">
        <f>'Proposed Rates'!F204</f>
        <v>0.44059999999999999</v>
      </c>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6.75" customHeight="1">
      <c r="A124" s="65"/>
      <c r="B124" s="65"/>
      <c r="C124" s="65"/>
      <c r="D124" s="7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 customHeight="1">
      <c r="A125" s="75" t="s">
        <v>54</v>
      </c>
      <c r="B125" s="64"/>
      <c r="C125" s="65"/>
      <c r="D125" s="7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6.75" customHeight="1">
      <c r="A126" s="60"/>
      <c r="B126" s="65"/>
      <c r="C126" s="65"/>
      <c r="D126" s="7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0.5" customHeight="1">
      <c r="A127" s="63" t="s">
        <v>55</v>
      </c>
      <c r="B127" s="64"/>
      <c r="C127" s="65" t="s">
        <v>48</v>
      </c>
      <c r="D127" s="69">
        <f>$D$37</f>
        <v>4.1000000000000003E-3</v>
      </c>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0.5" customHeight="1">
      <c r="A128" s="63" t="s">
        <v>56</v>
      </c>
      <c r="B128" s="64"/>
      <c r="C128" s="65" t="s">
        <v>48</v>
      </c>
      <c r="D128" s="69">
        <f>'Proposed Rates'!F218-'2026'!D127</f>
        <v>5.9999999999999984E-4</v>
      </c>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0.5" customHeight="1">
      <c r="A129" s="63" t="s">
        <v>57</v>
      </c>
      <c r="B129" s="64"/>
      <c r="C129" s="65" t="s">
        <v>48</v>
      </c>
      <c r="D129" s="69">
        <f>'Proposed Rates'!F231</f>
        <v>5.9999999999999995E-4</v>
      </c>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0.5" customHeight="1">
      <c r="A130" s="63" t="s">
        <v>58</v>
      </c>
      <c r="B130" s="64"/>
      <c r="C130" s="65" t="s">
        <v>42</v>
      </c>
      <c r="D130" s="70">
        <f>'Proposed Rates'!F245</f>
        <v>0.25</v>
      </c>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0.5" customHeight="1">
      <c r="A131" s="63"/>
      <c r="B131" s="64"/>
      <c r="C131" s="65"/>
      <c r="D131" s="70"/>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0.5" customHeight="1">
      <c r="A132" s="63" t="s">
        <v>73</v>
      </c>
      <c r="B132" s="64"/>
      <c r="C132" s="65"/>
      <c r="D132" s="70"/>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0.5" customHeight="1">
      <c r="A133" s="63" t="s">
        <v>74</v>
      </c>
      <c r="B133" s="64"/>
      <c r="C133" s="65"/>
      <c r="D133" s="70"/>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0.5" customHeight="1">
      <c r="A134" s="63" t="s">
        <v>75</v>
      </c>
      <c r="B134" s="64"/>
      <c r="C134" s="65"/>
      <c r="D134" s="70"/>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0.5" customHeight="1">
      <c r="A135" s="63"/>
      <c r="B135" s="64"/>
      <c r="C135" s="65"/>
      <c r="D135" s="70"/>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23.25" customHeight="1">
      <c r="A136" s="588" t="str">
        <f>$A$42</f>
        <v>Hydro Ottawa Limited</v>
      </c>
      <c r="B136" s="589"/>
      <c r="C136" s="589"/>
      <c r="D136" s="590"/>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18" customHeight="1">
      <c r="A137" s="591" t="str">
        <f>$A$43</f>
        <v>TARIFF OF RATES AND CHARGES</v>
      </c>
      <c r="B137" s="589"/>
      <c r="C137" s="589"/>
      <c r="D137" s="590"/>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15.75" customHeight="1">
      <c r="A138" s="592" t="s">
        <v>28</v>
      </c>
      <c r="B138" s="589"/>
      <c r="C138" s="589"/>
      <c r="D138" s="590"/>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5.75" customHeight="1">
      <c r="A139" s="592" t="s">
        <v>29</v>
      </c>
      <c r="B139" s="589"/>
      <c r="C139" s="589"/>
      <c r="D139" s="590"/>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11.25" customHeight="1">
      <c r="A140" s="593" t="str">
        <f>$A$46</f>
        <v>This schedule supersedes and replaces all previously</v>
      </c>
      <c r="B140" s="589"/>
      <c r="C140" s="589"/>
      <c r="D140" s="590"/>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11.25" customHeight="1">
      <c r="A141" s="593" t="str">
        <f>$A$47</f>
        <v>approved schedules of Rates, Charges and Loss Factors</v>
      </c>
      <c r="B141" s="589"/>
      <c r="C141" s="589"/>
      <c r="D141" s="590"/>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11.25" customHeight="1">
      <c r="A142" s="594" t="str">
        <f>$A$48</f>
        <v>EB-2024-0115</v>
      </c>
      <c r="B142" s="589"/>
      <c r="C142" s="589"/>
      <c r="D142" s="590"/>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18.75" customHeight="1">
      <c r="A143" s="595" t="s">
        <v>76</v>
      </c>
      <c r="B143" s="589"/>
      <c r="C143" s="589"/>
      <c r="D143" s="590"/>
      <c r="E143" s="76"/>
      <c r="F143" s="76"/>
      <c r="G143" s="76"/>
      <c r="H143" s="76"/>
      <c r="I143" s="76"/>
      <c r="J143" s="76"/>
      <c r="K143" s="76"/>
      <c r="L143" s="76"/>
      <c r="M143" s="76"/>
      <c r="N143" s="76"/>
      <c r="O143" s="76"/>
      <c r="P143" s="76"/>
      <c r="Q143" s="76"/>
      <c r="R143" s="76"/>
      <c r="S143" s="76"/>
      <c r="T143" s="76"/>
      <c r="U143" s="76"/>
      <c r="V143" s="76"/>
      <c r="W143" s="76"/>
      <c r="X143" s="76"/>
      <c r="Y143" s="76"/>
      <c r="Z143" s="76"/>
    </row>
    <row r="144" spans="1:26" ht="48" customHeight="1">
      <c r="A144" s="596" t="s">
        <v>77</v>
      </c>
      <c r="B144" s="589"/>
      <c r="C144" s="589"/>
      <c r="D144" s="590"/>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6.75" customHeight="1">
      <c r="A145" s="55"/>
      <c r="B145" s="55"/>
      <c r="C145" s="55"/>
      <c r="D145" s="56"/>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11.25" customHeight="1">
      <c r="A146" s="597" t="s">
        <v>35</v>
      </c>
      <c r="B146" s="589"/>
      <c r="C146" s="589"/>
      <c r="D146" s="590"/>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6.75" customHeight="1">
      <c r="A147" s="57"/>
      <c r="B147" s="58"/>
      <c r="C147" s="58"/>
      <c r="D147" s="59"/>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36" customHeight="1">
      <c r="A148" s="596" t="s">
        <v>36</v>
      </c>
      <c r="B148" s="589"/>
      <c r="C148" s="589"/>
      <c r="D148" s="590"/>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6.75" customHeight="1">
      <c r="A149" s="55"/>
      <c r="B149" s="55"/>
      <c r="C149" s="55"/>
      <c r="D149" s="56"/>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48" customHeight="1">
      <c r="A150" s="596" t="s">
        <v>78</v>
      </c>
      <c r="B150" s="589"/>
      <c r="C150" s="589"/>
      <c r="D150" s="590"/>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6.75" customHeight="1">
      <c r="A151" s="55"/>
      <c r="B151" s="55"/>
      <c r="C151" s="55"/>
      <c r="D151" s="56"/>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48" customHeight="1">
      <c r="A152" s="596" t="s">
        <v>38</v>
      </c>
      <c r="B152" s="589"/>
      <c r="C152" s="589"/>
      <c r="D152" s="590"/>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6.75" customHeight="1">
      <c r="A153" s="55"/>
      <c r="B153" s="55"/>
      <c r="C153" s="55"/>
      <c r="D153" s="56"/>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96" customHeight="1">
      <c r="A154" s="596" t="s">
        <v>66</v>
      </c>
      <c r="B154" s="589"/>
      <c r="C154" s="589"/>
      <c r="D154" s="590"/>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96" customHeight="1">
      <c r="A155" s="596" t="s">
        <v>67</v>
      </c>
      <c r="B155" s="589"/>
      <c r="C155" s="589"/>
      <c r="D155" s="590"/>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36" customHeight="1">
      <c r="A156" s="596" t="s">
        <v>39</v>
      </c>
      <c r="B156" s="589"/>
      <c r="C156" s="589"/>
      <c r="D156" s="590"/>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24" customHeight="1">
      <c r="A157" s="601" t="s">
        <v>68</v>
      </c>
      <c r="B157" s="589"/>
      <c r="C157" s="589"/>
      <c r="D157" s="590"/>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6.75" customHeight="1">
      <c r="A158" s="78"/>
      <c r="B158" s="78"/>
      <c r="C158" s="78"/>
      <c r="D158" s="79"/>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 customHeight="1">
      <c r="A159" s="75" t="s">
        <v>40</v>
      </c>
      <c r="B159" s="64"/>
      <c r="C159" s="64"/>
      <c r="D159" s="77"/>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6.75" customHeight="1">
      <c r="A160" s="60"/>
      <c r="B160" s="61"/>
      <c r="C160" s="61"/>
      <c r="D160" s="62"/>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1.25" customHeight="1">
      <c r="A161" s="63" t="s">
        <v>41</v>
      </c>
      <c r="B161" s="64"/>
      <c r="C161" s="65" t="s">
        <v>42</v>
      </c>
      <c r="D161" s="66">
        <f>'Proposed Rates'!F11</f>
        <v>4126.75</v>
      </c>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1.25" customHeight="1">
      <c r="A162" s="599" t="s">
        <v>43</v>
      </c>
      <c r="B162" s="600"/>
      <c r="C162" s="67" t="s">
        <v>42</v>
      </c>
      <c r="D162" s="68">
        <f>'Proposed Rates'!F132</f>
        <v>-12</v>
      </c>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1.25" customHeight="1">
      <c r="A163" s="63" t="s">
        <v>62</v>
      </c>
      <c r="B163" s="64"/>
      <c r="C163" s="65" t="s">
        <v>69</v>
      </c>
      <c r="D163" s="69">
        <f>'Proposed Rates'!F24</f>
        <v>7.2919999999999998</v>
      </c>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1.25" customHeight="1">
      <c r="A164" s="63" t="s">
        <v>47</v>
      </c>
      <c r="B164" s="64"/>
      <c r="C164" s="65" t="s">
        <v>69</v>
      </c>
      <c r="D164" s="71">
        <f>'Proposed Rates'!F270</f>
        <v>2.3130000000000001E-2</v>
      </c>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1.25" customHeight="1">
      <c r="A165" s="63" t="s">
        <v>49</v>
      </c>
      <c r="B165" s="64"/>
      <c r="C165" s="65" t="s">
        <v>69</v>
      </c>
      <c r="D165" s="72">
        <f>'Proposed Rates'!F40</f>
        <v>-0.373</v>
      </c>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25.5" customHeight="1">
      <c r="A166" s="73" t="s">
        <v>50</v>
      </c>
      <c r="B166" s="64"/>
      <c r="C166" s="65" t="s">
        <v>48</v>
      </c>
      <c r="D166" s="69">
        <f>'Proposed Rates'!$F$106</f>
        <v>6.9999999999999999E-4</v>
      </c>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1.25" customHeight="1">
      <c r="A167" s="63" t="s">
        <v>45</v>
      </c>
      <c r="B167" s="64"/>
      <c r="C167" s="65" t="s">
        <v>69</v>
      </c>
      <c r="D167" s="72">
        <f>'Proposed Rates'!F67</f>
        <v>-0.28470000000000001</v>
      </c>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24" customHeight="1">
      <c r="A168" s="73" t="s">
        <v>63</v>
      </c>
      <c r="B168" s="64"/>
      <c r="C168" s="65" t="s">
        <v>69</v>
      </c>
      <c r="D168" s="72">
        <f>'Proposed Rates'!F93</f>
        <v>-0.63370000000000004</v>
      </c>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1.25" customHeight="1">
      <c r="A169" s="599" t="s">
        <v>43</v>
      </c>
      <c r="B169" s="600"/>
      <c r="C169" s="67" t="s">
        <v>69</v>
      </c>
      <c r="D169" s="72">
        <f>'Proposed Rates'!F119</f>
        <v>0.48420000000000002</v>
      </c>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1.25" customHeight="1">
      <c r="A170" s="63" t="s">
        <v>51</v>
      </c>
      <c r="B170" s="64"/>
      <c r="C170" s="65" t="s">
        <v>48</v>
      </c>
      <c r="D170" s="69">
        <f>'Proposed Rates'!F148</f>
        <v>4.4999999999999997E-3</v>
      </c>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1.25" customHeight="1">
      <c r="A171" s="63" t="s">
        <v>52</v>
      </c>
      <c r="B171" s="64"/>
      <c r="C171" s="65" t="s">
        <v>69</v>
      </c>
      <c r="D171" s="69">
        <f>'Proposed Rates'!F190</f>
        <v>4.5423999999999998</v>
      </c>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1.25" customHeight="1">
      <c r="A172" s="63" t="s">
        <v>71</v>
      </c>
      <c r="B172" s="64"/>
      <c r="C172" s="65" t="s">
        <v>69</v>
      </c>
      <c r="D172" s="69">
        <f>'Proposed Rates'!F191</f>
        <v>0.7722</v>
      </c>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1.25" customHeight="1">
      <c r="A173" s="63" t="s">
        <v>53</v>
      </c>
      <c r="B173" s="64"/>
      <c r="C173" s="65" t="s">
        <v>69</v>
      </c>
      <c r="D173" s="69">
        <f>'Proposed Rates'!F205</f>
        <v>2.5712000000000002</v>
      </c>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1.25" customHeight="1">
      <c r="A174" s="63" t="s">
        <v>72</v>
      </c>
      <c r="B174" s="64"/>
      <c r="C174" s="65" t="s">
        <v>69</v>
      </c>
      <c r="D174" s="69">
        <f>'Proposed Rates'!F206</f>
        <v>0.43709999999999999</v>
      </c>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6.75" customHeight="1">
      <c r="A175" s="65"/>
      <c r="B175" s="65"/>
      <c r="C175" s="65"/>
      <c r="D175" s="74"/>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 customHeight="1">
      <c r="A176" s="75" t="s">
        <v>54</v>
      </c>
      <c r="B176" s="64"/>
      <c r="C176" s="65"/>
      <c r="D176" s="74"/>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6.75" customHeight="1">
      <c r="A177" s="60"/>
      <c r="B177" s="65"/>
      <c r="C177" s="65"/>
      <c r="D177" s="74"/>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1.25" customHeight="1">
      <c r="A178" s="63" t="s">
        <v>55</v>
      </c>
      <c r="B178" s="64"/>
      <c r="C178" s="65" t="s">
        <v>48</v>
      </c>
      <c r="D178" s="69">
        <f>$D$37</f>
        <v>4.1000000000000003E-3</v>
      </c>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1.25" customHeight="1">
      <c r="A179" s="63" t="s">
        <v>56</v>
      </c>
      <c r="B179" s="64"/>
      <c r="C179" s="65" t="s">
        <v>48</v>
      </c>
      <c r="D179" s="69">
        <f>'Proposed Rates'!F219-'2026'!D178</f>
        <v>5.9999999999999984E-4</v>
      </c>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1.25" customHeight="1">
      <c r="A180" s="63" t="s">
        <v>57</v>
      </c>
      <c r="B180" s="64"/>
      <c r="C180" s="65" t="s">
        <v>48</v>
      </c>
      <c r="D180" s="69">
        <f>'Proposed Rates'!F232</f>
        <v>5.9999999999999995E-4</v>
      </c>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1.25" customHeight="1">
      <c r="A181" s="63" t="s">
        <v>58</v>
      </c>
      <c r="B181" s="64"/>
      <c r="C181" s="65" t="s">
        <v>42</v>
      </c>
      <c r="D181" s="70">
        <f>'Proposed Rates'!F246</f>
        <v>0.25</v>
      </c>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1.25" customHeight="1">
      <c r="A182" s="80"/>
      <c r="B182" s="64"/>
      <c r="C182" s="81"/>
      <c r="D182" s="70"/>
      <c r="E182" s="82"/>
      <c r="F182" s="82"/>
      <c r="G182" s="82"/>
      <c r="H182" s="82"/>
      <c r="I182" s="82"/>
      <c r="J182" s="82"/>
      <c r="K182" s="82"/>
      <c r="L182" s="82"/>
      <c r="M182" s="82"/>
      <c r="N182" s="82"/>
      <c r="O182" s="82"/>
      <c r="P182" s="82"/>
      <c r="Q182" s="82"/>
      <c r="R182" s="82"/>
      <c r="S182" s="82"/>
      <c r="T182" s="82"/>
      <c r="U182" s="82"/>
      <c r="V182" s="82"/>
      <c r="W182" s="82"/>
      <c r="X182" s="82"/>
      <c r="Y182" s="82"/>
      <c r="Z182" s="82"/>
    </row>
    <row r="183" spans="1:26" ht="11.25" customHeight="1">
      <c r="A183" s="63" t="s">
        <v>79</v>
      </c>
      <c r="B183" s="64"/>
      <c r="C183" s="81"/>
      <c r="D183" s="70"/>
      <c r="E183" s="82"/>
      <c r="F183" s="82"/>
      <c r="G183" s="82"/>
      <c r="H183" s="82"/>
      <c r="I183" s="82"/>
      <c r="J183" s="82"/>
      <c r="K183" s="82"/>
      <c r="L183" s="82"/>
      <c r="M183" s="82"/>
      <c r="N183" s="82"/>
      <c r="O183" s="82"/>
      <c r="P183" s="82"/>
      <c r="Q183" s="82"/>
      <c r="R183" s="82"/>
      <c r="S183" s="82"/>
      <c r="T183" s="82"/>
      <c r="U183" s="82"/>
      <c r="V183" s="82"/>
      <c r="W183" s="82"/>
      <c r="X183" s="82"/>
      <c r="Y183" s="82"/>
      <c r="Z183" s="82"/>
    </row>
    <row r="184" spans="1:26" ht="11.25" customHeight="1">
      <c r="A184" s="63" t="s">
        <v>74</v>
      </c>
      <c r="B184" s="64"/>
      <c r="C184" s="81"/>
      <c r="D184" s="70"/>
      <c r="E184" s="82"/>
      <c r="F184" s="82"/>
      <c r="G184" s="82"/>
      <c r="H184" s="82"/>
      <c r="I184" s="82"/>
      <c r="J184" s="82"/>
      <c r="K184" s="82"/>
      <c r="L184" s="82"/>
      <c r="M184" s="82"/>
      <c r="N184" s="82"/>
      <c r="O184" s="82"/>
      <c r="P184" s="82"/>
      <c r="Q184" s="82"/>
      <c r="R184" s="82"/>
      <c r="S184" s="82"/>
      <c r="T184" s="82"/>
      <c r="U184" s="82"/>
      <c r="V184" s="82"/>
      <c r="W184" s="82"/>
      <c r="X184" s="82"/>
      <c r="Y184" s="82"/>
      <c r="Z184" s="82"/>
    </row>
    <row r="185" spans="1:26" ht="11.25" customHeight="1">
      <c r="A185" s="63" t="s">
        <v>75</v>
      </c>
      <c r="B185" s="64"/>
      <c r="C185" s="81"/>
      <c r="D185" s="70"/>
      <c r="E185" s="82"/>
      <c r="F185" s="82"/>
      <c r="G185" s="82"/>
      <c r="H185" s="82"/>
      <c r="I185" s="82"/>
      <c r="J185" s="82"/>
      <c r="K185" s="82"/>
      <c r="L185" s="82"/>
      <c r="M185" s="82"/>
      <c r="N185" s="82"/>
      <c r="O185" s="82"/>
      <c r="P185" s="82"/>
      <c r="Q185" s="82"/>
      <c r="R185" s="82"/>
      <c r="S185" s="82"/>
      <c r="T185" s="82"/>
      <c r="U185" s="82"/>
      <c r="V185" s="82"/>
      <c r="W185" s="82"/>
      <c r="X185" s="82"/>
      <c r="Y185" s="82"/>
      <c r="Z185" s="82"/>
    </row>
    <row r="186" spans="1:26" ht="11.25" customHeight="1">
      <c r="A186" s="80"/>
      <c r="B186" s="64"/>
      <c r="C186" s="81"/>
      <c r="D186" s="70"/>
      <c r="E186" s="82"/>
      <c r="F186" s="82"/>
      <c r="G186" s="82"/>
      <c r="H186" s="82"/>
      <c r="I186" s="82"/>
      <c r="J186" s="82"/>
      <c r="K186" s="82"/>
      <c r="L186" s="82"/>
      <c r="M186" s="82"/>
      <c r="N186" s="82"/>
      <c r="O186" s="82"/>
      <c r="P186" s="82"/>
      <c r="Q186" s="82"/>
      <c r="R186" s="82"/>
      <c r="S186" s="82"/>
      <c r="T186" s="82"/>
      <c r="U186" s="82"/>
      <c r="V186" s="82"/>
      <c r="W186" s="82"/>
      <c r="X186" s="82"/>
      <c r="Y186" s="82"/>
      <c r="Z186" s="82"/>
    </row>
    <row r="187" spans="1:26" ht="23.25" customHeight="1">
      <c r="A187" s="588" t="str">
        <f>$A$42</f>
        <v>Hydro Ottawa Limited</v>
      </c>
      <c r="B187" s="589"/>
      <c r="C187" s="589"/>
      <c r="D187" s="590"/>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8" customHeight="1">
      <c r="A188" s="591" t="str">
        <f>$A$43</f>
        <v>TARIFF OF RATES AND CHARGES</v>
      </c>
      <c r="B188" s="589"/>
      <c r="C188" s="589"/>
      <c r="D188" s="590"/>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15.75" customHeight="1">
      <c r="A189" s="592" t="s">
        <v>28</v>
      </c>
      <c r="B189" s="589"/>
      <c r="C189" s="589"/>
      <c r="D189" s="590"/>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15.75" customHeight="1">
      <c r="A190" s="592" t="s">
        <v>29</v>
      </c>
      <c r="B190" s="589"/>
      <c r="C190" s="589"/>
      <c r="D190" s="590"/>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11.25" customHeight="1">
      <c r="A191" s="593" t="str">
        <f>$A$46</f>
        <v>This schedule supersedes and replaces all previously</v>
      </c>
      <c r="B191" s="589"/>
      <c r="C191" s="589"/>
      <c r="D191" s="590"/>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11.25" customHeight="1">
      <c r="A192" s="593" t="str">
        <f>$A$47</f>
        <v>approved schedules of Rates, Charges and Loss Factors</v>
      </c>
      <c r="B192" s="589"/>
      <c r="C192" s="589"/>
      <c r="D192" s="590"/>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11.25" customHeight="1">
      <c r="A193" s="594" t="str">
        <f>$A$48</f>
        <v>EB-2024-0115</v>
      </c>
      <c r="B193" s="589"/>
      <c r="C193" s="589"/>
      <c r="D193" s="590"/>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18.75" customHeight="1">
      <c r="A194" s="595" t="s">
        <v>80</v>
      </c>
      <c r="B194" s="589"/>
      <c r="C194" s="589"/>
      <c r="D194" s="590"/>
      <c r="E194" s="76"/>
      <c r="F194" s="76"/>
      <c r="G194" s="76"/>
      <c r="H194" s="76"/>
      <c r="I194" s="76"/>
      <c r="J194" s="76"/>
      <c r="K194" s="76"/>
      <c r="L194" s="76"/>
      <c r="M194" s="76"/>
      <c r="N194" s="76"/>
      <c r="O194" s="76"/>
      <c r="P194" s="76"/>
      <c r="Q194" s="76"/>
      <c r="R194" s="76"/>
      <c r="S194" s="76"/>
      <c r="T194" s="76"/>
      <c r="U194" s="76"/>
      <c r="V194" s="76"/>
      <c r="W194" s="76"/>
      <c r="X194" s="76"/>
      <c r="Y194" s="76"/>
      <c r="Z194" s="76"/>
    </row>
    <row r="195" spans="1:26" ht="48" customHeight="1">
      <c r="A195" s="596" t="s">
        <v>81</v>
      </c>
      <c r="B195" s="589"/>
      <c r="C195" s="589"/>
      <c r="D195" s="590"/>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6.75" customHeight="1">
      <c r="A196" s="55"/>
      <c r="B196" s="55"/>
      <c r="C196" s="55"/>
      <c r="D196" s="56"/>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11.25" customHeight="1">
      <c r="A197" s="597" t="s">
        <v>35</v>
      </c>
      <c r="B197" s="589"/>
      <c r="C197" s="589"/>
      <c r="D197" s="590"/>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6.75" customHeight="1">
      <c r="A198" s="57"/>
      <c r="B198" s="58"/>
      <c r="C198" s="58"/>
      <c r="D198" s="59"/>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36" customHeight="1">
      <c r="A199" s="596" t="s">
        <v>36</v>
      </c>
      <c r="B199" s="589"/>
      <c r="C199" s="589"/>
      <c r="D199" s="590"/>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6.75" customHeight="1">
      <c r="A200" s="55"/>
      <c r="B200" s="55"/>
      <c r="C200" s="55"/>
      <c r="D200" s="56"/>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48" customHeight="1">
      <c r="A201" s="596" t="s">
        <v>82</v>
      </c>
      <c r="B201" s="589"/>
      <c r="C201" s="589"/>
      <c r="D201" s="590"/>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6.75" customHeight="1">
      <c r="A202" s="55"/>
      <c r="B202" s="55"/>
      <c r="C202" s="55"/>
      <c r="D202" s="56"/>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48" customHeight="1">
      <c r="A203" s="596" t="s">
        <v>38</v>
      </c>
      <c r="B203" s="589"/>
      <c r="C203" s="589"/>
      <c r="D203" s="590"/>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6.75" customHeight="1">
      <c r="A204" s="55"/>
      <c r="B204" s="55"/>
      <c r="C204" s="55"/>
      <c r="D204" s="56"/>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96" customHeight="1">
      <c r="A205" s="596" t="s">
        <v>66</v>
      </c>
      <c r="B205" s="589"/>
      <c r="C205" s="589"/>
      <c r="D205" s="590"/>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96" customHeight="1">
      <c r="A206" s="596" t="s">
        <v>67</v>
      </c>
      <c r="B206" s="589"/>
      <c r="C206" s="589"/>
      <c r="D206" s="590"/>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36" customHeight="1">
      <c r="A207" s="596" t="s">
        <v>39</v>
      </c>
      <c r="B207" s="589"/>
      <c r="C207" s="589"/>
      <c r="D207" s="590"/>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24" customHeight="1">
      <c r="A208" s="601" t="s">
        <v>68</v>
      </c>
      <c r="B208" s="589"/>
      <c r="C208" s="589"/>
      <c r="D208" s="590"/>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6.75" customHeight="1">
      <c r="A209" s="78"/>
      <c r="B209" s="78"/>
      <c r="C209" s="78"/>
      <c r="D209" s="79"/>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 customHeight="1">
      <c r="A210" s="75" t="s">
        <v>40</v>
      </c>
      <c r="B210" s="64"/>
      <c r="C210" s="64"/>
      <c r="D210" s="77"/>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6.75" customHeight="1">
      <c r="A211" s="60"/>
      <c r="B211" s="61"/>
      <c r="C211" s="61"/>
      <c r="D211" s="62"/>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0.5" customHeight="1">
      <c r="A212" s="63" t="s">
        <v>41</v>
      </c>
      <c r="B212" s="64"/>
      <c r="C212" s="65" t="s">
        <v>42</v>
      </c>
      <c r="D212" s="66">
        <f>'Proposed Rates'!F12</f>
        <v>14946.93</v>
      </c>
      <c r="E212" s="66"/>
      <c r="F212" s="54"/>
      <c r="G212" s="54"/>
      <c r="H212" s="54"/>
      <c r="I212" s="54"/>
      <c r="J212" s="54"/>
      <c r="K212" s="54"/>
      <c r="L212" s="54"/>
      <c r="M212" s="54"/>
      <c r="N212" s="54"/>
      <c r="O212" s="54"/>
      <c r="P212" s="54"/>
      <c r="Q212" s="54"/>
      <c r="R212" s="54"/>
      <c r="S212" s="54"/>
      <c r="T212" s="54"/>
      <c r="U212" s="54"/>
      <c r="V212" s="54"/>
      <c r="W212" s="54"/>
      <c r="X212" s="54"/>
      <c r="Y212" s="54"/>
      <c r="Z212" s="54"/>
    </row>
    <row r="213" spans="1:26" ht="10.5" customHeight="1">
      <c r="A213" s="599" t="s">
        <v>43</v>
      </c>
      <c r="B213" s="600"/>
      <c r="C213" s="67" t="s">
        <v>42</v>
      </c>
      <c r="D213" s="68">
        <f>'Proposed Rates'!F133</f>
        <v>-44.07</v>
      </c>
      <c r="E213" s="68"/>
      <c r="F213" s="54"/>
      <c r="G213" s="54"/>
      <c r="H213" s="54"/>
      <c r="I213" s="54"/>
      <c r="J213" s="54"/>
      <c r="K213" s="54"/>
      <c r="L213" s="54"/>
      <c r="M213" s="54"/>
      <c r="N213" s="54"/>
      <c r="O213" s="54"/>
      <c r="P213" s="54"/>
      <c r="Q213" s="54"/>
      <c r="R213" s="54"/>
      <c r="S213" s="54"/>
      <c r="T213" s="54"/>
      <c r="U213" s="54"/>
      <c r="V213" s="54"/>
      <c r="W213" s="54"/>
      <c r="X213" s="54"/>
      <c r="Y213" s="54"/>
      <c r="Z213" s="54"/>
    </row>
    <row r="214" spans="1:26" ht="10.5" customHeight="1">
      <c r="A214" s="63" t="s">
        <v>62</v>
      </c>
      <c r="B214" s="64"/>
      <c r="C214" s="65" t="s">
        <v>69</v>
      </c>
      <c r="D214" s="69">
        <f>'Proposed Rates'!F25</f>
        <v>7.9119000000000002</v>
      </c>
      <c r="E214" s="69"/>
      <c r="F214" s="54"/>
      <c r="G214" s="54"/>
      <c r="H214" s="54"/>
      <c r="I214" s="54"/>
      <c r="J214" s="54"/>
      <c r="K214" s="54"/>
      <c r="L214" s="54"/>
      <c r="M214" s="54"/>
      <c r="N214" s="54"/>
      <c r="O214" s="54"/>
      <c r="P214" s="54"/>
      <c r="Q214" s="54"/>
      <c r="R214" s="54"/>
      <c r="S214" s="54"/>
      <c r="T214" s="54"/>
      <c r="U214" s="54"/>
      <c r="V214" s="54"/>
      <c r="W214" s="54"/>
      <c r="X214" s="54"/>
      <c r="Y214" s="54"/>
      <c r="Z214" s="54"/>
    </row>
    <row r="215" spans="1:26" ht="10.5" customHeight="1">
      <c r="A215" s="63" t="s">
        <v>47</v>
      </c>
      <c r="B215" s="64"/>
      <c r="C215" s="65" t="s">
        <v>69</v>
      </c>
      <c r="D215" s="71">
        <f>'Proposed Rates'!F271</f>
        <v>2.716E-2</v>
      </c>
      <c r="E215" s="71"/>
      <c r="F215" s="54"/>
      <c r="G215" s="54"/>
      <c r="H215" s="54"/>
      <c r="I215" s="54"/>
      <c r="J215" s="54"/>
      <c r="K215" s="54"/>
      <c r="L215" s="54"/>
      <c r="M215" s="54"/>
      <c r="N215" s="54"/>
      <c r="O215" s="54"/>
      <c r="P215" s="54"/>
      <c r="Q215" s="54"/>
      <c r="R215" s="54"/>
      <c r="S215" s="54"/>
      <c r="T215" s="54"/>
      <c r="U215" s="54"/>
      <c r="V215" s="54"/>
      <c r="W215" s="54"/>
      <c r="X215" s="54"/>
      <c r="Y215" s="54"/>
      <c r="Z215" s="54"/>
    </row>
    <row r="216" spans="1:26" ht="10.5" customHeight="1">
      <c r="A216" s="63" t="s">
        <v>49</v>
      </c>
      <c r="B216" s="64"/>
      <c r="C216" s="65" t="s">
        <v>69</v>
      </c>
      <c r="D216" s="72">
        <f>'Proposed Rates'!F41</f>
        <v>-0.4773</v>
      </c>
      <c r="E216" s="69"/>
      <c r="F216" s="54"/>
      <c r="G216" s="54"/>
      <c r="H216" s="54"/>
      <c r="I216" s="54"/>
      <c r="J216" s="54"/>
      <c r="K216" s="54"/>
      <c r="L216" s="54"/>
      <c r="M216" s="54"/>
      <c r="N216" s="54"/>
      <c r="O216" s="54"/>
      <c r="P216" s="54"/>
      <c r="Q216" s="54"/>
      <c r="R216" s="54"/>
      <c r="S216" s="54"/>
      <c r="T216" s="54"/>
      <c r="U216" s="54"/>
      <c r="V216" s="54"/>
      <c r="W216" s="54"/>
      <c r="X216" s="54"/>
      <c r="Y216" s="54"/>
      <c r="Z216" s="54"/>
    </row>
    <row r="217" spans="1:26" ht="26.25" customHeight="1">
      <c r="A217" s="73" t="s">
        <v>50</v>
      </c>
      <c r="B217" s="64"/>
      <c r="C217" s="65" t="s">
        <v>48</v>
      </c>
      <c r="D217" s="69">
        <f>'Proposed Rates'!$F$107</f>
        <v>8.9999999999999998E-4</v>
      </c>
      <c r="E217" s="69"/>
      <c r="F217" s="54"/>
      <c r="G217" s="54"/>
      <c r="H217" s="54"/>
      <c r="I217" s="54"/>
      <c r="J217" s="54"/>
      <c r="K217" s="54"/>
      <c r="L217" s="54"/>
      <c r="M217" s="54"/>
      <c r="N217" s="54"/>
      <c r="O217" s="54"/>
      <c r="P217" s="54"/>
      <c r="Q217" s="54"/>
      <c r="R217" s="54"/>
      <c r="S217" s="54"/>
      <c r="T217" s="54"/>
      <c r="U217" s="54"/>
      <c r="V217" s="54"/>
      <c r="W217" s="54"/>
      <c r="X217" s="54"/>
      <c r="Y217" s="54"/>
      <c r="Z217" s="54"/>
    </row>
    <row r="218" spans="1:26" ht="10.5" customHeight="1">
      <c r="A218" s="63" t="s">
        <v>45</v>
      </c>
      <c r="B218" s="64"/>
      <c r="C218" s="65" t="s">
        <v>69</v>
      </c>
      <c r="D218" s="72">
        <f>'Proposed Rates'!F68</f>
        <v>-0.30330000000000001</v>
      </c>
      <c r="E218" s="69"/>
      <c r="F218" s="54"/>
      <c r="G218" s="54"/>
      <c r="H218" s="54"/>
      <c r="I218" s="54"/>
      <c r="J218" s="54"/>
      <c r="K218" s="54"/>
      <c r="L218" s="54"/>
      <c r="M218" s="54"/>
      <c r="N218" s="54"/>
      <c r="O218" s="54"/>
      <c r="P218" s="54"/>
      <c r="Q218" s="54"/>
      <c r="R218" s="54"/>
      <c r="S218" s="54"/>
      <c r="T218" s="54"/>
      <c r="U218" s="54"/>
      <c r="V218" s="54"/>
      <c r="W218" s="54"/>
      <c r="X218" s="54"/>
      <c r="Y218" s="54"/>
      <c r="Z218" s="54"/>
    </row>
    <row r="219" spans="1:26" ht="28.5" customHeight="1">
      <c r="A219" s="73" t="s">
        <v>44</v>
      </c>
      <c r="B219" s="64"/>
      <c r="C219" s="65" t="s">
        <v>69</v>
      </c>
      <c r="D219" s="72">
        <f>'Proposed Rates'!F94</f>
        <v>-0.88629999999999998</v>
      </c>
      <c r="E219" s="69"/>
      <c r="F219" s="54"/>
      <c r="G219" s="54"/>
      <c r="H219" s="54"/>
      <c r="I219" s="54"/>
      <c r="J219" s="54"/>
      <c r="K219" s="54"/>
      <c r="L219" s="54"/>
      <c r="M219" s="54"/>
      <c r="N219" s="54"/>
      <c r="O219" s="54"/>
      <c r="P219" s="54"/>
      <c r="Q219" s="54"/>
      <c r="R219" s="54"/>
      <c r="S219" s="54"/>
      <c r="T219" s="54"/>
      <c r="U219" s="54"/>
      <c r="V219" s="54"/>
      <c r="W219" s="54"/>
      <c r="X219" s="54"/>
      <c r="Y219" s="54"/>
      <c r="Z219" s="54"/>
    </row>
    <row r="220" spans="1:26" ht="11.25" customHeight="1">
      <c r="A220" s="599" t="s">
        <v>43</v>
      </c>
      <c r="B220" s="600"/>
      <c r="C220" s="67" t="s">
        <v>69</v>
      </c>
      <c r="D220" s="72">
        <f>'Proposed Rates'!F120</f>
        <v>0.76329999999999998</v>
      </c>
      <c r="E220" s="72"/>
      <c r="F220" s="54"/>
      <c r="G220" s="54"/>
      <c r="H220" s="54"/>
      <c r="I220" s="54"/>
      <c r="J220" s="54"/>
      <c r="K220" s="54"/>
      <c r="L220" s="54"/>
      <c r="M220" s="54"/>
      <c r="N220" s="54"/>
      <c r="O220" s="54"/>
      <c r="P220" s="54"/>
      <c r="Q220" s="54"/>
      <c r="R220" s="54"/>
      <c r="S220" s="54"/>
      <c r="T220" s="54"/>
      <c r="U220" s="54"/>
      <c r="V220" s="54"/>
      <c r="W220" s="54"/>
      <c r="X220" s="54"/>
      <c r="Y220" s="54"/>
      <c r="Z220" s="54"/>
    </row>
    <row r="221" spans="1:26" ht="10.5" customHeight="1">
      <c r="A221" s="63" t="s">
        <v>51</v>
      </c>
      <c r="B221" s="64"/>
      <c r="C221" s="65" t="s">
        <v>48</v>
      </c>
      <c r="D221" s="69">
        <f>'Proposed Rates'!F149</f>
        <v>4.3E-3</v>
      </c>
      <c r="E221" s="69"/>
      <c r="F221" s="54"/>
      <c r="G221" s="54"/>
      <c r="H221" s="54"/>
      <c r="I221" s="54"/>
      <c r="J221" s="54"/>
      <c r="K221" s="54"/>
      <c r="L221" s="54"/>
      <c r="M221" s="54"/>
      <c r="N221" s="54"/>
      <c r="O221" s="54"/>
      <c r="P221" s="54"/>
      <c r="Q221" s="54"/>
      <c r="R221" s="54"/>
      <c r="S221" s="54"/>
      <c r="T221" s="54"/>
      <c r="U221" s="54"/>
      <c r="V221" s="54"/>
      <c r="W221" s="54"/>
      <c r="X221" s="54"/>
      <c r="Y221" s="54"/>
      <c r="Z221" s="54"/>
    </row>
    <row r="222" spans="1:26" ht="10.5" customHeight="1">
      <c r="A222" s="63" t="s">
        <v>52</v>
      </c>
      <c r="B222" s="64"/>
      <c r="C222" s="65" t="s">
        <v>69</v>
      </c>
      <c r="D222" s="69">
        <f>'Proposed Rates'!F192</f>
        <v>5.3339999999999996</v>
      </c>
      <c r="E222" s="69"/>
      <c r="F222" s="54"/>
      <c r="G222" s="54"/>
      <c r="H222" s="54"/>
      <c r="I222" s="54"/>
      <c r="J222" s="54"/>
      <c r="K222" s="54"/>
      <c r="L222" s="54"/>
      <c r="M222" s="54"/>
      <c r="N222" s="54"/>
      <c r="O222" s="54"/>
      <c r="P222" s="54"/>
      <c r="Q222" s="54"/>
      <c r="R222" s="54"/>
      <c r="S222" s="54"/>
      <c r="T222" s="54"/>
      <c r="U222" s="54"/>
      <c r="V222" s="54"/>
      <c r="W222" s="54"/>
      <c r="X222" s="54"/>
      <c r="Y222" s="54"/>
      <c r="Z222" s="54"/>
    </row>
    <row r="223" spans="1:26" ht="10.5" customHeight="1">
      <c r="A223" s="63" t="s">
        <v>53</v>
      </c>
      <c r="B223" s="64"/>
      <c r="C223" s="65" t="s">
        <v>69</v>
      </c>
      <c r="D223" s="69">
        <f>'Proposed Rates'!F207</f>
        <v>3.0192999999999999</v>
      </c>
      <c r="E223" s="69"/>
      <c r="F223" s="54"/>
      <c r="G223" s="54"/>
      <c r="H223" s="54"/>
      <c r="I223" s="54"/>
      <c r="J223" s="54"/>
      <c r="K223" s="54"/>
      <c r="L223" s="54"/>
      <c r="M223" s="54"/>
      <c r="N223" s="54"/>
      <c r="O223" s="54"/>
      <c r="P223" s="54"/>
      <c r="Q223" s="54"/>
      <c r="R223" s="54"/>
      <c r="S223" s="54"/>
      <c r="T223" s="54"/>
      <c r="U223" s="54"/>
      <c r="V223" s="54"/>
      <c r="W223" s="54"/>
      <c r="X223" s="54"/>
      <c r="Y223" s="54"/>
      <c r="Z223" s="54"/>
    </row>
    <row r="224" spans="1:26" ht="6.75" customHeight="1">
      <c r="A224" s="65"/>
      <c r="B224" s="65"/>
      <c r="C224" s="65"/>
      <c r="D224" s="74"/>
      <c r="E224" s="74"/>
      <c r="F224" s="54"/>
      <c r="G224" s="54"/>
      <c r="H224" s="54"/>
      <c r="I224" s="54"/>
      <c r="J224" s="54"/>
      <c r="K224" s="54"/>
      <c r="L224" s="54"/>
      <c r="M224" s="54"/>
      <c r="N224" s="54"/>
      <c r="O224" s="54"/>
      <c r="P224" s="54"/>
      <c r="Q224" s="54"/>
      <c r="R224" s="54"/>
      <c r="S224" s="54"/>
      <c r="T224" s="54"/>
      <c r="U224" s="54"/>
      <c r="V224" s="54"/>
      <c r="W224" s="54"/>
      <c r="X224" s="54"/>
      <c r="Y224" s="54"/>
      <c r="Z224" s="54"/>
    </row>
    <row r="225" spans="1:26" ht="15" customHeight="1">
      <c r="A225" s="75" t="s">
        <v>54</v>
      </c>
      <c r="B225" s="64"/>
      <c r="C225" s="65"/>
      <c r="D225" s="74"/>
      <c r="E225" s="74"/>
      <c r="F225" s="54"/>
      <c r="G225" s="54"/>
      <c r="H225" s="54"/>
      <c r="I225" s="54"/>
      <c r="J225" s="54"/>
      <c r="K225" s="54"/>
      <c r="L225" s="54"/>
      <c r="M225" s="54"/>
      <c r="N225" s="54"/>
      <c r="O225" s="54"/>
      <c r="P225" s="54"/>
      <c r="Q225" s="54"/>
      <c r="R225" s="54"/>
      <c r="S225" s="54"/>
      <c r="T225" s="54"/>
      <c r="U225" s="54"/>
      <c r="V225" s="54"/>
      <c r="W225" s="54"/>
      <c r="X225" s="54"/>
      <c r="Y225" s="54"/>
      <c r="Z225" s="54"/>
    </row>
    <row r="226" spans="1:26" ht="6.75" customHeight="1">
      <c r="A226" s="60"/>
      <c r="B226" s="65"/>
      <c r="C226" s="65"/>
      <c r="D226" s="74"/>
      <c r="E226" s="74"/>
      <c r="F226" s="54"/>
      <c r="G226" s="54"/>
      <c r="H226" s="54"/>
      <c r="I226" s="54"/>
      <c r="J226" s="54"/>
      <c r="K226" s="54"/>
      <c r="L226" s="54"/>
      <c r="M226" s="54"/>
      <c r="N226" s="54"/>
      <c r="O226" s="54"/>
      <c r="P226" s="54"/>
      <c r="Q226" s="54"/>
      <c r="R226" s="54"/>
      <c r="S226" s="54"/>
      <c r="T226" s="54"/>
      <c r="U226" s="54"/>
      <c r="V226" s="54"/>
      <c r="W226" s="54"/>
      <c r="X226" s="54"/>
      <c r="Y226" s="54"/>
      <c r="Z226" s="54"/>
    </row>
    <row r="227" spans="1:26" ht="10.5" customHeight="1">
      <c r="A227" s="63" t="s">
        <v>55</v>
      </c>
      <c r="B227" s="64"/>
      <c r="C227" s="65" t="s">
        <v>48</v>
      </c>
      <c r="D227" s="69">
        <f>$D$37</f>
        <v>4.1000000000000003E-3</v>
      </c>
      <c r="E227" s="69"/>
      <c r="F227" s="54"/>
      <c r="G227" s="54"/>
      <c r="H227" s="54"/>
      <c r="I227" s="54"/>
      <c r="J227" s="54"/>
      <c r="K227" s="54"/>
      <c r="L227" s="54"/>
      <c r="M227" s="54"/>
      <c r="N227" s="54"/>
      <c r="O227" s="54"/>
      <c r="P227" s="54"/>
      <c r="Q227" s="54"/>
      <c r="R227" s="54"/>
      <c r="S227" s="54"/>
      <c r="T227" s="54"/>
      <c r="U227" s="54"/>
      <c r="V227" s="54"/>
      <c r="W227" s="54"/>
      <c r="X227" s="54"/>
      <c r="Y227" s="54"/>
      <c r="Z227" s="54"/>
    </row>
    <row r="228" spans="1:26" ht="10.5" customHeight="1">
      <c r="A228" s="63" t="s">
        <v>56</v>
      </c>
      <c r="B228" s="64"/>
      <c r="C228" s="65" t="s">
        <v>48</v>
      </c>
      <c r="D228" s="69">
        <f>'Proposed Rates'!F220-'2026'!D227</f>
        <v>5.9999999999999984E-4</v>
      </c>
      <c r="E228" s="69"/>
      <c r="F228" s="54"/>
      <c r="G228" s="54"/>
      <c r="H228" s="54"/>
      <c r="I228" s="54"/>
      <c r="J228" s="54"/>
      <c r="K228" s="54"/>
      <c r="L228" s="54"/>
      <c r="M228" s="54"/>
      <c r="N228" s="54"/>
      <c r="O228" s="54"/>
      <c r="P228" s="54"/>
      <c r="Q228" s="54"/>
      <c r="R228" s="54"/>
      <c r="S228" s="54"/>
      <c r="T228" s="54"/>
      <c r="U228" s="54"/>
      <c r="V228" s="54"/>
      <c r="W228" s="54"/>
      <c r="X228" s="54"/>
      <c r="Y228" s="54"/>
      <c r="Z228" s="54"/>
    </row>
    <row r="229" spans="1:26" ht="10.5" customHeight="1">
      <c r="A229" s="63" t="s">
        <v>57</v>
      </c>
      <c r="B229" s="64"/>
      <c r="C229" s="65" t="s">
        <v>48</v>
      </c>
      <c r="D229" s="69">
        <f>'Proposed Rates'!F233</f>
        <v>5.9999999999999995E-4</v>
      </c>
      <c r="E229" s="69"/>
      <c r="F229" s="54"/>
      <c r="G229" s="54"/>
      <c r="H229" s="54"/>
      <c r="I229" s="54"/>
      <c r="J229" s="54"/>
      <c r="K229" s="54"/>
      <c r="L229" s="54"/>
      <c r="M229" s="54"/>
      <c r="N229" s="54"/>
      <c r="O229" s="54"/>
      <c r="P229" s="54"/>
      <c r="Q229" s="54"/>
      <c r="R229" s="54"/>
      <c r="S229" s="54"/>
      <c r="T229" s="54"/>
      <c r="U229" s="54"/>
      <c r="V229" s="54"/>
      <c r="W229" s="54"/>
      <c r="X229" s="54"/>
      <c r="Y229" s="54"/>
      <c r="Z229" s="54"/>
    </row>
    <row r="230" spans="1:26" ht="10.5" customHeight="1">
      <c r="A230" s="63" t="s">
        <v>58</v>
      </c>
      <c r="B230" s="64"/>
      <c r="C230" s="65" t="s">
        <v>42</v>
      </c>
      <c r="D230" s="70">
        <f>'Proposed Rates'!F247</f>
        <v>0.25</v>
      </c>
      <c r="E230" s="70"/>
      <c r="F230" s="54"/>
      <c r="G230" s="54"/>
      <c r="H230" s="54"/>
      <c r="I230" s="54"/>
      <c r="J230" s="54"/>
      <c r="K230" s="54"/>
      <c r="L230" s="54"/>
      <c r="M230" s="54"/>
      <c r="N230" s="54"/>
      <c r="O230" s="54"/>
      <c r="P230" s="54"/>
      <c r="Q230" s="54"/>
      <c r="R230" s="54"/>
      <c r="S230" s="54"/>
      <c r="T230" s="54"/>
      <c r="U230" s="54"/>
      <c r="V230" s="54"/>
      <c r="W230" s="54"/>
      <c r="X230" s="54"/>
      <c r="Y230" s="54"/>
      <c r="Z230" s="54"/>
    </row>
    <row r="231" spans="1:26" ht="10.5" customHeight="1">
      <c r="A231" s="63"/>
      <c r="B231" s="64"/>
      <c r="C231" s="65"/>
      <c r="D231" s="70"/>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23.25" customHeight="1">
      <c r="A232" s="588" t="str">
        <f>$A$42</f>
        <v>Hydro Ottawa Limited</v>
      </c>
      <c r="B232" s="589"/>
      <c r="C232" s="589"/>
      <c r="D232" s="590"/>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18" customHeight="1">
      <c r="A233" s="591" t="str">
        <f>$A$43</f>
        <v>TARIFF OF RATES AND CHARGES</v>
      </c>
      <c r="B233" s="589"/>
      <c r="C233" s="589"/>
      <c r="D233" s="590"/>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75" customHeight="1">
      <c r="A234" s="592" t="s">
        <v>28</v>
      </c>
      <c r="B234" s="589"/>
      <c r="C234" s="589"/>
      <c r="D234" s="590"/>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15.75" customHeight="1">
      <c r="A235" s="592" t="s">
        <v>29</v>
      </c>
      <c r="B235" s="589"/>
      <c r="C235" s="589"/>
      <c r="D235" s="590"/>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1.25" customHeight="1">
      <c r="A236" s="593" t="str">
        <f>$A$46</f>
        <v>This schedule supersedes and replaces all previously</v>
      </c>
      <c r="B236" s="589"/>
      <c r="C236" s="589"/>
      <c r="D236" s="590"/>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1.25" customHeight="1">
      <c r="A237" s="593" t="str">
        <f>$A$47</f>
        <v>approved schedules of Rates, Charges and Loss Factors</v>
      </c>
      <c r="B237" s="589"/>
      <c r="C237" s="589"/>
      <c r="D237" s="590"/>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1.25" customHeight="1">
      <c r="A238" s="594" t="str">
        <f>$A$48</f>
        <v>EB-2024-0115</v>
      </c>
      <c r="B238" s="589"/>
      <c r="C238" s="589"/>
      <c r="D238" s="590"/>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8.75" customHeight="1">
      <c r="A239" s="595" t="s">
        <v>83</v>
      </c>
      <c r="B239" s="589"/>
      <c r="C239" s="589"/>
      <c r="D239" s="590"/>
      <c r="E239" s="76"/>
      <c r="F239" s="76"/>
      <c r="G239" s="76"/>
      <c r="H239" s="76"/>
      <c r="I239" s="76"/>
      <c r="J239" s="76"/>
      <c r="K239" s="76"/>
      <c r="L239" s="76"/>
      <c r="M239" s="76"/>
      <c r="N239" s="76"/>
      <c r="O239" s="76"/>
      <c r="P239" s="76"/>
      <c r="Q239" s="76"/>
      <c r="R239" s="76"/>
      <c r="S239" s="76"/>
      <c r="T239" s="76"/>
      <c r="U239" s="76"/>
      <c r="V239" s="76"/>
      <c r="W239" s="76"/>
      <c r="X239" s="76"/>
      <c r="Y239" s="76"/>
      <c r="Z239" s="76"/>
    </row>
    <row r="240" spans="1:26" ht="84" customHeight="1">
      <c r="A240" s="596" t="s">
        <v>84</v>
      </c>
      <c r="B240" s="589"/>
      <c r="C240" s="589"/>
      <c r="D240" s="590"/>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6.75" customHeight="1">
      <c r="A241" s="55"/>
      <c r="B241" s="55"/>
      <c r="C241" s="55"/>
      <c r="D241" s="56"/>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1.25" customHeight="1">
      <c r="A242" s="597" t="s">
        <v>35</v>
      </c>
      <c r="B242" s="589"/>
      <c r="C242" s="589"/>
      <c r="D242" s="590"/>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6.75" customHeight="1">
      <c r="A243" s="57"/>
      <c r="B243" s="58"/>
      <c r="C243" s="58"/>
      <c r="D243" s="59"/>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36" customHeight="1">
      <c r="A244" s="596" t="s">
        <v>36</v>
      </c>
      <c r="B244" s="589"/>
      <c r="C244" s="589"/>
      <c r="D244" s="590"/>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6.75" customHeight="1">
      <c r="A245" s="55"/>
      <c r="B245" s="55"/>
      <c r="C245" s="55"/>
      <c r="D245" s="56"/>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48" customHeight="1">
      <c r="A246" s="596" t="s">
        <v>37</v>
      </c>
      <c r="B246" s="589"/>
      <c r="C246" s="589"/>
      <c r="D246" s="590"/>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6.75" customHeight="1">
      <c r="A247" s="55"/>
      <c r="B247" s="55"/>
      <c r="C247" s="55"/>
      <c r="D247" s="56"/>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48" customHeight="1">
      <c r="A248" s="596" t="s">
        <v>38</v>
      </c>
      <c r="B248" s="589"/>
      <c r="C248" s="589"/>
      <c r="D248" s="590"/>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6.75" customHeight="1">
      <c r="A249" s="55"/>
      <c r="B249" s="55"/>
      <c r="C249" s="55"/>
      <c r="D249" s="56"/>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36" customHeight="1">
      <c r="A250" s="596" t="s">
        <v>39</v>
      </c>
      <c r="B250" s="589"/>
      <c r="C250" s="589"/>
      <c r="D250" s="590"/>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6.75" customHeight="1">
      <c r="A251" s="55"/>
      <c r="B251" s="55"/>
      <c r="C251" s="55"/>
      <c r="D251" s="56"/>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 customHeight="1">
      <c r="A252" s="75" t="s">
        <v>40</v>
      </c>
      <c r="B252" s="64"/>
      <c r="C252" s="64"/>
      <c r="D252" s="77"/>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6.75" customHeight="1">
      <c r="A253" s="60"/>
      <c r="B253" s="61"/>
      <c r="C253" s="61"/>
      <c r="D253" s="62"/>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1.25" customHeight="1">
      <c r="A254" s="63" t="s">
        <v>85</v>
      </c>
      <c r="B254" s="64"/>
      <c r="C254" s="65" t="s">
        <v>42</v>
      </c>
      <c r="D254" s="70">
        <f>'Proposed Rates'!F15</f>
        <v>8.0399999999999991</v>
      </c>
      <c r="E254" s="70"/>
      <c r="F254" s="54"/>
      <c r="G254" s="54"/>
      <c r="H254" s="54"/>
      <c r="I254" s="54"/>
      <c r="J254" s="54"/>
      <c r="K254" s="54"/>
      <c r="L254" s="54"/>
      <c r="M254" s="54"/>
      <c r="N254" s="54"/>
      <c r="O254" s="54"/>
      <c r="P254" s="54"/>
      <c r="Q254" s="54"/>
      <c r="R254" s="54"/>
      <c r="S254" s="54"/>
      <c r="T254" s="54"/>
      <c r="U254" s="54"/>
      <c r="V254" s="54"/>
      <c r="W254" s="54"/>
      <c r="X254" s="54"/>
      <c r="Y254" s="54"/>
      <c r="Z254" s="54"/>
    </row>
    <row r="255" spans="1:26" ht="11.25" customHeight="1">
      <c r="A255" s="599" t="s">
        <v>43</v>
      </c>
      <c r="B255" s="600"/>
      <c r="C255" s="67" t="s">
        <v>42</v>
      </c>
      <c r="D255" s="68">
        <f>'Proposed Rates'!F136</f>
        <v>0.37</v>
      </c>
      <c r="E255" s="68"/>
      <c r="F255" s="54"/>
      <c r="G255" s="54"/>
      <c r="H255" s="54"/>
      <c r="I255" s="54"/>
      <c r="J255" s="54"/>
      <c r="K255" s="54"/>
      <c r="L255" s="54"/>
      <c r="M255" s="54"/>
      <c r="N255" s="54"/>
      <c r="O255" s="54"/>
      <c r="P255" s="54"/>
      <c r="Q255" s="54"/>
      <c r="R255" s="54"/>
      <c r="S255" s="54"/>
      <c r="T255" s="54"/>
      <c r="U255" s="54"/>
      <c r="V255" s="54"/>
      <c r="W255" s="54"/>
      <c r="X255" s="54"/>
      <c r="Y255" s="54"/>
      <c r="Z255" s="54"/>
    </row>
    <row r="256" spans="1:26" ht="11.25" customHeight="1">
      <c r="A256" s="63" t="s">
        <v>62</v>
      </c>
      <c r="B256" s="64"/>
      <c r="C256" s="65" t="s">
        <v>48</v>
      </c>
      <c r="D256" s="69">
        <f>'Proposed Rates'!F28</f>
        <v>3.8300000000000001E-2</v>
      </c>
      <c r="E256" s="69"/>
      <c r="F256" s="54"/>
      <c r="G256" s="54"/>
      <c r="H256" s="54"/>
      <c r="I256" s="54"/>
      <c r="J256" s="54"/>
      <c r="K256" s="54"/>
      <c r="L256" s="54"/>
      <c r="M256" s="54"/>
      <c r="N256" s="54"/>
      <c r="O256" s="54"/>
      <c r="P256" s="54"/>
      <c r="Q256" s="54"/>
      <c r="R256" s="54"/>
      <c r="S256" s="54"/>
      <c r="T256" s="54"/>
      <c r="U256" s="54"/>
      <c r="V256" s="54"/>
      <c r="W256" s="54"/>
      <c r="X256" s="54"/>
      <c r="Y256" s="54"/>
      <c r="Z256" s="54"/>
    </row>
    <row r="257" spans="1:26" ht="11.25" customHeight="1">
      <c r="A257" s="63" t="s">
        <v>47</v>
      </c>
      <c r="B257" s="64"/>
      <c r="C257" s="65" t="s">
        <v>48</v>
      </c>
      <c r="D257" s="71">
        <f>'Proposed Rates'!F274</f>
        <v>4.0000000000000003E-5</v>
      </c>
      <c r="E257" s="71"/>
      <c r="F257" s="54"/>
      <c r="G257" s="54"/>
      <c r="H257" s="54"/>
      <c r="I257" s="54"/>
      <c r="J257" s="54"/>
      <c r="K257" s="54"/>
      <c r="L257" s="54"/>
      <c r="M257" s="54"/>
      <c r="N257" s="54"/>
      <c r="O257" s="54"/>
      <c r="P257" s="54"/>
      <c r="Q257" s="54"/>
      <c r="R257" s="54"/>
      <c r="S257" s="54"/>
      <c r="T257" s="54"/>
      <c r="U257" s="54"/>
      <c r="V257" s="54"/>
      <c r="W257" s="54"/>
      <c r="X257" s="54"/>
      <c r="Y257" s="54"/>
      <c r="Z257" s="54"/>
    </row>
    <row r="258" spans="1:26" ht="11.25" customHeight="1">
      <c r="A258" s="63" t="s">
        <v>49</v>
      </c>
      <c r="B258" s="64"/>
      <c r="C258" s="65" t="s">
        <v>48</v>
      </c>
      <c r="D258" s="72">
        <f>'Proposed Rates'!F44</f>
        <v>-8.0000000000000004E-4</v>
      </c>
      <c r="E258" s="69"/>
      <c r="F258" s="54"/>
      <c r="G258" s="54"/>
      <c r="H258" s="54"/>
      <c r="I258" s="54"/>
      <c r="J258" s="54"/>
      <c r="K258" s="54"/>
      <c r="L258" s="54"/>
      <c r="M258" s="54"/>
      <c r="N258" s="54"/>
      <c r="O258" s="54"/>
      <c r="P258" s="54"/>
      <c r="Q258" s="54"/>
      <c r="R258" s="54"/>
      <c r="S258" s="54"/>
      <c r="T258" s="54"/>
      <c r="U258" s="54"/>
      <c r="V258" s="54"/>
      <c r="W258" s="54"/>
      <c r="X258" s="54"/>
      <c r="Y258" s="54"/>
      <c r="Z258" s="54"/>
    </row>
    <row r="259" spans="1:26" ht="24" customHeight="1">
      <c r="A259" s="73" t="s">
        <v>50</v>
      </c>
      <c r="B259" s="64"/>
      <c r="C259" s="65" t="s">
        <v>48</v>
      </c>
      <c r="D259" s="69">
        <f>'Proposed Rates'!$F$110</f>
        <v>6.9999999999999999E-4</v>
      </c>
      <c r="E259" s="69"/>
      <c r="F259" s="54"/>
      <c r="G259" s="54"/>
      <c r="H259" s="54"/>
      <c r="I259" s="54"/>
      <c r="J259" s="54"/>
      <c r="K259" s="54"/>
      <c r="L259" s="54"/>
      <c r="M259" s="54"/>
      <c r="N259" s="54"/>
      <c r="O259" s="54"/>
      <c r="P259" s="54"/>
      <c r="Q259" s="54"/>
      <c r="R259" s="54"/>
      <c r="S259" s="54"/>
      <c r="T259" s="54"/>
      <c r="U259" s="54"/>
      <c r="V259" s="54"/>
      <c r="W259" s="54"/>
      <c r="X259" s="54"/>
      <c r="Y259" s="54"/>
      <c r="Z259" s="54"/>
    </row>
    <row r="260" spans="1:26" ht="11.25" customHeight="1">
      <c r="A260" s="63" t="s">
        <v>45</v>
      </c>
      <c r="B260" s="64"/>
      <c r="C260" s="65" t="s">
        <v>48</v>
      </c>
      <c r="D260" s="72">
        <f>'Proposed Rates'!F71</f>
        <v>-2E-3</v>
      </c>
      <c r="E260" s="69"/>
      <c r="F260" s="54"/>
      <c r="G260" s="54"/>
      <c r="H260" s="54"/>
      <c r="I260" s="54"/>
      <c r="J260" s="54"/>
      <c r="K260" s="54"/>
      <c r="L260" s="54"/>
      <c r="M260" s="54"/>
      <c r="N260" s="54"/>
      <c r="O260" s="54"/>
      <c r="P260" s="54"/>
      <c r="Q260" s="54"/>
      <c r="R260" s="54"/>
      <c r="S260" s="54"/>
      <c r="T260" s="54"/>
      <c r="U260" s="54"/>
      <c r="V260" s="54"/>
      <c r="W260" s="54"/>
      <c r="X260" s="54"/>
      <c r="Y260" s="54"/>
      <c r="Z260" s="54"/>
    </row>
    <row r="261" spans="1:26" ht="25.5" customHeight="1">
      <c r="A261" s="73" t="s">
        <v>63</v>
      </c>
      <c r="B261" s="64"/>
      <c r="C261" s="65" t="s">
        <v>48</v>
      </c>
      <c r="D261" s="72">
        <f>'Proposed Rates'!F97</f>
        <v>-8.9999999999999998E-4</v>
      </c>
      <c r="E261" s="69"/>
      <c r="F261" s="54"/>
      <c r="G261" s="54"/>
      <c r="H261" s="54"/>
      <c r="I261" s="54"/>
      <c r="J261" s="54"/>
      <c r="K261" s="54"/>
      <c r="L261" s="54"/>
      <c r="M261" s="54"/>
      <c r="N261" s="54"/>
      <c r="O261" s="54"/>
      <c r="P261" s="54"/>
      <c r="Q261" s="54"/>
      <c r="R261" s="54"/>
      <c r="S261" s="54"/>
      <c r="T261" s="54"/>
      <c r="U261" s="54"/>
      <c r="V261" s="54"/>
      <c r="W261" s="54"/>
      <c r="X261" s="54"/>
      <c r="Y261" s="54"/>
      <c r="Z261" s="54"/>
    </row>
    <row r="262" spans="1:26" ht="11.25" customHeight="1">
      <c r="A262" s="599" t="s">
        <v>43</v>
      </c>
      <c r="B262" s="600"/>
      <c r="C262" s="67" t="s">
        <v>48</v>
      </c>
      <c r="D262" s="72">
        <f>'Proposed Rates'!F123</f>
        <v>1.9E-3</v>
      </c>
      <c r="E262" s="72"/>
      <c r="F262" s="54"/>
      <c r="G262" s="54"/>
      <c r="H262" s="54"/>
      <c r="I262" s="54"/>
      <c r="J262" s="54"/>
      <c r="K262" s="54"/>
      <c r="L262" s="54"/>
      <c r="M262" s="54"/>
      <c r="N262" s="54"/>
      <c r="O262" s="54"/>
      <c r="P262" s="54"/>
      <c r="Q262" s="54"/>
      <c r="R262" s="54"/>
      <c r="S262" s="54"/>
      <c r="T262" s="54"/>
      <c r="U262" s="54"/>
      <c r="V262" s="54"/>
      <c r="W262" s="54"/>
      <c r="X262" s="54"/>
      <c r="Y262" s="54"/>
      <c r="Z262" s="54"/>
    </row>
    <row r="263" spans="1:26" ht="11.25" customHeight="1">
      <c r="A263" s="63" t="s">
        <v>52</v>
      </c>
      <c r="B263" s="64"/>
      <c r="C263" s="65" t="s">
        <v>48</v>
      </c>
      <c r="D263" s="69">
        <f>'Proposed Rates'!F195</f>
        <v>7.4999999999999997E-3</v>
      </c>
      <c r="E263" s="69"/>
      <c r="F263" s="54"/>
      <c r="G263" s="54"/>
      <c r="H263" s="54"/>
      <c r="I263" s="54"/>
      <c r="J263" s="54"/>
      <c r="K263" s="54"/>
      <c r="L263" s="54"/>
      <c r="M263" s="54"/>
      <c r="N263" s="54"/>
      <c r="O263" s="54"/>
      <c r="P263" s="54"/>
      <c r="Q263" s="54"/>
      <c r="R263" s="54"/>
      <c r="S263" s="54"/>
      <c r="T263" s="54"/>
      <c r="U263" s="54"/>
      <c r="V263" s="54"/>
      <c r="W263" s="54"/>
      <c r="X263" s="54"/>
      <c r="Y263" s="54"/>
      <c r="Z263" s="54"/>
    </row>
    <row r="264" spans="1:26" ht="11.25" customHeight="1">
      <c r="A264" s="63" t="s">
        <v>53</v>
      </c>
      <c r="B264" s="64"/>
      <c r="C264" s="65" t="s">
        <v>48</v>
      </c>
      <c r="D264" s="69">
        <f>'Proposed Rates'!F210</f>
        <v>4.3E-3</v>
      </c>
      <c r="E264" s="69"/>
      <c r="F264" s="54"/>
      <c r="G264" s="54"/>
      <c r="H264" s="54"/>
      <c r="I264" s="54"/>
      <c r="J264" s="54"/>
      <c r="K264" s="54"/>
      <c r="L264" s="54"/>
      <c r="M264" s="54"/>
      <c r="N264" s="54"/>
      <c r="O264" s="54"/>
      <c r="P264" s="54"/>
      <c r="Q264" s="54"/>
      <c r="R264" s="54"/>
      <c r="S264" s="54"/>
      <c r="T264" s="54"/>
      <c r="U264" s="54"/>
      <c r="V264" s="54"/>
      <c r="W264" s="54"/>
      <c r="X264" s="54"/>
      <c r="Y264" s="54"/>
      <c r="Z264" s="54"/>
    </row>
    <row r="265" spans="1:26" ht="6.75" customHeight="1">
      <c r="A265" s="65"/>
      <c r="B265" s="65"/>
      <c r="C265" s="65"/>
      <c r="D265" s="74"/>
      <c r="E265" s="74"/>
      <c r="F265" s="54"/>
      <c r="G265" s="54"/>
      <c r="H265" s="54"/>
      <c r="I265" s="54"/>
      <c r="J265" s="54"/>
      <c r="K265" s="54"/>
      <c r="L265" s="54"/>
      <c r="M265" s="54"/>
      <c r="N265" s="54"/>
      <c r="O265" s="54"/>
      <c r="P265" s="54"/>
      <c r="Q265" s="54"/>
      <c r="R265" s="54"/>
      <c r="S265" s="54"/>
      <c r="T265" s="54"/>
      <c r="U265" s="54"/>
      <c r="V265" s="54"/>
      <c r="W265" s="54"/>
      <c r="X265" s="54"/>
      <c r="Y265" s="54"/>
      <c r="Z265" s="54"/>
    </row>
    <row r="266" spans="1:26" ht="15" customHeight="1">
      <c r="A266" s="75" t="s">
        <v>54</v>
      </c>
      <c r="B266" s="64"/>
      <c r="C266" s="65"/>
      <c r="D266" s="74"/>
      <c r="E266" s="74"/>
      <c r="F266" s="54"/>
      <c r="G266" s="54"/>
      <c r="H266" s="54"/>
      <c r="I266" s="54"/>
      <c r="J266" s="54"/>
      <c r="K266" s="54"/>
      <c r="L266" s="54"/>
      <c r="M266" s="54"/>
      <c r="N266" s="54"/>
      <c r="O266" s="54"/>
      <c r="P266" s="54"/>
      <c r="Q266" s="54"/>
      <c r="R266" s="54"/>
      <c r="S266" s="54"/>
      <c r="T266" s="54"/>
      <c r="U266" s="54"/>
      <c r="V266" s="54"/>
      <c r="W266" s="54"/>
      <c r="X266" s="54"/>
      <c r="Y266" s="54"/>
      <c r="Z266" s="54"/>
    </row>
    <row r="267" spans="1:26" ht="6.75" customHeight="1">
      <c r="A267" s="60"/>
      <c r="B267" s="65"/>
      <c r="C267" s="65"/>
      <c r="D267" s="74"/>
      <c r="E267" s="74"/>
      <c r="F267" s="54"/>
      <c r="G267" s="54"/>
      <c r="H267" s="54"/>
      <c r="I267" s="54"/>
      <c r="J267" s="54"/>
      <c r="K267" s="54"/>
      <c r="L267" s="54"/>
      <c r="M267" s="54"/>
      <c r="N267" s="54"/>
      <c r="O267" s="54"/>
      <c r="P267" s="54"/>
      <c r="Q267" s="54"/>
      <c r="R267" s="54"/>
      <c r="S267" s="54"/>
      <c r="T267" s="54"/>
      <c r="U267" s="54"/>
      <c r="V267" s="54"/>
      <c r="W267" s="54"/>
      <c r="X267" s="54"/>
      <c r="Y267" s="54"/>
      <c r="Z267" s="54"/>
    </row>
    <row r="268" spans="1:26" ht="11.25" customHeight="1">
      <c r="A268" s="63" t="s">
        <v>55</v>
      </c>
      <c r="B268" s="64"/>
      <c r="C268" s="65" t="s">
        <v>48</v>
      </c>
      <c r="D268" s="69">
        <f>$D$37</f>
        <v>4.1000000000000003E-3</v>
      </c>
      <c r="E268" s="69"/>
      <c r="F268" s="54"/>
      <c r="G268" s="54"/>
      <c r="H268" s="54"/>
      <c r="I268" s="54"/>
      <c r="J268" s="54"/>
      <c r="K268" s="54"/>
      <c r="L268" s="54"/>
      <c r="M268" s="54"/>
      <c r="N268" s="54"/>
      <c r="O268" s="54"/>
      <c r="P268" s="54"/>
      <c r="Q268" s="54"/>
      <c r="R268" s="54"/>
      <c r="S268" s="54"/>
      <c r="T268" s="54"/>
      <c r="U268" s="54"/>
      <c r="V268" s="54"/>
      <c r="W268" s="54"/>
      <c r="X268" s="54"/>
      <c r="Y268" s="54"/>
      <c r="Z268" s="54"/>
    </row>
    <row r="269" spans="1:26" ht="11.25" customHeight="1">
      <c r="A269" s="63" t="s">
        <v>56</v>
      </c>
      <c r="B269" s="64"/>
      <c r="C269" s="65" t="s">
        <v>48</v>
      </c>
      <c r="D269" s="69">
        <f>'Proposed Rates'!F223-'2026'!D268</f>
        <v>5.9999999999999984E-4</v>
      </c>
      <c r="E269" s="69"/>
      <c r="F269" s="54"/>
      <c r="G269" s="54"/>
      <c r="H269" s="54"/>
      <c r="I269" s="54"/>
      <c r="J269" s="54"/>
      <c r="K269" s="54"/>
      <c r="L269" s="54"/>
      <c r="M269" s="54"/>
      <c r="N269" s="54"/>
      <c r="O269" s="54"/>
      <c r="P269" s="54"/>
      <c r="Q269" s="54"/>
      <c r="R269" s="54"/>
      <c r="S269" s="54"/>
      <c r="T269" s="54"/>
      <c r="U269" s="54"/>
      <c r="V269" s="54"/>
      <c r="W269" s="54"/>
      <c r="X269" s="54"/>
      <c r="Y269" s="54"/>
      <c r="Z269" s="54"/>
    </row>
    <row r="270" spans="1:26" ht="11.25" customHeight="1">
      <c r="A270" s="63" t="s">
        <v>57</v>
      </c>
      <c r="B270" s="64"/>
      <c r="C270" s="65" t="s">
        <v>48</v>
      </c>
      <c r="D270" s="69">
        <f>'Proposed Rates'!F236</f>
        <v>5.9999999999999995E-4</v>
      </c>
      <c r="E270" s="69"/>
      <c r="F270" s="54"/>
      <c r="G270" s="54"/>
      <c r="H270" s="54"/>
      <c r="I270" s="54"/>
      <c r="J270" s="54"/>
      <c r="K270" s="54"/>
      <c r="L270" s="54"/>
      <c r="M270" s="54"/>
      <c r="N270" s="54"/>
      <c r="O270" s="54"/>
      <c r="P270" s="54"/>
      <c r="Q270" s="54"/>
      <c r="R270" s="54"/>
      <c r="S270" s="54"/>
      <c r="T270" s="54"/>
      <c r="U270" s="54"/>
      <c r="V270" s="54"/>
      <c r="W270" s="54"/>
      <c r="X270" s="54"/>
      <c r="Y270" s="54"/>
      <c r="Z270" s="54"/>
    </row>
    <row r="271" spans="1:26" ht="11.25" customHeight="1">
      <c r="A271" s="63" t="s">
        <v>58</v>
      </c>
      <c r="B271" s="64"/>
      <c r="C271" s="65" t="s">
        <v>42</v>
      </c>
      <c r="D271" s="70">
        <f>'Proposed Rates'!F250</f>
        <v>0.25</v>
      </c>
      <c r="E271" s="70"/>
      <c r="F271" s="54"/>
      <c r="G271" s="54"/>
      <c r="H271" s="54"/>
      <c r="I271" s="54"/>
      <c r="J271" s="54"/>
      <c r="K271" s="54"/>
      <c r="L271" s="54"/>
      <c r="M271" s="54"/>
      <c r="N271" s="54"/>
      <c r="O271" s="54"/>
      <c r="P271" s="54"/>
      <c r="Q271" s="54"/>
      <c r="R271" s="54"/>
      <c r="S271" s="54"/>
      <c r="T271" s="54"/>
      <c r="U271" s="54"/>
      <c r="V271" s="54"/>
      <c r="W271" s="54"/>
      <c r="X271" s="54"/>
      <c r="Y271" s="54"/>
      <c r="Z271" s="54"/>
    </row>
    <row r="272" spans="1:26" ht="11.25" customHeight="1">
      <c r="A272" s="63"/>
      <c r="B272" s="64"/>
      <c r="C272" s="65"/>
      <c r="D272" s="70"/>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23.25" customHeight="1">
      <c r="A273" s="588" t="str">
        <f>$A$42</f>
        <v>Hydro Ottawa Limited</v>
      </c>
      <c r="B273" s="589"/>
      <c r="C273" s="589"/>
      <c r="D273" s="590"/>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8" customHeight="1">
      <c r="A274" s="591" t="str">
        <f>$A$43</f>
        <v>TARIFF OF RATES AND CHARGES</v>
      </c>
      <c r="B274" s="589"/>
      <c r="C274" s="589"/>
      <c r="D274" s="590"/>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5.75" customHeight="1">
      <c r="A275" s="592" t="s">
        <v>28</v>
      </c>
      <c r="B275" s="589"/>
      <c r="C275" s="589"/>
      <c r="D275" s="590"/>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5.75" customHeight="1">
      <c r="A276" s="592" t="s">
        <v>29</v>
      </c>
      <c r="B276" s="589"/>
      <c r="C276" s="589"/>
      <c r="D276" s="590"/>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1.25" customHeight="1">
      <c r="A277" s="593" t="str">
        <f>$A$46</f>
        <v>This schedule supersedes and replaces all previously</v>
      </c>
      <c r="B277" s="589"/>
      <c r="C277" s="589"/>
      <c r="D277" s="590"/>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1.25" customHeight="1">
      <c r="A278" s="593" t="str">
        <f>$A$47</f>
        <v>approved schedules of Rates, Charges and Loss Factors</v>
      </c>
      <c r="B278" s="589"/>
      <c r="C278" s="589"/>
      <c r="D278" s="590"/>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1.25" customHeight="1">
      <c r="A279" s="594" t="str">
        <f>$A$48</f>
        <v>EB-2024-0115</v>
      </c>
      <c r="B279" s="589"/>
      <c r="C279" s="589"/>
      <c r="D279" s="590"/>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8.75" customHeight="1">
      <c r="A280" s="595" t="s">
        <v>86</v>
      </c>
      <c r="B280" s="589"/>
      <c r="C280" s="589"/>
      <c r="D280" s="590"/>
      <c r="E280" s="76"/>
      <c r="F280" s="76"/>
      <c r="G280" s="76"/>
      <c r="H280" s="76"/>
      <c r="I280" s="76"/>
      <c r="J280" s="76"/>
      <c r="K280" s="76"/>
      <c r="L280" s="76"/>
      <c r="M280" s="76"/>
      <c r="N280" s="76"/>
      <c r="O280" s="76"/>
      <c r="P280" s="76"/>
      <c r="Q280" s="76"/>
      <c r="R280" s="76"/>
      <c r="S280" s="76"/>
      <c r="T280" s="76"/>
      <c r="U280" s="76"/>
      <c r="V280" s="76"/>
      <c r="W280" s="76"/>
      <c r="X280" s="76"/>
      <c r="Y280" s="76"/>
      <c r="Z280" s="76"/>
    </row>
    <row r="281" spans="1:26" ht="36" customHeight="1">
      <c r="A281" s="596" t="s">
        <v>87</v>
      </c>
      <c r="B281" s="589"/>
      <c r="C281" s="589"/>
      <c r="D281" s="590"/>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6.75" customHeight="1">
      <c r="A282" s="55"/>
      <c r="B282" s="55"/>
      <c r="C282" s="55"/>
      <c r="D282" s="56"/>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1.25" customHeight="1">
      <c r="A283" s="597" t="s">
        <v>35</v>
      </c>
      <c r="B283" s="589"/>
      <c r="C283" s="589"/>
      <c r="D283" s="590"/>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6.75" customHeight="1">
      <c r="A284" s="57"/>
      <c r="B284" s="58"/>
      <c r="C284" s="58"/>
      <c r="D284" s="59"/>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36" customHeight="1">
      <c r="A285" s="596" t="s">
        <v>36</v>
      </c>
      <c r="B285" s="589"/>
      <c r="C285" s="589"/>
      <c r="D285" s="590"/>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6.75" customHeight="1">
      <c r="A286" s="55"/>
      <c r="B286" s="55"/>
      <c r="C286" s="55"/>
      <c r="D286" s="56"/>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48" customHeight="1">
      <c r="A287" s="596" t="s">
        <v>37</v>
      </c>
      <c r="B287" s="589"/>
      <c r="C287" s="589"/>
      <c r="D287" s="590"/>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6.75" customHeight="1">
      <c r="A288" s="55"/>
      <c r="B288" s="55"/>
      <c r="C288" s="55"/>
      <c r="D288" s="56"/>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24" customHeight="1">
      <c r="A289" s="596" t="s">
        <v>88</v>
      </c>
      <c r="B289" s="589"/>
      <c r="C289" s="589"/>
      <c r="D289" s="590"/>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6.75" customHeight="1">
      <c r="A290" s="55"/>
      <c r="B290" s="55"/>
      <c r="C290" s="55"/>
      <c r="D290" s="56"/>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36" customHeight="1">
      <c r="A291" s="596" t="s">
        <v>89</v>
      </c>
      <c r="B291" s="589"/>
      <c r="C291" s="589"/>
      <c r="D291" s="590"/>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6.75" customHeight="1">
      <c r="A292" s="55"/>
      <c r="B292" s="55"/>
      <c r="C292" s="55"/>
      <c r="D292" s="56"/>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5" customHeight="1">
      <c r="A293" s="83" t="s">
        <v>90</v>
      </c>
      <c r="B293" s="84"/>
      <c r="C293" s="84"/>
      <c r="D293" s="85"/>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6.75" customHeight="1">
      <c r="A294" s="86"/>
      <c r="B294" s="87"/>
      <c r="C294" s="87"/>
      <c r="D294" s="88"/>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0.5" customHeight="1">
      <c r="A295" s="73" t="s">
        <v>41</v>
      </c>
      <c r="B295" s="84"/>
      <c r="C295" s="89" t="s">
        <v>42</v>
      </c>
      <c r="D295" s="90">
        <f>'Proposed Rates'!F16</f>
        <v>186.89</v>
      </c>
      <c r="E295" s="90"/>
      <c r="F295" s="54"/>
      <c r="G295" s="54"/>
      <c r="H295" s="54"/>
      <c r="I295" s="54"/>
      <c r="J295" s="54"/>
      <c r="K295" s="54"/>
      <c r="L295" s="54"/>
      <c r="M295" s="54"/>
      <c r="N295" s="54"/>
      <c r="O295" s="54"/>
      <c r="P295" s="54"/>
      <c r="Q295" s="54"/>
      <c r="R295" s="54"/>
      <c r="S295" s="54"/>
      <c r="T295" s="54"/>
      <c r="U295" s="54"/>
      <c r="V295" s="54"/>
      <c r="W295" s="54"/>
      <c r="X295" s="54"/>
      <c r="Y295" s="54"/>
      <c r="Z295" s="54"/>
    </row>
    <row r="296" spans="1:26" ht="12" customHeight="1">
      <c r="A296" s="73" t="s">
        <v>91</v>
      </c>
      <c r="B296" s="84"/>
      <c r="C296" s="89" t="s">
        <v>69</v>
      </c>
      <c r="D296" s="91">
        <f>'Proposed Rates'!F29</f>
        <v>3.8271999999999999</v>
      </c>
      <c r="E296" s="91"/>
      <c r="F296" s="54"/>
      <c r="G296" s="54"/>
      <c r="H296" s="54"/>
      <c r="I296" s="54"/>
      <c r="J296" s="54"/>
      <c r="K296" s="54"/>
      <c r="L296" s="54"/>
      <c r="M296" s="54"/>
      <c r="N296" s="54"/>
      <c r="O296" s="54"/>
      <c r="P296" s="54"/>
      <c r="Q296" s="54"/>
      <c r="R296" s="54"/>
      <c r="S296" s="54"/>
      <c r="T296" s="54"/>
      <c r="U296" s="54"/>
      <c r="V296" s="54"/>
      <c r="W296" s="54"/>
      <c r="X296" s="54"/>
      <c r="Y296" s="54"/>
      <c r="Z296" s="54"/>
    </row>
    <row r="297" spans="1:26" ht="10.5" customHeight="1">
      <c r="A297" s="73" t="s">
        <v>92</v>
      </c>
      <c r="B297" s="84"/>
      <c r="C297" s="89" t="s">
        <v>69</v>
      </c>
      <c r="D297" s="91">
        <f>'Proposed Rates'!F30</f>
        <v>3.6459999999999999</v>
      </c>
      <c r="E297" s="91"/>
      <c r="F297" s="54"/>
      <c r="G297" s="54"/>
      <c r="H297" s="54"/>
      <c r="I297" s="54"/>
      <c r="J297" s="54"/>
      <c r="K297" s="54"/>
      <c r="L297" s="54"/>
      <c r="M297" s="54"/>
      <c r="N297" s="54"/>
      <c r="O297" s="54"/>
      <c r="P297" s="54"/>
      <c r="Q297" s="54"/>
      <c r="R297" s="54"/>
      <c r="S297" s="54"/>
      <c r="T297" s="54"/>
      <c r="U297" s="54"/>
      <c r="V297" s="54"/>
      <c r="W297" s="54"/>
      <c r="X297" s="54"/>
      <c r="Y297" s="54"/>
      <c r="Z297" s="54"/>
    </row>
    <row r="298" spans="1:26" ht="10.5" customHeight="1">
      <c r="A298" s="73" t="s">
        <v>93</v>
      </c>
      <c r="B298" s="84"/>
      <c r="C298" s="89" t="s">
        <v>69</v>
      </c>
      <c r="D298" s="91">
        <f>'Proposed Rates'!F31</f>
        <v>3.956</v>
      </c>
      <c r="E298" s="91"/>
      <c r="F298" s="54"/>
      <c r="G298" s="54"/>
      <c r="H298" s="54"/>
      <c r="I298" s="54"/>
      <c r="J298" s="54"/>
      <c r="K298" s="54"/>
      <c r="L298" s="54"/>
      <c r="M298" s="54"/>
      <c r="N298" s="54"/>
      <c r="O298" s="54"/>
      <c r="P298" s="54"/>
      <c r="Q298" s="54"/>
      <c r="R298" s="54"/>
      <c r="S298" s="54"/>
      <c r="T298" s="54"/>
      <c r="U298" s="54"/>
      <c r="V298" s="54"/>
      <c r="W298" s="54"/>
      <c r="X298" s="54"/>
      <c r="Y298" s="54"/>
      <c r="Z298" s="54"/>
    </row>
    <row r="299" spans="1:26" ht="10.5" customHeight="1">
      <c r="A299" s="73" t="s">
        <v>94</v>
      </c>
      <c r="B299" s="84"/>
      <c r="C299" s="89" t="s">
        <v>69</v>
      </c>
      <c r="D299" s="92">
        <f>'Proposed Rates'!F23</f>
        <v>7.6543000000000001</v>
      </c>
      <c r="E299" s="92"/>
      <c r="F299" s="54"/>
      <c r="G299" s="54"/>
      <c r="H299" s="54"/>
      <c r="I299" s="54"/>
      <c r="J299" s="54"/>
      <c r="K299" s="54"/>
      <c r="L299" s="54"/>
      <c r="M299" s="54"/>
      <c r="N299" s="54"/>
      <c r="O299" s="54"/>
      <c r="P299" s="54"/>
      <c r="Q299" s="54"/>
      <c r="R299" s="54"/>
      <c r="S299" s="54"/>
      <c r="T299" s="54"/>
      <c r="U299" s="54"/>
      <c r="V299" s="54"/>
      <c r="W299" s="54"/>
      <c r="X299" s="54"/>
      <c r="Y299" s="54"/>
      <c r="Z299" s="54"/>
    </row>
    <row r="300" spans="1:26" ht="10.5" customHeight="1">
      <c r="A300" s="73" t="s">
        <v>95</v>
      </c>
      <c r="B300" s="84"/>
      <c r="C300" s="89" t="s">
        <v>69</v>
      </c>
      <c r="D300" s="92">
        <f>'Proposed Rates'!F24</f>
        <v>7.2919999999999998</v>
      </c>
      <c r="E300" s="92"/>
      <c r="F300" s="54"/>
      <c r="G300" s="54"/>
      <c r="H300" s="54"/>
      <c r="I300" s="54"/>
      <c r="J300" s="54"/>
      <c r="K300" s="54"/>
      <c r="L300" s="54"/>
      <c r="M300" s="54"/>
      <c r="N300" s="54"/>
      <c r="O300" s="54"/>
      <c r="P300" s="54"/>
      <c r="Q300" s="54"/>
      <c r="R300" s="54"/>
      <c r="S300" s="54"/>
      <c r="T300" s="54"/>
      <c r="U300" s="54"/>
      <c r="V300" s="54"/>
      <c r="W300" s="54"/>
      <c r="X300" s="54"/>
      <c r="Y300" s="54"/>
      <c r="Z300" s="54"/>
    </row>
    <row r="301" spans="1:26" ht="10.5" customHeight="1">
      <c r="A301" s="73" t="s">
        <v>96</v>
      </c>
      <c r="B301" s="84"/>
      <c r="C301" s="89" t="s">
        <v>69</v>
      </c>
      <c r="D301" s="92">
        <f>'Proposed Rates'!F25</f>
        <v>7.9119000000000002</v>
      </c>
      <c r="E301" s="92"/>
      <c r="F301" s="54"/>
      <c r="G301" s="54"/>
      <c r="H301" s="54"/>
      <c r="I301" s="54"/>
      <c r="J301" s="54"/>
      <c r="K301" s="54"/>
      <c r="L301" s="54"/>
      <c r="M301" s="54"/>
      <c r="N301" s="54"/>
      <c r="O301" s="54"/>
      <c r="P301" s="54"/>
      <c r="Q301" s="54"/>
      <c r="R301" s="54"/>
      <c r="S301" s="54"/>
      <c r="T301" s="54"/>
      <c r="U301" s="54"/>
      <c r="V301" s="54"/>
      <c r="W301" s="54"/>
      <c r="X301" s="54"/>
      <c r="Y301" s="54"/>
      <c r="Z301" s="54"/>
    </row>
    <row r="302" spans="1:26" ht="22.5" customHeight="1">
      <c r="A302" s="602" t="s">
        <v>97</v>
      </c>
      <c r="B302" s="600"/>
      <c r="C302" s="67" t="s">
        <v>69</v>
      </c>
      <c r="D302" s="72">
        <f>'Proposed Rates'!F124</f>
        <v>0.56589999999999996</v>
      </c>
      <c r="E302" s="72"/>
      <c r="F302" s="54"/>
      <c r="G302" s="54"/>
      <c r="H302" s="54"/>
      <c r="I302" s="54"/>
      <c r="J302" s="54"/>
      <c r="K302" s="54"/>
      <c r="L302" s="54"/>
      <c r="M302" s="54"/>
      <c r="N302" s="54"/>
      <c r="O302" s="54"/>
      <c r="P302" s="54"/>
      <c r="Q302" s="54"/>
      <c r="R302" s="54"/>
      <c r="S302" s="54"/>
      <c r="T302" s="54"/>
      <c r="U302" s="54"/>
      <c r="V302" s="54"/>
      <c r="W302" s="54"/>
      <c r="X302" s="54"/>
      <c r="Y302" s="54"/>
      <c r="Z302" s="54"/>
    </row>
    <row r="303" spans="1:26" ht="22.5" customHeight="1">
      <c r="A303" s="602" t="s">
        <v>98</v>
      </c>
      <c r="B303" s="600"/>
      <c r="C303" s="67" t="s">
        <v>69</v>
      </c>
      <c r="D303" s="72">
        <f>'Proposed Rates'!F125</f>
        <v>0.57720000000000005</v>
      </c>
      <c r="E303" s="72"/>
      <c r="F303" s="54"/>
      <c r="G303" s="54"/>
      <c r="H303" s="54"/>
      <c r="I303" s="54"/>
      <c r="J303" s="54"/>
      <c r="K303" s="54"/>
      <c r="L303" s="54"/>
      <c r="M303" s="54"/>
      <c r="N303" s="54"/>
      <c r="O303" s="54"/>
      <c r="P303" s="54"/>
      <c r="Q303" s="54"/>
      <c r="R303" s="54"/>
      <c r="S303" s="54"/>
      <c r="T303" s="54"/>
      <c r="U303" s="54"/>
      <c r="V303" s="54"/>
      <c r="W303" s="54"/>
      <c r="X303" s="54"/>
      <c r="Y303" s="54"/>
      <c r="Z303" s="54"/>
    </row>
    <row r="304" spans="1:26" ht="22.5" customHeight="1">
      <c r="A304" s="602" t="s">
        <v>99</v>
      </c>
      <c r="B304" s="600"/>
      <c r="C304" s="67" t="s">
        <v>69</v>
      </c>
      <c r="D304" s="72">
        <f>'Proposed Rates'!F126</f>
        <v>0.60329999999999995</v>
      </c>
      <c r="E304" s="72"/>
      <c r="F304" s="54"/>
      <c r="G304" s="54"/>
      <c r="H304" s="54"/>
      <c r="I304" s="54"/>
      <c r="J304" s="54"/>
      <c r="K304" s="54"/>
      <c r="L304" s="54"/>
      <c r="M304" s="54"/>
      <c r="N304" s="54"/>
      <c r="O304" s="54"/>
      <c r="P304" s="54"/>
      <c r="Q304" s="54"/>
      <c r="R304" s="54"/>
      <c r="S304" s="54"/>
      <c r="T304" s="54"/>
      <c r="U304" s="54"/>
      <c r="V304" s="54"/>
      <c r="W304" s="54"/>
      <c r="X304" s="54"/>
      <c r="Y304" s="54"/>
      <c r="Z304" s="54"/>
    </row>
    <row r="305" spans="1:26" ht="22.5" customHeight="1">
      <c r="A305" s="602" t="s">
        <v>97</v>
      </c>
      <c r="B305" s="600"/>
      <c r="C305" s="67" t="s">
        <v>42</v>
      </c>
      <c r="D305" s="68">
        <f>'Proposed Rates'!F137</f>
        <v>-0.56999999999999995</v>
      </c>
      <c r="E305" s="68"/>
      <c r="F305" s="54"/>
      <c r="G305" s="54"/>
      <c r="H305" s="54"/>
      <c r="I305" s="54"/>
      <c r="J305" s="54"/>
      <c r="K305" s="54"/>
      <c r="L305" s="54"/>
      <c r="M305" s="54"/>
      <c r="N305" s="54"/>
      <c r="O305" s="54"/>
      <c r="P305" s="54"/>
      <c r="Q305" s="54"/>
      <c r="R305" s="54"/>
      <c r="S305" s="54"/>
      <c r="T305" s="54"/>
      <c r="U305" s="54"/>
      <c r="V305" s="54"/>
      <c r="W305" s="54"/>
      <c r="X305" s="54"/>
      <c r="Y305" s="54"/>
      <c r="Z305" s="54"/>
    </row>
    <row r="306" spans="1:26" ht="22.5" customHeight="1">
      <c r="A306" s="602" t="s">
        <v>98</v>
      </c>
      <c r="B306" s="600"/>
      <c r="C306" s="67" t="s">
        <v>42</v>
      </c>
      <c r="D306" s="68">
        <f>'Proposed Rates'!F138</f>
        <v>-0.56999999999999995</v>
      </c>
      <c r="E306" s="68"/>
      <c r="F306" s="54"/>
      <c r="G306" s="54"/>
      <c r="H306" s="54"/>
      <c r="I306" s="54"/>
      <c r="J306" s="54"/>
      <c r="K306" s="54"/>
      <c r="L306" s="54"/>
      <c r="M306" s="54"/>
      <c r="N306" s="54"/>
      <c r="O306" s="54"/>
      <c r="P306" s="54"/>
      <c r="Q306" s="54"/>
      <c r="R306" s="54"/>
      <c r="S306" s="54"/>
      <c r="T306" s="54"/>
      <c r="U306" s="54"/>
      <c r="V306" s="54"/>
      <c r="W306" s="54"/>
      <c r="X306" s="54"/>
      <c r="Y306" s="54"/>
      <c r="Z306" s="54"/>
    </row>
    <row r="307" spans="1:26" ht="22.5" customHeight="1">
      <c r="A307" s="602" t="s">
        <v>99</v>
      </c>
      <c r="B307" s="600"/>
      <c r="C307" s="67" t="s">
        <v>42</v>
      </c>
      <c r="D307" s="68">
        <f>'Proposed Rates'!F139</f>
        <v>-0.56999999999999995</v>
      </c>
      <c r="E307" s="68"/>
      <c r="F307" s="54"/>
      <c r="G307" s="54"/>
      <c r="H307" s="54"/>
      <c r="I307" s="54"/>
      <c r="J307" s="54"/>
      <c r="K307" s="54"/>
      <c r="L307" s="54"/>
      <c r="M307" s="54"/>
      <c r="N307" s="54"/>
      <c r="O307" s="54"/>
      <c r="P307" s="54"/>
      <c r="Q307" s="54"/>
      <c r="R307" s="54"/>
      <c r="S307" s="54"/>
      <c r="T307" s="54"/>
      <c r="U307" s="54"/>
      <c r="V307" s="54"/>
      <c r="W307" s="54"/>
      <c r="X307" s="54"/>
      <c r="Y307" s="54"/>
      <c r="Z307" s="54"/>
    </row>
    <row r="308" spans="1:26" ht="10.5" customHeight="1">
      <c r="A308" s="73"/>
      <c r="B308" s="84"/>
      <c r="C308" s="89"/>
      <c r="D308" s="93"/>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23.25" customHeight="1">
      <c r="A309" s="588" t="str">
        <f>$A$42</f>
        <v>Hydro Ottawa Limited</v>
      </c>
      <c r="B309" s="589"/>
      <c r="C309" s="589"/>
      <c r="D309" s="590"/>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18" customHeight="1">
      <c r="A310" s="591" t="str">
        <f>$A$43</f>
        <v>TARIFF OF RATES AND CHARGES</v>
      </c>
      <c r="B310" s="589"/>
      <c r="C310" s="589"/>
      <c r="D310" s="590"/>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592" t="s">
        <v>28</v>
      </c>
      <c r="B311" s="589"/>
      <c r="C311" s="589"/>
      <c r="D311" s="590"/>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15.75" customHeight="1">
      <c r="A312" s="592" t="s">
        <v>29</v>
      </c>
      <c r="B312" s="589"/>
      <c r="C312" s="589"/>
      <c r="D312" s="590"/>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1.25" customHeight="1">
      <c r="A313" s="593" t="str">
        <f>$A$46</f>
        <v>This schedule supersedes and replaces all previously</v>
      </c>
      <c r="B313" s="589"/>
      <c r="C313" s="589"/>
      <c r="D313" s="590"/>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1.25" customHeight="1">
      <c r="A314" s="593" t="str">
        <f>$A$47</f>
        <v>approved schedules of Rates, Charges and Loss Factors</v>
      </c>
      <c r="B314" s="589"/>
      <c r="C314" s="589"/>
      <c r="D314" s="590"/>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1.25" customHeight="1">
      <c r="A315" s="594" t="str">
        <f>$A$48</f>
        <v>EB-2024-0115</v>
      </c>
      <c r="B315" s="589"/>
      <c r="C315" s="589"/>
      <c r="D315" s="590"/>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8.75" customHeight="1">
      <c r="A316" s="595" t="s">
        <v>100</v>
      </c>
      <c r="B316" s="589"/>
      <c r="C316" s="589"/>
      <c r="D316" s="590"/>
      <c r="E316" s="76"/>
      <c r="F316" s="76"/>
      <c r="G316" s="76"/>
      <c r="H316" s="76"/>
      <c r="I316" s="76"/>
      <c r="J316" s="76"/>
      <c r="K316" s="76"/>
      <c r="L316" s="76"/>
      <c r="M316" s="76"/>
      <c r="N316" s="76"/>
      <c r="O316" s="76"/>
      <c r="P316" s="76"/>
      <c r="Q316" s="76"/>
      <c r="R316" s="76"/>
      <c r="S316" s="76"/>
      <c r="T316" s="76"/>
      <c r="U316" s="76"/>
      <c r="V316" s="76"/>
      <c r="W316" s="76"/>
      <c r="X316" s="76"/>
      <c r="Y316" s="76"/>
      <c r="Z316" s="76"/>
    </row>
    <row r="317" spans="1:26" ht="36" customHeight="1">
      <c r="A317" s="596" t="s">
        <v>101</v>
      </c>
      <c r="B317" s="589"/>
      <c r="C317" s="589"/>
      <c r="D317" s="590"/>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6.75" customHeight="1">
      <c r="A318" s="55"/>
      <c r="B318" s="55"/>
      <c r="C318" s="55"/>
      <c r="D318" s="56"/>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1.25" customHeight="1">
      <c r="A319" s="597" t="s">
        <v>35</v>
      </c>
      <c r="B319" s="589"/>
      <c r="C319" s="589"/>
      <c r="D319" s="590"/>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6.75" customHeight="1">
      <c r="A320" s="57"/>
      <c r="B320" s="58"/>
      <c r="C320" s="58"/>
      <c r="D320" s="59"/>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36" customHeight="1">
      <c r="A321" s="596" t="s">
        <v>36</v>
      </c>
      <c r="B321" s="589"/>
      <c r="C321" s="589"/>
      <c r="D321" s="590"/>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6.75" customHeight="1">
      <c r="A322" s="55"/>
      <c r="B322" s="55"/>
      <c r="C322" s="55"/>
      <c r="D322" s="56"/>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48" customHeight="1">
      <c r="A323" s="596" t="s">
        <v>37</v>
      </c>
      <c r="B323" s="589"/>
      <c r="C323" s="589"/>
      <c r="D323" s="590"/>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6.75" customHeight="1">
      <c r="A324" s="55"/>
      <c r="B324" s="55"/>
      <c r="C324" s="55"/>
      <c r="D324" s="56"/>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48" customHeight="1">
      <c r="A325" s="596" t="s">
        <v>38</v>
      </c>
      <c r="B325" s="589"/>
      <c r="C325" s="589"/>
      <c r="D325" s="590"/>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6.75" customHeight="1">
      <c r="A326" s="55"/>
      <c r="B326" s="55"/>
      <c r="C326" s="55"/>
      <c r="D326" s="56"/>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36" customHeight="1">
      <c r="A327" s="596" t="s">
        <v>39</v>
      </c>
      <c r="B327" s="589"/>
      <c r="C327" s="589"/>
      <c r="D327" s="590"/>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6.75" customHeight="1">
      <c r="A328" s="55"/>
      <c r="B328" s="55"/>
      <c r="C328" s="55"/>
      <c r="D328" s="56"/>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5" customHeight="1">
      <c r="A329" s="75" t="s">
        <v>40</v>
      </c>
      <c r="B329" s="64"/>
      <c r="C329" s="64"/>
      <c r="D329" s="77"/>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6.75" customHeight="1">
      <c r="A330" s="60"/>
      <c r="B330" s="61"/>
      <c r="C330" s="61"/>
      <c r="D330" s="62"/>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0.5" customHeight="1">
      <c r="A331" s="63" t="s">
        <v>85</v>
      </c>
      <c r="B331" s="64"/>
      <c r="C331" s="65" t="s">
        <v>42</v>
      </c>
      <c r="D331" s="66">
        <f>'Proposed Rates'!F14</f>
        <v>8.02</v>
      </c>
      <c r="E331" s="66"/>
      <c r="F331" s="54"/>
      <c r="G331" s="54"/>
      <c r="H331" s="54"/>
      <c r="I331" s="54"/>
      <c r="J331" s="54"/>
      <c r="K331" s="54"/>
      <c r="L331" s="54"/>
      <c r="M331" s="54"/>
      <c r="N331" s="54"/>
      <c r="O331" s="54"/>
      <c r="P331" s="54"/>
      <c r="Q331" s="54"/>
      <c r="R331" s="54"/>
      <c r="S331" s="54"/>
      <c r="T331" s="54"/>
      <c r="U331" s="54"/>
      <c r="V331" s="54"/>
      <c r="W331" s="54"/>
      <c r="X331" s="54"/>
      <c r="Y331" s="54"/>
      <c r="Z331" s="54"/>
    </row>
    <row r="332" spans="1:26" ht="10.5" customHeight="1">
      <c r="A332" s="599" t="s">
        <v>43</v>
      </c>
      <c r="B332" s="600"/>
      <c r="C332" s="67" t="s">
        <v>42</v>
      </c>
      <c r="D332" s="68">
        <f>'Proposed Rates'!F135</f>
        <v>0.37</v>
      </c>
      <c r="E332" s="68"/>
      <c r="F332" s="54"/>
      <c r="G332" s="54"/>
      <c r="H332" s="54"/>
      <c r="I332" s="54"/>
      <c r="J332" s="54"/>
      <c r="K332" s="54"/>
      <c r="L332" s="54"/>
      <c r="M332" s="54"/>
      <c r="N332" s="54"/>
      <c r="O332" s="54"/>
      <c r="P332" s="54"/>
      <c r="Q332" s="54"/>
      <c r="R332" s="54"/>
      <c r="S332" s="54"/>
      <c r="T332" s="54"/>
      <c r="U332" s="54"/>
      <c r="V332" s="54"/>
      <c r="W332" s="54"/>
      <c r="X332" s="54"/>
      <c r="Y332" s="54"/>
      <c r="Z332" s="54"/>
    </row>
    <row r="333" spans="1:26" ht="10.5" customHeight="1">
      <c r="A333" s="63" t="s">
        <v>62</v>
      </c>
      <c r="B333" s="64"/>
      <c r="C333" s="65" t="s">
        <v>69</v>
      </c>
      <c r="D333" s="69">
        <f>'Proposed Rates'!F27</f>
        <v>37.632599999999996</v>
      </c>
      <c r="E333" s="69"/>
      <c r="F333" s="54"/>
      <c r="G333" s="54"/>
      <c r="H333" s="54"/>
      <c r="I333" s="54"/>
      <c r="J333" s="54"/>
      <c r="K333" s="54"/>
      <c r="L333" s="54"/>
      <c r="M333" s="54"/>
      <c r="N333" s="54"/>
      <c r="O333" s="54"/>
      <c r="P333" s="54"/>
      <c r="Q333" s="54"/>
      <c r="R333" s="54"/>
      <c r="S333" s="54"/>
      <c r="T333" s="54"/>
      <c r="U333" s="54"/>
      <c r="V333" s="54"/>
      <c r="W333" s="54"/>
      <c r="X333" s="54"/>
      <c r="Y333" s="54"/>
      <c r="Z333" s="54"/>
    </row>
    <row r="334" spans="1:26" ht="10.5" customHeight="1">
      <c r="A334" s="63" t="s">
        <v>47</v>
      </c>
      <c r="B334" s="64"/>
      <c r="C334" s="65" t="s">
        <v>69</v>
      </c>
      <c r="D334" s="71">
        <f>'Proposed Rates'!F273</f>
        <v>4.3499999999999997E-3</v>
      </c>
      <c r="E334" s="71"/>
      <c r="F334" s="54"/>
      <c r="G334" s="54"/>
      <c r="H334" s="54"/>
      <c r="I334" s="54"/>
      <c r="J334" s="54"/>
      <c r="K334" s="54"/>
      <c r="L334" s="54"/>
      <c r="M334" s="54"/>
      <c r="N334" s="54"/>
      <c r="O334" s="54"/>
      <c r="P334" s="54"/>
      <c r="Q334" s="54"/>
      <c r="R334" s="54"/>
      <c r="S334" s="54"/>
      <c r="T334" s="54"/>
      <c r="U334" s="54"/>
      <c r="V334" s="54"/>
      <c r="W334" s="54"/>
      <c r="X334" s="54"/>
      <c r="Y334" s="54"/>
      <c r="Z334" s="54"/>
    </row>
    <row r="335" spans="1:26" ht="10.5" customHeight="1">
      <c r="A335" s="63" t="s">
        <v>49</v>
      </c>
      <c r="B335" s="64"/>
      <c r="C335" s="65" t="s">
        <v>69</v>
      </c>
      <c r="D335" s="72">
        <f>'Proposed Rates'!F43</f>
        <v>-0.2661</v>
      </c>
      <c r="E335" s="69"/>
      <c r="F335" s="54"/>
      <c r="G335" s="54"/>
      <c r="H335" s="54"/>
      <c r="I335" s="54"/>
      <c r="J335" s="54"/>
      <c r="K335" s="54"/>
      <c r="L335" s="54"/>
      <c r="M335" s="54"/>
      <c r="N335" s="54"/>
      <c r="O335" s="54"/>
      <c r="P335" s="54"/>
      <c r="Q335" s="54"/>
      <c r="R335" s="54"/>
      <c r="S335" s="54"/>
      <c r="T335" s="54"/>
      <c r="U335" s="54"/>
      <c r="V335" s="54"/>
      <c r="W335" s="54"/>
      <c r="X335" s="54"/>
      <c r="Y335" s="54"/>
      <c r="Z335" s="54"/>
    </row>
    <row r="336" spans="1:26" ht="26.25" customHeight="1">
      <c r="A336" s="73" t="s">
        <v>50</v>
      </c>
      <c r="B336" s="64"/>
      <c r="C336" s="65" t="s">
        <v>48</v>
      </c>
      <c r="D336" s="69">
        <f>'Proposed Rates'!$F$109</f>
        <v>8.0000000000000004E-4</v>
      </c>
      <c r="E336" s="69"/>
      <c r="F336" s="54"/>
      <c r="G336" s="54"/>
      <c r="H336" s="54"/>
      <c r="I336" s="54"/>
      <c r="J336" s="54"/>
      <c r="K336" s="54"/>
      <c r="L336" s="54"/>
      <c r="M336" s="54"/>
      <c r="N336" s="54"/>
      <c r="O336" s="54"/>
      <c r="P336" s="54"/>
      <c r="Q336" s="54"/>
      <c r="R336" s="54"/>
      <c r="S336" s="54"/>
      <c r="T336" s="54"/>
      <c r="U336" s="54"/>
      <c r="V336" s="54"/>
      <c r="W336" s="54"/>
      <c r="X336" s="54"/>
      <c r="Y336" s="54"/>
      <c r="Z336" s="54"/>
    </row>
    <row r="337" spans="1:26" ht="10.5" customHeight="1">
      <c r="A337" s="63" t="s">
        <v>45</v>
      </c>
      <c r="B337" s="64"/>
      <c r="C337" s="65" t="s">
        <v>69</v>
      </c>
      <c r="D337" s="72">
        <f>'Proposed Rates'!F70</f>
        <v>-2.2843</v>
      </c>
      <c r="E337" s="69"/>
      <c r="F337" s="54"/>
      <c r="G337" s="54"/>
      <c r="H337" s="54"/>
      <c r="I337" s="54"/>
      <c r="J337" s="54"/>
      <c r="K337" s="54"/>
      <c r="L337" s="54"/>
      <c r="M337" s="54"/>
      <c r="N337" s="54"/>
      <c r="O337" s="54"/>
      <c r="P337" s="54"/>
      <c r="Q337" s="54"/>
      <c r="R337" s="54"/>
      <c r="S337" s="54"/>
      <c r="T337" s="54"/>
      <c r="U337" s="54"/>
      <c r="V337" s="54"/>
      <c r="W337" s="54"/>
      <c r="X337" s="54"/>
      <c r="Y337" s="54"/>
      <c r="Z337" s="54"/>
    </row>
    <row r="338" spans="1:26" ht="10.5" customHeight="1">
      <c r="A338" s="63" t="s">
        <v>51</v>
      </c>
      <c r="B338" s="64"/>
      <c r="C338" s="65" t="s">
        <v>48</v>
      </c>
      <c r="D338" s="69">
        <f>'Proposed Rates'!F151</f>
        <v>0</v>
      </c>
      <c r="E338" s="69"/>
      <c r="F338" s="54"/>
      <c r="G338" s="54"/>
      <c r="H338" s="54"/>
      <c r="I338" s="54"/>
      <c r="J338" s="54"/>
      <c r="K338" s="54"/>
      <c r="L338" s="54"/>
      <c r="M338" s="54"/>
      <c r="N338" s="54"/>
      <c r="O338" s="54"/>
      <c r="P338" s="54"/>
      <c r="Q338" s="54"/>
      <c r="R338" s="54"/>
      <c r="S338" s="54"/>
      <c r="T338" s="54"/>
      <c r="U338" s="54"/>
      <c r="V338" s="54"/>
      <c r="W338" s="54"/>
      <c r="X338" s="54"/>
      <c r="Y338" s="54"/>
      <c r="Z338" s="54"/>
    </row>
    <row r="339" spans="1:26" ht="10.5" customHeight="1">
      <c r="A339" s="599" t="s">
        <v>43</v>
      </c>
      <c r="B339" s="600"/>
      <c r="C339" s="67" t="s">
        <v>69</v>
      </c>
      <c r="D339" s="72">
        <f>'Proposed Rates'!F122</f>
        <v>1.8109999999999999</v>
      </c>
      <c r="E339" s="72"/>
      <c r="F339" s="54"/>
      <c r="G339" s="54"/>
      <c r="H339" s="54"/>
      <c r="I339" s="54"/>
      <c r="J339" s="54"/>
      <c r="K339" s="54"/>
      <c r="L339" s="54"/>
      <c r="M339" s="54"/>
      <c r="N339" s="54"/>
      <c r="O339" s="54"/>
      <c r="P339" s="54"/>
      <c r="Q339" s="54"/>
      <c r="R339" s="54"/>
      <c r="S339" s="54"/>
      <c r="T339" s="54"/>
      <c r="U339" s="54"/>
      <c r="V339" s="54"/>
      <c r="W339" s="54"/>
      <c r="X339" s="54"/>
      <c r="Y339" s="54"/>
      <c r="Z339" s="54"/>
    </row>
    <row r="340" spans="1:26" ht="10.5" customHeight="1">
      <c r="A340" s="63" t="s">
        <v>52</v>
      </c>
      <c r="B340" s="64"/>
      <c r="C340" s="65" t="s">
        <v>69</v>
      </c>
      <c r="D340" s="69">
        <f>'Proposed Rates'!F194</f>
        <v>0.85450000000000004</v>
      </c>
      <c r="E340" s="69"/>
      <c r="F340" s="54"/>
      <c r="G340" s="54"/>
      <c r="H340" s="54"/>
      <c r="I340" s="54"/>
      <c r="J340" s="54"/>
      <c r="K340" s="54"/>
      <c r="L340" s="54"/>
      <c r="M340" s="54"/>
      <c r="N340" s="54"/>
      <c r="O340" s="54"/>
      <c r="P340" s="54"/>
      <c r="Q340" s="54"/>
      <c r="R340" s="54"/>
      <c r="S340" s="54"/>
      <c r="T340" s="54"/>
      <c r="U340" s="54"/>
      <c r="V340" s="54"/>
      <c r="W340" s="54"/>
      <c r="X340" s="54"/>
      <c r="Y340" s="54"/>
      <c r="Z340" s="54"/>
    </row>
    <row r="341" spans="1:26" ht="10.5" customHeight="1">
      <c r="A341" s="94" t="s">
        <v>53</v>
      </c>
      <c r="B341" s="64"/>
      <c r="C341" s="95" t="s">
        <v>69</v>
      </c>
      <c r="D341" s="96">
        <f>'Proposed Rates'!F209</f>
        <v>0.48370000000000002</v>
      </c>
      <c r="E341" s="96"/>
      <c r="F341" s="54"/>
      <c r="G341" s="54"/>
      <c r="H341" s="54"/>
      <c r="I341" s="54"/>
      <c r="J341" s="54"/>
      <c r="K341" s="54"/>
      <c r="L341" s="54"/>
      <c r="M341" s="54"/>
      <c r="N341" s="54"/>
      <c r="O341" s="54"/>
      <c r="P341" s="54"/>
      <c r="Q341" s="54"/>
      <c r="R341" s="54"/>
      <c r="S341" s="54"/>
      <c r="T341" s="54"/>
      <c r="U341" s="54"/>
      <c r="V341" s="54"/>
      <c r="W341" s="54"/>
      <c r="X341" s="54"/>
      <c r="Y341" s="54"/>
      <c r="Z341" s="54"/>
    </row>
    <row r="342" spans="1:26" ht="5.25" customHeight="1">
      <c r="A342" s="94"/>
      <c r="B342" s="64"/>
      <c r="C342" s="95"/>
      <c r="D342" s="97"/>
      <c r="E342" s="97"/>
      <c r="F342" s="54"/>
      <c r="G342" s="54"/>
      <c r="H342" s="54"/>
      <c r="I342" s="54"/>
      <c r="J342" s="54"/>
      <c r="K342" s="54"/>
      <c r="L342" s="54"/>
      <c r="M342" s="54"/>
      <c r="N342" s="54"/>
      <c r="O342" s="54"/>
      <c r="P342" s="54"/>
      <c r="Q342" s="54"/>
      <c r="R342" s="54"/>
      <c r="S342" s="54"/>
      <c r="T342" s="54"/>
      <c r="U342" s="54"/>
      <c r="V342" s="54"/>
      <c r="W342" s="54"/>
      <c r="X342" s="54"/>
      <c r="Y342" s="54"/>
      <c r="Z342" s="54"/>
    </row>
    <row r="343" spans="1:26" ht="15" customHeight="1">
      <c r="A343" s="75" t="s">
        <v>54</v>
      </c>
      <c r="B343" s="64"/>
      <c r="C343" s="65"/>
      <c r="D343" s="74"/>
      <c r="E343" s="74"/>
      <c r="F343" s="54"/>
      <c r="G343" s="54"/>
      <c r="H343" s="54"/>
      <c r="I343" s="54"/>
      <c r="J343" s="54"/>
      <c r="K343" s="54"/>
      <c r="L343" s="54"/>
      <c r="M343" s="54"/>
      <c r="N343" s="54"/>
      <c r="O343" s="54"/>
      <c r="P343" s="54"/>
      <c r="Q343" s="54"/>
      <c r="R343" s="54"/>
      <c r="S343" s="54"/>
      <c r="T343" s="54"/>
      <c r="U343" s="54"/>
      <c r="V343" s="54"/>
      <c r="W343" s="54"/>
      <c r="X343" s="54"/>
      <c r="Y343" s="54"/>
      <c r="Z343" s="54"/>
    </row>
    <row r="344" spans="1:26" ht="6.75" customHeight="1">
      <c r="A344" s="60"/>
      <c r="B344" s="65"/>
      <c r="C344" s="65"/>
      <c r="D344" s="74"/>
      <c r="E344" s="74"/>
      <c r="F344" s="54"/>
      <c r="G344" s="54"/>
      <c r="H344" s="54"/>
      <c r="I344" s="54"/>
      <c r="J344" s="54"/>
      <c r="K344" s="54"/>
      <c r="L344" s="54"/>
      <c r="M344" s="54"/>
      <c r="N344" s="54"/>
      <c r="O344" s="54"/>
      <c r="P344" s="54"/>
      <c r="Q344" s="54"/>
      <c r="R344" s="54"/>
      <c r="S344" s="54"/>
      <c r="T344" s="54"/>
      <c r="U344" s="54"/>
      <c r="V344" s="54"/>
      <c r="W344" s="54"/>
      <c r="X344" s="54"/>
      <c r="Y344" s="54"/>
      <c r="Z344" s="54"/>
    </row>
    <row r="345" spans="1:26" ht="10.5" customHeight="1">
      <c r="A345" s="63" t="s">
        <v>55</v>
      </c>
      <c r="B345" s="64"/>
      <c r="C345" s="65" t="s">
        <v>48</v>
      </c>
      <c r="D345" s="69">
        <f>$D$37</f>
        <v>4.1000000000000003E-3</v>
      </c>
      <c r="E345" s="69"/>
      <c r="F345" s="54"/>
      <c r="G345" s="54"/>
      <c r="H345" s="54"/>
      <c r="I345" s="54"/>
      <c r="J345" s="54"/>
      <c r="K345" s="54"/>
      <c r="L345" s="54"/>
      <c r="M345" s="54"/>
      <c r="N345" s="54"/>
      <c r="O345" s="54"/>
      <c r="P345" s="54"/>
      <c r="Q345" s="54"/>
      <c r="R345" s="54"/>
      <c r="S345" s="54"/>
      <c r="T345" s="54"/>
      <c r="U345" s="54"/>
      <c r="V345" s="54"/>
      <c r="W345" s="54"/>
      <c r="X345" s="54"/>
      <c r="Y345" s="54"/>
      <c r="Z345" s="54"/>
    </row>
    <row r="346" spans="1:26" ht="10.5" customHeight="1">
      <c r="A346" s="63" t="s">
        <v>56</v>
      </c>
      <c r="B346" s="64"/>
      <c r="C346" s="65" t="s">
        <v>48</v>
      </c>
      <c r="D346" s="69">
        <f>'Proposed Rates'!F222-'2026'!D345</f>
        <v>5.9999999999999984E-4</v>
      </c>
      <c r="E346" s="69"/>
      <c r="F346" s="54"/>
      <c r="G346" s="54"/>
      <c r="H346" s="54"/>
      <c r="I346" s="54"/>
      <c r="J346" s="54"/>
      <c r="K346" s="54"/>
      <c r="L346" s="54"/>
      <c r="M346" s="54"/>
      <c r="N346" s="54"/>
      <c r="O346" s="54"/>
      <c r="P346" s="54"/>
      <c r="Q346" s="54"/>
      <c r="R346" s="54"/>
      <c r="S346" s="54"/>
      <c r="T346" s="54"/>
      <c r="U346" s="54"/>
      <c r="V346" s="54"/>
      <c r="W346" s="54"/>
      <c r="X346" s="54"/>
      <c r="Y346" s="54"/>
      <c r="Z346" s="54"/>
    </row>
    <row r="347" spans="1:26" ht="10.5" customHeight="1">
      <c r="A347" s="63" t="s">
        <v>57</v>
      </c>
      <c r="B347" s="64"/>
      <c r="C347" s="65" t="s">
        <v>48</v>
      </c>
      <c r="D347" s="69">
        <f>'Proposed Rates'!F235</f>
        <v>5.9999999999999995E-4</v>
      </c>
      <c r="E347" s="69"/>
      <c r="F347" s="54"/>
      <c r="G347" s="54"/>
      <c r="H347" s="54"/>
      <c r="I347" s="54"/>
      <c r="J347" s="54"/>
      <c r="K347" s="54"/>
      <c r="L347" s="54"/>
      <c r="M347" s="54"/>
      <c r="N347" s="54"/>
      <c r="O347" s="54"/>
      <c r="P347" s="54"/>
      <c r="Q347" s="54"/>
      <c r="R347" s="54"/>
      <c r="S347" s="54"/>
      <c r="T347" s="54"/>
      <c r="U347" s="54"/>
      <c r="V347" s="54"/>
      <c r="W347" s="54"/>
      <c r="X347" s="54"/>
      <c r="Y347" s="54"/>
      <c r="Z347" s="54"/>
    </row>
    <row r="348" spans="1:26" ht="10.5" customHeight="1">
      <c r="A348" s="63" t="s">
        <v>58</v>
      </c>
      <c r="B348" s="64"/>
      <c r="C348" s="65" t="s">
        <v>42</v>
      </c>
      <c r="D348" s="70">
        <f>'Proposed Rates'!F249</f>
        <v>0.25</v>
      </c>
      <c r="E348" s="70"/>
      <c r="F348" s="54"/>
      <c r="G348" s="54"/>
      <c r="H348" s="54"/>
      <c r="I348" s="54"/>
      <c r="J348" s="54"/>
      <c r="K348" s="54"/>
      <c r="L348" s="54"/>
      <c r="M348" s="54"/>
      <c r="N348" s="54"/>
      <c r="O348" s="54"/>
      <c r="P348" s="54"/>
      <c r="Q348" s="54"/>
      <c r="R348" s="54"/>
      <c r="S348" s="54"/>
      <c r="T348" s="54"/>
      <c r="U348" s="54"/>
      <c r="V348" s="54"/>
      <c r="W348" s="54"/>
      <c r="X348" s="54"/>
      <c r="Y348" s="54"/>
      <c r="Z348" s="54"/>
    </row>
    <row r="349" spans="1:26" ht="6" customHeight="1">
      <c r="A349" s="63"/>
      <c r="B349" s="64"/>
      <c r="C349" s="65"/>
      <c r="D349" s="70"/>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23.25" customHeight="1">
      <c r="A350" s="588" t="str">
        <f>$A$42</f>
        <v>Hydro Ottawa Limited</v>
      </c>
      <c r="B350" s="589"/>
      <c r="C350" s="589"/>
      <c r="D350" s="590"/>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8" customHeight="1">
      <c r="A351" s="591" t="str">
        <f>$A$43</f>
        <v>TARIFF OF RATES AND CHARGES</v>
      </c>
      <c r="B351" s="589"/>
      <c r="C351" s="589"/>
      <c r="D351" s="590"/>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75" customHeight="1">
      <c r="A352" s="592" t="s">
        <v>28</v>
      </c>
      <c r="B352" s="589"/>
      <c r="C352" s="589"/>
      <c r="D352" s="590"/>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5.75" customHeight="1">
      <c r="A353" s="592" t="s">
        <v>29</v>
      </c>
      <c r="B353" s="589"/>
      <c r="C353" s="589"/>
      <c r="D353" s="590"/>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1.25" customHeight="1">
      <c r="A354" s="593" t="str">
        <f>$A$46</f>
        <v>This schedule supersedes and replaces all previously</v>
      </c>
      <c r="B354" s="589"/>
      <c r="C354" s="589"/>
      <c r="D354" s="590"/>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1.25" customHeight="1">
      <c r="A355" s="593" t="str">
        <f>$A$47</f>
        <v>approved schedules of Rates, Charges and Loss Factors</v>
      </c>
      <c r="B355" s="589"/>
      <c r="C355" s="589"/>
      <c r="D355" s="590"/>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1.25" customHeight="1">
      <c r="A356" s="594" t="str">
        <f>$A$48</f>
        <v>EB-2024-0115</v>
      </c>
      <c r="B356" s="589"/>
      <c r="C356" s="589"/>
      <c r="D356" s="590"/>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8.75" customHeight="1">
      <c r="A357" s="595" t="s">
        <v>102</v>
      </c>
      <c r="B357" s="589"/>
      <c r="C357" s="589"/>
      <c r="D357" s="590"/>
      <c r="E357" s="76"/>
      <c r="F357" s="76"/>
      <c r="G357" s="76"/>
      <c r="H357" s="76"/>
      <c r="I357" s="76"/>
      <c r="J357" s="76"/>
      <c r="K357" s="76"/>
      <c r="L357" s="76"/>
      <c r="M357" s="76"/>
      <c r="N357" s="76"/>
      <c r="O357" s="76"/>
      <c r="P357" s="76"/>
      <c r="Q357" s="76"/>
      <c r="R357" s="76"/>
      <c r="S357" s="76"/>
      <c r="T357" s="76"/>
      <c r="U357" s="76"/>
      <c r="V357" s="76"/>
      <c r="W357" s="76"/>
      <c r="X357" s="76"/>
      <c r="Y357" s="76"/>
      <c r="Z357" s="76"/>
    </row>
    <row r="358" spans="1:26" ht="60" customHeight="1">
      <c r="A358" s="596" t="s">
        <v>103</v>
      </c>
      <c r="B358" s="589"/>
      <c r="C358" s="589"/>
      <c r="D358" s="590"/>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6.75" customHeight="1">
      <c r="A359" s="55"/>
      <c r="B359" s="55"/>
      <c r="C359" s="55"/>
      <c r="D359" s="56"/>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1.25" customHeight="1">
      <c r="A360" s="597" t="s">
        <v>35</v>
      </c>
      <c r="B360" s="589"/>
      <c r="C360" s="589"/>
      <c r="D360" s="590"/>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6.75" customHeight="1">
      <c r="A361" s="57"/>
      <c r="B361" s="58"/>
      <c r="C361" s="58"/>
      <c r="D361" s="59"/>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36" customHeight="1">
      <c r="A362" s="596" t="s">
        <v>36</v>
      </c>
      <c r="B362" s="589"/>
      <c r="C362" s="589"/>
      <c r="D362" s="590"/>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6.75" customHeight="1">
      <c r="A363" s="55"/>
      <c r="B363" s="55"/>
      <c r="C363" s="55"/>
      <c r="D363" s="56"/>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48" customHeight="1">
      <c r="A364" s="596" t="s">
        <v>37</v>
      </c>
      <c r="B364" s="589"/>
      <c r="C364" s="589"/>
      <c r="D364" s="590"/>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6.75" customHeight="1">
      <c r="A365" s="55"/>
      <c r="B365" s="55"/>
      <c r="C365" s="55"/>
      <c r="D365" s="56"/>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48" customHeight="1">
      <c r="A366" s="596" t="s">
        <v>38</v>
      </c>
      <c r="B366" s="589"/>
      <c r="C366" s="589"/>
      <c r="D366" s="590"/>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6.75" customHeight="1">
      <c r="A367" s="55"/>
      <c r="B367" s="55"/>
      <c r="C367" s="55"/>
      <c r="D367" s="56"/>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36" customHeight="1">
      <c r="A368" s="596" t="s">
        <v>104</v>
      </c>
      <c r="B368" s="589"/>
      <c r="C368" s="589"/>
      <c r="D368" s="590"/>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6.75" customHeight="1">
      <c r="A369" s="55"/>
      <c r="B369" s="55"/>
      <c r="C369" s="55"/>
      <c r="D369" s="56"/>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5" customHeight="1">
      <c r="A370" s="75" t="s">
        <v>40</v>
      </c>
      <c r="B370" s="64"/>
      <c r="C370" s="64"/>
      <c r="D370" s="77"/>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6.75" customHeight="1">
      <c r="A371" s="60"/>
      <c r="B371" s="61"/>
      <c r="C371" s="61"/>
      <c r="D371" s="62"/>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10.5" customHeight="1">
      <c r="A372" s="63" t="s">
        <v>85</v>
      </c>
      <c r="B372" s="64"/>
      <c r="C372" s="65" t="s">
        <v>42</v>
      </c>
      <c r="D372" s="66">
        <f>'Proposed Rates'!F13</f>
        <v>1.19</v>
      </c>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0.5" customHeight="1">
      <c r="A373" s="599" t="s">
        <v>43</v>
      </c>
      <c r="B373" s="600"/>
      <c r="C373" s="67" t="s">
        <v>42</v>
      </c>
      <c r="D373" s="68">
        <f>'Proposed Rates'!F134</f>
        <v>0.03</v>
      </c>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0.5" customHeight="1">
      <c r="A374" s="63" t="s">
        <v>62</v>
      </c>
      <c r="B374" s="64"/>
      <c r="C374" s="65" t="s">
        <v>69</v>
      </c>
      <c r="D374" s="69">
        <f>'Proposed Rates'!F26</f>
        <v>8.3054000000000006</v>
      </c>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0.5" customHeight="1">
      <c r="A375" s="63" t="s">
        <v>47</v>
      </c>
      <c r="B375" s="64"/>
      <c r="C375" s="65" t="s">
        <v>69</v>
      </c>
      <c r="D375" s="71">
        <f>'Proposed Rates'!F272</f>
        <v>1.099E-2</v>
      </c>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0.5" customHeight="1">
      <c r="A376" s="63" t="s">
        <v>49</v>
      </c>
      <c r="B376" s="64"/>
      <c r="C376" s="65" t="s">
        <v>69</v>
      </c>
      <c r="D376" s="72">
        <f>'Proposed Rates'!F42</f>
        <v>-0.3805</v>
      </c>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24" customHeight="1">
      <c r="A377" s="73" t="s">
        <v>50</v>
      </c>
      <c r="B377" s="64"/>
      <c r="C377" s="65" t="s">
        <v>48</v>
      </c>
      <c r="D377" s="69">
        <f>'Proposed Rates'!$F$108</f>
        <v>8.0000000000000004E-4</v>
      </c>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1.25" customHeight="1">
      <c r="A378" s="63" t="s">
        <v>45</v>
      </c>
      <c r="B378" s="64"/>
      <c r="C378" s="65" t="s">
        <v>69</v>
      </c>
      <c r="D378" s="72">
        <f>'Proposed Rates'!F69</f>
        <v>-0.71650000000000003</v>
      </c>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24" customHeight="1">
      <c r="A379" s="73" t="s">
        <v>63</v>
      </c>
      <c r="B379" s="64"/>
      <c r="C379" s="65" t="s">
        <v>69</v>
      </c>
      <c r="D379" s="72">
        <f>'Proposed Rates'!F95</f>
        <v>-1.0437000000000001</v>
      </c>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0.5" customHeight="1">
      <c r="A380" s="63" t="s">
        <v>51</v>
      </c>
      <c r="B380" s="64"/>
      <c r="C380" s="65" t="s">
        <v>48</v>
      </c>
      <c r="D380" s="69">
        <f>'Proposed Rates'!F150</f>
        <v>4.4999999999999997E-3</v>
      </c>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0.5" customHeight="1">
      <c r="A381" s="63" t="s">
        <v>105</v>
      </c>
      <c r="B381" s="64"/>
      <c r="C381" s="65" t="s">
        <v>69</v>
      </c>
      <c r="D381" s="69">
        <f>'Proposed Rates'!F82</f>
        <v>4.8925000000000001</v>
      </c>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0.5" customHeight="1">
      <c r="A382" s="599" t="s">
        <v>43</v>
      </c>
      <c r="B382" s="600"/>
      <c r="C382" s="67" t="s">
        <v>69</v>
      </c>
      <c r="D382" s="72">
        <f>'Proposed Rates'!F121</f>
        <v>0.20150000000000001</v>
      </c>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0.5" customHeight="1">
      <c r="A383" s="63" t="s">
        <v>52</v>
      </c>
      <c r="B383" s="64"/>
      <c r="C383" s="65" t="s">
        <v>69</v>
      </c>
      <c r="D383" s="69">
        <f>'Proposed Rates'!F193</f>
        <v>2.1576</v>
      </c>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0.5" customHeight="1">
      <c r="A384" s="63" t="s">
        <v>53</v>
      </c>
      <c r="B384" s="64"/>
      <c r="C384" s="65" t="s">
        <v>69</v>
      </c>
      <c r="D384" s="69">
        <f>'Proposed Rates'!F208</f>
        <v>1.2213000000000001</v>
      </c>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6.75" customHeight="1">
      <c r="A385" s="65"/>
      <c r="B385" s="65"/>
      <c r="C385" s="65"/>
      <c r="D385" s="74"/>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15" customHeight="1">
      <c r="A386" s="75" t="s">
        <v>54</v>
      </c>
      <c r="B386" s="64"/>
      <c r="C386" s="65"/>
      <c r="D386" s="74"/>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6.75" customHeight="1">
      <c r="A387" s="60"/>
      <c r="B387" s="65"/>
      <c r="C387" s="65"/>
      <c r="D387" s="74"/>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0.5" customHeight="1">
      <c r="A388" s="63" t="s">
        <v>55</v>
      </c>
      <c r="B388" s="64"/>
      <c r="C388" s="65" t="s">
        <v>48</v>
      </c>
      <c r="D388" s="69">
        <f>$D$37</f>
        <v>4.1000000000000003E-3</v>
      </c>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10.5" customHeight="1">
      <c r="A389" s="63" t="s">
        <v>56</v>
      </c>
      <c r="B389" s="64"/>
      <c r="C389" s="65" t="s">
        <v>48</v>
      </c>
      <c r="D389" s="69">
        <f>'Proposed Rates'!F221-'2026'!D388</f>
        <v>5.9999999999999984E-4</v>
      </c>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10.5" customHeight="1">
      <c r="A390" s="63" t="s">
        <v>57</v>
      </c>
      <c r="B390" s="64"/>
      <c r="C390" s="65" t="s">
        <v>48</v>
      </c>
      <c r="D390" s="69">
        <f>'Proposed Rates'!F234</f>
        <v>5.9999999999999995E-4</v>
      </c>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0.5" customHeight="1">
      <c r="A391" s="63" t="s">
        <v>58</v>
      </c>
      <c r="B391" s="64"/>
      <c r="C391" s="65" t="s">
        <v>42</v>
      </c>
      <c r="D391" s="70">
        <f>'Proposed Rates'!F248</f>
        <v>0.25</v>
      </c>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6.75" customHeight="1">
      <c r="A392" s="63"/>
      <c r="B392" s="64"/>
      <c r="C392" s="65"/>
      <c r="D392" s="70"/>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25.5" hidden="1" customHeight="1">
      <c r="A393" s="588" t="str">
        <f>$A$1</f>
        <v>Hydro Ottawa Limited</v>
      </c>
      <c r="B393" s="589"/>
      <c r="C393" s="589"/>
      <c r="D393" s="590"/>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6.5" hidden="1" customHeight="1">
      <c r="A394" s="591" t="str">
        <f>$A$2</f>
        <v>TARIFF OF RATES AND CHARGES</v>
      </c>
      <c r="B394" s="589"/>
      <c r="C394" s="589"/>
      <c r="D394" s="590"/>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4.25" hidden="1" customHeight="1">
      <c r="A395" s="592" t="s">
        <v>28</v>
      </c>
      <c r="B395" s="589"/>
      <c r="C395" s="589"/>
      <c r="D395" s="590"/>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4.25" hidden="1" customHeight="1">
      <c r="A396" s="592" t="s">
        <v>29</v>
      </c>
      <c r="B396" s="589"/>
      <c r="C396" s="589"/>
      <c r="D396" s="590"/>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2" hidden="1" customHeight="1">
      <c r="A397" s="593" t="str">
        <f>$A$5</f>
        <v>This schedule supersedes and replaces all previously</v>
      </c>
      <c r="B397" s="589"/>
      <c r="C397" s="589"/>
      <c r="D397" s="590"/>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 hidden="1" customHeight="1">
      <c r="A398" s="593" t="str">
        <f>$A$6</f>
        <v>approved schedules of Rates, Charges and Loss Factors</v>
      </c>
      <c r="B398" s="589"/>
      <c r="C398" s="589"/>
      <c r="D398" s="590"/>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5.75" hidden="1" customHeight="1">
      <c r="A399" s="594" t="str">
        <f>$A$7</f>
        <v>EB-2024-0115</v>
      </c>
      <c r="B399" s="589"/>
      <c r="C399" s="589"/>
      <c r="D399" s="590"/>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20.25" hidden="1" customHeight="1">
      <c r="A400" s="595" t="s">
        <v>106</v>
      </c>
      <c r="B400" s="589"/>
      <c r="C400" s="589"/>
      <c r="D400" s="590"/>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30.75" hidden="1" customHeight="1">
      <c r="A401" s="596" t="s">
        <v>107</v>
      </c>
      <c r="B401" s="589"/>
      <c r="C401" s="589"/>
      <c r="D401" s="590"/>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6.75" hidden="1" customHeight="1">
      <c r="A402" s="55"/>
      <c r="B402" s="55"/>
      <c r="C402" s="55"/>
      <c r="D402" s="56"/>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23.25" hidden="1" customHeight="1">
      <c r="A403" s="597" t="s">
        <v>35</v>
      </c>
      <c r="B403" s="589"/>
      <c r="C403" s="589"/>
      <c r="D403" s="590"/>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6.75" hidden="1" customHeight="1">
      <c r="A404" s="57"/>
      <c r="B404" s="58"/>
      <c r="C404" s="58"/>
      <c r="D404" s="59"/>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35.25" hidden="1" customHeight="1">
      <c r="A405" s="596" t="s">
        <v>36</v>
      </c>
      <c r="B405" s="589"/>
      <c r="C405" s="589"/>
      <c r="D405" s="590"/>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6.75" hidden="1" customHeight="1">
      <c r="A406" s="55"/>
      <c r="B406" s="55"/>
      <c r="C406" s="55"/>
      <c r="D406" s="56"/>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36" hidden="1" customHeight="1">
      <c r="A407" s="596" t="s">
        <v>37</v>
      </c>
      <c r="B407" s="589"/>
      <c r="C407" s="589"/>
      <c r="D407" s="590"/>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6.75" hidden="1" customHeight="1">
      <c r="A408" s="55"/>
      <c r="B408" s="55"/>
      <c r="C408" s="55"/>
      <c r="D408" s="56"/>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37.5" hidden="1" customHeight="1">
      <c r="A409" s="596" t="s">
        <v>108</v>
      </c>
      <c r="B409" s="589"/>
      <c r="C409" s="589"/>
      <c r="D409" s="590"/>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6.75" hidden="1" customHeight="1">
      <c r="A410" s="55"/>
      <c r="B410" s="55"/>
      <c r="C410" s="55"/>
      <c r="D410" s="56"/>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36" hidden="1" customHeight="1">
      <c r="A411" s="596" t="s">
        <v>104</v>
      </c>
      <c r="B411" s="589"/>
      <c r="C411" s="589"/>
      <c r="D411" s="590"/>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6.75" hidden="1" customHeight="1">
      <c r="A412" s="55"/>
      <c r="B412" s="55"/>
      <c r="C412" s="55"/>
      <c r="D412" s="56"/>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1.25" hidden="1" customHeight="1">
      <c r="A413" s="598" t="s">
        <v>40</v>
      </c>
      <c r="B413" s="589"/>
      <c r="C413" s="589"/>
      <c r="D413" s="590"/>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6.75" hidden="1" customHeight="1">
      <c r="A414" s="60"/>
      <c r="B414" s="61"/>
      <c r="C414" s="61"/>
      <c r="D414" s="62"/>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2.75" hidden="1" customHeight="1">
      <c r="A415" s="603" t="s">
        <v>41</v>
      </c>
      <c r="B415" s="590"/>
      <c r="C415" s="65" t="s">
        <v>42</v>
      </c>
      <c r="D415" s="98" t="str">
        <f>'Proposed Rates'!F379</f>
        <v>no charge</v>
      </c>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6.75" customHeight="1">
      <c r="A416" s="99"/>
      <c r="B416" s="100"/>
      <c r="C416" s="101"/>
      <c r="D416" s="102"/>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6.75" customHeight="1">
      <c r="A417" s="99"/>
      <c r="B417" s="100"/>
      <c r="C417" s="101"/>
      <c r="D417" s="102"/>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6.75" customHeight="1">
      <c r="A418" s="99"/>
      <c r="B418" s="100"/>
      <c r="C418" s="101"/>
      <c r="D418" s="102"/>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6.75" customHeight="1">
      <c r="A419" s="99"/>
      <c r="B419" s="100"/>
      <c r="C419" s="101"/>
      <c r="D419" s="102"/>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6.75" customHeight="1">
      <c r="A420" s="99"/>
      <c r="B420" s="100"/>
      <c r="C420" s="101"/>
      <c r="D420" s="102"/>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6.75" customHeight="1">
      <c r="A421" s="99"/>
      <c r="B421" s="100"/>
      <c r="C421" s="101"/>
      <c r="D421" s="102"/>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6.75" customHeight="1">
      <c r="A422" s="99"/>
      <c r="B422" s="100"/>
      <c r="C422" s="101"/>
      <c r="D422" s="102"/>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6.75" customHeight="1">
      <c r="A423" s="99"/>
      <c r="B423" s="100"/>
      <c r="C423" s="101"/>
      <c r="D423" s="102"/>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6.75" customHeight="1">
      <c r="A424" s="99"/>
      <c r="B424" s="100"/>
      <c r="C424" s="101"/>
      <c r="D424" s="102"/>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23.25" customHeight="1">
      <c r="A425" s="588" t="str">
        <f>$A$42</f>
        <v>Hydro Ottawa Limited</v>
      </c>
      <c r="B425" s="589"/>
      <c r="C425" s="589"/>
      <c r="D425" s="590"/>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8" customHeight="1">
      <c r="A426" s="591" t="str">
        <f>$A$43</f>
        <v>TARIFF OF RATES AND CHARGES</v>
      </c>
      <c r="B426" s="589"/>
      <c r="C426" s="589"/>
      <c r="D426" s="590"/>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92" t="s">
        <v>28</v>
      </c>
      <c r="B427" s="589"/>
      <c r="C427" s="589"/>
      <c r="D427" s="590"/>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75" customHeight="1">
      <c r="A428" s="592" t="s">
        <v>29</v>
      </c>
      <c r="B428" s="589"/>
      <c r="C428" s="589"/>
      <c r="D428" s="590"/>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1.25" customHeight="1">
      <c r="A429" s="593" t="str">
        <f>$A$46</f>
        <v>This schedule supersedes and replaces all previously</v>
      </c>
      <c r="B429" s="589"/>
      <c r="C429" s="589"/>
      <c r="D429" s="590"/>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1.25" customHeight="1">
      <c r="A430" s="593" t="str">
        <f>$A$47</f>
        <v>approved schedules of Rates, Charges and Loss Factors</v>
      </c>
      <c r="B430" s="589"/>
      <c r="C430" s="589"/>
      <c r="D430" s="590"/>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1.25" customHeight="1">
      <c r="A431" s="594" t="str">
        <f>$A$48</f>
        <v>EB-2024-0115</v>
      </c>
      <c r="B431" s="589"/>
      <c r="C431" s="589"/>
      <c r="D431" s="590"/>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38.25" customHeight="1">
      <c r="A432" s="595" t="s">
        <v>109</v>
      </c>
      <c r="B432" s="589"/>
      <c r="C432" s="589"/>
      <c r="D432" s="590"/>
      <c r="E432" s="76"/>
      <c r="F432" s="76"/>
      <c r="G432" s="76"/>
      <c r="H432" s="76"/>
      <c r="I432" s="76"/>
      <c r="J432" s="76"/>
      <c r="K432" s="76"/>
      <c r="L432" s="76"/>
      <c r="M432" s="76"/>
      <c r="N432" s="76"/>
      <c r="O432" s="76"/>
      <c r="P432" s="76"/>
      <c r="Q432" s="76"/>
      <c r="R432" s="76"/>
      <c r="S432" s="76"/>
      <c r="T432" s="76"/>
      <c r="U432" s="76"/>
      <c r="V432" s="76"/>
      <c r="W432" s="76"/>
      <c r="X432" s="76"/>
      <c r="Y432" s="76"/>
      <c r="Z432" s="76"/>
    </row>
    <row r="433" spans="1:26" ht="36" customHeight="1">
      <c r="A433" s="604" t="s">
        <v>110</v>
      </c>
      <c r="B433" s="589"/>
      <c r="C433" s="589"/>
      <c r="D433" s="590"/>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6.75" customHeight="1">
      <c r="A434" s="55"/>
      <c r="B434" s="55"/>
      <c r="C434" s="55"/>
      <c r="D434" s="56"/>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1.25" customHeight="1">
      <c r="A435" s="597" t="s">
        <v>35</v>
      </c>
      <c r="B435" s="589"/>
      <c r="C435" s="589"/>
      <c r="D435" s="590"/>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6.75" customHeight="1">
      <c r="A436" s="57"/>
      <c r="B436" s="58"/>
      <c r="C436" s="58"/>
      <c r="D436" s="59"/>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36" customHeight="1">
      <c r="A437" s="596" t="s">
        <v>36</v>
      </c>
      <c r="B437" s="589"/>
      <c r="C437" s="589"/>
      <c r="D437" s="590"/>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6.75" customHeight="1">
      <c r="A438" s="55"/>
      <c r="B438" s="55"/>
      <c r="C438" s="55"/>
      <c r="D438" s="56"/>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48" customHeight="1">
      <c r="A439" s="596" t="s">
        <v>37</v>
      </c>
      <c r="B439" s="589"/>
      <c r="C439" s="589"/>
      <c r="D439" s="590"/>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6.75" customHeight="1">
      <c r="A440" s="55"/>
      <c r="B440" s="55"/>
      <c r="C440" s="55"/>
      <c r="D440" s="56"/>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24" customHeight="1">
      <c r="A441" s="596" t="s">
        <v>108</v>
      </c>
      <c r="B441" s="589"/>
      <c r="C441" s="589"/>
      <c r="D441" s="590"/>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6.75" customHeight="1">
      <c r="A442" s="55"/>
      <c r="B442" s="55"/>
      <c r="C442" s="55"/>
      <c r="D442" s="56"/>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36" customHeight="1">
      <c r="A443" s="596" t="s">
        <v>104</v>
      </c>
      <c r="B443" s="589"/>
      <c r="C443" s="589"/>
      <c r="D443" s="590"/>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6.75" customHeight="1">
      <c r="A444" s="55"/>
      <c r="B444" s="55"/>
      <c r="C444" s="55"/>
      <c r="D444" s="56"/>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15" customHeight="1">
      <c r="A445" s="598" t="s">
        <v>40</v>
      </c>
      <c r="B445" s="589"/>
      <c r="C445" s="589"/>
      <c r="D445" s="590"/>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6.75" customHeight="1">
      <c r="A446" s="60"/>
      <c r="B446" s="61"/>
      <c r="C446" s="61"/>
      <c r="D446" s="62"/>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11.25" customHeight="1">
      <c r="A447" s="63" t="s">
        <v>41</v>
      </c>
      <c r="B447" s="64"/>
      <c r="C447" s="65" t="s">
        <v>42</v>
      </c>
      <c r="D447" s="103">
        <f>'Proposed Rates'!F376</f>
        <v>11</v>
      </c>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1.25" customHeight="1">
      <c r="A448" s="605" t="s">
        <v>43</v>
      </c>
      <c r="B448" s="606"/>
      <c r="C448" s="67" t="s">
        <v>42</v>
      </c>
      <c r="D448" s="68">
        <f>'Proposed Rates'!F140</f>
        <v>-2.15</v>
      </c>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5.25" customHeight="1">
      <c r="A449" s="80"/>
      <c r="B449" s="64"/>
      <c r="C449" s="81"/>
      <c r="D449" s="103"/>
      <c r="E449" s="82"/>
      <c r="F449" s="82"/>
      <c r="G449" s="82"/>
      <c r="H449" s="82"/>
      <c r="I449" s="82"/>
      <c r="J449" s="82"/>
      <c r="K449" s="82"/>
      <c r="L449" s="82"/>
      <c r="M449" s="82"/>
      <c r="N449" s="82"/>
      <c r="O449" s="82"/>
      <c r="P449" s="82"/>
      <c r="Q449" s="82"/>
      <c r="R449" s="82"/>
      <c r="S449" s="82"/>
      <c r="T449" s="82"/>
      <c r="U449" s="82"/>
      <c r="V449" s="82"/>
      <c r="W449" s="82"/>
      <c r="X449" s="82"/>
      <c r="Y449" s="82"/>
      <c r="Z449" s="82"/>
    </row>
    <row r="450" spans="1:26" ht="23.25" customHeight="1">
      <c r="A450" s="588" t="str">
        <f>$A$42</f>
        <v>Hydro Ottawa Limited</v>
      </c>
      <c r="B450" s="589"/>
      <c r="C450" s="589"/>
      <c r="D450" s="590"/>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18" customHeight="1">
      <c r="A451" s="591" t="str">
        <f>$A$43</f>
        <v>TARIFF OF RATES AND CHARGES</v>
      </c>
      <c r="B451" s="589"/>
      <c r="C451" s="589"/>
      <c r="D451" s="590"/>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92" t="s">
        <v>28</v>
      </c>
      <c r="B452" s="589"/>
      <c r="C452" s="589"/>
      <c r="D452" s="590"/>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92" t="s">
        <v>29</v>
      </c>
      <c r="B453" s="589"/>
      <c r="C453" s="589"/>
      <c r="D453" s="590"/>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1.25" customHeight="1">
      <c r="A454" s="593" t="str">
        <f>$A$46</f>
        <v>This schedule supersedes and replaces all previously</v>
      </c>
      <c r="B454" s="589"/>
      <c r="C454" s="589"/>
      <c r="D454" s="590"/>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1.25" customHeight="1">
      <c r="A455" s="593" t="str">
        <f>$A$47</f>
        <v>approved schedules of Rates, Charges and Loss Factors</v>
      </c>
      <c r="B455" s="589"/>
      <c r="C455" s="589"/>
      <c r="D455" s="590"/>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1.25" customHeight="1">
      <c r="A456" s="594" t="str">
        <f>$A$48</f>
        <v>EB-2024-0115</v>
      </c>
      <c r="B456" s="589"/>
      <c r="C456" s="589"/>
      <c r="D456" s="590"/>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8.75" customHeight="1">
      <c r="A457" s="595" t="s">
        <v>111</v>
      </c>
      <c r="B457" s="589"/>
      <c r="C457" s="589"/>
      <c r="D457" s="590"/>
      <c r="E457" s="76"/>
      <c r="F457" s="76"/>
      <c r="G457" s="76"/>
      <c r="H457" s="76"/>
      <c r="I457" s="76"/>
      <c r="J457" s="76"/>
      <c r="K457" s="76"/>
      <c r="L457" s="76"/>
      <c r="M457" s="76"/>
      <c r="N457" s="76"/>
      <c r="O457" s="76"/>
      <c r="P457" s="76"/>
      <c r="Q457" s="76"/>
      <c r="R457" s="76"/>
      <c r="S457" s="76"/>
      <c r="T457" s="76"/>
      <c r="U457" s="76"/>
      <c r="V457" s="76"/>
      <c r="W457" s="76"/>
      <c r="X457" s="76"/>
      <c r="Y457" s="76"/>
      <c r="Z457" s="76"/>
    </row>
    <row r="458" spans="1:26" ht="36" customHeight="1">
      <c r="A458" s="607" t="s">
        <v>112</v>
      </c>
      <c r="B458" s="608"/>
      <c r="C458" s="608"/>
      <c r="D458" s="600"/>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6.75" customHeight="1">
      <c r="A459" s="55"/>
      <c r="B459" s="55"/>
      <c r="C459" s="55"/>
      <c r="D459" s="56"/>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1.25" customHeight="1">
      <c r="A460" s="597" t="s">
        <v>35</v>
      </c>
      <c r="B460" s="589"/>
      <c r="C460" s="589"/>
      <c r="D460" s="590"/>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6.75" customHeight="1">
      <c r="A461" s="57"/>
      <c r="B461" s="58"/>
      <c r="C461" s="58"/>
      <c r="D461" s="59"/>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36" customHeight="1">
      <c r="A462" s="596" t="s">
        <v>36</v>
      </c>
      <c r="B462" s="589"/>
      <c r="C462" s="589"/>
      <c r="D462" s="590"/>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6.75" customHeight="1">
      <c r="A463" s="55"/>
      <c r="B463" s="55"/>
      <c r="C463" s="55"/>
      <c r="D463" s="56"/>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48" customHeight="1">
      <c r="A464" s="596" t="s">
        <v>37</v>
      </c>
      <c r="B464" s="589"/>
      <c r="C464" s="589"/>
      <c r="D464" s="590"/>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6.75" customHeight="1">
      <c r="A465" s="55"/>
      <c r="B465" s="55"/>
      <c r="C465" s="55"/>
      <c r="D465" s="56"/>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24" customHeight="1">
      <c r="A466" s="596" t="s">
        <v>108</v>
      </c>
      <c r="B466" s="589"/>
      <c r="C466" s="589"/>
      <c r="D466" s="590"/>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6.75" customHeight="1">
      <c r="A467" s="55"/>
      <c r="B467" s="55"/>
      <c r="C467" s="55"/>
      <c r="D467" s="56"/>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36" customHeight="1">
      <c r="A468" s="596" t="s">
        <v>104</v>
      </c>
      <c r="B468" s="589"/>
      <c r="C468" s="589"/>
      <c r="D468" s="590"/>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6.75" customHeight="1">
      <c r="A469" s="55"/>
      <c r="B469" s="55"/>
      <c r="C469" s="55"/>
      <c r="D469" s="56"/>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5" customHeight="1">
      <c r="A470" s="598" t="s">
        <v>40</v>
      </c>
      <c r="B470" s="589"/>
      <c r="C470" s="589"/>
      <c r="D470" s="590"/>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6.75" customHeight="1">
      <c r="A471" s="60"/>
      <c r="B471" s="61"/>
      <c r="C471" s="61"/>
      <c r="D471" s="62"/>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1.25" customHeight="1">
      <c r="A472" s="63" t="s">
        <v>41</v>
      </c>
      <c r="B472" s="64"/>
      <c r="C472" s="65" t="s">
        <v>42</v>
      </c>
      <c r="D472" s="103">
        <f>'Proposed Rates'!F377</f>
        <v>87</v>
      </c>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1.25" customHeight="1">
      <c r="A473" s="602" t="s">
        <v>43</v>
      </c>
      <c r="B473" s="600"/>
      <c r="C473" s="67" t="s">
        <v>42</v>
      </c>
      <c r="D473" s="68">
        <f>'Proposed Rates'!F141</f>
        <v>1.01</v>
      </c>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6" customHeight="1">
      <c r="A474" s="80"/>
      <c r="B474" s="64"/>
      <c r="C474" s="81"/>
      <c r="D474" s="103"/>
      <c r="E474" s="82"/>
      <c r="F474" s="82"/>
      <c r="G474" s="82"/>
      <c r="H474" s="82"/>
      <c r="I474" s="82"/>
      <c r="J474" s="82"/>
      <c r="K474" s="82"/>
      <c r="L474" s="82"/>
      <c r="M474" s="82"/>
      <c r="N474" s="82"/>
      <c r="O474" s="82"/>
      <c r="P474" s="82"/>
      <c r="Q474" s="82"/>
      <c r="R474" s="82"/>
      <c r="S474" s="82"/>
      <c r="T474" s="82"/>
      <c r="U474" s="82"/>
      <c r="V474" s="82"/>
      <c r="W474" s="82"/>
      <c r="X474" s="82"/>
      <c r="Y474" s="82"/>
      <c r="Z474" s="82"/>
    </row>
    <row r="475" spans="1:26" ht="23.25" customHeight="1">
      <c r="A475" s="588" t="str">
        <f>$A$42</f>
        <v>Hydro Ottawa Limited</v>
      </c>
      <c r="B475" s="589"/>
      <c r="C475" s="589"/>
      <c r="D475" s="590"/>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8" customHeight="1">
      <c r="A476" s="591" t="str">
        <f>$A$43</f>
        <v>TARIFF OF RATES AND CHARGES</v>
      </c>
      <c r="B476" s="589"/>
      <c r="C476" s="589"/>
      <c r="D476" s="590"/>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75" customHeight="1">
      <c r="A477" s="592" t="s">
        <v>28</v>
      </c>
      <c r="B477" s="589"/>
      <c r="C477" s="589"/>
      <c r="D477" s="590"/>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75" customHeight="1">
      <c r="A478" s="592" t="s">
        <v>29</v>
      </c>
      <c r="B478" s="589"/>
      <c r="C478" s="589"/>
      <c r="D478" s="590"/>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1.25" customHeight="1">
      <c r="A479" s="593" t="str">
        <f>$A$46</f>
        <v>This schedule supersedes and replaces all previously</v>
      </c>
      <c r="B479" s="589"/>
      <c r="C479" s="589"/>
      <c r="D479" s="590"/>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1.25" customHeight="1">
      <c r="A480" s="593" t="str">
        <f>$A$47</f>
        <v>approved schedules of Rates, Charges and Loss Factors</v>
      </c>
      <c r="B480" s="589"/>
      <c r="C480" s="589"/>
      <c r="D480" s="590"/>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1.25" customHeight="1">
      <c r="A481" s="594" t="str">
        <f>$A$48</f>
        <v>EB-2024-0115</v>
      </c>
      <c r="B481" s="589"/>
      <c r="C481" s="589"/>
      <c r="D481" s="590"/>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8.75" customHeight="1">
      <c r="A482" s="595" t="s">
        <v>113</v>
      </c>
      <c r="B482" s="589"/>
      <c r="C482" s="589"/>
      <c r="D482" s="590"/>
      <c r="E482" s="76"/>
      <c r="F482" s="76"/>
      <c r="G482" s="76"/>
      <c r="H482" s="76"/>
      <c r="I482" s="76"/>
      <c r="J482" s="76"/>
      <c r="K482" s="76"/>
      <c r="L482" s="76"/>
      <c r="M482" s="76"/>
      <c r="N482" s="76"/>
      <c r="O482" s="76"/>
      <c r="P482" s="76"/>
      <c r="Q482" s="76"/>
      <c r="R482" s="76"/>
      <c r="S482" s="76"/>
      <c r="T482" s="76"/>
      <c r="U482" s="76"/>
      <c r="V482" s="76"/>
      <c r="W482" s="76"/>
      <c r="X482" s="76"/>
      <c r="Y482" s="76"/>
      <c r="Z482" s="76"/>
    </row>
    <row r="483" spans="1:26" ht="36" customHeight="1">
      <c r="A483" s="596" t="s">
        <v>114</v>
      </c>
      <c r="B483" s="589"/>
      <c r="C483" s="589"/>
      <c r="D483" s="590"/>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6.75" customHeight="1">
      <c r="A484" s="55"/>
      <c r="B484" s="55"/>
      <c r="C484" s="55"/>
      <c r="D484" s="56"/>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1.25" customHeight="1">
      <c r="A485" s="597" t="s">
        <v>35</v>
      </c>
      <c r="B485" s="589"/>
      <c r="C485" s="589"/>
      <c r="D485" s="590"/>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6.75" customHeight="1">
      <c r="A486" s="57"/>
      <c r="B486" s="58"/>
      <c r="C486" s="58"/>
      <c r="D486" s="59"/>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36" customHeight="1">
      <c r="A487" s="596" t="s">
        <v>36</v>
      </c>
      <c r="B487" s="589"/>
      <c r="C487" s="589"/>
      <c r="D487" s="590"/>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6.75" customHeight="1">
      <c r="A488" s="55"/>
      <c r="B488" s="55"/>
      <c r="C488" s="55"/>
      <c r="D488" s="56"/>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48" customHeight="1">
      <c r="A489" s="596" t="s">
        <v>37</v>
      </c>
      <c r="B489" s="589"/>
      <c r="C489" s="589"/>
      <c r="D489" s="590"/>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6.75" customHeight="1">
      <c r="A490" s="55"/>
      <c r="B490" s="55"/>
      <c r="C490" s="55"/>
      <c r="D490" s="56"/>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24" customHeight="1">
      <c r="A491" s="596" t="s">
        <v>108</v>
      </c>
      <c r="B491" s="589"/>
      <c r="C491" s="589"/>
      <c r="D491" s="590"/>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6.75" customHeight="1">
      <c r="A492" s="55"/>
      <c r="B492" s="55"/>
      <c r="C492" s="55"/>
      <c r="D492" s="56"/>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36" customHeight="1">
      <c r="A493" s="596" t="s">
        <v>104</v>
      </c>
      <c r="B493" s="589"/>
      <c r="C493" s="589"/>
      <c r="D493" s="590"/>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6.75" customHeight="1">
      <c r="A494" s="55"/>
      <c r="B494" s="55"/>
      <c r="C494" s="55"/>
      <c r="D494" s="56"/>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 customHeight="1">
      <c r="A495" s="598" t="s">
        <v>40</v>
      </c>
      <c r="B495" s="589"/>
      <c r="C495" s="589"/>
      <c r="D495" s="590"/>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6.75" customHeight="1">
      <c r="A496" s="60"/>
      <c r="B496" s="61"/>
      <c r="C496" s="61"/>
      <c r="D496" s="62"/>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1.25" customHeight="1">
      <c r="A497" s="63" t="s">
        <v>41</v>
      </c>
      <c r="B497" s="64"/>
      <c r="C497" s="65" t="s">
        <v>42</v>
      </c>
      <c r="D497" s="103">
        <f>'Proposed Rates'!F378</f>
        <v>266</v>
      </c>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1.25" customHeight="1">
      <c r="A498" s="602" t="s">
        <v>43</v>
      </c>
      <c r="B498" s="600"/>
      <c r="C498" s="67" t="s">
        <v>42</v>
      </c>
      <c r="D498" s="68">
        <f>'Proposed Rates'!F142</f>
        <v>-35.17</v>
      </c>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6.75" customHeight="1">
      <c r="A499" s="104"/>
      <c r="B499" s="89"/>
      <c r="C499" s="65"/>
      <c r="D499" s="74"/>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18" customHeight="1">
      <c r="A500" s="105" t="s">
        <v>115</v>
      </c>
      <c r="B500" s="106"/>
      <c r="C500" s="106"/>
      <c r="D500" s="77"/>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1.25" customHeight="1">
      <c r="A501" s="63" t="s">
        <v>116</v>
      </c>
      <c r="B501" s="64"/>
      <c r="C501" s="107" t="s">
        <v>117</v>
      </c>
      <c r="D501" s="74">
        <v>-1</v>
      </c>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5.25" customHeight="1">
      <c r="A502" s="63"/>
      <c r="B502" s="64"/>
      <c r="C502" s="107"/>
      <c r="D502" s="74"/>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23.25" customHeight="1">
      <c r="A503" s="588" t="str">
        <f>$A$42</f>
        <v>Hydro Ottawa Limited</v>
      </c>
      <c r="B503" s="589"/>
      <c r="C503" s="589"/>
      <c r="D503" s="590"/>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8" customHeight="1">
      <c r="A504" s="591" t="str">
        <f>$A$43</f>
        <v>TARIFF OF RATES AND CHARGES</v>
      </c>
      <c r="B504" s="589"/>
      <c r="C504" s="589"/>
      <c r="D504" s="590"/>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5.75" customHeight="1">
      <c r="A505" s="592" t="s">
        <v>28</v>
      </c>
      <c r="B505" s="589"/>
      <c r="C505" s="589"/>
      <c r="D505" s="590"/>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5.75" customHeight="1">
      <c r="A506" s="592" t="s">
        <v>29</v>
      </c>
      <c r="B506" s="589"/>
      <c r="C506" s="589"/>
      <c r="D506" s="590"/>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1.25" customHeight="1">
      <c r="A507" s="593" t="str">
        <f>$A$46</f>
        <v>This schedule supersedes and replaces all previously</v>
      </c>
      <c r="B507" s="589"/>
      <c r="C507" s="589"/>
      <c r="D507" s="590"/>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1.25" customHeight="1">
      <c r="A508" s="593" t="str">
        <f>$A$47</f>
        <v>approved schedules of Rates, Charges and Loss Factors</v>
      </c>
      <c r="B508" s="589"/>
      <c r="C508" s="589"/>
      <c r="D508" s="590"/>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1.25" customHeight="1">
      <c r="A509" s="594" t="str">
        <f>$A$48</f>
        <v>EB-2024-0115</v>
      </c>
      <c r="B509" s="589"/>
      <c r="C509" s="589"/>
      <c r="D509" s="590"/>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8" customHeight="1">
      <c r="A510" s="105" t="s">
        <v>118</v>
      </c>
      <c r="B510" s="106"/>
      <c r="C510" s="106"/>
      <c r="D510" s="77"/>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6.75" customHeight="1">
      <c r="A511" s="105"/>
      <c r="B511" s="106"/>
      <c r="C511" s="106"/>
      <c r="D511" s="77"/>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1.25" customHeight="1">
      <c r="A512" s="609" t="s">
        <v>35</v>
      </c>
      <c r="B512" s="589"/>
      <c r="C512" s="589"/>
      <c r="D512" s="590"/>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6.75" customHeight="1">
      <c r="A513" s="108"/>
      <c r="B513" s="55"/>
      <c r="C513" s="55"/>
      <c r="D513" s="56"/>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36" customHeight="1">
      <c r="A514" s="596" t="s">
        <v>36</v>
      </c>
      <c r="B514" s="589"/>
      <c r="C514" s="589"/>
      <c r="D514" s="590"/>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6.75" customHeight="1">
      <c r="A515" s="55"/>
      <c r="B515" s="55"/>
      <c r="C515" s="55"/>
      <c r="D515" s="56"/>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48" customHeight="1">
      <c r="A516" s="596" t="s">
        <v>119</v>
      </c>
      <c r="B516" s="589"/>
      <c r="C516" s="589"/>
      <c r="D516" s="590"/>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6.75" customHeight="1">
      <c r="A517" s="55"/>
      <c r="B517" s="55"/>
      <c r="C517" s="55"/>
      <c r="D517" s="56"/>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36" customHeight="1">
      <c r="A518" s="596" t="s">
        <v>39</v>
      </c>
      <c r="B518" s="589"/>
      <c r="C518" s="589"/>
      <c r="D518" s="590"/>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6.75" customHeight="1">
      <c r="A519" s="55"/>
      <c r="B519" s="55"/>
      <c r="C519" s="55"/>
      <c r="D519" s="56"/>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5" customHeight="1">
      <c r="A520" s="109" t="s">
        <v>120</v>
      </c>
      <c r="B520" s="106"/>
      <c r="C520" s="106"/>
      <c r="D520" s="77"/>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2" customHeight="1">
      <c r="A521" s="63" t="s">
        <v>121</v>
      </c>
      <c r="B521" s="64"/>
      <c r="C521" s="65" t="s">
        <v>42</v>
      </c>
      <c r="D521" s="110">
        <f>'Proposed Rates'!F326</f>
        <v>0</v>
      </c>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2" customHeight="1">
      <c r="A522" s="65" t="s">
        <v>122</v>
      </c>
      <c r="B522" s="65"/>
      <c r="C522" s="65" t="s">
        <v>42</v>
      </c>
      <c r="D522" s="110">
        <f>'Proposed Rates'!F327</f>
        <v>30</v>
      </c>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2" customHeight="1">
      <c r="A523" s="63" t="s">
        <v>123</v>
      </c>
      <c r="B523" s="64"/>
      <c r="C523" s="65" t="s">
        <v>42</v>
      </c>
      <c r="D523" s="110">
        <f>'Proposed Rates'!F328</f>
        <v>7</v>
      </c>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2" customHeight="1">
      <c r="A524" s="63" t="s">
        <v>124</v>
      </c>
      <c r="B524" s="64"/>
      <c r="C524" s="65" t="s">
        <v>42</v>
      </c>
      <c r="D524" s="110">
        <f>'Proposed Rates'!F329</f>
        <v>141</v>
      </c>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2" customHeight="1">
      <c r="A525" s="63" t="s">
        <v>125</v>
      </c>
      <c r="B525" s="64"/>
      <c r="C525" s="65" t="s">
        <v>42</v>
      </c>
      <c r="D525" s="110">
        <f>'Proposed Rates'!F330</f>
        <v>20</v>
      </c>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2" customHeight="1">
      <c r="A526" s="63" t="s">
        <v>126</v>
      </c>
      <c r="B526" s="64"/>
      <c r="C526" s="65" t="s">
        <v>42</v>
      </c>
      <c r="D526" s="110">
        <f>'Proposed Rates'!F331</f>
        <v>25</v>
      </c>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2" customHeight="1">
      <c r="A527" s="63" t="s">
        <v>127</v>
      </c>
      <c r="B527" s="64"/>
      <c r="C527" s="65" t="s">
        <v>42</v>
      </c>
      <c r="D527" s="110">
        <f>'Proposed Rates'!F332</f>
        <v>10</v>
      </c>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2" customHeight="1">
      <c r="A528" s="63" t="s">
        <v>128</v>
      </c>
      <c r="B528" s="64"/>
      <c r="C528" s="65" t="s">
        <v>42</v>
      </c>
      <c r="D528" s="110">
        <f>'Proposed Rates'!F335</f>
        <v>366</v>
      </c>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2" customHeight="1">
      <c r="A529" s="63" t="s">
        <v>129</v>
      </c>
      <c r="B529" s="64"/>
      <c r="C529" s="65" t="s">
        <v>42</v>
      </c>
      <c r="D529" s="110">
        <f>'Proposed Rates'!F336</f>
        <v>322</v>
      </c>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6.75" customHeight="1">
      <c r="A530" s="65"/>
      <c r="B530" s="65"/>
      <c r="C530" s="65"/>
      <c r="D530" s="74"/>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 customHeight="1">
      <c r="A531" s="109" t="s">
        <v>130</v>
      </c>
      <c r="B531" s="106"/>
      <c r="C531" s="95"/>
      <c r="D531" s="97"/>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2" customHeight="1">
      <c r="A532" s="63" t="s">
        <v>131</v>
      </c>
      <c r="B532" s="64"/>
      <c r="C532" s="65" t="s">
        <v>117</v>
      </c>
      <c r="D532" s="111">
        <f>'Proposed Rates'!F339</f>
        <v>1.4999999999999999E-2</v>
      </c>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2" customHeight="1">
      <c r="A533" s="63" t="s">
        <v>132</v>
      </c>
      <c r="B533" s="64"/>
      <c r="C533" s="65" t="s">
        <v>42</v>
      </c>
      <c r="D533" s="110">
        <f>'Proposed Rates'!F340</f>
        <v>70</v>
      </c>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2" customHeight="1">
      <c r="A534" s="63" t="s">
        <v>133</v>
      </c>
      <c r="B534" s="64"/>
      <c r="C534" s="65" t="s">
        <v>42</v>
      </c>
      <c r="D534" s="110">
        <f>'Proposed Rates'!F341</f>
        <v>94</v>
      </c>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2" customHeight="1">
      <c r="A535" s="63" t="s">
        <v>134</v>
      </c>
      <c r="B535" s="64"/>
      <c r="C535" s="65" t="s">
        <v>42</v>
      </c>
      <c r="D535" s="110">
        <f>'Proposed Rates'!F342</f>
        <v>318</v>
      </c>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12" customHeight="1">
      <c r="A536" s="63" t="s">
        <v>135</v>
      </c>
      <c r="B536" s="64"/>
      <c r="C536" s="65" t="s">
        <v>42</v>
      </c>
      <c r="D536" s="110">
        <f>'Proposed Rates'!F343</f>
        <v>480</v>
      </c>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6.75" customHeight="1">
      <c r="A537" s="65"/>
      <c r="B537" s="65"/>
      <c r="C537" s="65"/>
      <c r="D537" s="74"/>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5" customHeight="1">
      <c r="A538" s="109" t="s">
        <v>136</v>
      </c>
      <c r="B538" s="106"/>
      <c r="C538" s="95"/>
      <c r="D538" s="74"/>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2" customHeight="1">
      <c r="A539" s="63" t="s">
        <v>137</v>
      </c>
      <c r="B539" s="64"/>
      <c r="C539" s="65" t="s">
        <v>42</v>
      </c>
      <c r="D539" s="110">
        <f>'Proposed Rates'!F346</f>
        <v>1079</v>
      </c>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2" customHeight="1">
      <c r="A540" s="63" t="s">
        <v>138</v>
      </c>
      <c r="B540" s="64"/>
      <c r="C540" s="65" t="s">
        <v>42</v>
      </c>
      <c r="D540" s="110">
        <f>'Proposed Rates'!F347</f>
        <v>1422</v>
      </c>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2" customHeight="1">
      <c r="A541" s="63" t="s">
        <v>139</v>
      </c>
      <c r="B541" s="64"/>
      <c r="C541" s="65" t="s">
        <v>42</v>
      </c>
      <c r="D541" s="110">
        <f>'Proposed Rates'!F348</f>
        <v>5010</v>
      </c>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2" customHeight="1">
      <c r="A542" s="63" t="s">
        <v>140</v>
      </c>
      <c r="B542" s="64"/>
      <c r="C542" s="65" t="s">
        <v>42</v>
      </c>
      <c r="D542" s="103">
        <f>'Proposed Rates'!F349</f>
        <v>40.590000000000003</v>
      </c>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2" customHeight="1">
      <c r="A543" s="63" t="s">
        <v>141</v>
      </c>
      <c r="B543" s="64"/>
      <c r="C543" s="65"/>
      <c r="D543" s="74" t="str">
        <f>'Proposed Rates'!F350</f>
        <v>Per Attached Table</v>
      </c>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2" customHeight="1">
      <c r="A544" s="63" t="s">
        <v>142</v>
      </c>
      <c r="B544" s="64"/>
      <c r="C544" s="65" t="s">
        <v>42</v>
      </c>
      <c r="D544" s="110">
        <f>'Proposed Rates'!F351</f>
        <v>165</v>
      </c>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1.25" customHeight="1">
      <c r="A545" s="603"/>
      <c r="B545" s="590"/>
      <c r="C545" s="65"/>
      <c r="D545" s="74"/>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23.25" customHeight="1">
      <c r="A546" s="588" t="str">
        <f>$A$42</f>
        <v>Hydro Ottawa Limited</v>
      </c>
      <c r="B546" s="589"/>
      <c r="C546" s="589"/>
      <c r="D546" s="590"/>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8" customHeight="1">
      <c r="A547" s="591" t="str">
        <f>$A$43</f>
        <v>TARIFF OF RATES AND CHARGES</v>
      </c>
      <c r="B547" s="589"/>
      <c r="C547" s="589"/>
      <c r="D547" s="590"/>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5.75" customHeight="1">
      <c r="A548" s="592" t="s">
        <v>28</v>
      </c>
      <c r="B548" s="589"/>
      <c r="C548" s="589"/>
      <c r="D548" s="590"/>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5.75" customHeight="1">
      <c r="A549" s="592" t="s">
        <v>29</v>
      </c>
      <c r="B549" s="589"/>
      <c r="C549" s="589"/>
      <c r="D549" s="590"/>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1.25" customHeight="1">
      <c r="A550" s="593" t="str">
        <f>$A$46</f>
        <v>This schedule supersedes and replaces all previously</v>
      </c>
      <c r="B550" s="589"/>
      <c r="C550" s="589"/>
      <c r="D550" s="590"/>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1.25" customHeight="1">
      <c r="A551" s="593" t="str">
        <f>$A$47</f>
        <v>approved schedules of Rates, Charges and Loss Factors</v>
      </c>
      <c r="B551" s="589"/>
      <c r="C551" s="589"/>
      <c r="D551" s="590"/>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1.25" customHeight="1">
      <c r="A552" s="594" t="str">
        <f>$A$48</f>
        <v>EB-2024-0115</v>
      </c>
      <c r="B552" s="589"/>
      <c r="C552" s="589"/>
      <c r="D552" s="590"/>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8" customHeight="1">
      <c r="A553" s="105" t="s">
        <v>143</v>
      </c>
      <c r="B553" s="106"/>
      <c r="C553" s="106"/>
      <c r="D553" s="77"/>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6.75" customHeight="1">
      <c r="A554" s="105"/>
      <c r="B554" s="106"/>
      <c r="C554" s="106"/>
      <c r="D554" s="77"/>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36" customHeight="1">
      <c r="A555" s="596" t="s">
        <v>144</v>
      </c>
      <c r="B555" s="589"/>
      <c r="C555" s="589"/>
      <c r="D555" s="590"/>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6.75" customHeight="1">
      <c r="A556" s="55"/>
      <c r="B556" s="55"/>
      <c r="C556" s="55"/>
      <c r="D556" s="56"/>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48" customHeight="1">
      <c r="A557" s="596" t="s">
        <v>37</v>
      </c>
      <c r="B557" s="589"/>
      <c r="C557" s="589"/>
      <c r="D557" s="590"/>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6.75" customHeight="1">
      <c r="A558" s="55"/>
      <c r="B558" s="55"/>
      <c r="C558" s="55"/>
      <c r="D558" s="56"/>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24" customHeight="1">
      <c r="A559" s="596" t="s">
        <v>88</v>
      </c>
      <c r="B559" s="589"/>
      <c r="C559" s="589"/>
      <c r="D559" s="590"/>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6.75" customHeight="1">
      <c r="A560" s="55"/>
      <c r="B560" s="55"/>
      <c r="C560" s="55"/>
      <c r="D560" s="56"/>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36" customHeight="1">
      <c r="A561" s="596" t="s">
        <v>39</v>
      </c>
      <c r="B561" s="589"/>
      <c r="C561" s="589"/>
      <c r="D561" s="590"/>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6.75" customHeight="1">
      <c r="A562" s="55"/>
      <c r="B562" s="55"/>
      <c r="C562" s="55"/>
      <c r="D562" s="56"/>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24" customHeight="1">
      <c r="A563" s="596" t="s">
        <v>145</v>
      </c>
      <c r="B563" s="589"/>
      <c r="C563" s="589"/>
      <c r="D563" s="590"/>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2" customHeight="1">
      <c r="A564" s="55"/>
      <c r="B564" s="64"/>
      <c r="C564" s="64"/>
      <c r="D564" s="77"/>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0.5" customHeight="1">
      <c r="A565" s="63" t="s">
        <v>146</v>
      </c>
      <c r="B565" s="64"/>
      <c r="C565" s="112" t="s">
        <v>42</v>
      </c>
      <c r="D565" s="113">
        <f>'Proposed Rates'!F354</f>
        <v>125.72</v>
      </c>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0.5" customHeight="1">
      <c r="A566" s="63" t="s">
        <v>147</v>
      </c>
      <c r="B566" s="64"/>
      <c r="C566" s="112" t="s">
        <v>42</v>
      </c>
      <c r="D566" s="113">
        <f>'Proposed Rates'!F355</f>
        <v>50.29</v>
      </c>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0.5" customHeight="1">
      <c r="A567" s="63" t="s">
        <v>148</v>
      </c>
      <c r="B567" s="64"/>
      <c r="C567" s="112" t="s">
        <v>149</v>
      </c>
      <c r="D567" s="114">
        <f>'Proposed Rates'!F356</f>
        <v>1.24</v>
      </c>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0.5" customHeight="1">
      <c r="A568" s="63" t="s">
        <v>150</v>
      </c>
      <c r="B568" s="64"/>
      <c r="C568" s="112" t="s">
        <v>149</v>
      </c>
      <c r="D568" s="113">
        <f>'Proposed Rates'!F357</f>
        <v>0.74</v>
      </c>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0.5" customHeight="1">
      <c r="A569" s="63" t="s">
        <v>151</v>
      </c>
      <c r="B569" s="64"/>
      <c r="C569" s="112" t="s">
        <v>149</v>
      </c>
      <c r="D569" s="113">
        <f>'Proposed Rates'!F358</f>
        <v>-0.74</v>
      </c>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0.5" customHeight="1">
      <c r="A570" s="63" t="s">
        <v>152</v>
      </c>
      <c r="B570" s="64"/>
      <c r="C570" s="63"/>
      <c r="D570" s="97"/>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0.5" customHeight="1">
      <c r="A571" s="63" t="s">
        <v>153</v>
      </c>
      <c r="B571" s="64"/>
      <c r="C571" s="112" t="s">
        <v>42</v>
      </c>
      <c r="D571" s="113">
        <f>'Proposed Rates'!F360</f>
        <v>0.63</v>
      </c>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0.5" customHeight="1">
      <c r="A572" s="63" t="s">
        <v>154</v>
      </c>
      <c r="B572" s="64"/>
      <c r="C572" s="112" t="s">
        <v>42</v>
      </c>
      <c r="D572" s="114">
        <f>'Proposed Rates'!F361</f>
        <v>1.24</v>
      </c>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3" customHeight="1">
      <c r="A573" s="63"/>
      <c r="B573" s="64"/>
      <c r="C573" s="112"/>
      <c r="D573" s="97"/>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0.5" customHeight="1">
      <c r="A574" s="63" t="s">
        <v>155</v>
      </c>
      <c r="B574" s="64"/>
      <c r="C574" s="115"/>
      <c r="D574" s="97"/>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0.5" customHeight="1">
      <c r="A575" s="63" t="s">
        <v>156</v>
      </c>
      <c r="B575" s="64"/>
      <c r="C575" s="115"/>
      <c r="D575" s="97"/>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0.5" customHeight="1">
      <c r="A576" s="63" t="s">
        <v>157</v>
      </c>
      <c r="B576" s="64"/>
      <c r="C576" s="115"/>
      <c r="D576" s="97"/>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0.5" customHeight="1">
      <c r="A577" s="63" t="s">
        <v>158</v>
      </c>
      <c r="B577" s="64"/>
      <c r="C577" s="112" t="s">
        <v>42</v>
      </c>
      <c r="D577" s="113" t="str">
        <f>'Proposed Rates'!F365</f>
        <v>no charge</v>
      </c>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0.5" customHeight="1">
      <c r="A578" s="63" t="s">
        <v>159</v>
      </c>
      <c r="B578" s="64"/>
      <c r="C578" s="112" t="s">
        <v>42</v>
      </c>
      <c r="D578" s="113">
        <f>'Proposed Rates'!F366</f>
        <v>5.03</v>
      </c>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3" customHeight="1">
      <c r="A579" s="63"/>
      <c r="B579" s="64"/>
      <c r="C579" s="112"/>
      <c r="D579" s="97"/>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0.5" customHeight="1">
      <c r="A580" s="63" t="s">
        <v>160</v>
      </c>
      <c r="B580" s="64"/>
      <c r="C580" s="115"/>
      <c r="D580" s="97"/>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0.5" customHeight="1">
      <c r="A581" s="63" t="s">
        <v>161</v>
      </c>
      <c r="B581" s="64"/>
      <c r="C581" s="112" t="s">
        <v>42</v>
      </c>
      <c r="D581" s="113">
        <f>'Proposed Rates'!F368</f>
        <v>2.5099999999999998</v>
      </c>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6.75" customHeight="1">
      <c r="A582" s="63"/>
      <c r="B582" s="63"/>
      <c r="C582" s="112"/>
      <c r="D582" s="97"/>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23.25" customHeight="1">
      <c r="A583" s="588" t="str">
        <f>$A$42</f>
        <v>Hydro Ottawa Limited</v>
      </c>
      <c r="B583" s="589"/>
      <c r="C583" s="589"/>
      <c r="D583" s="590"/>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8" customHeight="1">
      <c r="A584" s="591" t="str">
        <f>$A$43</f>
        <v>TARIFF OF RATES AND CHARGES</v>
      </c>
      <c r="B584" s="589"/>
      <c r="C584" s="589"/>
      <c r="D584" s="590"/>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5.75" customHeight="1">
      <c r="A585" s="592" t="s">
        <v>28</v>
      </c>
      <c r="B585" s="589"/>
      <c r="C585" s="589"/>
      <c r="D585" s="590"/>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5.75" customHeight="1">
      <c r="A586" s="592" t="s">
        <v>29</v>
      </c>
      <c r="B586" s="589"/>
      <c r="C586" s="589"/>
      <c r="D586" s="590"/>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1.25" customHeight="1">
      <c r="A587" s="593" t="str">
        <f>$A$46</f>
        <v>This schedule supersedes and replaces all previously</v>
      </c>
      <c r="B587" s="589"/>
      <c r="C587" s="589"/>
      <c r="D587" s="590"/>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1.25" customHeight="1">
      <c r="A588" s="593" t="str">
        <f>$A$47</f>
        <v>approved schedules of Rates, Charges and Loss Factors</v>
      </c>
      <c r="B588" s="589"/>
      <c r="C588" s="589"/>
      <c r="D588" s="590"/>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1.25" customHeight="1">
      <c r="A589" s="594" t="str">
        <f>$A$48</f>
        <v>EB-2024-0115</v>
      </c>
      <c r="B589" s="589"/>
      <c r="C589" s="589"/>
      <c r="D589" s="590"/>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5" customHeight="1">
      <c r="A590" s="116" t="s">
        <v>162</v>
      </c>
      <c r="B590" s="116"/>
      <c r="C590" s="117"/>
      <c r="D590" s="118"/>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6.75" customHeight="1">
      <c r="A591" s="116"/>
      <c r="B591" s="116"/>
      <c r="C591" s="117"/>
      <c r="D591" s="118"/>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22.5" customHeight="1">
      <c r="A592" s="610" t="s">
        <v>163</v>
      </c>
      <c r="B592" s="589"/>
      <c r="C592" s="590"/>
      <c r="D592" s="77"/>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1.25" customHeight="1">
      <c r="A593" s="63" t="s">
        <v>164</v>
      </c>
      <c r="B593" s="64"/>
      <c r="C593" s="64"/>
      <c r="D593" s="74">
        <f>'Proposed Rates'!F319</f>
        <v>1.0331999999999999</v>
      </c>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1.25" customHeight="1">
      <c r="A594" s="63" t="s">
        <v>165</v>
      </c>
      <c r="B594" s="64"/>
      <c r="C594" s="64"/>
      <c r="D594" s="69">
        <f>'Proposed Rates'!F320</f>
        <v>1.0149999999999999</v>
      </c>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1.25" customHeight="1">
      <c r="A595" s="63" t="s">
        <v>166</v>
      </c>
      <c r="B595" s="64"/>
      <c r="C595" s="64"/>
      <c r="D595" s="74">
        <f>'Proposed Rates'!F321</f>
        <v>1.0227999999999999</v>
      </c>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1.25" customHeight="1">
      <c r="A596" s="63" t="s">
        <v>167</v>
      </c>
      <c r="B596" s="64"/>
      <c r="C596" s="64"/>
      <c r="D596" s="74">
        <f>'Proposed Rates'!F322</f>
        <v>1.0047999999999999</v>
      </c>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7.25" customHeight="1">
      <c r="A597" s="54"/>
      <c r="B597" s="54"/>
      <c r="C597" s="54"/>
      <c r="D597" s="119"/>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36" customHeight="1">
      <c r="A598" s="54"/>
      <c r="B598" s="54"/>
      <c r="C598" s="54"/>
      <c r="D598" s="119"/>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27.5" customHeight="1">
      <c r="A599" s="54"/>
      <c r="B599" s="54"/>
      <c r="C599" s="54"/>
      <c r="D599" s="119"/>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27.5" customHeight="1">
      <c r="A600" s="54"/>
      <c r="B600" s="54"/>
      <c r="C600" s="54"/>
      <c r="D600" s="119"/>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27.5" customHeight="1">
      <c r="A601" s="54"/>
      <c r="B601" s="54"/>
      <c r="C601" s="54"/>
      <c r="D601" s="119"/>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27.5" customHeight="1">
      <c r="A602" s="54"/>
      <c r="B602" s="54"/>
      <c r="C602" s="54"/>
      <c r="D602" s="119"/>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27.5" customHeight="1">
      <c r="A603" s="54"/>
      <c r="B603" s="54"/>
      <c r="C603" s="54"/>
      <c r="D603" s="119"/>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27.5" customHeight="1">
      <c r="A604" s="54"/>
      <c r="B604" s="54"/>
      <c r="C604" s="54"/>
      <c r="D604" s="119"/>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27.5" customHeight="1">
      <c r="A605" s="54"/>
      <c r="B605" s="54"/>
      <c r="C605" s="54"/>
      <c r="D605" s="119"/>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27.5" customHeight="1">
      <c r="A606" s="54"/>
      <c r="B606" s="54"/>
      <c r="C606" s="54"/>
      <c r="D606" s="119"/>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27.5" customHeight="1">
      <c r="A607" s="54"/>
      <c r="B607" s="54"/>
      <c r="C607" s="54"/>
      <c r="D607" s="119"/>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27.5" customHeight="1">
      <c r="A608" s="54"/>
      <c r="B608" s="54"/>
      <c r="C608" s="54"/>
      <c r="D608" s="119"/>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27.5" customHeight="1">
      <c r="A609" s="54"/>
      <c r="B609" s="54"/>
      <c r="C609" s="54"/>
      <c r="D609" s="119"/>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27.5" customHeight="1">
      <c r="A610" s="54"/>
      <c r="B610" s="54"/>
      <c r="C610" s="54"/>
      <c r="D610" s="119"/>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27.5" customHeight="1">
      <c r="A611" s="54"/>
      <c r="B611" s="54"/>
      <c r="C611" s="54"/>
      <c r="D611" s="119"/>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27.5" customHeight="1">
      <c r="A612" s="54"/>
      <c r="B612" s="54"/>
      <c r="C612" s="54"/>
      <c r="D612" s="119"/>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27.5" customHeight="1">
      <c r="A613" s="54"/>
      <c r="B613" s="54"/>
      <c r="C613" s="54"/>
      <c r="D613" s="119"/>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27.5" customHeight="1">
      <c r="A614" s="54"/>
      <c r="B614" s="54"/>
      <c r="C614" s="54"/>
      <c r="D614" s="119"/>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27.5" customHeight="1">
      <c r="A615" s="54"/>
      <c r="B615" s="54"/>
      <c r="C615" s="54"/>
      <c r="D615" s="119"/>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27.5" customHeight="1">
      <c r="A616" s="54"/>
      <c r="B616" s="54"/>
      <c r="C616" s="54"/>
      <c r="D616" s="119"/>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27.5" customHeight="1">
      <c r="A617" s="54"/>
      <c r="B617" s="54"/>
      <c r="C617" s="54"/>
      <c r="D617" s="119"/>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27.5" customHeight="1">
      <c r="A618" s="54"/>
      <c r="B618" s="54"/>
      <c r="C618" s="54"/>
      <c r="D618" s="119"/>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27.5" customHeight="1">
      <c r="A619" s="54"/>
      <c r="B619" s="54"/>
      <c r="C619" s="54"/>
      <c r="D619" s="119"/>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27.5" customHeight="1">
      <c r="A620" s="54"/>
      <c r="B620" s="54"/>
      <c r="C620" s="54"/>
      <c r="D620" s="119"/>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27.5" customHeight="1">
      <c r="A621" s="54"/>
      <c r="B621" s="54"/>
      <c r="C621" s="54"/>
      <c r="D621" s="119"/>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27.5" customHeight="1">
      <c r="A622" s="54"/>
      <c r="B622" s="54"/>
      <c r="C622" s="54"/>
      <c r="D622" s="119"/>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27.5" customHeight="1">
      <c r="A623" s="54"/>
      <c r="B623" s="54"/>
      <c r="C623" s="54"/>
      <c r="D623" s="119"/>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27.5" customHeight="1">
      <c r="A624" s="54"/>
      <c r="B624" s="54"/>
      <c r="C624" s="54"/>
      <c r="D624" s="119"/>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27.5" customHeight="1">
      <c r="A625" s="54"/>
      <c r="B625" s="54"/>
      <c r="C625" s="54"/>
      <c r="D625" s="119"/>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27.5" customHeight="1">
      <c r="A626" s="54"/>
      <c r="B626" s="54"/>
      <c r="C626" s="54"/>
      <c r="D626" s="119"/>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27.5" customHeight="1">
      <c r="A627" s="54"/>
      <c r="B627" s="54"/>
      <c r="C627" s="54"/>
      <c r="D627" s="119"/>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27.5" customHeight="1">
      <c r="A628" s="54"/>
      <c r="B628" s="54"/>
      <c r="C628" s="54"/>
      <c r="D628" s="119"/>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27.5" customHeight="1">
      <c r="A629" s="54"/>
      <c r="B629" s="54"/>
      <c r="C629" s="54"/>
      <c r="D629" s="119"/>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27.5" customHeight="1">
      <c r="A630" s="54"/>
      <c r="B630" s="54"/>
      <c r="C630" s="54"/>
      <c r="D630" s="119"/>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27.5" customHeight="1">
      <c r="A631" s="54"/>
      <c r="B631" s="54"/>
      <c r="C631" s="54"/>
      <c r="D631" s="119"/>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27.5" customHeight="1">
      <c r="A632" s="54"/>
      <c r="B632" s="54"/>
      <c r="C632" s="54"/>
      <c r="D632" s="119"/>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27.5" customHeight="1">
      <c r="A633" s="54"/>
      <c r="B633" s="54"/>
      <c r="C633" s="54"/>
      <c r="D633" s="119"/>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27.5" customHeight="1">
      <c r="A634" s="54"/>
      <c r="B634" s="54"/>
      <c r="C634" s="54"/>
      <c r="D634" s="119"/>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27.5" customHeight="1">
      <c r="A635" s="54"/>
      <c r="B635" s="54"/>
      <c r="C635" s="54"/>
      <c r="D635" s="119"/>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27.5" customHeight="1">
      <c r="A636" s="54"/>
      <c r="B636" s="54"/>
      <c r="C636" s="54"/>
      <c r="D636" s="119"/>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27.5" customHeight="1">
      <c r="A637" s="54"/>
      <c r="B637" s="54"/>
      <c r="C637" s="54"/>
      <c r="D637" s="119"/>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27.5" customHeight="1">
      <c r="A638" s="54"/>
      <c r="B638" s="54"/>
      <c r="C638" s="54"/>
      <c r="D638" s="119"/>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27.5" customHeight="1">
      <c r="A639" s="54"/>
      <c r="B639" s="54"/>
      <c r="C639" s="54"/>
      <c r="D639" s="119"/>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27.5" customHeight="1">
      <c r="A640" s="54"/>
      <c r="B640" s="54"/>
      <c r="C640" s="54"/>
      <c r="D640" s="119"/>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27.5" customHeight="1">
      <c r="A641" s="54"/>
      <c r="B641" s="54"/>
      <c r="C641" s="54"/>
      <c r="D641" s="119"/>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27.5" customHeight="1">
      <c r="A642" s="54"/>
      <c r="B642" s="54"/>
      <c r="C642" s="54"/>
      <c r="D642" s="119"/>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27.5" customHeight="1">
      <c r="A643" s="54"/>
      <c r="B643" s="54"/>
      <c r="C643" s="54"/>
      <c r="D643" s="119"/>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27.5" customHeight="1">
      <c r="A644" s="54"/>
      <c r="B644" s="54"/>
      <c r="C644" s="54"/>
      <c r="D644" s="119"/>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27.5" customHeight="1">
      <c r="A645" s="54"/>
      <c r="B645" s="54"/>
      <c r="C645" s="54"/>
      <c r="D645" s="119"/>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27.5" customHeight="1">
      <c r="A646" s="54"/>
      <c r="B646" s="54"/>
      <c r="C646" s="54"/>
      <c r="D646" s="119"/>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27.5" customHeight="1">
      <c r="A647" s="54"/>
      <c r="B647" s="54"/>
      <c r="C647" s="54"/>
      <c r="D647" s="119"/>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27.5" customHeight="1">
      <c r="A648" s="54"/>
      <c r="B648" s="54"/>
      <c r="C648" s="54"/>
      <c r="D648" s="119"/>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27.5" customHeight="1">
      <c r="A649" s="54"/>
      <c r="B649" s="54"/>
      <c r="C649" s="54"/>
      <c r="D649" s="119"/>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27.5" customHeight="1">
      <c r="A650" s="54"/>
      <c r="B650" s="54"/>
      <c r="C650" s="54"/>
      <c r="D650" s="119"/>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27.5" customHeight="1">
      <c r="A651" s="54"/>
      <c r="B651" s="54"/>
      <c r="C651" s="54"/>
      <c r="D651" s="119"/>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27.5" customHeight="1">
      <c r="A652" s="54"/>
      <c r="B652" s="54"/>
      <c r="C652" s="54"/>
      <c r="D652" s="119"/>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27.5" customHeight="1">
      <c r="A653" s="54"/>
      <c r="B653" s="54"/>
      <c r="C653" s="54"/>
      <c r="D653" s="119"/>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27.5" customHeight="1">
      <c r="A654" s="54"/>
      <c r="B654" s="54"/>
      <c r="C654" s="54"/>
      <c r="D654" s="119"/>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27.5" customHeight="1">
      <c r="A655" s="54"/>
      <c r="B655" s="54"/>
      <c r="C655" s="54"/>
      <c r="D655" s="119"/>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27.5" customHeight="1">
      <c r="A656" s="54"/>
      <c r="B656" s="54"/>
      <c r="C656" s="54"/>
      <c r="D656" s="119"/>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27.5" customHeight="1">
      <c r="A657" s="54"/>
      <c r="B657" s="54"/>
      <c r="C657" s="54"/>
      <c r="D657" s="119"/>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27.5" customHeight="1">
      <c r="A658" s="54"/>
      <c r="B658" s="54"/>
      <c r="C658" s="54"/>
      <c r="D658" s="119"/>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27.5" customHeight="1">
      <c r="A659" s="54"/>
      <c r="B659" s="54"/>
      <c r="C659" s="54"/>
      <c r="D659" s="119"/>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27.5" customHeight="1">
      <c r="A660" s="54"/>
      <c r="B660" s="54"/>
      <c r="C660" s="54"/>
      <c r="D660" s="119"/>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27.5" customHeight="1">
      <c r="A661" s="54"/>
      <c r="B661" s="54"/>
      <c r="C661" s="54"/>
      <c r="D661" s="119"/>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27.5" customHeight="1">
      <c r="A662" s="54"/>
      <c r="B662" s="54"/>
      <c r="C662" s="54"/>
      <c r="D662" s="119"/>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27.5" customHeight="1">
      <c r="A663" s="54"/>
      <c r="B663" s="54"/>
      <c r="C663" s="54"/>
      <c r="D663" s="119"/>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27.5" customHeight="1">
      <c r="A664" s="54"/>
      <c r="B664" s="54"/>
      <c r="C664" s="54"/>
      <c r="D664" s="119"/>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27.5" customHeight="1">
      <c r="A665" s="54"/>
      <c r="B665" s="54"/>
      <c r="C665" s="54"/>
      <c r="D665" s="119"/>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27.5" customHeight="1">
      <c r="A666" s="54"/>
      <c r="B666" s="54"/>
      <c r="C666" s="54"/>
      <c r="D666" s="119"/>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27.5" customHeight="1">
      <c r="A667" s="54"/>
      <c r="B667" s="54"/>
      <c r="C667" s="54"/>
      <c r="D667" s="119"/>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27.5" customHeight="1">
      <c r="A668" s="54"/>
      <c r="B668" s="54"/>
      <c r="C668" s="54"/>
      <c r="D668" s="119"/>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27.5" customHeight="1">
      <c r="A669" s="54"/>
      <c r="B669" s="54"/>
      <c r="C669" s="54"/>
      <c r="D669" s="119"/>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27.5" customHeight="1">
      <c r="A670" s="54"/>
      <c r="B670" s="54"/>
      <c r="C670" s="54"/>
      <c r="D670" s="119"/>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27.5" customHeight="1">
      <c r="A671" s="54"/>
      <c r="B671" s="54"/>
      <c r="C671" s="54"/>
      <c r="D671" s="119"/>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27.5" customHeight="1">
      <c r="A672" s="54"/>
      <c r="B672" s="54"/>
      <c r="C672" s="54"/>
      <c r="D672" s="119"/>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27.5" customHeight="1">
      <c r="A673" s="54"/>
      <c r="B673" s="54"/>
      <c r="C673" s="54"/>
      <c r="D673" s="119"/>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27.5" customHeight="1">
      <c r="A674" s="54"/>
      <c r="B674" s="54"/>
      <c r="C674" s="54"/>
      <c r="D674" s="119"/>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27.5" customHeight="1">
      <c r="A675" s="54"/>
      <c r="B675" s="54"/>
      <c r="C675" s="54"/>
      <c r="D675" s="119"/>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27.5" customHeight="1">
      <c r="A676" s="54"/>
      <c r="B676" s="54"/>
      <c r="C676" s="54"/>
      <c r="D676" s="119"/>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27.5" customHeight="1">
      <c r="A677" s="54"/>
      <c r="B677" s="54"/>
      <c r="C677" s="54"/>
      <c r="D677" s="119"/>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27.5" customHeight="1">
      <c r="A678" s="54"/>
      <c r="B678" s="54"/>
      <c r="C678" s="54"/>
      <c r="D678" s="119"/>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27.5" customHeight="1">
      <c r="A679" s="54"/>
      <c r="B679" s="54"/>
      <c r="C679" s="54"/>
      <c r="D679" s="119"/>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27.5" customHeight="1">
      <c r="A680" s="54"/>
      <c r="B680" s="54"/>
      <c r="C680" s="54"/>
      <c r="D680" s="119"/>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27.5" customHeight="1">
      <c r="A681" s="54"/>
      <c r="B681" s="54"/>
      <c r="C681" s="54"/>
      <c r="D681" s="119"/>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27.5" customHeight="1">
      <c r="A682" s="54"/>
      <c r="B682" s="54"/>
      <c r="C682" s="54"/>
      <c r="D682" s="119"/>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27.5" customHeight="1">
      <c r="A683" s="54"/>
      <c r="B683" s="54"/>
      <c r="C683" s="54"/>
      <c r="D683" s="119"/>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27.5" customHeight="1">
      <c r="A684" s="54"/>
      <c r="B684" s="54"/>
      <c r="C684" s="54"/>
      <c r="D684" s="119"/>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27.5" customHeight="1">
      <c r="A685" s="54"/>
      <c r="B685" s="54"/>
      <c r="C685" s="54"/>
      <c r="D685" s="119"/>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27.5" customHeight="1">
      <c r="A686" s="54"/>
      <c r="B686" s="54"/>
      <c r="C686" s="54"/>
      <c r="D686" s="119"/>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27.5" customHeight="1">
      <c r="A687" s="54"/>
      <c r="B687" s="54"/>
      <c r="C687" s="54"/>
      <c r="D687" s="119"/>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27.5" customHeight="1">
      <c r="A688" s="54"/>
      <c r="B688" s="54"/>
      <c r="C688" s="54"/>
      <c r="D688" s="119"/>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27.5" customHeight="1">
      <c r="A689" s="54"/>
      <c r="B689" s="54"/>
      <c r="C689" s="54"/>
      <c r="D689" s="119"/>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27.5" customHeight="1">
      <c r="A690" s="54"/>
      <c r="B690" s="54"/>
      <c r="C690" s="54"/>
      <c r="D690" s="119"/>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27.5" customHeight="1">
      <c r="A691" s="54"/>
      <c r="B691" s="54"/>
      <c r="C691" s="54"/>
      <c r="D691" s="119"/>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27.5" customHeight="1">
      <c r="A692" s="54"/>
      <c r="B692" s="54"/>
      <c r="C692" s="54"/>
      <c r="D692" s="119"/>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27.5" customHeight="1">
      <c r="A693" s="54"/>
      <c r="B693" s="54"/>
      <c r="C693" s="54"/>
      <c r="D693" s="119"/>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27.5" customHeight="1">
      <c r="A694" s="54"/>
      <c r="B694" s="54"/>
      <c r="C694" s="54"/>
      <c r="D694" s="119"/>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27.5" customHeight="1">
      <c r="A695" s="54"/>
      <c r="B695" s="54"/>
      <c r="C695" s="54"/>
      <c r="D695" s="119"/>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27.5" customHeight="1">
      <c r="A696" s="54"/>
      <c r="B696" s="54"/>
      <c r="C696" s="54"/>
      <c r="D696" s="119"/>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27.5" customHeight="1">
      <c r="A697" s="54"/>
      <c r="B697" s="54"/>
      <c r="C697" s="54"/>
      <c r="D697" s="119"/>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27.5" customHeight="1">
      <c r="A698" s="54"/>
      <c r="B698" s="54"/>
      <c r="C698" s="54"/>
      <c r="D698" s="119"/>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27.5" customHeight="1">
      <c r="A699" s="54"/>
      <c r="B699" s="54"/>
      <c r="C699" s="54"/>
      <c r="D699" s="119"/>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27.5" customHeight="1">
      <c r="A700" s="54"/>
      <c r="B700" s="54"/>
      <c r="C700" s="54"/>
      <c r="D700" s="119"/>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27.5" customHeight="1">
      <c r="A701" s="54"/>
      <c r="B701" s="54"/>
      <c r="C701" s="54"/>
      <c r="D701" s="119"/>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27.5" customHeight="1">
      <c r="A702" s="54"/>
      <c r="B702" s="54"/>
      <c r="C702" s="54"/>
      <c r="D702" s="119"/>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27.5" customHeight="1">
      <c r="A703" s="54"/>
      <c r="B703" s="54"/>
      <c r="C703" s="54"/>
      <c r="D703" s="119"/>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27.5" customHeight="1">
      <c r="A704" s="54"/>
      <c r="B704" s="54"/>
      <c r="C704" s="54"/>
      <c r="D704" s="119"/>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27.5" customHeight="1">
      <c r="A705" s="54"/>
      <c r="B705" s="54"/>
      <c r="C705" s="54"/>
      <c r="D705" s="119"/>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27.5" customHeight="1">
      <c r="A706" s="54"/>
      <c r="B706" s="54"/>
      <c r="C706" s="54"/>
      <c r="D706" s="119"/>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27.5" customHeight="1">
      <c r="A707" s="54"/>
      <c r="B707" s="54"/>
      <c r="C707" s="54"/>
      <c r="D707" s="119"/>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119"/>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119"/>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119"/>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119"/>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119"/>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119"/>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119"/>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119"/>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119"/>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119"/>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119"/>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119"/>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119"/>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119"/>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119"/>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119"/>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119"/>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119"/>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119"/>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119"/>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119"/>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119"/>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119"/>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119"/>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119"/>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119"/>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119"/>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119"/>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119"/>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119"/>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119"/>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119"/>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119"/>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119"/>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119"/>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119"/>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119"/>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119"/>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119"/>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119"/>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119"/>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119"/>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119"/>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119"/>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119"/>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119"/>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119"/>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119"/>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119"/>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119"/>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119"/>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119"/>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119"/>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119"/>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119"/>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119"/>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119"/>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119"/>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119"/>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119"/>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119"/>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119"/>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119"/>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119"/>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119"/>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119"/>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119"/>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119"/>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c r="A776" s="54"/>
      <c r="B776" s="54"/>
      <c r="C776" s="54"/>
      <c r="D776" s="119"/>
      <c r="E776" s="54"/>
      <c r="F776" s="54"/>
      <c r="G776" s="54"/>
      <c r="H776" s="54"/>
      <c r="I776" s="54"/>
      <c r="J776" s="54"/>
      <c r="K776" s="54"/>
      <c r="L776" s="54"/>
      <c r="M776" s="54"/>
      <c r="N776" s="54"/>
      <c r="O776" s="54"/>
      <c r="P776" s="54"/>
      <c r="Q776" s="54"/>
      <c r="R776" s="54"/>
      <c r="S776" s="54"/>
      <c r="T776" s="54"/>
      <c r="U776" s="54"/>
      <c r="V776" s="54"/>
      <c r="W776" s="54"/>
      <c r="X776" s="54"/>
      <c r="Y776" s="54"/>
      <c r="Z776" s="54"/>
    </row>
    <row r="777" spans="1:26" ht="15.75" customHeight="1">
      <c r="A777" s="54"/>
      <c r="B777" s="54"/>
      <c r="C777" s="54"/>
      <c r="D777" s="119"/>
      <c r="E777" s="54"/>
      <c r="F777" s="54"/>
      <c r="G777" s="54"/>
      <c r="H777" s="54"/>
      <c r="I777" s="54"/>
      <c r="J777" s="54"/>
      <c r="K777" s="54"/>
      <c r="L777" s="54"/>
      <c r="M777" s="54"/>
      <c r="N777" s="54"/>
      <c r="O777" s="54"/>
      <c r="P777" s="54"/>
      <c r="Q777" s="54"/>
      <c r="R777" s="54"/>
      <c r="S777" s="54"/>
      <c r="T777" s="54"/>
      <c r="U777" s="54"/>
      <c r="V777" s="54"/>
      <c r="W777" s="54"/>
      <c r="X777" s="54"/>
      <c r="Y777" s="54"/>
      <c r="Z777" s="54"/>
    </row>
    <row r="778" spans="1:26" ht="15.75" customHeight="1">
      <c r="A778" s="54"/>
      <c r="B778" s="54"/>
      <c r="C778" s="54"/>
      <c r="D778" s="119"/>
      <c r="E778" s="54"/>
      <c r="F778" s="54"/>
      <c r="G778" s="54"/>
      <c r="H778" s="54"/>
      <c r="I778" s="54"/>
      <c r="J778" s="54"/>
      <c r="K778" s="54"/>
      <c r="L778" s="54"/>
      <c r="M778" s="54"/>
      <c r="N778" s="54"/>
      <c r="O778" s="54"/>
      <c r="P778" s="54"/>
      <c r="Q778" s="54"/>
      <c r="R778" s="54"/>
      <c r="S778" s="54"/>
      <c r="T778" s="54"/>
      <c r="U778" s="54"/>
      <c r="V778" s="54"/>
      <c r="W778" s="54"/>
      <c r="X778" s="54"/>
      <c r="Y778" s="54"/>
      <c r="Z778" s="54"/>
    </row>
    <row r="779" spans="1:26" ht="15.75" customHeight="1">
      <c r="A779" s="54"/>
      <c r="B779" s="54"/>
      <c r="C779" s="54"/>
      <c r="D779" s="119"/>
      <c r="E779" s="54"/>
      <c r="F779" s="54"/>
      <c r="G779" s="54"/>
      <c r="H779" s="54"/>
      <c r="I779" s="54"/>
      <c r="J779" s="54"/>
      <c r="K779" s="54"/>
      <c r="L779" s="54"/>
      <c r="M779" s="54"/>
      <c r="N779" s="54"/>
      <c r="O779" s="54"/>
      <c r="P779" s="54"/>
      <c r="Q779" s="54"/>
      <c r="R779" s="54"/>
      <c r="S779" s="54"/>
      <c r="T779" s="54"/>
      <c r="U779" s="54"/>
      <c r="V779" s="54"/>
      <c r="W779" s="54"/>
      <c r="X779" s="54"/>
      <c r="Y779" s="54"/>
      <c r="Z779" s="54"/>
    </row>
    <row r="780" spans="1:26" ht="15.75" customHeight="1">
      <c r="A780" s="54"/>
      <c r="B780" s="54"/>
      <c r="C780" s="54"/>
      <c r="D780" s="119"/>
      <c r="E780" s="54"/>
      <c r="F780" s="54"/>
      <c r="G780" s="54"/>
      <c r="H780" s="54"/>
      <c r="I780" s="54"/>
      <c r="J780" s="54"/>
      <c r="K780" s="54"/>
      <c r="L780" s="54"/>
      <c r="M780" s="54"/>
      <c r="N780" s="54"/>
      <c r="O780" s="54"/>
      <c r="P780" s="54"/>
      <c r="Q780" s="54"/>
      <c r="R780" s="54"/>
      <c r="S780" s="54"/>
      <c r="T780" s="54"/>
      <c r="U780" s="54"/>
      <c r="V780" s="54"/>
      <c r="W780" s="54"/>
      <c r="X780" s="54"/>
      <c r="Y780" s="54"/>
      <c r="Z780" s="54"/>
    </row>
    <row r="781" spans="1:26" ht="15.75" customHeight="1">
      <c r="A781" s="54"/>
      <c r="B781" s="54"/>
      <c r="C781" s="54"/>
      <c r="D781" s="119"/>
      <c r="E781" s="54"/>
      <c r="F781" s="54"/>
      <c r="G781" s="54"/>
      <c r="H781" s="54"/>
      <c r="I781" s="54"/>
      <c r="J781" s="54"/>
      <c r="K781" s="54"/>
      <c r="L781" s="54"/>
      <c r="M781" s="54"/>
      <c r="N781" s="54"/>
      <c r="O781" s="54"/>
      <c r="P781" s="54"/>
      <c r="Q781" s="54"/>
      <c r="R781" s="54"/>
      <c r="S781" s="54"/>
      <c r="T781" s="54"/>
      <c r="U781" s="54"/>
      <c r="V781" s="54"/>
      <c r="W781" s="54"/>
      <c r="X781" s="54"/>
      <c r="Y781" s="54"/>
      <c r="Z781" s="54"/>
    </row>
    <row r="782" spans="1:26" ht="15.75" customHeight="1">
      <c r="A782" s="64"/>
      <c r="B782" s="64"/>
      <c r="C782" s="64"/>
      <c r="D782" s="120"/>
      <c r="E782" s="64"/>
      <c r="F782" s="64"/>
      <c r="G782" s="64"/>
      <c r="H782" s="64"/>
      <c r="I782" s="64"/>
      <c r="J782" s="64"/>
      <c r="K782" s="64"/>
      <c r="L782" s="64"/>
      <c r="M782" s="64"/>
      <c r="N782" s="64"/>
      <c r="O782" s="64"/>
      <c r="P782" s="64"/>
      <c r="Q782" s="64"/>
      <c r="R782" s="64"/>
      <c r="S782" s="64"/>
      <c r="T782" s="64"/>
      <c r="U782" s="64"/>
      <c r="V782" s="64"/>
      <c r="W782" s="64"/>
      <c r="X782" s="64"/>
      <c r="Y782" s="64"/>
      <c r="Z782" s="64"/>
    </row>
    <row r="783" spans="1:26" ht="15.75" customHeight="1">
      <c r="A783" s="64"/>
      <c r="B783" s="64"/>
      <c r="C783" s="64"/>
      <c r="D783" s="120"/>
      <c r="E783" s="64"/>
      <c r="F783" s="64"/>
      <c r="G783" s="64"/>
      <c r="H783" s="64"/>
      <c r="I783" s="64"/>
      <c r="J783" s="64"/>
      <c r="K783" s="64"/>
      <c r="L783" s="64"/>
      <c r="M783" s="64"/>
      <c r="N783" s="64"/>
      <c r="O783" s="64"/>
      <c r="P783" s="64"/>
      <c r="Q783" s="64"/>
      <c r="R783" s="64"/>
      <c r="S783" s="64"/>
      <c r="T783" s="64"/>
      <c r="U783" s="64"/>
      <c r="V783" s="64"/>
      <c r="W783" s="64"/>
      <c r="X783" s="64"/>
      <c r="Y783" s="64"/>
      <c r="Z783" s="64"/>
    </row>
    <row r="784" spans="1:26" ht="15.75" customHeight="1">
      <c r="A784" s="64"/>
      <c r="B784" s="64"/>
      <c r="C784" s="64"/>
      <c r="D784" s="120"/>
      <c r="E784" s="64"/>
      <c r="F784" s="64"/>
      <c r="G784" s="64"/>
      <c r="H784" s="64"/>
      <c r="I784" s="64"/>
      <c r="J784" s="64"/>
      <c r="K784" s="64"/>
      <c r="L784" s="64"/>
      <c r="M784" s="64"/>
      <c r="N784" s="64"/>
      <c r="O784" s="64"/>
      <c r="P784" s="64"/>
      <c r="Q784" s="64"/>
      <c r="R784" s="64"/>
      <c r="S784" s="64"/>
      <c r="T784" s="64"/>
      <c r="U784" s="64"/>
      <c r="V784" s="64"/>
      <c r="W784" s="64"/>
      <c r="X784" s="64"/>
      <c r="Y784" s="64"/>
      <c r="Z784" s="64"/>
    </row>
    <row r="785" spans="1:26" ht="15.75" customHeight="1">
      <c r="A785" s="64"/>
      <c r="B785" s="64"/>
      <c r="C785" s="64"/>
      <c r="D785" s="120"/>
      <c r="E785" s="64"/>
      <c r="F785" s="64"/>
      <c r="G785" s="64"/>
      <c r="H785" s="64"/>
      <c r="I785" s="64"/>
      <c r="J785" s="64"/>
      <c r="K785" s="64"/>
      <c r="L785" s="64"/>
      <c r="M785" s="64"/>
      <c r="N785" s="64"/>
      <c r="O785" s="64"/>
      <c r="P785" s="64"/>
      <c r="Q785" s="64"/>
      <c r="R785" s="64"/>
      <c r="S785" s="64"/>
      <c r="T785" s="64"/>
      <c r="U785" s="64"/>
      <c r="V785" s="64"/>
      <c r="W785" s="64"/>
      <c r="X785" s="64"/>
      <c r="Y785" s="64"/>
      <c r="Z785" s="64"/>
    </row>
    <row r="786" spans="1:26" ht="15.75" customHeight="1">
      <c r="A786" s="64"/>
      <c r="B786" s="64"/>
      <c r="C786" s="64"/>
      <c r="D786" s="120"/>
      <c r="E786" s="64"/>
      <c r="F786" s="64"/>
      <c r="G786" s="64"/>
      <c r="H786" s="64"/>
      <c r="I786" s="64"/>
      <c r="J786" s="64"/>
      <c r="K786" s="64"/>
      <c r="L786" s="64"/>
      <c r="M786" s="64"/>
      <c r="N786" s="64"/>
      <c r="O786" s="64"/>
      <c r="P786" s="64"/>
      <c r="Q786" s="64"/>
      <c r="R786" s="64"/>
      <c r="S786" s="64"/>
      <c r="T786" s="64"/>
      <c r="U786" s="64"/>
      <c r="V786" s="64"/>
      <c r="W786" s="64"/>
      <c r="X786" s="64"/>
      <c r="Y786" s="64"/>
      <c r="Z786" s="64"/>
    </row>
    <row r="787" spans="1:26" ht="15.75" customHeight="1">
      <c r="A787" s="64"/>
      <c r="B787" s="64"/>
      <c r="C787" s="64"/>
      <c r="D787" s="120"/>
      <c r="E787" s="64"/>
      <c r="F787" s="64"/>
      <c r="G787" s="64"/>
      <c r="H787" s="64"/>
      <c r="I787" s="64"/>
      <c r="J787" s="64"/>
      <c r="K787" s="64"/>
      <c r="L787" s="64"/>
      <c r="M787" s="64"/>
      <c r="N787" s="64"/>
      <c r="O787" s="64"/>
      <c r="P787" s="64"/>
      <c r="Q787" s="64"/>
      <c r="R787" s="64"/>
      <c r="S787" s="64"/>
      <c r="T787" s="64"/>
      <c r="U787" s="64"/>
      <c r="V787" s="64"/>
      <c r="W787" s="64"/>
      <c r="X787" s="64"/>
      <c r="Y787" s="64"/>
      <c r="Z787" s="64"/>
    </row>
    <row r="788" spans="1:26" ht="15.75" customHeight="1">
      <c r="A788" s="64"/>
      <c r="B788" s="64"/>
      <c r="C788" s="64"/>
      <c r="D788" s="120"/>
      <c r="E788" s="64"/>
      <c r="F788" s="64"/>
      <c r="G788" s="64"/>
      <c r="H788" s="64"/>
      <c r="I788" s="64"/>
      <c r="J788" s="64"/>
      <c r="K788" s="64"/>
      <c r="L788" s="64"/>
      <c r="M788" s="64"/>
      <c r="N788" s="64"/>
      <c r="O788" s="64"/>
      <c r="P788" s="64"/>
      <c r="Q788" s="64"/>
      <c r="R788" s="64"/>
      <c r="S788" s="64"/>
      <c r="T788" s="64"/>
      <c r="U788" s="64"/>
      <c r="V788" s="64"/>
      <c r="W788" s="64"/>
      <c r="X788" s="64"/>
      <c r="Y788" s="64"/>
      <c r="Z788" s="64"/>
    </row>
    <row r="789" spans="1:26" ht="15.75" customHeight="1">
      <c r="A789" s="64"/>
      <c r="B789" s="64"/>
      <c r="C789" s="64"/>
      <c r="D789" s="120"/>
      <c r="E789" s="64"/>
      <c r="F789" s="64"/>
      <c r="G789" s="64"/>
      <c r="H789" s="64"/>
      <c r="I789" s="64"/>
      <c r="J789" s="64"/>
      <c r="K789" s="64"/>
      <c r="L789" s="64"/>
      <c r="M789" s="64"/>
      <c r="N789" s="64"/>
      <c r="O789" s="64"/>
      <c r="P789" s="64"/>
      <c r="Q789" s="64"/>
      <c r="R789" s="64"/>
      <c r="S789" s="64"/>
      <c r="T789" s="64"/>
      <c r="U789" s="64"/>
      <c r="V789" s="64"/>
      <c r="W789" s="64"/>
      <c r="X789" s="64"/>
      <c r="Y789" s="64"/>
      <c r="Z789" s="64"/>
    </row>
    <row r="790" spans="1:26" ht="15.75" customHeight="1">
      <c r="A790" s="64"/>
      <c r="B790" s="64"/>
      <c r="C790" s="64"/>
      <c r="D790" s="120"/>
      <c r="E790" s="64"/>
      <c r="F790" s="64"/>
      <c r="G790" s="64"/>
      <c r="H790" s="64"/>
      <c r="I790" s="64"/>
      <c r="J790" s="64"/>
      <c r="K790" s="64"/>
      <c r="L790" s="64"/>
      <c r="M790" s="64"/>
      <c r="N790" s="64"/>
      <c r="O790" s="64"/>
      <c r="P790" s="64"/>
      <c r="Q790" s="64"/>
      <c r="R790" s="64"/>
      <c r="S790" s="64"/>
      <c r="T790" s="64"/>
      <c r="U790" s="64"/>
      <c r="V790" s="64"/>
      <c r="W790" s="64"/>
      <c r="X790" s="64"/>
      <c r="Y790" s="64"/>
      <c r="Z790" s="64"/>
    </row>
    <row r="791" spans="1:26" ht="15.75" customHeight="1">
      <c r="A791" s="64"/>
      <c r="B791" s="64"/>
      <c r="C791" s="64"/>
      <c r="D791" s="120"/>
      <c r="E791" s="64"/>
      <c r="F791" s="64"/>
      <c r="G791" s="64"/>
      <c r="H791" s="64"/>
      <c r="I791" s="64"/>
      <c r="J791" s="64"/>
      <c r="K791" s="64"/>
      <c r="L791" s="64"/>
      <c r="M791" s="64"/>
      <c r="N791" s="64"/>
      <c r="O791" s="64"/>
      <c r="P791" s="64"/>
      <c r="Q791" s="64"/>
      <c r="R791" s="64"/>
      <c r="S791" s="64"/>
      <c r="T791" s="64"/>
      <c r="U791" s="64"/>
      <c r="V791" s="64"/>
      <c r="W791" s="64"/>
      <c r="X791" s="64"/>
      <c r="Y791" s="64"/>
      <c r="Z791" s="64"/>
    </row>
    <row r="792" spans="1:26" ht="15.75" customHeight="1">
      <c r="A792" s="64"/>
      <c r="B792" s="64"/>
      <c r="C792" s="64"/>
      <c r="D792" s="120"/>
      <c r="E792" s="64"/>
      <c r="F792" s="64"/>
      <c r="G792" s="64"/>
      <c r="H792" s="64"/>
      <c r="I792" s="64"/>
      <c r="J792" s="64"/>
      <c r="K792" s="64"/>
      <c r="L792" s="64"/>
      <c r="M792" s="64"/>
      <c r="N792" s="64"/>
      <c r="O792" s="64"/>
      <c r="P792" s="64"/>
      <c r="Q792" s="64"/>
      <c r="R792" s="64"/>
      <c r="S792" s="64"/>
      <c r="T792" s="64"/>
      <c r="U792" s="64"/>
      <c r="V792" s="64"/>
      <c r="W792" s="64"/>
      <c r="X792" s="64"/>
      <c r="Y792" s="64"/>
      <c r="Z792" s="64"/>
    </row>
    <row r="793" spans="1:26" ht="15.75" customHeight="1">
      <c r="A793" s="64"/>
      <c r="B793" s="64"/>
      <c r="C793" s="64"/>
      <c r="D793" s="120"/>
      <c r="E793" s="64"/>
      <c r="F793" s="64"/>
      <c r="G793" s="64"/>
      <c r="H793" s="64"/>
      <c r="I793" s="64"/>
      <c r="J793" s="64"/>
      <c r="K793" s="64"/>
      <c r="L793" s="64"/>
      <c r="M793" s="64"/>
      <c r="N793" s="64"/>
      <c r="O793" s="64"/>
      <c r="P793" s="64"/>
      <c r="Q793" s="64"/>
      <c r="R793" s="64"/>
      <c r="S793" s="64"/>
      <c r="T793" s="64"/>
      <c r="U793" s="64"/>
      <c r="V793" s="64"/>
      <c r="W793" s="64"/>
      <c r="X793" s="64"/>
      <c r="Y793" s="64"/>
      <c r="Z793" s="64"/>
    </row>
    <row r="794" spans="1:26" ht="15.75" customHeight="1">
      <c r="A794" s="64"/>
      <c r="B794" s="64"/>
      <c r="C794" s="64"/>
      <c r="D794" s="120"/>
      <c r="E794" s="64"/>
      <c r="F794" s="64"/>
      <c r="G794" s="64"/>
      <c r="H794" s="64"/>
      <c r="I794" s="64"/>
      <c r="J794" s="64"/>
      <c r="K794" s="64"/>
      <c r="L794" s="64"/>
      <c r="M794" s="64"/>
      <c r="N794" s="64"/>
      <c r="O794" s="64"/>
      <c r="P794" s="64"/>
      <c r="Q794" s="64"/>
      <c r="R794" s="64"/>
      <c r="S794" s="64"/>
      <c r="T794" s="64"/>
      <c r="U794" s="64"/>
      <c r="V794" s="64"/>
      <c r="W794" s="64"/>
      <c r="X794" s="64"/>
      <c r="Y794" s="64"/>
      <c r="Z794" s="64"/>
    </row>
    <row r="795" spans="1:26" ht="15.75" customHeight="1">
      <c r="A795" s="64"/>
      <c r="B795" s="64"/>
      <c r="C795" s="64"/>
      <c r="D795" s="120"/>
      <c r="E795" s="64"/>
      <c r="F795" s="64"/>
      <c r="G795" s="64"/>
      <c r="H795" s="64"/>
      <c r="I795" s="64"/>
      <c r="J795" s="64"/>
      <c r="K795" s="64"/>
      <c r="L795" s="64"/>
      <c r="M795" s="64"/>
      <c r="N795" s="64"/>
      <c r="O795" s="64"/>
      <c r="P795" s="64"/>
      <c r="Q795" s="64"/>
      <c r="R795" s="64"/>
      <c r="S795" s="64"/>
      <c r="T795" s="64"/>
      <c r="U795" s="64"/>
      <c r="V795" s="64"/>
      <c r="W795" s="64"/>
      <c r="X795" s="64"/>
      <c r="Y795" s="64"/>
      <c r="Z795" s="64"/>
    </row>
    <row r="796" spans="1:26" ht="15.75" customHeight="1">
      <c r="A796" s="64"/>
      <c r="B796" s="64"/>
      <c r="C796" s="64"/>
      <c r="D796" s="120"/>
      <c r="E796" s="64"/>
      <c r="F796" s="64"/>
      <c r="G796" s="64"/>
      <c r="H796" s="64"/>
      <c r="I796" s="64"/>
      <c r="J796" s="64"/>
      <c r="K796" s="64"/>
      <c r="L796" s="64"/>
      <c r="M796" s="64"/>
      <c r="N796" s="64"/>
      <c r="O796" s="64"/>
      <c r="P796" s="64"/>
      <c r="Q796" s="64"/>
      <c r="R796" s="64"/>
      <c r="S796" s="64"/>
      <c r="T796" s="64"/>
      <c r="U796" s="64"/>
      <c r="V796" s="64"/>
      <c r="W796" s="64"/>
      <c r="X796" s="64"/>
      <c r="Y796" s="64"/>
      <c r="Z796" s="64"/>
    </row>
    <row r="797" spans="1:26" ht="15.75" customHeight="1"/>
    <row r="798" spans="1:26" ht="15.75" customHeight="1"/>
    <row r="799" spans="1:26" ht="15.75" customHeight="1"/>
    <row r="800" spans="1:26"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sheetData>
  <mergeCells count="253">
    <mergeCell ref="A592:C592"/>
    <mergeCell ref="A514:D514"/>
    <mergeCell ref="A516:D516"/>
    <mergeCell ref="A583:D583"/>
    <mergeCell ref="A584:D584"/>
    <mergeCell ref="A585:D585"/>
    <mergeCell ref="A586:D586"/>
    <mergeCell ref="A587:D587"/>
    <mergeCell ref="A588:D588"/>
    <mergeCell ref="A589:D589"/>
    <mergeCell ref="A498:B498"/>
    <mergeCell ref="A503:D503"/>
    <mergeCell ref="A504:D504"/>
    <mergeCell ref="A505:D505"/>
    <mergeCell ref="A506:D506"/>
    <mergeCell ref="A507:D507"/>
    <mergeCell ref="A508:D508"/>
    <mergeCell ref="A509:D509"/>
    <mergeCell ref="A512:D512"/>
    <mergeCell ref="A550:D550"/>
    <mergeCell ref="A551:D551"/>
    <mergeCell ref="A552:D552"/>
    <mergeCell ref="A555:D555"/>
    <mergeCell ref="A557:D557"/>
    <mergeCell ref="A559:D559"/>
    <mergeCell ref="A561:D561"/>
    <mergeCell ref="A563:D563"/>
    <mergeCell ref="A450:D450"/>
    <mergeCell ref="A451:D451"/>
    <mergeCell ref="A452:D452"/>
    <mergeCell ref="A453:D453"/>
    <mergeCell ref="A454:D454"/>
    <mergeCell ref="A455:D455"/>
    <mergeCell ref="A456:D456"/>
    <mergeCell ref="A457:D457"/>
    <mergeCell ref="A458:D458"/>
    <mergeCell ref="A460:D460"/>
    <mergeCell ref="A462:D462"/>
    <mergeCell ref="A464:D464"/>
    <mergeCell ref="A466:D466"/>
    <mergeCell ref="A468:D468"/>
    <mergeCell ref="A470:D470"/>
    <mergeCell ref="A473:B473"/>
    <mergeCell ref="A443:D443"/>
    <mergeCell ref="A445:D445"/>
    <mergeCell ref="A448:B448"/>
    <mergeCell ref="A518:D518"/>
    <mergeCell ref="A545:B545"/>
    <mergeCell ref="A546:D546"/>
    <mergeCell ref="A547:D547"/>
    <mergeCell ref="A548:D548"/>
    <mergeCell ref="A549:D549"/>
    <mergeCell ref="A475:D475"/>
    <mergeCell ref="A476:D476"/>
    <mergeCell ref="A477:D477"/>
    <mergeCell ref="A478:D478"/>
    <mergeCell ref="A479:D479"/>
    <mergeCell ref="A480:D480"/>
    <mergeCell ref="A481:D481"/>
    <mergeCell ref="A482:D482"/>
    <mergeCell ref="A483:D483"/>
    <mergeCell ref="A485:D485"/>
    <mergeCell ref="A487:D487"/>
    <mergeCell ref="A489:D489"/>
    <mergeCell ref="A491:D491"/>
    <mergeCell ref="A493:D493"/>
    <mergeCell ref="A495:D495"/>
    <mergeCell ref="A399:D399"/>
    <mergeCell ref="A400:D400"/>
    <mergeCell ref="A401:D401"/>
    <mergeCell ref="A403:D403"/>
    <mergeCell ref="A405:D405"/>
    <mergeCell ref="A435:D435"/>
    <mergeCell ref="A437:D437"/>
    <mergeCell ref="A439:D439"/>
    <mergeCell ref="A441:D441"/>
    <mergeCell ref="A432:D432"/>
    <mergeCell ref="A433:D433"/>
    <mergeCell ref="A310:D310"/>
    <mergeCell ref="A311:D311"/>
    <mergeCell ref="A312:D312"/>
    <mergeCell ref="A313:D313"/>
    <mergeCell ref="A314:D314"/>
    <mergeCell ref="A315:D315"/>
    <mergeCell ref="A316:D316"/>
    <mergeCell ref="A317:D317"/>
    <mergeCell ref="A319:D319"/>
    <mergeCell ref="A321:D321"/>
    <mergeCell ref="A323:D323"/>
    <mergeCell ref="A325:D325"/>
    <mergeCell ref="A327:D327"/>
    <mergeCell ref="A332:B332"/>
    <mergeCell ref="A339:B339"/>
    <mergeCell ref="A350:D350"/>
    <mergeCell ref="A351:D351"/>
    <mergeCell ref="A352:D352"/>
    <mergeCell ref="A353:D353"/>
    <mergeCell ref="A354:D354"/>
    <mergeCell ref="A355:D355"/>
    <mergeCell ref="A356:D356"/>
    <mergeCell ref="A413:D413"/>
    <mergeCell ref="A415:B415"/>
    <mergeCell ref="A425:D425"/>
    <mergeCell ref="A426:D426"/>
    <mergeCell ref="A427:D427"/>
    <mergeCell ref="A428:D428"/>
    <mergeCell ref="A429:D429"/>
    <mergeCell ref="A430:D430"/>
    <mergeCell ref="A431:D431"/>
    <mergeCell ref="A303:B303"/>
    <mergeCell ref="A304:B304"/>
    <mergeCell ref="A305:B305"/>
    <mergeCell ref="A306:B306"/>
    <mergeCell ref="A307:B307"/>
    <mergeCell ref="A309:D309"/>
    <mergeCell ref="A407:D407"/>
    <mergeCell ref="A409:D409"/>
    <mergeCell ref="A411:D411"/>
    <mergeCell ref="A357:D357"/>
    <mergeCell ref="A358:D358"/>
    <mergeCell ref="A360:D360"/>
    <mergeCell ref="A362:D362"/>
    <mergeCell ref="A364:D364"/>
    <mergeCell ref="A366:D366"/>
    <mergeCell ref="A368:D368"/>
    <mergeCell ref="A373:B373"/>
    <mergeCell ref="A382:B382"/>
    <mergeCell ref="A393:D393"/>
    <mergeCell ref="A394:D394"/>
    <mergeCell ref="A395:D395"/>
    <mergeCell ref="A396:D396"/>
    <mergeCell ref="A397:D397"/>
    <mergeCell ref="A398:D398"/>
    <mergeCell ref="A205:D205"/>
    <mergeCell ref="A206:D206"/>
    <mergeCell ref="A207:D207"/>
    <mergeCell ref="A208:D208"/>
    <mergeCell ref="A213:B213"/>
    <mergeCell ref="A220:B220"/>
    <mergeCell ref="A232:D232"/>
    <mergeCell ref="A233:D233"/>
    <mergeCell ref="A302:B302"/>
    <mergeCell ref="A283:D283"/>
    <mergeCell ref="A285:D285"/>
    <mergeCell ref="A287:D287"/>
    <mergeCell ref="A289:D289"/>
    <mergeCell ref="A291:D291"/>
    <mergeCell ref="A111:B111"/>
    <mergeCell ref="A117:B117"/>
    <mergeCell ref="A136:D136"/>
    <mergeCell ref="A137:D137"/>
    <mergeCell ref="A138:D138"/>
    <mergeCell ref="A139:D139"/>
    <mergeCell ref="A140:D140"/>
    <mergeCell ref="A141:D141"/>
    <mergeCell ref="A142:D142"/>
    <mergeCell ref="A143:D143"/>
    <mergeCell ref="A144:D144"/>
    <mergeCell ref="A146:D146"/>
    <mergeCell ref="A148:D148"/>
    <mergeCell ref="A150:D150"/>
    <mergeCell ref="A152:D152"/>
    <mergeCell ref="A154:D154"/>
    <mergeCell ref="A155:D155"/>
    <mergeCell ref="A156:D156"/>
    <mergeCell ref="A157:D157"/>
    <mergeCell ref="A273:D273"/>
    <mergeCell ref="A274:D274"/>
    <mergeCell ref="A275:D275"/>
    <mergeCell ref="A276:D276"/>
    <mergeCell ref="A277:D277"/>
    <mergeCell ref="A278:D278"/>
    <mergeCell ref="A279:D279"/>
    <mergeCell ref="A280:D280"/>
    <mergeCell ref="A281:D281"/>
    <mergeCell ref="A239:D239"/>
    <mergeCell ref="A240:D240"/>
    <mergeCell ref="A242:D242"/>
    <mergeCell ref="A244:D244"/>
    <mergeCell ref="A246:D246"/>
    <mergeCell ref="A248:D248"/>
    <mergeCell ref="A250:D250"/>
    <mergeCell ref="A255:B255"/>
    <mergeCell ref="A262:B262"/>
    <mergeCell ref="A103:D103"/>
    <mergeCell ref="A104:D104"/>
    <mergeCell ref="A105:D105"/>
    <mergeCell ref="A106:D106"/>
    <mergeCell ref="A234:D234"/>
    <mergeCell ref="A235:D235"/>
    <mergeCell ref="A236:D236"/>
    <mergeCell ref="A237:D237"/>
    <mergeCell ref="A238:D238"/>
    <mergeCell ref="A162:B162"/>
    <mergeCell ref="A169:B169"/>
    <mergeCell ref="A187:D187"/>
    <mergeCell ref="A188:D188"/>
    <mergeCell ref="A189:D189"/>
    <mergeCell ref="A190:D190"/>
    <mergeCell ref="A191:D191"/>
    <mergeCell ref="A192:D192"/>
    <mergeCell ref="A193:D193"/>
    <mergeCell ref="A194:D194"/>
    <mergeCell ref="A195:D195"/>
    <mergeCell ref="A197:D197"/>
    <mergeCell ref="A199:D199"/>
    <mergeCell ref="A201:D201"/>
    <mergeCell ref="A203:D203"/>
    <mergeCell ref="A89:D89"/>
    <mergeCell ref="A90:D90"/>
    <mergeCell ref="A91:D91"/>
    <mergeCell ref="A92:D92"/>
    <mergeCell ref="A93:D93"/>
    <mergeCell ref="A95:D95"/>
    <mergeCell ref="A97:D97"/>
    <mergeCell ref="A99:D99"/>
    <mergeCell ref="A101:D101"/>
    <mergeCell ref="A56:D56"/>
    <mergeCell ref="A58:D58"/>
    <mergeCell ref="A60:D60"/>
    <mergeCell ref="A65:B65"/>
    <mergeCell ref="A73:B73"/>
    <mergeCell ref="A85:D85"/>
    <mergeCell ref="A86:D86"/>
    <mergeCell ref="A87:D87"/>
    <mergeCell ref="A88:D88"/>
    <mergeCell ref="A44:D44"/>
    <mergeCell ref="A45:D45"/>
    <mergeCell ref="A46:D46"/>
    <mergeCell ref="A47:D47"/>
    <mergeCell ref="A48:D48"/>
    <mergeCell ref="A49:D49"/>
    <mergeCell ref="A50:D50"/>
    <mergeCell ref="A52:D52"/>
    <mergeCell ref="A54:D54"/>
    <mergeCell ref="A11:D11"/>
    <mergeCell ref="A13:D13"/>
    <mergeCell ref="A15:D15"/>
    <mergeCell ref="A17:D17"/>
    <mergeCell ref="A19:D19"/>
    <mergeCell ref="A21:D21"/>
    <mergeCell ref="A24:B24"/>
    <mergeCell ref="A42:D42"/>
    <mergeCell ref="A43:D43"/>
    <mergeCell ref="A1:D1"/>
    <mergeCell ref="A2:D2"/>
    <mergeCell ref="A3:D3"/>
    <mergeCell ref="A4:D4"/>
    <mergeCell ref="A5:D5"/>
    <mergeCell ref="A6:D6"/>
    <mergeCell ref="A7:D7"/>
    <mergeCell ref="A8:D8"/>
    <mergeCell ref="A9:D9"/>
  </mergeCells>
  <pageMargins left="0.7" right="0.7" top="0.75" bottom="0.75" header="0" footer="0"/>
  <pageSetup orientation="portrait"/>
  <rowBreaks count="3" manualBreakCount="3">
    <brk id="48" man="1"/>
    <brk id="91" man="1"/>
    <brk id="14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41.7109375" customWidth="1"/>
    <col min="3" max="3" width="4.42578125" customWidth="1"/>
    <col min="4" max="4" width="11.42578125" customWidth="1"/>
    <col min="5" max="5" width="1.42578125" customWidth="1"/>
    <col min="6" max="6" width="12.140625" customWidth="1"/>
    <col min="7" max="7" width="8" customWidth="1"/>
    <col min="8" max="8" width="9.28515625" customWidth="1"/>
    <col min="9" max="9" width="0.42578125" customWidth="1"/>
    <col min="10" max="10" width="10.42578125" customWidth="1"/>
    <col min="11" max="11" width="8" customWidth="1"/>
    <col min="12" max="12" width="9.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6" width="12.42578125" customWidth="1"/>
  </cols>
  <sheetData>
    <row r="1" spans="1:46" ht="12" customHeight="1">
      <c r="A1" s="53"/>
      <c r="B1" s="53"/>
      <c r="C1" s="53"/>
      <c r="D1" s="53"/>
      <c r="E1" s="53"/>
      <c r="F1" s="53"/>
      <c r="G1" s="53"/>
      <c r="H1" s="53"/>
      <c r="I1" s="53"/>
      <c r="J1" s="53"/>
      <c r="K1" s="53"/>
      <c r="Q1" s="53"/>
      <c r="R1" s="53"/>
      <c r="S1" s="628" t="s">
        <v>319</v>
      </c>
      <c r="T1" s="629"/>
      <c r="U1" s="629"/>
      <c r="V1" s="629"/>
      <c r="W1" s="629"/>
      <c r="X1" s="629"/>
      <c r="Y1" s="630"/>
      <c r="Z1" s="53"/>
      <c r="AA1" s="53"/>
      <c r="AB1" s="53"/>
      <c r="AC1" s="53"/>
      <c r="AD1" s="53"/>
      <c r="AE1" s="53"/>
      <c r="AF1" s="53"/>
      <c r="AG1" s="53"/>
      <c r="AH1" s="53"/>
      <c r="AI1" s="53"/>
      <c r="AJ1" s="53"/>
      <c r="AK1" s="53"/>
      <c r="AL1" s="53"/>
      <c r="AM1" s="53"/>
      <c r="AN1" s="53"/>
      <c r="AO1" s="53"/>
      <c r="AP1" s="53"/>
      <c r="AQ1" s="53"/>
      <c r="AR1" s="53"/>
    </row>
    <row r="2" spans="1:46" ht="12"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6"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6" ht="12" customHeight="1">
      <c r="A4" s="53"/>
      <c r="B4" s="53"/>
      <c r="C4" s="53"/>
      <c r="D4" s="53"/>
      <c r="E4" s="53"/>
      <c r="F4" s="53"/>
      <c r="G4" s="53"/>
      <c r="H4" s="53"/>
      <c r="I4" s="53"/>
      <c r="J4" s="53"/>
      <c r="K4" s="5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row>
    <row r="5" spans="1:46" ht="12" customHeight="1">
      <c r="A5" s="53"/>
      <c r="B5" s="53"/>
      <c r="C5" s="53"/>
      <c r="D5" s="53"/>
      <c r="E5" s="53"/>
      <c r="F5" s="53"/>
      <c r="G5" s="53"/>
      <c r="H5" s="53"/>
      <c r="I5" s="53"/>
      <c r="J5" s="53"/>
      <c r="K5" s="5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row>
    <row r="6" spans="1:46" ht="12" customHeight="1">
      <c r="A6" s="53"/>
      <c r="B6" s="327" t="s">
        <v>323</v>
      </c>
      <c r="C6" s="53"/>
      <c r="D6" s="499" t="s">
        <v>248</v>
      </c>
      <c r="E6" s="500"/>
      <c r="F6" s="500"/>
      <c r="G6" s="500"/>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row>
    <row r="7" spans="1:46"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6" ht="12"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6" ht="12"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6" ht="12" customHeight="1">
      <c r="A10" s="53"/>
      <c r="B10" s="53"/>
      <c r="C10" s="53"/>
      <c r="D10" s="314" t="s">
        <v>326</v>
      </c>
      <c r="E10" s="314"/>
      <c r="F10" s="380">
        <v>2000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6" ht="12"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6" ht="12"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6" ht="12"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6" ht="12"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6" ht="12" customHeight="1">
      <c r="A15" s="53"/>
      <c r="B15" s="328" t="s">
        <v>246</v>
      </c>
      <c r="C15" s="389" t="str">
        <f t="shared" ref="C15:C28" si="0">D$6&amp;"."&amp;B15</f>
        <v>General Service &lt; 50 kW.Monthly Service Charge</v>
      </c>
      <c r="D15" s="390" t="s">
        <v>335</v>
      </c>
      <c r="E15" s="328"/>
      <c r="F15" s="391">
        <f>IFERROR(VLOOKUP($C15,'Proposed Rates'!$B:$J,F$11,FALSE),0)</f>
        <v>23.53</v>
      </c>
      <c r="G15" s="392">
        <f t="shared" ref="G15:G28" si="1">IF($D15="Monthly",1,IF($D15="per KWH",$F$10,0))</f>
        <v>1</v>
      </c>
      <c r="H15" s="394">
        <f t="shared" ref="H15:H28" si="2">G15*F15</f>
        <v>23.53</v>
      </c>
      <c r="I15" s="138"/>
      <c r="J15" s="391">
        <f>IFERROR(VLOOKUP($C15,'Proposed Rates'!$B:$J,J$11,FALSE),0)</f>
        <v>26.16</v>
      </c>
      <c r="K15" s="392">
        <f t="shared" ref="K15:K28" si="3">IF($D15="Monthly",1,IF($D15="per KWH",$F$10,0))</f>
        <v>1</v>
      </c>
      <c r="L15" s="394">
        <f t="shared" ref="L15:L28" si="4">K15*J15</f>
        <v>26.16</v>
      </c>
      <c r="M15" s="138"/>
      <c r="N15" s="395">
        <f t="shared" ref="N15:N48" si="5">L15-H15</f>
        <v>2.629999999999999</v>
      </c>
      <c r="O15" s="396">
        <f t="shared" ref="O15:O48" si="6">IF((H15)=0,"",(N15/H15))</f>
        <v>0.11177220569485759</v>
      </c>
      <c r="P15" s="53"/>
      <c r="Q15" s="391">
        <f>IFERROR(VLOOKUP($C15,'Proposed Rates'!$B:$J,Q$11,FALSE),0)</f>
        <v>27.42</v>
      </c>
      <c r="R15" s="392">
        <f t="shared" ref="R15:R28" si="7">IF($D15="Monthly",1,IF($D15="per KWH",$F$10,0))</f>
        <v>1</v>
      </c>
      <c r="S15" s="394">
        <f t="shared" ref="S15:S28" si="8">R15*Q15</f>
        <v>27.42</v>
      </c>
      <c r="T15" s="138"/>
      <c r="U15" s="395">
        <f t="shared" ref="U15:U48" si="9">S15-L15</f>
        <v>1.2600000000000016</v>
      </c>
      <c r="V15" s="396">
        <f t="shared" ref="V15:V48" si="10">IF((L15)=0,"",(U15/L15))</f>
        <v>4.8165137614678957E-2</v>
      </c>
      <c r="W15" s="53"/>
      <c r="X15" s="391">
        <f>IFERROR(VLOOKUP($C15,'Proposed Rates'!$B:$J,X$11,FALSE),0)</f>
        <v>29.3</v>
      </c>
      <c r="Y15" s="392">
        <f t="shared" ref="Y15:Y28" si="11">IF($D15="Monthly",1,IF($D15="per KWH",$F$10,0))</f>
        <v>1</v>
      </c>
      <c r="Z15" s="394">
        <f t="shared" ref="Z15:Z28" si="12">Y15*X15</f>
        <v>29.3</v>
      </c>
      <c r="AA15" s="138"/>
      <c r="AB15" s="395">
        <f t="shared" ref="AB15:AB48" si="13">Z15-S15</f>
        <v>1.879999999999999</v>
      </c>
      <c r="AC15" s="396">
        <f t="shared" ref="AC15:AC48" si="14">IF((S15)=0,"",(AB15/S15))</f>
        <v>6.856309263311447E-2</v>
      </c>
      <c r="AD15" s="53"/>
      <c r="AE15" s="391">
        <f>IFERROR(VLOOKUP($C15,'Proposed Rates'!$B:$J,AE$11,FALSE),0)</f>
        <v>29.77</v>
      </c>
      <c r="AF15" s="392">
        <f t="shared" ref="AF15:AF28" si="15">IF($D15="Monthly",1,IF($D15="per KWH",$F$10,0))</f>
        <v>1</v>
      </c>
      <c r="AG15" s="394">
        <f t="shared" ref="AG15:AG28" si="16">AF15*AE15</f>
        <v>29.77</v>
      </c>
      <c r="AH15" s="138"/>
      <c r="AI15" s="395">
        <f t="shared" ref="AI15:AI48" si="17">AG15-Z15</f>
        <v>0.46999999999999886</v>
      </c>
      <c r="AJ15" s="396">
        <f t="shared" ref="AJ15:AJ48" si="18">IF((Z15)=0,"",(AI15/Z15))</f>
        <v>1.6040955631399279E-2</v>
      </c>
      <c r="AK15" s="53"/>
      <c r="AL15" s="391">
        <f>IFERROR(VLOOKUP($C15,'Proposed Rates'!$B:$J,AL$11,FALSE),0)</f>
        <v>30.21</v>
      </c>
      <c r="AM15" s="392">
        <f t="shared" ref="AM15:AM28" si="19">IF($D15="Monthly",1,IF($D15="per KWH",$F$10,0))</f>
        <v>1</v>
      </c>
      <c r="AN15" s="394">
        <f t="shared" ref="AN15:AN16" si="20">AM15*AL15</f>
        <v>30.21</v>
      </c>
      <c r="AO15" s="138"/>
      <c r="AP15" s="395">
        <f t="shared" ref="AP15:AP48" si="21">AN15-AG15</f>
        <v>0.44000000000000128</v>
      </c>
      <c r="AQ15" s="396">
        <f t="shared" ref="AQ15:AQ48" si="22">IF((AG15)=0,"",(AP15/AG15))</f>
        <v>1.4779979845482072E-2</v>
      </c>
      <c r="AR15" s="397"/>
    </row>
    <row r="16" spans="1:46" ht="12" customHeight="1">
      <c r="A16" s="53"/>
      <c r="B16" s="328" t="s">
        <v>336</v>
      </c>
      <c r="C16" s="389" t="str">
        <f t="shared" si="0"/>
        <v>General Service &lt; 50 kW.Smart Meter Rate Adder</v>
      </c>
      <c r="D16" s="390" t="s">
        <v>335</v>
      </c>
      <c r="E16" s="328"/>
      <c r="F16" s="408">
        <f>IFERROR(VLOOKUP($C16,'Proposed Rates'!$B:$J,F$11,FALSE),0)</f>
        <v>0</v>
      </c>
      <c r="G16" s="392">
        <f t="shared" si="1"/>
        <v>1</v>
      </c>
      <c r="H16" s="394">
        <f t="shared" si="2"/>
        <v>0</v>
      </c>
      <c r="I16" s="138"/>
      <c r="J16" s="408">
        <f>IFERROR(VLOOKUP($C16,'Proposed Rates'!$B:$J,J$11,FALSE),0)</f>
        <v>0</v>
      </c>
      <c r="K16" s="392">
        <f t="shared" si="3"/>
        <v>1</v>
      </c>
      <c r="L16" s="394">
        <f t="shared" si="4"/>
        <v>0</v>
      </c>
      <c r="M16" s="138"/>
      <c r="N16" s="395">
        <f t="shared" si="5"/>
        <v>0</v>
      </c>
      <c r="O16" s="396" t="str">
        <f t="shared" si="6"/>
        <v/>
      </c>
      <c r="P16" s="53"/>
      <c r="Q16" s="408">
        <f>IFERROR(VLOOKUP($C16,'Proposed Rates'!$B:$J,Q$11,FALSE),0)</f>
        <v>0</v>
      </c>
      <c r="R16" s="392">
        <f t="shared" si="7"/>
        <v>1</v>
      </c>
      <c r="S16" s="394">
        <f t="shared" si="8"/>
        <v>0</v>
      </c>
      <c r="T16" s="138"/>
      <c r="U16" s="395">
        <f t="shared" si="9"/>
        <v>0</v>
      </c>
      <c r="V16" s="396" t="str">
        <f t="shared" si="10"/>
        <v/>
      </c>
      <c r="W16" s="53"/>
      <c r="X16" s="408">
        <f>IFERROR(VLOOKUP($C16,'Proposed Rates'!$B:$J,X$11,FALSE),0)</f>
        <v>0</v>
      </c>
      <c r="Y16" s="392">
        <f t="shared" si="11"/>
        <v>1</v>
      </c>
      <c r="Z16" s="394">
        <f t="shared" si="12"/>
        <v>0</v>
      </c>
      <c r="AA16" s="138"/>
      <c r="AB16" s="395">
        <f t="shared" si="13"/>
        <v>0</v>
      </c>
      <c r="AC16" s="396" t="str">
        <f t="shared" si="14"/>
        <v/>
      </c>
      <c r="AD16" s="53"/>
      <c r="AE16" s="408">
        <f>IFERROR(VLOOKUP($C16,'Proposed Rates'!$B:$J,AE$11,FALSE),0)</f>
        <v>0</v>
      </c>
      <c r="AF16" s="392">
        <f t="shared" si="15"/>
        <v>1</v>
      </c>
      <c r="AG16" s="394">
        <f t="shared" si="16"/>
        <v>0</v>
      </c>
      <c r="AH16" s="138"/>
      <c r="AI16" s="395">
        <f t="shared" si="17"/>
        <v>0</v>
      </c>
      <c r="AJ16" s="396" t="str">
        <f t="shared" si="18"/>
        <v/>
      </c>
      <c r="AK16" s="53"/>
      <c r="AL16" s="408">
        <f>IFERROR(VLOOKUP($C16,'Proposed Rates'!$B:$J,AL$11,FALSE),0)</f>
        <v>0</v>
      </c>
      <c r="AM16" s="392">
        <f t="shared" si="19"/>
        <v>1</v>
      </c>
      <c r="AN16" s="394">
        <f t="shared" si="20"/>
        <v>0</v>
      </c>
      <c r="AO16" s="138"/>
      <c r="AP16" s="395">
        <f t="shared" si="21"/>
        <v>0</v>
      </c>
      <c r="AQ16" s="396" t="str">
        <f t="shared" si="22"/>
        <v/>
      </c>
      <c r="AR16" s="397"/>
    </row>
    <row r="17" spans="1:44" ht="12" customHeight="1">
      <c r="A17" s="53"/>
      <c r="B17" s="398" t="str">
        <f>'Proposed Rates'!C115</f>
        <v>Rate Rider Calculation for Forgone Revenue - variable</v>
      </c>
      <c r="C17" s="389" t="str">
        <f t="shared" si="0"/>
        <v>General Service &lt; 50 kW.Rate Rider Calculation for Forgone Revenue - variable</v>
      </c>
      <c r="D17" s="390" t="s">
        <v>337</v>
      </c>
      <c r="E17" s="328"/>
      <c r="F17" s="408">
        <f>IFERROR(VLOOKUP($C17,'Proposed Rates'!$B:$J,F$11,FALSE),0)</f>
        <v>0</v>
      </c>
      <c r="G17" s="392">
        <f t="shared" si="1"/>
        <v>2000</v>
      </c>
      <c r="H17" s="394">
        <f t="shared" si="2"/>
        <v>0</v>
      </c>
      <c r="I17" s="138"/>
      <c r="J17" s="408">
        <f>IFERROR(VLOOKUP($C17,'Proposed Rates'!$B:$J,J$11,FALSE),0)</f>
        <v>1.4E-3</v>
      </c>
      <c r="K17" s="392">
        <f t="shared" si="3"/>
        <v>2000</v>
      </c>
      <c r="L17" s="394">
        <f t="shared" si="4"/>
        <v>2.8</v>
      </c>
      <c r="M17" s="138"/>
      <c r="N17" s="395">
        <f t="shared" si="5"/>
        <v>2.8</v>
      </c>
      <c r="O17" s="396" t="str">
        <f t="shared" si="6"/>
        <v/>
      </c>
      <c r="P17" s="53"/>
      <c r="Q17" s="408">
        <f>IFERROR(VLOOKUP($C17,'Proposed Rates'!$B:$J,Q$11,FALSE),0)</f>
        <v>1.4E-3</v>
      </c>
      <c r="R17" s="392">
        <f t="shared" si="7"/>
        <v>2000</v>
      </c>
      <c r="S17" s="394">
        <f t="shared" si="8"/>
        <v>2.8</v>
      </c>
      <c r="T17" s="138"/>
      <c r="U17" s="395">
        <f t="shared" si="9"/>
        <v>0</v>
      </c>
      <c r="V17" s="396">
        <f t="shared" si="10"/>
        <v>0</v>
      </c>
      <c r="W17" s="53"/>
      <c r="X17" s="408">
        <f>IFERROR(VLOOKUP($C17,'Proposed Rates'!$B:$J,X$11,FALSE),0)</f>
        <v>0</v>
      </c>
      <c r="Y17" s="392">
        <f t="shared" si="11"/>
        <v>2000</v>
      </c>
      <c r="Z17" s="394">
        <f t="shared" si="12"/>
        <v>0</v>
      </c>
      <c r="AA17" s="138"/>
      <c r="AB17" s="395">
        <f t="shared" si="13"/>
        <v>-2.8</v>
      </c>
      <c r="AC17" s="396">
        <f t="shared" si="14"/>
        <v>-1</v>
      </c>
      <c r="AD17" s="53"/>
      <c r="AE17" s="408">
        <f>IFERROR(VLOOKUP($C17,'Proposed Rates'!$B:$J,AE$11,FALSE),0)</f>
        <v>0</v>
      </c>
      <c r="AF17" s="392">
        <f t="shared" si="15"/>
        <v>2000</v>
      </c>
      <c r="AG17" s="394">
        <f t="shared" si="16"/>
        <v>0</v>
      </c>
      <c r="AH17" s="138"/>
      <c r="AI17" s="395">
        <f t="shared" si="17"/>
        <v>0</v>
      </c>
      <c r="AJ17" s="396" t="str">
        <f t="shared" si="18"/>
        <v/>
      </c>
      <c r="AK17" s="53"/>
      <c r="AL17" s="408">
        <f>IFERROR(VLOOKUP($C17,'Proposed Rates'!$B:$J,AL$11,FALSE),0)</f>
        <v>0</v>
      </c>
      <c r="AM17" s="392">
        <f t="shared" si="19"/>
        <v>2000</v>
      </c>
      <c r="AN17" s="394">
        <f t="shared" ref="AN17:AN18" si="23">AL17*AM17</f>
        <v>0</v>
      </c>
      <c r="AO17" s="138"/>
      <c r="AP17" s="395">
        <f t="shared" si="21"/>
        <v>0</v>
      </c>
      <c r="AQ17" s="396" t="str">
        <f t="shared" si="22"/>
        <v/>
      </c>
      <c r="AR17" s="397"/>
    </row>
    <row r="18" spans="1:44" ht="12" customHeight="1">
      <c r="A18" s="53"/>
      <c r="B18" s="398" t="str">
        <f>'Proposed Rates'!C128</f>
        <v>Rate Rider Calculation for Forgone Revenue - fixed</v>
      </c>
      <c r="C18" s="389" t="str">
        <f t="shared" si="0"/>
        <v>General Service &lt; 50 kW.Rate Rider Calculation for Forgone Revenue - fixed</v>
      </c>
      <c r="D18" s="390" t="s">
        <v>335</v>
      </c>
      <c r="E18" s="328"/>
      <c r="F18" s="408">
        <f>IFERROR(VLOOKUP($C18,'Proposed Rates'!$B:$J,F$11,FALSE),0)</f>
        <v>0</v>
      </c>
      <c r="G18" s="392">
        <f t="shared" si="1"/>
        <v>1</v>
      </c>
      <c r="H18" s="394">
        <f t="shared" si="2"/>
        <v>0</v>
      </c>
      <c r="I18" s="138"/>
      <c r="J18" s="408">
        <f>IFERROR(VLOOKUP($C18,'Proposed Rates'!$B:$J,J$11,FALSE),0)</f>
        <v>0.99</v>
      </c>
      <c r="K18" s="392">
        <f t="shared" si="3"/>
        <v>1</v>
      </c>
      <c r="L18" s="394">
        <f t="shared" si="4"/>
        <v>0.99</v>
      </c>
      <c r="M18" s="138"/>
      <c r="N18" s="395">
        <f t="shared" si="5"/>
        <v>0.99</v>
      </c>
      <c r="O18" s="396" t="str">
        <f t="shared" si="6"/>
        <v/>
      </c>
      <c r="P18" s="53"/>
      <c r="Q18" s="408">
        <f>IFERROR(VLOOKUP($C18,'Proposed Rates'!$B:$J,Q$11,FALSE),0)</f>
        <v>0.99</v>
      </c>
      <c r="R18" s="392">
        <f t="shared" si="7"/>
        <v>1</v>
      </c>
      <c r="S18" s="394">
        <f t="shared" si="8"/>
        <v>0.99</v>
      </c>
      <c r="T18" s="138"/>
      <c r="U18" s="395">
        <f t="shared" si="9"/>
        <v>0</v>
      </c>
      <c r="V18" s="396">
        <f t="shared" si="10"/>
        <v>0</v>
      </c>
      <c r="W18" s="53"/>
      <c r="X18" s="408">
        <f>IFERROR(VLOOKUP($C18,'Proposed Rates'!$B:$J,X$11,FALSE),0)</f>
        <v>0</v>
      </c>
      <c r="Y18" s="392">
        <f t="shared" si="11"/>
        <v>1</v>
      </c>
      <c r="Z18" s="394">
        <f t="shared" si="12"/>
        <v>0</v>
      </c>
      <c r="AA18" s="138"/>
      <c r="AB18" s="395">
        <f t="shared" si="13"/>
        <v>-0.99</v>
      </c>
      <c r="AC18" s="396">
        <f t="shared" si="14"/>
        <v>-1</v>
      </c>
      <c r="AD18" s="53"/>
      <c r="AE18" s="408">
        <f>IFERROR(VLOOKUP($C18,'Proposed Rates'!$B:$J,AE$11,FALSE),0)</f>
        <v>0</v>
      </c>
      <c r="AF18" s="392">
        <f t="shared" si="15"/>
        <v>1</v>
      </c>
      <c r="AG18" s="394">
        <f t="shared" si="16"/>
        <v>0</v>
      </c>
      <c r="AH18" s="138"/>
      <c r="AI18" s="395">
        <f t="shared" si="17"/>
        <v>0</v>
      </c>
      <c r="AJ18" s="396" t="str">
        <f t="shared" si="18"/>
        <v/>
      </c>
      <c r="AK18" s="53"/>
      <c r="AL18" s="408">
        <f>IFERROR(VLOOKUP($C18,'Proposed Rates'!$B:$J,AL$11,FALSE),0)</f>
        <v>0</v>
      </c>
      <c r="AM18" s="392">
        <f t="shared" si="19"/>
        <v>1</v>
      </c>
      <c r="AN18" s="394">
        <f t="shared" si="23"/>
        <v>0</v>
      </c>
      <c r="AO18" s="138"/>
      <c r="AP18" s="395">
        <f t="shared" si="21"/>
        <v>0</v>
      </c>
      <c r="AQ18" s="396" t="str">
        <f t="shared" si="22"/>
        <v/>
      </c>
      <c r="AR18" s="397"/>
    </row>
    <row r="19" spans="1:44" ht="12" customHeight="1">
      <c r="A19" s="53"/>
      <c r="B19" s="328" t="s">
        <v>62</v>
      </c>
      <c r="C19" s="389" t="str">
        <f t="shared" si="0"/>
        <v>General Service &lt; 50 kW.Distribution Volumetric Rate</v>
      </c>
      <c r="D19" s="390" t="s">
        <v>337</v>
      </c>
      <c r="E19" s="328"/>
      <c r="F19" s="408">
        <f>IFERROR(VLOOKUP($C19,'Proposed Rates'!$B:$J,F$11,FALSE),0)</f>
        <v>3.0499999999999999E-2</v>
      </c>
      <c r="G19" s="392">
        <f t="shared" si="1"/>
        <v>2000</v>
      </c>
      <c r="H19" s="394">
        <f t="shared" si="2"/>
        <v>61</v>
      </c>
      <c r="I19" s="138"/>
      <c r="J19" s="408">
        <f>IFERROR(VLOOKUP($C19,'Proposed Rates'!$B:$J,J$11,FALSE),0)</f>
        <v>3.39E-2</v>
      </c>
      <c r="K19" s="392">
        <f t="shared" si="3"/>
        <v>2000</v>
      </c>
      <c r="L19" s="394">
        <f t="shared" si="4"/>
        <v>67.8</v>
      </c>
      <c r="M19" s="138"/>
      <c r="N19" s="395">
        <f t="shared" si="5"/>
        <v>6.7999999999999972</v>
      </c>
      <c r="O19" s="396">
        <f t="shared" si="6"/>
        <v>0.11147540983606553</v>
      </c>
      <c r="P19" s="53"/>
      <c r="Q19" s="408">
        <f>IFERROR(VLOOKUP($C19,'Proposed Rates'!$B:$J,Q$11,FALSE),0)</f>
        <v>3.5499999999999997E-2</v>
      </c>
      <c r="R19" s="392">
        <f t="shared" si="7"/>
        <v>2000</v>
      </c>
      <c r="S19" s="394">
        <f t="shared" si="8"/>
        <v>71</v>
      </c>
      <c r="T19" s="138"/>
      <c r="U19" s="395">
        <f t="shared" si="9"/>
        <v>3.2000000000000028</v>
      </c>
      <c r="V19" s="396">
        <f t="shared" si="10"/>
        <v>4.7197640117994141E-2</v>
      </c>
      <c r="W19" s="53"/>
      <c r="X19" s="408">
        <f>IFERROR(VLOOKUP($C19,'Proposed Rates'!$B:$J,X$11,FALSE),0)</f>
        <v>3.7900000000000003E-2</v>
      </c>
      <c r="Y19" s="392">
        <f t="shared" si="11"/>
        <v>2000</v>
      </c>
      <c r="Z19" s="394">
        <f t="shared" si="12"/>
        <v>75.800000000000011</v>
      </c>
      <c r="AA19" s="138"/>
      <c r="AB19" s="395">
        <f t="shared" si="13"/>
        <v>4.8000000000000114</v>
      </c>
      <c r="AC19" s="396">
        <f t="shared" si="14"/>
        <v>6.7605633802817061E-2</v>
      </c>
      <c r="AD19" s="53"/>
      <c r="AE19" s="408">
        <f>IFERROR(VLOOKUP($C19,'Proposed Rates'!$B:$J,AE$11,FALSE),0)</f>
        <v>3.85E-2</v>
      </c>
      <c r="AF19" s="392">
        <f t="shared" si="15"/>
        <v>2000</v>
      </c>
      <c r="AG19" s="394">
        <f t="shared" si="16"/>
        <v>77</v>
      </c>
      <c r="AH19" s="138"/>
      <c r="AI19" s="395">
        <f t="shared" si="17"/>
        <v>1.1999999999999886</v>
      </c>
      <c r="AJ19" s="396">
        <f t="shared" si="18"/>
        <v>1.5831134564643648E-2</v>
      </c>
      <c r="AK19" s="53"/>
      <c r="AL19" s="408">
        <f>IFERROR(VLOOKUP($C19,'Proposed Rates'!$B:$J,AL$11,FALSE),0)</f>
        <v>3.9100000000000003E-2</v>
      </c>
      <c r="AM19" s="392">
        <f t="shared" si="19"/>
        <v>2000</v>
      </c>
      <c r="AN19" s="394">
        <f t="shared" ref="AN19:AN28" si="24">AM19*AL19</f>
        <v>78.2</v>
      </c>
      <c r="AO19" s="138"/>
      <c r="AP19" s="395">
        <f t="shared" si="21"/>
        <v>1.2000000000000028</v>
      </c>
      <c r="AQ19" s="396">
        <f t="shared" si="22"/>
        <v>1.5584415584415621E-2</v>
      </c>
      <c r="AR19" s="397"/>
    </row>
    <row r="20" spans="1:44" ht="12" customHeight="1">
      <c r="A20" s="53"/>
      <c r="B20" s="328" t="s">
        <v>338</v>
      </c>
      <c r="C20" s="389" t="str">
        <f t="shared" si="0"/>
        <v>General Service &lt; 50 kW.Smart Meter Disposition Rider</v>
      </c>
      <c r="D20" s="390" t="s">
        <v>337</v>
      </c>
      <c r="E20" s="328"/>
      <c r="F20" s="408">
        <f>IFERROR(VLOOKUP($C20,'Proposed Rates'!$B:$J,F$11,FALSE),0)</f>
        <v>0</v>
      </c>
      <c r="G20" s="392">
        <f t="shared" si="1"/>
        <v>2000</v>
      </c>
      <c r="H20" s="394">
        <f t="shared" si="2"/>
        <v>0</v>
      </c>
      <c r="I20" s="138"/>
      <c r="J20" s="408">
        <f>IFERROR(VLOOKUP($C20,'Proposed Rates'!$B:$J,J$11,FALSE),0)</f>
        <v>0</v>
      </c>
      <c r="K20" s="392">
        <f t="shared" si="3"/>
        <v>2000</v>
      </c>
      <c r="L20" s="394">
        <f t="shared" si="4"/>
        <v>0</v>
      </c>
      <c r="M20" s="138"/>
      <c r="N20" s="395">
        <f t="shared" si="5"/>
        <v>0</v>
      </c>
      <c r="O20" s="396" t="str">
        <f t="shared" si="6"/>
        <v/>
      </c>
      <c r="P20" s="53"/>
      <c r="Q20" s="408">
        <f>IFERROR(VLOOKUP($C20,'Proposed Rates'!$B:$J,Q$11,FALSE),0)</f>
        <v>0</v>
      </c>
      <c r="R20" s="392">
        <f t="shared" si="7"/>
        <v>2000</v>
      </c>
      <c r="S20" s="394">
        <f t="shared" si="8"/>
        <v>0</v>
      </c>
      <c r="T20" s="138"/>
      <c r="U20" s="395">
        <f t="shared" si="9"/>
        <v>0</v>
      </c>
      <c r="V20" s="396" t="str">
        <f t="shared" si="10"/>
        <v/>
      </c>
      <c r="W20" s="53"/>
      <c r="X20" s="408">
        <f>IFERROR(VLOOKUP($C20,'Proposed Rates'!$B:$J,X$11,FALSE),0)</f>
        <v>0</v>
      </c>
      <c r="Y20" s="392">
        <f t="shared" si="11"/>
        <v>2000</v>
      </c>
      <c r="Z20" s="394">
        <f t="shared" si="12"/>
        <v>0</v>
      </c>
      <c r="AA20" s="138"/>
      <c r="AB20" s="395">
        <f t="shared" si="13"/>
        <v>0</v>
      </c>
      <c r="AC20" s="396" t="str">
        <f t="shared" si="14"/>
        <v/>
      </c>
      <c r="AD20" s="53"/>
      <c r="AE20" s="408">
        <f>IFERROR(VLOOKUP($C20,'Proposed Rates'!$B:$J,AE$11,FALSE),0)</f>
        <v>0</v>
      </c>
      <c r="AF20" s="392">
        <f t="shared" si="15"/>
        <v>2000</v>
      </c>
      <c r="AG20" s="394">
        <f t="shared" si="16"/>
        <v>0</v>
      </c>
      <c r="AH20" s="138"/>
      <c r="AI20" s="395">
        <f t="shared" si="17"/>
        <v>0</v>
      </c>
      <c r="AJ20" s="396" t="str">
        <f t="shared" si="18"/>
        <v/>
      </c>
      <c r="AK20" s="53"/>
      <c r="AL20" s="408">
        <f>IFERROR(VLOOKUP($C20,'Proposed Rates'!$B:$J,AL$11,FALSE),0)</f>
        <v>0</v>
      </c>
      <c r="AM20" s="392">
        <f t="shared" si="19"/>
        <v>2000</v>
      </c>
      <c r="AN20" s="394">
        <f t="shared" si="24"/>
        <v>0</v>
      </c>
      <c r="AO20" s="138"/>
      <c r="AP20" s="395">
        <f t="shared" si="21"/>
        <v>0</v>
      </c>
      <c r="AQ20" s="396" t="str">
        <f t="shared" si="22"/>
        <v/>
      </c>
      <c r="AR20" s="397"/>
    </row>
    <row r="21" spans="1:44" ht="12" customHeight="1">
      <c r="A21" s="53"/>
      <c r="B21" s="328" t="s">
        <v>269</v>
      </c>
      <c r="C21" s="389" t="str">
        <f t="shared" si="0"/>
        <v>General Service &lt; 50 kW.LRAM Rate Rider</v>
      </c>
      <c r="D21" s="390" t="s">
        <v>337</v>
      </c>
      <c r="E21" s="328"/>
      <c r="F21" s="408">
        <f>'Proposed Rates'!E78+'Proposed Rates'!E91</f>
        <v>6.9999999999999999E-4</v>
      </c>
      <c r="G21" s="392">
        <f t="shared" si="1"/>
        <v>2000</v>
      </c>
      <c r="H21" s="394">
        <f t="shared" si="2"/>
        <v>1.4</v>
      </c>
      <c r="I21" s="138"/>
      <c r="J21" s="408">
        <f>'Proposed Rates'!F78+'Proposed Rates'!F91</f>
        <v>5.9999999999999995E-4</v>
      </c>
      <c r="K21" s="392">
        <f t="shared" si="3"/>
        <v>2000</v>
      </c>
      <c r="L21" s="394">
        <f t="shared" si="4"/>
        <v>1.2</v>
      </c>
      <c r="M21" s="138"/>
      <c r="N21" s="395">
        <f t="shared" si="5"/>
        <v>-0.19999999999999996</v>
      </c>
      <c r="O21" s="396">
        <f t="shared" si="6"/>
        <v>-0.14285714285714282</v>
      </c>
      <c r="P21" s="53"/>
      <c r="Q21" s="408">
        <f>'Proposed Rates'!G78+'Proposed Rates'!G91</f>
        <v>0</v>
      </c>
      <c r="R21" s="392">
        <f t="shared" si="7"/>
        <v>2000</v>
      </c>
      <c r="S21" s="394">
        <f t="shared" si="8"/>
        <v>0</v>
      </c>
      <c r="T21" s="138"/>
      <c r="U21" s="395">
        <f t="shared" si="9"/>
        <v>-1.2</v>
      </c>
      <c r="V21" s="396">
        <f t="shared" si="10"/>
        <v>-1</v>
      </c>
      <c r="W21" s="53"/>
      <c r="X21" s="408">
        <f>IFERROR(VLOOKUP($C21,'Proposed Rates'!$B:$J,X$11,FALSE),0)</f>
        <v>0</v>
      </c>
      <c r="Y21" s="392">
        <f t="shared" si="11"/>
        <v>2000</v>
      </c>
      <c r="Z21" s="394">
        <f t="shared" si="12"/>
        <v>0</v>
      </c>
      <c r="AA21" s="138"/>
      <c r="AB21" s="395">
        <f t="shared" si="13"/>
        <v>0</v>
      </c>
      <c r="AC21" s="396" t="str">
        <f t="shared" si="14"/>
        <v/>
      </c>
      <c r="AD21" s="53"/>
      <c r="AE21" s="408">
        <f>IFERROR(VLOOKUP($C21,'Proposed Rates'!$B:$J,AE$11,FALSE),0)</f>
        <v>0</v>
      </c>
      <c r="AF21" s="392">
        <f t="shared" si="15"/>
        <v>2000</v>
      </c>
      <c r="AG21" s="394">
        <f t="shared" si="16"/>
        <v>0</v>
      </c>
      <c r="AH21" s="138"/>
      <c r="AI21" s="395">
        <f t="shared" si="17"/>
        <v>0</v>
      </c>
      <c r="AJ21" s="396" t="str">
        <f t="shared" si="18"/>
        <v/>
      </c>
      <c r="AK21" s="53"/>
      <c r="AL21" s="408">
        <f>IFERROR(VLOOKUP($C21,'Proposed Rates'!$B:$J,AL$11,FALSE),0)</f>
        <v>0</v>
      </c>
      <c r="AM21" s="392">
        <f t="shared" si="19"/>
        <v>2000</v>
      </c>
      <c r="AN21" s="394">
        <f t="shared" si="24"/>
        <v>0</v>
      </c>
      <c r="AO21" s="138"/>
      <c r="AP21" s="395">
        <f t="shared" si="21"/>
        <v>0</v>
      </c>
      <c r="AQ21" s="396" t="str">
        <f t="shared" si="22"/>
        <v/>
      </c>
      <c r="AR21" s="397"/>
    </row>
    <row r="22" spans="1:44" ht="12" customHeight="1">
      <c r="A22" s="53"/>
      <c r="B22" s="398" t="s">
        <v>265</v>
      </c>
      <c r="C22" s="389" t="str">
        <f t="shared" si="0"/>
        <v>General Service &lt; 50 kW.Deferral/Variance Account Disposition Rate Rider Group 2</v>
      </c>
      <c r="D22" s="390" t="s">
        <v>337</v>
      </c>
      <c r="E22" s="328"/>
      <c r="F22" s="408">
        <f>IFERROR(VLOOKUP($C22,'Proposed Rates'!$B:$J,F$11,FALSE),0)</f>
        <v>0</v>
      </c>
      <c r="G22" s="392">
        <f t="shared" si="1"/>
        <v>2000</v>
      </c>
      <c r="H22" s="394">
        <f t="shared" si="2"/>
        <v>0</v>
      </c>
      <c r="I22" s="138"/>
      <c r="J22" s="408">
        <f>IFERROR(VLOOKUP($C22,'Proposed Rates'!$B:$J,J$11,FALSE),0)</f>
        <v>-1.4E-3</v>
      </c>
      <c r="K22" s="392">
        <f t="shared" si="3"/>
        <v>2000</v>
      </c>
      <c r="L22" s="394">
        <f t="shared" si="4"/>
        <v>-2.8</v>
      </c>
      <c r="M22" s="138"/>
      <c r="N22" s="395">
        <f t="shared" si="5"/>
        <v>-2.8</v>
      </c>
      <c r="O22" s="396" t="str">
        <f t="shared" si="6"/>
        <v/>
      </c>
      <c r="P22" s="53"/>
      <c r="Q22" s="408">
        <f>IFERROR(VLOOKUP($C22,'Proposed Rates'!$B:$J,Q$11,FALSE),0)</f>
        <v>0</v>
      </c>
      <c r="R22" s="392">
        <f t="shared" si="7"/>
        <v>2000</v>
      </c>
      <c r="S22" s="394">
        <f t="shared" si="8"/>
        <v>0</v>
      </c>
      <c r="T22" s="138"/>
      <c r="U22" s="395">
        <f t="shared" si="9"/>
        <v>2.8</v>
      </c>
      <c r="V22" s="396">
        <f t="shared" si="10"/>
        <v>-1</v>
      </c>
      <c r="W22" s="53"/>
      <c r="X22" s="408">
        <f>IFERROR(VLOOKUP($C22,'Proposed Rates'!$B:$J,X$11,FALSE),0)</f>
        <v>0</v>
      </c>
      <c r="Y22" s="392">
        <f t="shared" si="11"/>
        <v>2000</v>
      </c>
      <c r="Z22" s="394">
        <f t="shared" si="12"/>
        <v>0</v>
      </c>
      <c r="AA22" s="138"/>
      <c r="AB22" s="395">
        <f t="shared" si="13"/>
        <v>0</v>
      </c>
      <c r="AC22" s="396" t="str">
        <f t="shared" si="14"/>
        <v/>
      </c>
      <c r="AD22" s="53"/>
      <c r="AE22" s="408">
        <f>IFERROR(VLOOKUP($C22,'Proposed Rates'!$B:$J,AE$11,FALSE),0)</f>
        <v>0</v>
      </c>
      <c r="AF22" s="392">
        <f t="shared" si="15"/>
        <v>2000</v>
      </c>
      <c r="AG22" s="394">
        <f t="shared" si="16"/>
        <v>0</v>
      </c>
      <c r="AH22" s="138"/>
      <c r="AI22" s="395">
        <f t="shared" si="17"/>
        <v>0</v>
      </c>
      <c r="AJ22" s="396" t="str">
        <f t="shared" si="18"/>
        <v/>
      </c>
      <c r="AK22" s="53"/>
      <c r="AL22" s="408">
        <f>IFERROR(VLOOKUP($C22,'Proposed Rates'!$B:$J,AL$11,FALSE),0)</f>
        <v>0</v>
      </c>
      <c r="AM22" s="392">
        <f t="shared" si="19"/>
        <v>2000</v>
      </c>
      <c r="AN22" s="394">
        <f t="shared" si="24"/>
        <v>0</v>
      </c>
      <c r="AO22" s="138"/>
      <c r="AP22" s="395">
        <f t="shared" si="21"/>
        <v>0</v>
      </c>
      <c r="AQ22" s="396" t="str">
        <f t="shared" si="22"/>
        <v/>
      </c>
      <c r="AR22" s="397"/>
    </row>
    <row r="23" spans="1:44" ht="12" customHeight="1">
      <c r="A23" s="53"/>
      <c r="B23" s="398"/>
      <c r="C23" s="389" t="str">
        <f t="shared" si="0"/>
        <v>General Service &lt; 50 kW.</v>
      </c>
      <c r="D23" s="390"/>
      <c r="E23" s="328"/>
      <c r="F23" s="408">
        <f>IFERROR(VLOOKUP($C23,'Proposed Rates'!$B:$J,F$11,FALSE),0)</f>
        <v>0</v>
      </c>
      <c r="G23" s="392">
        <f t="shared" si="1"/>
        <v>0</v>
      </c>
      <c r="H23" s="394">
        <f t="shared" si="2"/>
        <v>0</v>
      </c>
      <c r="I23" s="138"/>
      <c r="J23" s="408">
        <f>IFERROR(VLOOKUP($C23,'Proposed Rates'!$B:$J,J$11,FALSE),0)</f>
        <v>0</v>
      </c>
      <c r="K23" s="392">
        <f t="shared" si="3"/>
        <v>0</v>
      </c>
      <c r="L23" s="394">
        <f t="shared" si="4"/>
        <v>0</v>
      </c>
      <c r="M23" s="138"/>
      <c r="N23" s="395">
        <f t="shared" si="5"/>
        <v>0</v>
      </c>
      <c r="O23" s="396" t="str">
        <f t="shared" si="6"/>
        <v/>
      </c>
      <c r="P23" s="53"/>
      <c r="Q23" s="408">
        <f>IFERROR(VLOOKUP($C23,'Proposed Rates'!$B:$J,Q$11,FALSE),0)</f>
        <v>0</v>
      </c>
      <c r="R23" s="392">
        <f t="shared" si="7"/>
        <v>0</v>
      </c>
      <c r="S23" s="394">
        <f t="shared" si="8"/>
        <v>0</v>
      </c>
      <c r="T23" s="138"/>
      <c r="U23" s="395">
        <f t="shared" si="9"/>
        <v>0</v>
      </c>
      <c r="V23" s="396" t="str">
        <f t="shared" si="10"/>
        <v/>
      </c>
      <c r="W23" s="53"/>
      <c r="X23" s="408">
        <f>IFERROR(VLOOKUP($C23,'Proposed Rates'!$B:$J,X$11,FALSE),0)</f>
        <v>0</v>
      </c>
      <c r="Y23" s="392">
        <f t="shared" si="11"/>
        <v>0</v>
      </c>
      <c r="Z23" s="394">
        <f t="shared" si="12"/>
        <v>0</v>
      </c>
      <c r="AA23" s="138"/>
      <c r="AB23" s="395">
        <f t="shared" si="13"/>
        <v>0</v>
      </c>
      <c r="AC23" s="396" t="str">
        <f t="shared" si="14"/>
        <v/>
      </c>
      <c r="AD23" s="53"/>
      <c r="AE23" s="408">
        <f>IFERROR(VLOOKUP($C23,'Proposed Rates'!$B:$J,AE$11,FALSE),0)</f>
        <v>0</v>
      </c>
      <c r="AF23" s="392">
        <f t="shared" si="15"/>
        <v>0</v>
      </c>
      <c r="AG23" s="394">
        <f t="shared" si="16"/>
        <v>0</v>
      </c>
      <c r="AH23" s="138"/>
      <c r="AI23" s="395">
        <f t="shared" si="17"/>
        <v>0</v>
      </c>
      <c r="AJ23" s="396" t="str">
        <f t="shared" si="18"/>
        <v/>
      </c>
      <c r="AK23" s="53"/>
      <c r="AL23" s="408">
        <f>IFERROR(VLOOKUP($C23,'Proposed Rates'!$B:$J,AL$11,FALSE),0)</f>
        <v>0</v>
      </c>
      <c r="AM23" s="392">
        <f t="shared" si="19"/>
        <v>0</v>
      </c>
      <c r="AN23" s="394">
        <f t="shared" si="24"/>
        <v>0</v>
      </c>
      <c r="AO23" s="138"/>
      <c r="AP23" s="395">
        <f t="shared" si="21"/>
        <v>0</v>
      </c>
      <c r="AQ23" s="396" t="str">
        <f t="shared" si="22"/>
        <v/>
      </c>
      <c r="AR23" s="397"/>
    </row>
    <row r="24" spans="1:44" ht="12" customHeight="1">
      <c r="A24" s="53"/>
      <c r="B24" s="398"/>
      <c r="C24" s="389" t="str">
        <f t="shared" si="0"/>
        <v>General Service &lt; 50 kW.</v>
      </c>
      <c r="D24" s="390"/>
      <c r="E24" s="328"/>
      <c r="F24" s="408">
        <f>IFERROR(VLOOKUP($C24,'Proposed Rates'!$B:$J,F$11,FALSE),0)</f>
        <v>0</v>
      </c>
      <c r="G24" s="392">
        <f t="shared" si="1"/>
        <v>0</v>
      </c>
      <c r="H24" s="394">
        <f t="shared" si="2"/>
        <v>0</v>
      </c>
      <c r="I24" s="138"/>
      <c r="J24" s="408">
        <f>IFERROR(VLOOKUP($C24,'Proposed Rates'!$B:$J,J$11,FALSE),0)</f>
        <v>0</v>
      </c>
      <c r="K24" s="392">
        <f t="shared" si="3"/>
        <v>0</v>
      </c>
      <c r="L24" s="394">
        <f t="shared" si="4"/>
        <v>0</v>
      </c>
      <c r="M24" s="138"/>
      <c r="N24" s="395">
        <f t="shared" si="5"/>
        <v>0</v>
      </c>
      <c r="O24" s="396" t="str">
        <f t="shared" si="6"/>
        <v/>
      </c>
      <c r="P24" s="53"/>
      <c r="Q24" s="408">
        <f>IFERROR(VLOOKUP($C24,'Proposed Rates'!$B:$J,Q$11,FALSE),0)</f>
        <v>0</v>
      </c>
      <c r="R24" s="392">
        <f t="shared" si="7"/>
        <v>0</v>
      </c>
      <c r="S24" s="394">
        <f t="shared" si="8"/>
        <v>0</v>
      </c>
      <c r="T24" s="138"/>
      <c r="U24" s="395">
        <f t="shared" si="9"/>
        <v>0</v>
      </c>
      <c r="V24" s="396" t="str">
        <f t="shared" si="10"/>
        <v/>
      </c>
      <c r="W24" s="53"/>
      <c r="X24" s="408">
        <f>IFERROR(VLOOKUP($C24,'Proposed Rates'!$B:$J,X$11,FALSE),0)</f>
        <v>0</v>
      </c>
      <c r="Y24" s="392">
        <f t="shared" si="11"/>
        <v>0</v>
      </c>
      <c r="Z24" s="394">
        <f t="shared" si="12"/>
        <v>0</v>
      </c>
      <c r="AA24" s="138"/>
      <c r="AB24" s="395">
        <f t="shared" si="13"/>
        <v>0</v>
      </c>
      <c r="AC24" s="396" t="str">
        <f t="shared" si="14"/>
        <v/>
      </c>
      <c r="AD24" s="53"/>
      <c r="AE24" s="408">
        <f>IFERROR(VLOOKUP($C24,'Proposed Rates'!$B:$J,AE$11,FALSE),0)</f>
        <v>0</v>
      </c>
      <c r="AF24" s="392">
        <f t="shared" si="15"/>
        <v>0</v>
      </c>
      <c r="AG24" s="394">
        <f t="shared" si="16"/>
        <v>0</v>
      </c>
      <c r="AH24" s="138"/>
      <c r="AI24" s="395">
        <f t="shared" si="17"/>
        <v>0</v>
      </c>
      <c r="AJ24" s="396" t="str">
        <f t="shared" si="18"/>
        <v/>
      </c>
      <c r="AK24" s="53"/>
      <c r="AL24" s="408">
        <f>IFERROR(VLOOKUP($C24,'Proposed Rates'!$B:$J,AL$11,FALSE),0)</f>
        <v>0</v>
      </c>
      <c r="AM24" s="392">
        <f t="shared" si="19"/>
        <v>0</v>
      </c>
      <c r="AN24" s="394">
        <f t="shared" si="24"/>
        <v>0</v>
      </c>
      <c r="AO24" s="138"/>
      <c r="AP24" s="395">
        <f t="shared" si="21"/>
        <v>0</v>
      </c>
      <c r="AQ24" s="396" t="str">
        <f t="shared" si="22"/>
        <v/>
      </c>
      <c r="AR24" s="397"/>
    </row>
    <row r="25" spans="1:44" ht="12" customHeight="1">
      <c r="A25" s="53"/>
      <c r="B25" s="398"/>
      <c r="C25" s="389" t="str">
        <f t="shared" si="0"/>
        <v>General Service &lt; 50 kW.</v>
      </c>
      <c r="D25" s="390"/>
      <c r="E25" s="328"/>
      <c r="F25" s="408">
        <f>IFERROR(VLOOKUP($C25,'Proposed Rates'!$B:$J,F$11,FALSE),0)</f>
        <v>0</v>
      </c>
      <c r="G25" s="392">
        <f t="shared" si="1"/>
        <v>0</v>
      </c>
      <c r="H25" s="394">
        <f t="shared" si="2"/>
        <v>0</v>
      </c>
      <c r="I25" s="138"/>
      <c r="J25" s="408">
        <f>IFERROR(VLOOKUP($C25,'Proposed Rates'!$B:$J,J$11,FALSE),0)</f>
        <v>0</v>
      </c>
      <c r="K25" s="392">
        <f t="shared" si="3"/>
        <v>0</v>
      </c>
      <c r="L25" s="394">
        <f t="shared" si="4"/>
        <v>0</v>
      </c>
      <c r="M25" s="138"/>
      <c r="N25" s="395">
        <f t="shared" si="5"/>
        <v>0</v>
      </c>
      <c r="O25" s="396" t="str">
        <f t="shared" si="6"/>
        <v/>
      </c>
      <c r="P25" s="53"/>
      <c r="Q25" s="408">
        <f>IFERROR(VLOOKUP($C25,'Proposed Rates'!$B:$J,Q$11,FALSE),0)</f>
        <v>0</v>
      </c>
      <c r="R25" s="392">
        <f t="shared" si="7"/>
        <v>0</v>
      </c>
      <c r="S25" s="394">
        <f t="shared" si="8"/>
        <v>0</v>
      </c>
      <c r="T25" s="138"/>
      <c r="U25" s="395">
        <f t="shared" si="9"/>
        <v>0</v>
      </c>
      <c r="V25" s="396" t="str">
        <f t="shared" si="10"/>
        <v/>
      </c>
      <c r="W25" s="53"/>
      <c r="X25" s="408">
        <f>IFERROR(VLOOKUP($C25,'Proposed Rates'!$B:$J,X$11,FALSE),0)</f>
        <v>0</v>
      </c>
      <c r="Y25" s="392">
        <f t="shared" si="11"/>
        <v>0</v>
      </c>
      <c r="Z25" s="394">
        <f t="shared" si="12"/>
        <v>0</v>
      </c>
      <c r="AA25" s="138"/>
      <c r="AB25" s="395">
        <f t="shared" si="13"/>
        <v>0</v>
      </c>
      <c r="AC25" s="396" t="str">
        <f t="shared" si="14"/>
        <v/>
      </c>
      <c r="AD25" s="53"/>
      <c r="AE25" s="408">
        <f>IFERROR(VLOOKUP($C25,'Proposed Rates'!$B:$J,AE$11,FALSE),0)</f>
        <v>0</v>
      </c>
      <c r="AF25" s="392">
        <f t="shared" si="15"/>
        <v>0</v>
      </c>
      <c r="AG25" s="394">
        <f t="shared" si="16"/>
        <v>0</v>
      </c>
      <c r="AH25" s="138"/>
      <c r="AI25" s="395">
        <f t="shared" si="17"/>
        <v>0</v>
      </c>
      <c r="AJ25" s="396" t="str">
        <f t="shared" si="18"/>
        <v/>
      </c>
      <c r="AK25" s="53"/>
      <c r="AL25" s="408">
        <f>IFERROR(VLOOKUP($C25,'Proposed Rates'!$B:$J,AL$11,FALSE),0)</f>
        <v>0</v>
      </c>
      <c r="AM25" s="392">
        <f t="shared" si="19"/>
        <v>0</v>
      </c>
      <c r="AN25" s="394">
        <f t="shared" si="24"/>
        <v>0</v>
      </c>
      <c r="AO25" s="138"/>
      <c r="AP25" s="395">
        <f t="shared" si="21"/>
        <v>0</v>
      </c>
      <c r="AQ25" s="396" t="str">
        <f t="shared" si="22"/>
        <v/>
      </c>
      <c r="AR25" s="397"/>
    </row>
    <row r="26" spans="1:44" ht="12" customHeight="1">
      <c r="A26" s="53"/>
      <c r="B26" s="398"/>
      <c r="C26" s="389" t="str">
        <f t="shared" si="0"/>
        <v>General Service &lt; 50 kW.</v>
      </c>
      <c r="D26" s="390"/>
      <c r="E26" s="328"/>
      <c r="F26" s="408">
        <f>IFERROR(VLOOKUP($C26,'Proposed Rates'!$B:$J,F$11,FALSE),0)</f>
        <v>0</v>
      </c>
      <c r="G26" s="392">
        <f t="shared" si="1"/>
        <v>0</v>
      </c>
      <c r="H26" s="394">
        <f t="shared" si="2"/>
        <v>0</v>
      </c>
      <c r="I26" s="138"/>
      <c r="J26" s="408">
        <f>IFERROR(VLOOKUP($C26,'Proposed Rates'!$B:$J,J$11,FALSE),0)</f>
        <v>0</v>
      </c>
      <c r="K26" s="392">
        <f t="shared" si="3"/>
        <v>0</v>
      </c>
      <c r="L26" s="394">
        <f t="shared" si="4"/>
        <v>0</v>
      </c>
      <c r="M26" s="138"/>
      <c r="N26" s="395">
        <f t="shared" si="5"/>
        <v>0</v>
      </c>
      <c r="O26" s="396" t="str">
        <f t="shared" si="6"/>
        <v/>
      </c>
      <c r="P26" s="53"/>
      <c r="Q26" s="408">
        <f>IFERROR(VLOOKUP($C26,'Proposed Rates'!$B:$J,Q$11,FALSE),0)</f>
        <v>0</v>
      </c>
      <c r="R26" s="392">
        <f t="shared" si="7"/>
        <v>0</v>
      </c>
      <c r="S26" s="394">
        <f t="shared" si="8"/>
        <v>0</v>
      </c>
      <c r="T26" s="138"/>
      <c r="U26" s="395">
        <f t="shared" si="9"/>
        <v>0</v>
      </c>
      <c r="V26" s="396" t="str">
        <f t="shared" si="10"/>
        <v/>
      </c>
      <c r="W26" s="53"/>
      <c r="X26" s="408">
        <f>IFERROR(VLOOKUP($C26,'Proposed Rates'!$B:$J,X$11,FALSE),0)</f>
        <v>0</v>
      </c>
      <c r="Y26" s="392">
        <f t="shared" si="11"/>
        <v>0</v>
      </c>
      <c r="Z26" s="394">
        <f t="shared" si="12"/>
        <v>0</v>
      </c>
      <c r="AA26" s="138"/>
      <c r="AB26" s="395">
        <f t="shared" si="13"/>
        <v>0</v>
      </c>
      <c r="AC26" s="396" t="str">
        <f t="shared" si="14"/>
        <v/>
      </c>
      <c r="AD26" s="53"/>
      <c r="AE26" s="408">
        <f>IFERROR(VLOOKUP($C26,'Proposed Rates'!$B:$J,AE$11,FALSE),0)</f>
        <v>0</v>
      </c>
      <c r="AF26" s="392">
        <f t="shared" si="15"/>
        <v>0</v>
      </c>
      <c r="AG26" s="394">
        <f t="shared" si="16"/>
        <v>0</v>
      </c>
      <c r="AH26" s="138"/>
      <c r="AI26" s="395">
        <f t="shared" si="17"/>
        <v>0</v>
      </c>
      <c r="AJ26" s="396" t="str">
        <f t="shared" si="18"/>
        <v/>
      </c>
      <c r="AK26" s="53"/>
      <c r="AL26" s="408">
        <f>IFERROR(VLOOKUP($C26,'Proposed Rates'!$B:$J,AL$11,FALSE),0)</f>
        <v>0</v>
      </c>
      <c r="AM26" s="392">
        <f t="shared" si="19"/>
        <v>0</v>
      </c>
      <c r="AN26" s="394">
        <f t="shared" si="24"/>
        <v>0</v>
      </c>
      <c r="AO26" s="138"/>
      <c r="AP26" s="395">
        <f t="shared" si="21"/>
        <v>0</v>
      </c>
      <c r="AQ26" s="396" t="str">
        <f t="shared" si="22"/>
        <v/>
      </c>
      <c r="AR26" s="397"/>
    </row>
    <row r="27" spans="1:44" ht="12" customHeight="1">
      <c r="A27" s="53"/>
      <c r="B27" s="398"/>
      <c r="C27" s="389" t="str">
        <f t="shared" si="0"/>
        <v>General Service &lt; 50 kW.</v>
      </c>
      <c r="D27" s="390"/>
      <c r="E27" s="328"/>
      <c r="F27" s="408">
        <f>IFERROR(VLOOKUP($C27,'Proposed Rates'!$B:$J,F$11,FALSE),0)</f>
        <v>0</v>
      </c>
      <c r="G27" s="392">
        <f t="shared" si="1"/>
        <v>0</v>
      </c>
      <c r="H27" s="394">
        <f t="shared" si="2"/>
        <v>0</v>
      </c>
      <c r="I27" s="138"/>
      <c r="J27" s="408">
        <f>IFERROR(VLOOKUP($C27,'Proposed Rates'!$B:$J,J$11,FALSE),0)</f>
        <v>0</v>
      </c>
      <c r="K27" s="392">
        <f t="shared" si="3"/>
        <v>0</v>
      </c>
      <c r="L27" s="394">
        <f t="shared" si="4"/>
        <v>0</v>
      </c>
      <c r="M27" s="138"/>
      <c r="N27" s="395">
        <f t="shared" si="5"/>
        <v>0</v>
      </c>
      <c r="O27" s="396" t="str">
        <f t="shared" si="6"/>
        <v/>
      </c>
      <c r="P27" s="53"/>
      <c r="Q27" s="408">
        <f>IFERROR(VLOOKUP($C27,'Proposed Rates'!$B:$J,Q$11,FALSE),0)</f>
        <v>0</v>
      </c>
      <c r="R27" s="392">
        <f t="shared" si="7"/>
        <v>0</v>
      </c>
      <c r="S27" s="394">
        <f t="shared" si="8"/>
        <v>0</v>
      </c>
      <c r="T27" s="138"/>
      <c r="U27" s="395">
        <f t="shared" si="9"/>
        <v>0</v>
      </c>
      <c r="V27" s="396" t="str">
        <f t="shared" si="10"/>
        <v/>
      </c>
      <c r="W27" s="53"/>
      <c r="X27" s="408">
        <f>IFERROR(VLOOKUP($C27,'Proposed Rates'!$B:$J,X$11,FALSE),0)</f>
        <v>0</v>
      </c>
      <c r="Y27" s="392">
        <f t="shared" si="11"/>
        <v>0</v>
      </c>
      <c r="Z27" s="394">
        <f t="shared" si="12"/>
        <v>0</v>
      </c>
      <c r="AA27" s="138"/>
      <c r="AB27" s="395">
        <f t="shared" si="13"/>
        <v>0</v>
      </c>
      <c r="AC27" s="396" t="str">
        <f t="shared" si="14"/>
        <v/>
      </c>
      <c r="AD27" s="53"/>
      <c r="AE27" s="408">
        <f>IFERROR(VLOOKUP($C27,'Proposed Rates'!$B:$J,AE$11,FALSE),0)</f>
        <v>0</v>
      </c>
      <c r="AF27" s="392">
        <f t="shared" si="15"/>
        <v>0</v>
      </c>
      <c r="AG27" s="394">
        <f t="shared" si="16"/>
        <v>0</v>
      </c>
      <c r="AH27" s="138"/>
      <c r="AI27" s="395">
        <f t="shared" si="17"/>
        <v>0</v>
      </c>
      <c r="AJ27" s="396" t="str">
        <f t="shared" si="18"/>
        <v/>
      </c>
      <c r="AK27" s="53"/>
      <c r="AL27" s="408">
        <f>IFERROR(VLOOKUP($C27,'Proposed Rates'!$B:$J,AL$11,FALSE),0)</f>
        <v>0</v>
      </c>
      <c r="AM27" s="392">
        <f t="shared" si="19"/>
        <v>0</v>
      </c>
      <c r="AN27" s="394">
        <f t="shared" si="24"/>
        <v>0</v>
      </c>
      <c r="AO27" s="138"/>
      <c r="AP27" s="395">
        <f t="shared" si="21"/>
        <v>0</v>
      </c>
      <c r="AQ27" s="396" t="str">
        <f t="shared" si="22"/>
        <v/>
      </c>
      <c r="AR27" s="397"/>
    </row>
    <row r="28" spans="1:44" ht="12" customHeight="1">
      <c r="A28" s="53"/>
      <c r="B28" s="398"/>
      <c r="C28" s="389" t="str">
        <f t="shared" si="0"/>
        <v>General Service &lt; 50 kW.</v>
      </c>
      <c r="D28" s="390"/>
      <c r="E28" s="328"/>
      <c r="F28" s="408">
        <f>IFERROR(VLOOKUP($C28,'Proposed Rates'!$B:$J,F$11,FALSE),0)</f>
        <v>0</v>
      </c>
      <c r="G28" s="392">
        <f t="shared" si="1"/>
        <v>0</v>
      </c>
      <c r="H28" s="394">
        <f t="shared" si="2"/>
        <v>0</v>
      </c>
      <c r="I28" s="138"/>
      <c r="J28" s="408">
        <f>IFERROR(VLOOKUP($C28,'Proposed Rates'!$B:$J,J$11,FALSE),0)</f>
        <v>0</v>
      </c>
      <c r="K28" s="392">
        <f t="shared" si="3"/>
        <v>0</v>
      </c>
      <c r="L28" s="394">
        <f t="shared" si="4"/>
        <v>0</v>
      </c>
      <c r="M28" s="138"/>
      <c r="N28" s="395">
        <f t="shared" si="5"/>
        <v>0</v>
      </c>
      <c r="O28" s="396" t="str">
        <f t="shared" si="6"/>
        <v/>
      </c>
      <c r="P28" s="53"/>
      <c r="Q28" s="408">
        <f>IFERROR(VLOOKUP($C28,'Proposed Rates'!$B:$J,Q$11,FALSE),0)</f>
        <v>0</v>
      </c>
      <c r="R28" s="392">
        <f t="shared" si="7"/>
        <v>0</v>
      </c>
      <c r="S28" s="394">
        <f t="shared" si="8"/>
        <v>0</v>
      </c>
      <c r="T28" s="138"/>
      <c r="U28" s="395">
        <f t="shared" si="9"/>
        <v>0</v>
      </c>
      <c r="V28" s="396" t="str">
        <f t="shared" si="10"/>
        <v/>
      </c>
      <c r="W28" s="53"/>
      <c r="X28" s="408">
        <f>IFERROR(VLOOKUP($C28,'Proposed Rates'!$B:$J,X$11,FALSE),0)</f>
        <v>0</v>
      </c>
      <c r="Y28" s="392">
        <f t="shared" si="11"/>
        <v>0</v>
      </c>
      <c r="Z28" s="394">
        <f t="shared" si="12"/>
        <v>0</v>
      </c>
      <c r="AA28" s="138"/>
      <c r="AB28" s="395">
        <f t="shared" si="13"/>
        <v>0</v>
      </c>
      <c r="AC28" s="396" t="str">
        <f t="shared" si="14"/>
        <v/>
      </c>
      <c r="AD28" s="53"/>
      <c r="AE28" s="408">
        <f>IFERROR(VLOOKUP($C28,'Proposed Rates'!$B:$J,AE$11,FALSE),0)</f>
        <v>0</v>
      </c>
      <c r="AF28" s="392">
        <f t="shared" si="15"/>
        <v>0</v>
      </c>
      <c r="AG28" s="394">
        <f t="shared" si="16"/>
        <v>0</v>
      </c>
      <c r="AH28" s="138"/>
      <c r="AI28" s="395">
        <f t="shared" si="17"/>
        <v>0</v>
      </c>
      <c r="AJ28" s="396" t="str">
        <f t="shared" si="18"/>
        <v/>
      </c>
      <c r="AK28" s="53"/>
      <c r="AL28" s="408">
        <f>IFERROR(VLOOKUP($C28,'Proposed Rates'!$B:$J,AL$11,FALSE),0)</f>
        <v>0</v>
      </c>
      <c r="AM28" s="392">
        <f t="shared" si="19"/>
        <v>0</v>
      </c>
      <c r="AN28" s="394">
        <f t="shared" si="24"/>
        <v>0</v>
      </c>
      <c r="AO28" s="138"/>
      <c r="AP28" s="395">
        <f t="shared" si="21"/>
        <v>0</v>
      </c>
      <c r="AQ28" s="396" t="str">
        <f t="shared" si="22"/>
        <v/>
      </c>
      <c r="AR28" s="397"/>
    </row>
    <row r="29" spans="1:44" ht="12" customHeight="1">
      <c r="A29" s="314"/>
      <c r="B29" s="399" t="s">
        <v>339</v>
      </c>
      <c r="C29" s="400"/>
      <c r="D29" s="400"/>
      <c r="E29" s="400"/>
      <c r="F29" s="401"/>
      <c r="G29" s="494"/>
      <c r="H29" s="403">
        <f>SUM(H15:H28)</f>
        <v>85.93</v>
      </c>
      <c r="I29" s="404"/>
      <c r="J29" s="401"/>
      <c r="K29" s="494"/>
      <c r="L29" s="496">
        <f>SUM(L15:L28)</f>
        <v>96.15</v>
      </c>
      <c r="M29" s="404"/>
      <c r="N29" s="405">
        <f t="shared" si="5"/>
        <v>10.219999999999999</v>
      </c>
      <c r="O29" s="406">
        <f t="shared" si="6"/>
        <v>0.11893401605958336</v>
      </c>
      <c r="P29" s="314"/>
      <c r="Q29" s="401"/>
      <c r="R29" s="494"/>
      <c r="S29" s="403">
        <f>SUM(S15:S28)</f>
        <v>102.21000000000001</v>
      </c>
      <c r="T29" s="404"/>
      <c r="U29" s="405">
        <f t="shared" si="9"/>
        <v>6.0600000000000023</v>
      </c>
      <c r="V29" s="406">
        <f t="shared" si="10"/>
        <v>6.3026521060842458E-2</v>
      </c>
      <c r="W29" s="314"/>
      <c r="X29" s="401"/>
      <c r="Y29" s="494"/>
      <c r="Z29" s="403">
        <f>SUM(Z15:Z28)</f>
        <v>105.10000000000001</v>
      </c>
      <c r="AA29" s="404"/>
      <c r="AB29" s="405">
        <f t="shared" si="13"/>
        <v>2.8900000000000006</v>
      </c>
      <c r="AC29" s="406">
        <f t="shared" si="14"/>
        <v>2.827511985128657E-2</v>
      </c>
      <c r="AD29" s="314"/>
      <c r="AE29" s="401"/>
      <c r="AF29" s="494"/>
      <c r="AG29" s="403">
        <f>SUM(AG15:AG28)</f>
        <v>106.77</v>
      </c>
      <c r="AH29" s="404"/>
      <c r="AI29" s="405">
        <f t="shared" si="17"/>
        <v>1.6699999999999875</v>
      </c>
      <c r="AJ29" s="406">
        <f t="shared" si="18"/>
        <v>1.5889628924833372E-2</v>
      </c>
      <c r="AK29" s="314"/>
      <c r="AL29" s="401"/>
      <c r="AM29" s="494"/>
      <c r="AN29" s="403">
        <f>SUM(AN15:AN28)</f>
        <v>108.41</v>
      </c>
      <c r="AO29" s="404"/>
      <c r="AP29" s="405">
        <f t="shared" si="21"/>
        <v>1.6400000000000006</v>
      </c>
      <c r="AQ29" s="406">
        <f t="shared" si="22"/>
        <v>1.5360119883862515E-2</v>
      </c>
      <c r="AR29" s="407"/>
    </row>
    <row r="30" spans="1:44" ht="12" customHeight="1">
      <c r="A30" s="53"/>
      <c r="B30" s="398" t="s">
        <v>262</v>
      </c>
      <c r="C30" s="389" t="str">
        <f t="shared" ref="C30:C36" si="25">D$6&amp;"."&amp;B30</f>
        <v>General Service &lt; 50 kW.DVA Disposition Rate Rider Group 1 -2025</v>
      </c>
      <c r="D30" s="390" t="s">
        <v>337</v>
      </c>
      <c r="E30" s="328"/>
      <c r="F30" s="408">
        <f>IFERROR(VLOOKUP($C30,'Proposed Rates'!$B:$J,F$11,FALSE),0)</f>
        <v>0</v>
      </c>
      <c r="G30" s="392">
        <f t="shared" ref="G30:G33" si="26">IF($D30="Monthly",1,IF($D30="per KWH",$F$10,0))</f>
        <v>2000</v>
      </c>
      <c r="H30" s="394">
        <f t="shared" ref="H30:H36" si="27">G30*F30</f>
        <v>0</v>
      </c>
      <c r="I30" s="138"/>
      <c r="J30" s="408">
        <f>IFERROR(VLOOKUP($C30,'Proposed Rates'!$B:$J,J$11,FALSE),0)</f>
        <v>-8.9999999999999998E-4</v>
      </c>
      <c r="K30" s="392">
        <f t="shared" ref="K30:K33" si="28">IF($D30="Monthly",1,IF($D30="per KWH",$F$10,0))</f>
        <v>2000</v>
      </c>
      <c r="L30" s="394">
        <f t="shared" ref="L30:L36" si="29">K30*J30</f>
        <v>-1.8</v>
      </c>
      <c r="M30" s="138"/>
      <c r="N30" s="395">
        <f t="shared" si="5"/>
        <v>-1.8</v>
      </c>
      <c r="O30" s="396" t="str">
        <f t="shared" si="6"/>
        <v/>
      </c>
      <c r="P30" s="53"/>
      <c r="Q30" s="408">
        <f>IFERROR(VLOOKUP($C30,'Proposed Rates'!$B:$J,Q$11,FALSE),0)</f>
        <v>0</v>
      </c>
      <c r="R30" s="392">
        <f t="shared" ref="R30:R33" si="30">IF($D30="Monthly",1,IF($D30="per KWH",$F$10,0))</f>
        <v>2000</v>
      </c>
      <c r="S30" s="394">
        <f t="shared" ref="S30:S36" si="31">R30*Q30</f>
        <v>0</v>
      </c>
      <c r="T30" s="138"/>
      <c r="U30" s="395">
        <f t="shared" si="9"/>
        <v>1.8</v>
      </c>
      <c r="V30" s="396">
        <f t="shared" si="10"/>
        <v>-1</v>
      </c>
      <c r="W30" s="53"/>
      <c r="X30" s="408">
        <f>IFERROR(VLOOKUP($C30,'Proposed Rates'!$B:$J,X$11,FALSE),0)</f>
        <v>0</v>
      </c>
      <c r="Y30" s="392">
        <f t="shared" ref="Y30:Y33" si="32">IF($D30="Monthly",1,IF($D30="per KWH",$F$10,0))</f>
        <v>2000</v>
      </c>
      <c r="Z30" s="394">
        <f t="shared" ref="Z30:Z36" si="33">Y30*X30</f>
        <v>0</v>
      </c>
      <c r="AA30" s="138"/>
      <c r="AB30" s="395">
        <f t="shared" si="13"/>
        <v>0</v>
      </c>
      <c r="AC30" s="396" t="str">
        <f t="shared" si="14"/>
        <v/>
      </c>
      <c r="AD30" s="53"/>
      <c r="AE30" s="408">
        <f>IFERROR(VLOOKUP($C30,'Proposed Rates'!$B:$J,AE$11,FALSE),0)</f>
        <v>0</v>
      </c>
      <c r="AF30" s="392">
        <f t="shared" ref="AF30:AF33" si="34">IF($D30="Monthly",1,IF($D30="per KWH",$F$10,0))</f>
        <v>2000</v>
      </c>
      <c r="AG30" s="394">
        <f t="shared" ref="AG30:AG36" si="35">AF30*AE30</f>
        <v>0</v>
      </c>
      <c r="AH30" s="138"/>
      <c r="AI30" s="395">
        <f t="shared" si="17"/>
        <v>0</v>
      </c>
      <c r="AJ30" s="396" t="str">
        <f t="shared" si="18"/>
        <v/>
      </c>
      <c r="AK30" s="53"/>
      <c r="AL30" s="408">
        <f>IFERROR(VLOOKUP($C30,'Proposed Rates'!$B:$J,AL$11,FALSE),0)</f>
        <v>0</v>
      </c>
      <c r="AM30" s="392">
        <f t="shared" ref="AM30:AM33" si="36">IF($D30="Monthly",1,IF($D30="per KWH",$F$10,0))</f>
        <v>2000</v>
      </c>
      <c r="AN30" s="394">
        <f t="shared" ref="AN30:AN36" si="37">AM30*AL30</f>
        <v>0</v>
      </c>
      <c r="AO30" s="138"/>
      <c r="AP30" s="395">
        <f t="shared" si="21"/>
        <v>0</v>
      </c>
      <c r="AQ30" s="396" t="str">
        <f t="shared" si="22"/>
        <v/>
      </c>
      <c r="AR30" s="397"/>
    </row>
    <row r="31" spans="1:44" ht="12" customHeight="1">
      <c r="A31" s="53"/>
      <c r="B31" s="398" t="s">
        <v>264</v>
      </c>
      <c r="C31" s="389" t="str">
        <f t="shared" si="25"/>
        <v>General Service &lt; 50 kW.DVA Disposition Rate Rider Group 1 - 2024</v>
      </c>
      <c r="D31" s="390" t="s">
        <v>337</v>
      </c>
      <c r="E31" s="328"/>
      <c r="F31" s="408">
        <f>IFERROR(VLOOKUP($C31,'Proposed Rates'!$B:$J,F$11,FALSE),0)</f>
        <v>0</v>
      </c>
      <c r="G31" s="392">
        <f t="shared" si="26"/>
        <v>2000</v>
      </c>
      <c r="H31" s="394">
        <f t="shared" si="27"/>
        <v>0</v>
      </c>
      <c r="I31" s="479"/>
      <c r="J31" s="408">
        <f>IFERROR(VLOOKUP($C31,'Proposed Rates'!$B:$J,J$11,FALSE),0)</f>
        <v>0</v>
      </c>
      <c r="K31" s="392">
        <f t="shared" si="28"/>
        <v>2000</v>
      </c>
      <c r="L31" s="394">
        <f t="shared" si="29"/>
        <v>0</v>
      </c>
      <c r="M31" s="411"/>
      <c r="N31" s="395">
        <f t="shared" si="5"/>
        <v>0</v>
      </c>
      <c r="O31" s="396" t="str">
        <f t="shared" si="6"/>
        <v/>
      </c>
      <c r="P31" s="53"/>
      <c r="Q31" s="408">
        <f>IFERROR(VLOOKUP($C31,'Proposed Rates'!$B:$J,Q$11,FALSE),0)</f>
        <v>0</v>
      </c>
      <c r="R31" s="392">
        <f t="shared" si="30"/>
        <v>2000</v>
      </c>
      <c r="S31" s="394">
        <f t="shared" si="31"/>
        <v>0</v>
      </c>
      <c r="T31" s="411"/>
      <c r="U31" s="395">
        <f t="shared" si="9"/>
        <v>0</v>
      </c>
      <c r="V31" s="396" t="str">
        <f t="shared" si="10"/>
        <v/>
      </c>
      <c r="W31" s="53"/>
      <c r="X31" s="408">
        <f>IFERROR(VLOOKUP($C31,'Proposed Rates'!$B:$J,X$11,FALSE),0)</f>
        <v>0</v>
      </c>
      <c r="Y31" s="392">
        <f t="shared" si="32"/>
        <v>2000</v>
      </c>
      <c r="Z31" s="394">
        <f t="shared" si="33"/>
        <v>0</v>
      </c>
      <c r="AA31" s="411"/>
      <c r="AB31" s="395">
        <f t="shared" si="13"/>
        <v>0</v>
      </c>
      <c r="AC31" s="396" t="str">
        <f t="shared" si="14"/>
        <v/>
      </c>
      <c r="AD31" s="53"/>
      <c r="AE31" s="408">
        <f>IFERROR(VLOOKUP($C31,'Proposed Rates'!$B:$J,AE$11,FALSE),0)</f>
        <v>0</v>
      </c>
      <c r="AF31" s="392">
        <f t="shared" si="34"/>
        <v>2000</v>
      </c>
      <c r="AG31" s="394">
        <f t="shared" si="35"/>
        <v>0</v>
      </c>
      <c r="AH31" s="411"/>
      <c r="AI31" s="395">
        <f t="shared" si="17"/>
        <v>0</v>
      </c>
      <c r="AJ31" s="396" t="str">
        <f t="shared" si="18"/>
        <v/>
      </c>
      <c r="AK31" s="53"/>
      <c r="AL31" s="408">
        <f>IFERROR(VLOOKUP($C31,'Proposed Rates'!$B:$J,AL$11,FALSE),0)</f>
        <v>0</v>
      </c>
      <c r="AM31" s="392">
        <f t="shared" si="36"/>
        <v>2000</v>
      </c>
      <c r="AN31" s="394">
        <f t="shared" si="37"/>
        <v>0</v>
      </c>
      <c r="AO31" s="411"/>
      <c r="AP31" s="395">
        <f t="shared" si="21"/>
        <v>0</v>
      </c>
      <c r="AQ31" s="396" t="str">
        <f t="shared" si="22"/>
        <v/>
      </c>
      <c r="AR31" s="397"/>
    </row>
    <row r="32" spans="1:44" ht="12" customHeight="1">
      <c r="A32" s="53"/>
      <c r="B32" s="398" t="s">
        <v>272</v>
      </c>
      <c r="C32" s="389" t="str">
        <f t="shared" si="25"/>
        <v>General Service &lt; 50 kW.CBR Class B Rate Riders</v>
      </c>
      <c r="D32" s="390" t="s">
        <v>337</v>
      </c>
      <c r="E32" s="328"/>
      <c r="F32" s="408">
        <f>IFERROR(VLOOKUP($C32,'Proposed Rates'!$B:$J,F$11,FALSE),0)</f>
        <v>2.0000000000000001E-4</v>
      </c>
      <c r="G32" s="392">
        <f t="shared" si="26"/>
        <v>2000</v>
      </c>
      <c r="H32" s="394">
        <f t="shared" si="27"/>
        <v>0.4</v>
      </c>
      <c r="I32" s="479"/>
      <c r="J32" s="408">
        <f>IFERROR(VLOOKUP($C32,'Proposed Rates'!$B:$J,J$11,FALSE),0)</f>
        <v>8.0000000000000004E-4</v>
      </c>
      <c r="K32" s="392">
        <f t="shared" si="28"/>
        <v>2000</v>
      </c>
      <c r="L32" s="394">
        <f t="shared" si="29"/>
        <v>1.6</v>
      </c>
      <c r="M32" s="411"/>
      <c r="N32" s="395">
        <f t="shared" si="5"/>
        <v>1.2000000000000002</v>
      </c>
      <c r="O32" s="396">
        <f t="shared" si="6"/>
        <v>3.0000000000000004</v>
      </c>
      <c r="P32" s="53"/>
      <c r="Q32" s="408">
        <f>IFERROR(VLOOKUP($C32,'Proposed Rates'!$B:$J,Q$11,FALSE),0)</f>
        <v>0</v>
      </c>
      <c r="R32" s="392">
        <f t="shared" si="30"/>
        <v>2000</v>
      </c>
      <c r="S32" s="394">
        <f t="shared" si="31"/>
        <v>0</v>
      </c>
      <c r="T32" s="411"/>
      <c r="U32" s="395">
        <f t="shared" si="9"/>
        <v>-1.6</v>
      </c>
      <c r="V32" s="396">
        <f t="shared" si="10"/>
        <v>-1</v>
      </c>
      <c r="W32" s="53"/>
      <c r="X32" s="408">
        <f>IFERROR(VLOOKUP($C32,'Proposed Rates'!$B:$J,X$11,FALSE),0)</f>
        <v>0</v>
      </c>
      <c r="Y32" s="392">
        <f t="shared" si="32"/>
        <v>2000</v>
      </c>
      <c r="Z32" s="394">
        <f t="shared" si="33"/>
        <v>0</v>
      </c>
      <c r="AA32" s="411"/>
      <c r="AB32" s="395">
        <f t="shared" si="13"/>
        <v>0</v>
      </c>
      <c r="AC32" s="396" t="str">
        <f t="shared" si="14"/>
        <v/>
      </c>
      <c r="AD32" s="53"/>
      <c r="AE32" s="408">
        <f>IFERROR(VLOOKUP($C32,'Proposed Rates'!$B:$J,AE$11,FALSE),0)</f>
        <v>0</v>
      </c>
      <c r="AF32" s="392">
        <f t="shared" si="34"/>
        <v>2000</v>
      </c>
      <c r="AG32" s="394">
        <f t="shared" si="35"/>
        <v>0</v>
      </c>
      <c r="AH32" s="411"/>
      <c r="AI32" s="395">
        <f t="shared" si="17"/>
        <v>0</v>
      </c>
      <c r="AJ32" s="396" t="str">
        <f t="shared" si="18"/>
        <v/>
      </c>
      <c r="AK32" s="53"/>
      <c r="AL32" s="408">
        <f>IFERROR(VLOOKUP($C32,'Proposed Rates'!$B:$J,AL$11,FALSE),0)</f>
        <v>0</v>
      </c>
      <c r="AM32" s="392">
        <f t="shared" si="36"/>
        <v>2000</v>
      </c>
      <c r="AN32" s="394">
        <f t="shared" si="37"/>
        <v>0</v>
      </c>
      <c r="AO32" s="411"/>
      <c r="AP32" s="395">
        <f t="shared" si="21"/>
        <v>0</v>
      </c>
      <c r="AQ32" s="396" t="str">
        <f t="shared" si="22"/>
        <v/>
      </c>
      <c r="AR32" s="397"/>
    </row>
    <row r="33" spans="1:44" ht="12" customHeight="1">
      <c r="A33" s="53"/>
      <c r="B33" s="398" t="s">
        <v>340</v>
      </c>
      <c r="C33" s="389" t="str">
        <f t="shared" si="25"/>
        <v>General Service &lt; 50 kW.GA Disposition Rate Rider-NonRPP</v>
      </c>
      <c r="D33" s="390" t="s">
        <v>337</v>
      </c>
      <c r="E33" s="328"/>
      <c r="F33" s="408">
        <f>IFERROR(VLOOKUP($C33,'Proposed Rates'!$B:$J,F$11,FALSE),0)</f>
        <v>0</v>
      </c>
      <c r="G33" s="392">
        <f t="shared" si="26"/>
        <v>2000</v>
      </c>
      <c r="H33" s="394">
        <f t="shared" si="27"/>
        <v>0</v>
      </c>
      <c r="I33" s="479"/>
      <c r="J33" s="408">
        <f>IFERROR(VLOOKUP($C33,'Proposed Rates'!$B:$J,J$11,FALSE),0)</f>
        <v>0</v>
      </c>
      <c r="K33" s="392">
        <f t="shared" si="28"/>
        <v>2000</v>
      </c>
      <c r="L33" s="394">
        <f t="shared" si="29"/>
        <v>0</v>
      </c>
      <c r="M33" s="411"/>
      <c r="N33" s="395">
        <f t="shared" si="5"/>
        <v>0</v>
      </c>
      <c r="O33" s="396" t="str">
        <f t="shared" si="6"/>
        <v/>
      </c>
      <c r="P33" s="53"/>
      <c r="Q33" s="408">
        <f>IFERROR(VLOOKUP($C33,'Proposed Rates'!$B:$J,Q$11,FALSE),0)</f>
        <v>0</v>
      </c>
      <c r="R33" s="392">
        <f t="shared" si="30"/>
        <v>2000</v>
      </c>
      <c r="S33" s="394">
        <f t="shared" si="31"/>
        <v>0</v>
      </c>
      <c r="T33" s="411"/>
      <c r="U33" s="395">
        <f t="shared" si="9"/>
        <v>0</v>
      </c>
      <c r="V33" s="396" t="str">
        <f t="shared" si="10"/>
        <v/>
      </c>
      <c r="W33" s="53"/>
      <c r="X33" s="408">
        <f>IFERROR(VLOOKUP($C33,'Proposed Rates'!$B:$J,X$11,FALSE),0)</f>
        <v>0</v>
      </c>
      <c r="Y33" s="392">
        <f t="shared" si="32"/>
        <v>2000</v>
      </c>
      <c r="Z33" s="394">
        <f t="shared" si="33"/>
        <v>0</v>
      </c>
      <c r="AA33" s="411"/>
      <c r="AB33" s="395">
        <f t="shared" si="13"/>
        <v>0</v>
      </c>
      <c r="AC33" s="396" t="str">
        <f t="shared" si="14"/>
        <v/>
      </c>
      <c r="AD33" s="53"/>
      <c r="AE33" s="408">
        <f>IFERROR(VLOOKUP($C33,'Proposed Rates'!$B:$J,AE$11,FALSE),0)</f>
        <v>0</v>
      </c>
      <c r="AF33" s="392">
        <f t="shared" si="34"/>
        <v>2000</v>
      </c>
      <c r="AG33" s="394">
        <f t="shared" si="35"/>
        <v>0</v>
      </c>
      <c r="AH33" s="411"/>
      <c r="AI33" s="395">
        <f t="shared" si="17"/>
        <v>0</v>
      </c>
      <c r="AJ33" s="396" t="str">
        <f t="shared" si="18"/>
        <v/>
      </c>
      <c r="AK33" s="53"/>
      <c r="AL33" s="408">
        <f>IFERROR(VLOOKUP($C33,'Proposed Rates'!$B:$J,AL$11,FALSE),0)</f>
        <v>0</v>
      </c>
      <c r="AM33" s="392">
        <f t="shared" si="36"/>
        <v>2000</v>
      </c>
      <c r="AN33" s="394">
        <f t="shared" si="37"/>
        <v>0</v>
      </c>
      <c r="AO33" s="411"/>
      <c r="AP33" s="395">
        <f t="shared" si="21"/>
        <v>0</v>
      </c>
      <c r="AQ33" s="396" t="str">
        <f t="shared" si="22"/>
        <v/>
      </c>
      <c r="AR33" s="397"/>
    </row>
    <row r="34" spans="1:44" ht="12" customHeight="1">
      <c r="A34" s="53"/>
      <c r="B34" s="328" t="s">
        <v>300</v>
      </c>
      <c r="C34" s="389" t="str">
        <f t="shared" si="25"/>
        <v>General Service &lt; 50 kW.Low Voltage Service Charge</v>
      </c>
      <c r="D34" s="390" t="s">
        <v>337</v>
      </c>
      <c r="E34" s="328"/>
      <c r="F34" s="412">
        <f>IFERROR(VLOOKUP($C34,'Proposed Rates'!$B:$J,F$11,FALSE),0)</f>
        <v>5.0000000000000002E-5</v>
      </c>
      <c r="G34" s="413">
        <f>$F$10*(1+F$63)</f>
        <v>2067.6</v>
      </c>
      <c r="H34" s="394">
        <f t="shared" si="27"/>
        <v>0.10338</v>
      </c>
      <c r="I34" s="138"/>
      <c r="J34" s="412">
        <f>IFERROR(VLOOKUP($C34,'Proposed Rates'!$B:$J,J$11,FALSE),0)</f>
        <v>6.0000000000000002E-5</v>
      </c>
      <c r="K34" s="413">
        <f>$F$10*(1+J$63)</f>
        <v>2066.3999999999996</v>
      </c>
      <c r="L34" s="394">
        <f t="shared" si="29"/>
        <v>0.12398399999999998</v>
      </c>
      <c r="M34" s="138"/>
      <c r="N34" s="395">
        <f t="shared" si="5"/>
        <v>2.0603999999999983E-2</v>
      </c>
      <c r="O34" s="396">
        <f t="shared" si="6"/>
        <v>0.19930354033662201</v>
      </c>
      <c r="P34" s="53"/>
      <c r="Q34" s="412">
        <f>IFERROR(VLOOKUP($C34,'Proposed Rates'!$B:$J,Q$11,FALSE),0)</f>
        <v>6.0000000000000002E-5</v>
      </c>
      <c r="R34" s="413">
        <f>$F$10*(1+Q$63)</f>
        <v>2066.3999999999996</v>
      </c>
      <c r="S34" s="394">
        <f t="shared" si="31"/>
        <v>0.12398399999999998</v>
      </c>
      <c r="T34" s="138"/>
      <c r="U34" s="395">
        <f t="shared" si="9"/>
        <v>0</v>
      </c>
      <c r="V34" s="396">
        <f t="shared" si="10"/>
        <v>0</v>
      </c>
      <c r="W34" s="53"/>
      <c r="X34" s="412">
        <f>IFERROR(VLOOKUP($C34,'Proposed Rates'!$B:$J,X$11,FALSE),0)</f>
        <v>6.0000000000000002E-5</v>
      </c>
      <c r="Y34" s="413">
        <f>$F$10*(1+X$63)</f>
        <v>2066.3999999999996</v>
      </c>
      <c r="Z34" s="394">
        <f t="shared" si="33"/>
        <v>0.12398399999999998</v>
      </c>
      <c r="AA34" s="138"/>
      <c r="AB34" s="395">
        <f t="shared" si="13"/>
        <v>0</v>
      </c>
      <c r="AC34" s="396">
        <f t="shared" si="14"/>
        <v>0</v>
      </c>
      <c r="AD34" s="53"/>
      <c r="AE34" s="412">
        <f>IFERROR(VLOOKUP($C34,'Proposed Rates'!$B:$J,AE$11,FALSE),0)</f>
        <v>6.0000000000000002E-5</v>
      </c>
      <c r="AF34" s="413">
        <f>$F$10*(1+AE$63)</f>
        <v>2066.3999999999996</v>
      </c>
      <c r="AG34" s="394">
        <f t="shared" si="35"/>
        <v>0.12398399999999998</v>
      </c>
      <c r="AH34" s="138"/>
      <c r="AI34" s="395">
        <f t="shared" si="17"/>
        <v>0</v>
      </c>
      <c r="AJ34" s="396">
        <f t="shared" si="18"/>
        <v>0</v>
      </c>
      <c r="AK34" s="53"/>
      <c r="AL34" s="412">
        <f>IFERROR(VLOOKUP($C34,'Proposed Rates'!$B:$J,AL$11,FALSE),0)</f>
        <v>6.0000000000000002E-5</v>
      </c>
      <c r="AM34" s="413">
        <f>$F$10*(1+AL$63)</f>
        <v>2066.3999999999996</v>
      </c>
      <c r="AN34" s="394">
        <f t="shared" si="37"/>
        <v>0.12398399999999998</v>
      </c>
      <c r="AO34" s="138"/>
      <c r="AP34" s="395">
        <f t="shared" si="21"/>
        <v>0</v>
      </c>
      <c r="AQ34" s="396">
        <f t="shared" si="22"/>
        <v>0</v>
      </c>
      <c r="AR34" s="397"/>
    </row>
    <row r="35" spans="1:44" ht="12" customHeight="1">
      <c r="A35" s="53"/>
      <c r="B35" s="328" t="s">
        <v>341</v>
      </c>
      <c r="C35" s="389" t="str">
        <f t="shared" si="25"/>
        <v>General Service &lt; 50 kW.Line Losses on Cost of Power</v>
      </c>
      <c r="D35" s="390" t="s">
        <v>337</v>
      </c>
      <c r="E35" s="328"/>
      <c r="F35" s="414">
        <f>'Proposed Rates'!$K$256*F$44+'Proposed Rates'!$K$257*F$45+'Proposed Rates'!$K$258*F$46</f>
        <v>0.12752000000000002</v>
      </c>
      <c r="G35" s="501">
        <f>$F$10*(1+F$63)-$F$10</f>
        <v>67.599999999999909</v>
      </c>
      <c r="H35" s="394">
        <f t="shared" si="27"/>
        <v>8.6203519999999898</v>
      </c>
      <c r="I35" s="138"/>
      <c r="J35" s="414">
        <f>'Proposed Rates'!$K$256*J$44+'Proposed Rates'!$K$257*J$45+'Proposed Rates'!$K$258*J$46</f>
        <v>0.12752000000000002</v>
      </c>
      <c r="K35" s="501">
        <f>$F$10*(1+J$63)-$F$10</f>
        <v>66.399999999999636</v>
      </c>
      <c r="L35" s="394">
        <f t="shared" si="29"/>
        <v>8.4673279999999558</v>
      </c>
      <c r="M35" s="138"/>
      <c r="N35" s="395">
        <f t="shared" si="5"/>
        <v>-0.15302400000003402</v>
      </c>
      <c r="O35" s="396">
        <f t="shared" si="6"/>
        <v>-1.7751479289944794E-2</v>
      </c>
      <c r="P35" s="53"/>
      <c r="Q35" s="414">
        <f>'Proposed Rates'!$K$256*Q$44+'Proposed Rates'!$K$257*Q$45+'Proposed Rates'!$K$258*Q$46</f>
        <v>0.12752000000000002</v>
      </c>
      <c r="R35" s="501">
        <f>$F$10*(1+Q$63)-$F$10</f>
        <v>66.399999999999636</v>
      </c>
      <c r="S35" s="394">
        <f t="shared" si="31"/>
        <v>8.4673279999999558</v>
      </c>
      <c r="T35" s="138"/>
      <c r="U35" s="395">
        <f t="shared" si="9"/>
        <v>0</v>
      </c>
      <c r="V35" s="396">
        <f t="shared" si="10"/>
        <v>0</v>
      </c>
      <c r="W35" s="53"/>
      <c r="X35" s="414">
        <f>'Proposed Rates'!$K$256*X$44+'Proposed Rates'!$K$257*X$45+'Proposed Rates'!$K$258*X$46</f>
        <v>0.12752000000000002</v>
      </c>
      <c r="Y35" s="501">
        <f>$F$10*(1+X$63)-$F$10</f>
        <v>66.399999999999636</v>
      </c>
      <c r="Z35" s="394">
        <f t="shared" si="33"/>
        <v>8.4673279999999558</v>
      </c>
      <c r="AA35" s="138"/>
      <c r="AB35" s="395">
        <f t="shared" si="13"/>
        <v>0</v>
      </c>
      <c r="AC35" s="396">
        <f t="shared" si="14"/>
        <v>0</v>
      </c>
      <c r="AD35" s="53"/>
      <c r="AE35" s="414">
        <f>'Proposed Rates'!$K$256*AE$44+'Proposed Rates'!$K$257*AE$45+'Proposed Rates'!$K$258*AE$46</f>
        <v>0.12752000000000002</v>
      </c>
      <c r="AF35" s="501">
        <f>$F$10*(1+AE$63)-$F$10</f>
        <v>66.399999999999636</v>
      </c>
      <c r="AG35" s="394">
        <f t="shared" si="35"/>
        <v>8.4673279999999558</v>
      </c>
      <c r="AH35" s="138"/>
      <c r="AI35" s="395">
        <f t="shared" si="17"/>
        <v>0</v>
      </c>
      <c r="AJ35" s="396">
        <f t="shared" si="18"/>
        <v>0</v>
      </c>
      <c r="AK35" s="53"/>
      <c r="AL35" s="414">
        <f>'Proposed Rates'!$K$256*AL$44+'Proposed Rates'!$K$257*AL$45+'Proposed Rates'!$K$258*AL$46</f>
        <v>0.12752000000000002</v>
      </c>
      <c r="AM35" s="501">
        <f>$F$10*(1+AL$63)-$F$10</f>
        <v>66.399999999999636</v>
      </c>
      <c r="AN35" s="394">
        <f t="shared" si="37"/>
        <v>8.4673279999999558</v>
      </c>
      <c r="AO35" s="138"/>
      <c r="AP35" s="395">
        <f t="shared" si="21"/>
        <v>0</v>
      </c>
      <c r="AQ35" s="396">
        <f t="shared" si="22"/>
        <v>0</v>
      </c>
      <c r="AR35" s="397"/>
    </row>
    <row r="36" spans="1:44" ht="12" customHeight="1">
      <c r="A36" s="53"/>
      <c r="B36" s="328" t="s">
        <v>302</v>
      </c>
      <c r="C36" s="389" t="str">
        <f t="shared" si="25"/>
        <v>General Service &lt; 50 kW.Smart Meter Entity Charge</v>
      </c>
      <c r="D36" s="390" t="s">
        <v>335</v>
      </c>
      <c r="E36" s="328"/>
      <c r="F36" s="391">
        <f>IFERROR(VLOOKUP($C36,'Proposed Rates'!$B:$J,F$11,FALSE),0)</f>
        <v>0.42</v>
      </c>
      <c r="G36" s="392">
        <f>IF($D36="Monthly",1,IF($D36="per KWH",$F$10,0))</f>
        <v>1</v>
      </c>
      <c r="H36" s="394">
        <f t="shared" si="27"/>
        <v>0.42</v>
      </c>
      <c r="I36" s="138"/>
      <c r="J36" s="391">
        <f>IFERROR(VLOOKUP($C36,'Proposed Rates'!$B:$J,J$11,FALSE),0)</f>
        <v>0.42</v>
      </c>
      <c r="K36" s="392">
        <f>IF($D36="Monthly",1,IF($D36="per KWH",$F$10,0))</f>
        <v>1</v>
      </c>
      <c r="L36" s="394">
        <f t="shared" si="29"/>
        <v>0.42</v>
      </c>
      <c r="M36" s="138"/>
      <c r="N36" s="395">
        <f t="shared" si="5"/>
        <v>0</v>
      </c>
      <c r="O36" s="396">
        <f t="shared" si="6"/>
        <v>0</v>
      </c>
      <c r="P36" s="53"/>
      <c r="Q36" s="391">
        <f>IFERROR(VLOOKUP($C36,'Proposed Rates'!$B:$J,Q$11,FALSE),0)</f>
        <v>0.42</v>
      </c>
      <c r="R36" s="392">
        <f>IF($D36="Monthly",1,IF($D36="per KWH",$F$10,0))</f>
        <v>1</v>
      </c>
      <c r="S36" s="394">
        <f t="shared" si="31"/>
        <v>0.42</v>
      </c>
      <c r="T36" s="138"/>
      <c r="U36" s="395">
        <f t="shared" si="9"/>
        <v>0</v>
      </c>
      <c r="V36" s="396">
        <f t="shared" si="10"/>
        <v>0</v>
      </c>
      <c r="W36" s="53"/>
      <c r="X36" s="391">
        <f>IFERROR(VLOOKUP($C36,'Proposed Rates'!$B:$J,X$11,FALSE),0)</f>
        <v>0.43</v>
      </c>
      <c r="Y36" s="392">
        <f>IF($D36="Monthly",1,IF($D36="per KWH",$F$10,0))</f>
        <v>1</v>
      </c>
      <c r="Z36" s="394">
        <f t="shared" si="33"/>
        <v>0.43</v>
      </c>
      <c r="AA36" s="138"/>
      <c r="AB36" s="395">
        <f t="shared" si="13"/>
        <v>1.0000000000000009E-2</v>
      </c>
      <c r="AC36" s="396">
        <f t="shared" si="14"/>
        <v>2.3809523809523832E-2</v>
      </c>
      <c r="AD36" s="53"/>
      <c r="AE36" s="391">
        <f>IFERROR(VLOOKUP($C36,'Proposed Rates'!$B:$J,AE$11,FALSE),0)</f>
        <v>0.44</v>
      </c>
      <c r="AF36" s="392">
        <f>IF($D36="Monthly",1,IF($D36="per KWH",$F$10,0))</f>
        <v>1</v>
      </c>
      <c r="AG36" s="394">
        <f t="shared" si="35"/>
        <v>0.44</v>
      </c>
      <c r="AH36" s="138"/>
      <c r="AI36" s="395">
        <f t="shared" si="17"/>
        <v>1.0000000000000009E-2</v>
      </c>
      <c r="AJ36" s="396">
        <f t="shared" si="18"/>
        <v>2.3255813953488393E-2</v>
      </c>
      <c r="AK36" s="53"/>
      <c r="AL36" s="391">
        <f>IFERROR(VLOOKUP($C36,'Proposed Rates'!$B:$J,AL$11,FALSE),0)</f>
        <v>0.45</v>
      </c>
      <c r="AM36" s="392">
        <f>IF($D36="Monthly",1,IF($D36="per KWH",$F$10,0))</f>
        <v>1</v>
      </c>
      <c r="AN36" s="394">
        <f t="shared" si="37"/>
        <v>0.45</v>
      </c>
      <c r="AO36" s="138"/>
      <c r="AP36" s="395">
        <f t="shared" si="21"/>
        <v>1.0000000000000009E-2</v>
      </c>
      <c r="AQ36" s="396">
        <f t="shared" si="22"/>
        <v>2.2727272727272749E-2</v>
      </c>
      <c r="AR36" s="397"/>
    </row>
    <row r="37" spans="1:44" ht="12" customHeight="1">
      <c r="A37" s="53"/>
      <c r="B37" s="399" t="s">
        <v>342</v>
      </c>
      <c r="C37" s="416"/>
      <c r="D37" s="416"/>
      <c r="E37" s="416"/>
      <c r="F37" s="417"/>
      <c r="G37" s="495"/>
      <c r="H37" s="403">
        <f>SUM(H30:H36)+H29</f>
        <v>95.473731999999998</v>
      </c>
      <c r="I37" s="419"/>
      <c r="J37" s="417"/>
      <c r="K37" s="495"/>
      <c r="L37" s="496">
        <f>SUM(L30:L36)+L29</f>
        <v>104.96131199999996</v>
      </c>
      <c r="M37" s="419"/>
      <c r="N37" s="405">
        <f t="shared" si="5"/>
        <v>9.4875799999999657</v>
      </c>
      <c r="O37" s="406">
        <f t="shared" si="6"/>
        <v>9.9373720930904491E-2</v>
      </c>
      <c r="P37" s="53"/>
      <c r="Q37" s="417"/>
      <c r="R37" s="495"/>
      <c r="S37" s="403">
        <f>SUM(S30:S36)+S29</f>
        <v>111.22131199999997</v>
      </c>
      <c r="T37" s="419"/>
      <c r="U37" s="405">
        <f t="shared" si="9"/>
        <v>6.2600000000000051</v>
      </c>
      <c r="V37" s="406">
        <f t="shared" si="10"/>
        <v>5.9641022779898245E-2</v>
      </c>
      <c r="W37" s="53"/>
      <c r="X37" s="417"/>
      <c r="Y37" s="495"/>
      <c r="Z37" s="403">
        <f>SUM(Z30:Z36)+Z29</f>
        <v>114.12131199999996</v>
      </c>
      <c r="AA37" s="419"/>
      <c r="AB37" s="405">
        <f t="shared" si="13"/>
        <v>2.8999999999999915</v>
      </c>
      <c r="AC37" s="406">
        <f t="shared" si="14"/>
        <v>2.6074139459890497E-2</v>
      </c>
      <c r="AD37" s="53"/>
      <c r="AE37" s="417"/>
      <c r="AF37" s="495"/>
      <c r="AG37" s="403">
        <f>SUM(AG30:AG36)+AG29</f>
        <v>115.80131199999995</v>
      </c>
      <c r="AH37" s="419"/>
      <c r="AI37" s="405">
        <f t="shared" si="17"/>
        <v>1.6799999999999926</v>
      </c>
      <c r="AJ37" s="406">
        <f t="shared" si="18"/>
        <v>1.4721176707116661E-2</v>
      </c>
      <c r="AK37" s="53"/>
      <c r="AL37" s="417"/>
      <c r="AM37" s="495"/>
      <c r="AN37" s="403">
        <f>SUM(AN30:AN36)+AN29</f>
        <v>117.45131199999994</v>
      </c>
      <c r="AO37" s="419"/>
      <c r="AP37" s="405">
        <f t="shared" si="21"/>
        <v>1.6499999999999915</v>
      </c>
      <c r="AQ37" s="406">
        <f t="shared" si="22"/>
        <v>1.4248543228940206E-2</v>
      </c>
      <c r="AR37" s="407"/>
    </row>
    <row r="38" spans="1:44" ht="12" customHeight="1">
      <c r="A38" s="53"/>
      <c r="B38" s="138" t="s">
        <v>285</v>
      </c>
      <c r="C38" s="389" t="str">
        <f t="shared" ref="C38:C39" si="38">D$6&amp;"."&amp;B38</f>
        <v>General Service &lt; 50 kW.RTSR - Network</v>
      </c>
      <c r="D38" s="420" t="s">
        <v>337</v>
      </c>
      <c r="E38" s="138"/>
      <c r="F38" s="408">
        <f>IFERROR(VLOOKUP($C38,'Proposed Rates'!$B:$J,F$11,FALSE),0)</f>
        <v>1.18E-2</v>
      </c>
      <c r="G38" s="502">
        <f t="shared" ref="G38:G39" si="39">$F$10*(1+F$63)</f>
        <v>2067.6</v>
      </c>
      <c r="H38" s="394">
        <f t="shared" ref="H38:H39" si="40">G38*F38</f>
        <v>24.397679999999998</v>
      </c>
      <c r="I38" s="138"/>
      <c r="J38" s="408">
        <f>IFERROR(VLOOKUP($C38,'Proposed Rates'!$B:$J,J$11,FALSE),0)</f>
        <v>1.0699999999999999E-2</v>
      </c>
      <c r="K38" s="502">
        <f t="shared" ref="K38:K39" si="41">$F$10*(1+J$63)</f>
        <v>2066.3999999999996</v>
      </c>
      <c r="L38" s="394">
        <f t="shared" ref="L38:L39" si="42">K38*J38</f>
        <v>22.110479999999995</v>
      </c>
      <c r="M38" s="138"/>
      <c r="N38" s="395">
        <f t="shared" si="5"/>
        <v>-2.2872000000000021</v>
      </c>
      <c r="O38" s="396">
        <f t="shared" si="6"/>
        <v>-9.3746618530942377E-2</v>
      </c>
      <c r="P38" s="53"/>
      <c r="Q38" s="408">
        <f>IFERROR(VLOOKUP($C38,'Proposed Rates'!$B:$J,Q$11,FALSE),0)</f>
        <v>1.0699999999999999E-2</v>
      </c>
      <c r="R38" s="502">
        <f t="shared" ref="R38:R39" si="43">$F$10*(1+Q$63)</f>
        <v>2066.3999999999996</v>
      </c>
      <c r="S38" s="394">
        <f t="shared" ref="S38:S39" si="44">R38*Q38</f>
        <v>22.110479999999995</v>
      </c>
      <c r="T38" s="138"/>
      <c r="U38" s="395">
        <f t="shared" si="9"/>
        <v>0</v>
      </c>
      <c r="V38" s="396">
        <f t="shared" si="10"/>
        <v>0</v>
      </c>
      <c r="W38" s="53"/>
      <c r="X38" s="408">
        <f>IFERROR(VLOOKUP($C38,'Proposed Rates'!$B:$J,X$11,FALSE),0)</f>
        <v>1.0699999999999999E-2</v>
      </c>
      <c r="Y38" s="502">
        <f t="shared" ref="Y38:Y39" si="45">$F$10*(1+X$63)</f>
        <v>2066.3999999999996</v>
      </c>
      <c r="Z38" s="394">
        <f t="shared" ref="Z38:Z39" si="46">Y38*X38</f>
        <v>22.110479999999995</v>
      </c>
      <c r="AA38" s="138"/>
      <c r="AB38" s="395">
        <f t="shared" si="13"/>
        <v>0</v>
      </c>
      <c r="AC38" s="396">
        <f t="shared" si="14"/>
        <v>0</v>
      </c>
      <c r="AD38" s="53"/>
      <c r="AE38" s="408">
        <f>IFERROR(VLOOKUP($C38,'Proposed Rates'!$B:$J,AE$11,FALSE),0)</f>
        <v>1.0699999999999999E-2</v>
      </c>
      <c r="AF38" s="502">
        <f t="shared" ref="AF38:AF39" si="47">$F$10*(1+AE$63)</f>
        <v>2066.3999999999996</v>
      </c>
      <c r="AG38" s="394">
        <f t="shared" ref="AG38:AG39" si="48">AF38*AE38</f>
        <v>22.110479999999995</v>
      </c>
      <c r="AH38" s="138"/>
      <c r="AI38" s="395">
        <f t="shared" si="17"/>
        <v>0</v>
      </c>
      <c r="AJ38" s="396">
        <f t="shared" si="18"/>
        <v>0</v>
      </c>
      <c r="AK38" s="53"/>
      <c r="AL38" s="408">
        <f>IFERROR(VLOOKUP($C38,'Proposed Rates'!$B:$J,AL$11,FALSE),0)</f>
        <v>1.0699999999999999E-2</v>
      </c>
      <c r="AM38" s="502">
        <f t="shared" ref="AM38:AM39" si="49">$F$10*(1+AL$63)</f>
        <v>2066.3999999999996</v>
      </c>
      <c r="AN38" s="394">
        <f t="shared" ref="AN38:AN39" si="50">AM38*AL38</f>
        <v>22.110479999999995</v>
      </c>
      <c r="AO38" s="138"/>
      <c r="AP38" s="395">
        <f t="shared" si="21"/>
        <v>0</v>
      </c>
      <c r="AQ38" s="396">
        <f t="shared" si="22"/>
        <v>0</v>
      </c>
      <c r="AR38" s="397"/>
    </row>
    <row r="39" spans="1:44" ht="12" customHeight="1">
      <c r="A39" s="53"/>
      <c r="B39" s="138" t="s">
        <v>288</v>
      </c>
      <c r="C39" s="389" t="str">
        <f t="shared" si="38"/>
        <v>General Service &lt; 50 kW.RTSR - Line and Transformation Connection</v>
      </c>
      <c r="D39" s="420" t="s">
        <v>337</v>
      </c>
      <c r="E39" s="138"/>
      <c r="F39" s="408">
        <f>IFERROR(VLOOKUP($C39,'Proposed Rates'!$B:$J,F$11,FALSE),0)</f>
        <v>7.0000000000000001E-3</v>
      </c>
      <c r="G39" s="502">
        <f t="shared" si="39"/>
        <v>2067.6</v>
      </c>
      <c r="H39" s="394">
        <f t="shared" si="40"/>
        <v>14.4732</v>
      </c>
      <c r="I39" s="138"/>
      <c r="J39" s="408">
        <f>IFERROR(VLOOKUP($C39,'Proposed Rates'!$B:$J,J$11,FALSE),0)</f>
        <v>6.1000000000000004E-3</v>
      </c>
      <c r="K39" s="502">
        <f t="shared" si="41"/>
        <v>2066.3999999999996</v>
      </c>
      <c r="L39" s="394">
        <f t="shared" si="42"/>
        <v>12.605039999999999</v>
      </c>
      <c r="M39" s="138"/>
      <c r="N39" s="395">
        <f t="shared" si="5"/>
        <v>-1.8681600000000014</v>
      </c>
      <c r="O39" s="396">
        <f t="shared" si="6"/>
        <v>-0.12907719094602446</v>
      </c>
      <c r="P39" s="53"/>
      <c r="Q39" s="408">
        <f>IFERROR(VLOOKUP($C39,'Proposed Rates'!$B:$J,Q$11,FALSE),0)</f>
        <v>6.1000000000000004E-3</v>
      </c>
      <c r="R39" s="502">
        <f t="shared" si="43"/>
        <v>2066.3999999999996</v>
      </c>
      <c r="S39" s="394">
        <f t="shared" si="44"/>
        <v>12.605039999999999</v>
      </c>
      <c r="T39" s="138"/>
      <c r="U39" s="395">
        <f t="shared" si="9"/>
        <v>0</v>
      </c>
      <c r="V39" s="396">
        <f t="shared" si="10"/>
        <v>0</v>
      </c>
      <c r="W39" s="53"/>
      <c r="X39" s="408">
        <f>IFERROR(VLOOKUP($C39,'Proposed Rates'!$B:$J,X$11,FALSE),0)</f>
        <v>6.1000000000000004E-3</v>
      </c>
      <c r="Y39" s="502">
        <f t="shared" si="45"/>
        <v>2066.3999999999996</v>
      </c>
      <c r="Z39" s="394">
        <f t="shared" si="46"/>
        <v>12.605039999999999</v>
      </c>
      <c r="AA39" s="138"/>
      <c r="AB39" s="395">
        <f t="shared" si="13"/>
        <v>0</v>
      </c>
      <c r="AC39" s="396">
        <f t="shared" si="14"/>
        <v>0</v>
      </c>
      <c r="AD39" s="53"/>
      <c r="AE39" s="408">
        <f>IFERROR(VLOOKUP($C39,'Proposed Rates'!$B:$J,AE$11,FALSE),0)</f>
        <v>6.1000000000000004E-3</v>
      </c>
      <c r="AF39" s="502">
        <f t="shared" si="47"/>
        <v>2066.3999999999996</v>
      </c>
      <c r="AG39" s="394">
        <f t="shared" si="48"/>
        <v>12.605039999999999</v>
      </c>
      <c r="AH39" s="138"/>
      <c r="AI39" s="395">
        <f t="shared" si="17"/>
        <v>0</v>
      </c>
      <c r="AJ39" s="396">
        <f t="shared" si="18"/>
        <v>0</v>
      </c>
      <c r="AK39" s="53"/>
      <c r="AL39" s="408">
        <f>IFERROR(VLOOKUP($C39,'Proposed Rates'!$B:$J,AL$11,FALSE),0)</f>
        <v>6.1000000000000004E-3</v>
      </c>
      <c r="AM39" s="502">
        <f t="shared" si="49"/>
        <v>2066.3999999999996</v>
      </c>
      <c r="AN39" s="394">
        <f t="shared" si="50"/>
        <v>12.605039999999999</v>
      </c>
      <c r="AO39" s="138"/>
      <c r="AP39" s="395">
        <f t="shared" si="21"/>
        <v>0</v>
      </c>
      <c r="AQ39" s="396">
        <f t="shared" si="22"/>
        <v>0</v>
      </c>
      <c r="AR39" s="397"/>
    </row>
    <row r="40" spans="1:44" ht="12" customHeight="1">
      <c r="A40" s="53"/>
      <c r="B40" s="399" t="s">
        <v>343</v>
      </c>
      <c r="C40" s="421"/>
      <c r="D40" s="421"/>
      <c r="E40" s="421"/>
      <c r="F40" s="422"/>
      <c r="G40" s="495"/>
      <c r="H40" s="403">
        <f>SUM(H37:H39)</f>
        <v>134.34461199999998</v>
      </c>
      <c r="I40" s="404"/>
      <c r="J40" s="422"/>
      <c r="K40" s="495"/>
      <c r="L40" s="496">
        <f>SUM(L37:L39)</f>
        <v>139.67683199999996</v>
      </c>
      <c r="M40" s="404"/>
      <c r="N40" s="405">
        <f t="shared" si="5"/>
        <v>5.3322199999999782</v>
      </c>
      <c r="O40" s="406">
        <f t="shared" si="6"/>
        <v>3.96906129737453E-2</v>
      </c>
      <c r="P40" s="53"/>
      <c r="Q40" s="422"/>
      <c r="R40" s="495"/>
      <c r="S40" s="403">
        <f>SUM(S37:S39)</f>
        <v>145.93683199999995</v>
      </c>
      <c r="T40" s="404"/>
      <c r="U40" s="405">
        <f t="shared" si="9"/>
        <v>6.2599999999999909</v>
      </c>
      <c r="V40" s="406">
        <f t="shared" si="10"/>
        <v>4.4817740425269613E-2</v>
      </c>
      <c r="W40" s="53"/>
      <c r="X40" s="422"/>
      <c r="Y40" s="495"/>
      <c r="Z40" s="403">
        <f>SUM(Z37:Z39)</f>
        <v>148.83683199999996</v>
      </c>
      <c r="AA40" s="404"/>
      <c r="AB40" s="405">
        <f t="shared" si="13"/>
        <v>2.9000000000000057</v>
      </c>
      <c r="AC40" s="406">
        <f t="shared" si="14"/>
        <v>1.9871611300977171E-2</v>
      </c>
      <c r="AD40" s="53"/>
      <c r="AE40" s="422"/>
      <c r="AF40" s="495"/>
      <c r="AG40" s="403">
        <f>SUM(AG37:AG39)</f>
        <v>150.51683199999994</v>
      </c>
      <c r="AH40" s="404"/>
      <c r="AI40" s="405">
        <f t="shared" si="17"/>
        <v>1.6799999999999784</v>
      </c>
      <c r="AJ40" s="406">
        <f t="shared" si="18"/>
        <v>1.1287528613884894E-2</v>
      </c>
      <c r="AK40" s="53"/>
      <c r="AL40" s="422"/>
      <c r="AM40" s="495"/>
      <c r="AN40" s="403">
        <f>SUM(AN37:AN39)</f>
        <v>152.16683199999994</v>
      </c>
      <c r="AO40" s="404"/>
      <c r="AP40" s="405">
        <f t="shared" si="21"/>
        <v>1.6500000000000057</v>
      </c>
      <c r="AQ40" s="406">
        <f t="shared" si="22"/>
        <v>1.0962229127968933E-2</v>
      </c>
      <c r="AR40" s="407"/>
    </row>
    <row r="41" spans="1:44" ht="12" customHeight="1">
      <c r="A41" s="53"/>
      <c r="B41" s="328" t="s">
        <v>289</v>
      </c>
      <c r="C41" s="389" t="str">
        <f t="shared" ref="C41:C48" si="51">D$6&amp;"."&amp;B41</f>
        <v>General Service &lt; 50 kW.Wholesale Market Service Charge (WMSC)</v>
      </c>
      <c r="D41" s="390" t="s">
        <v>337</v>
      </c>
      <c r="E41" s="328"/>
      <c r="F41" s="408">
        <f>IFERROR(VLOOKUP($C41,'Proposed Rates'!$B:$J,F$11,FALSE),0)</f>
        <v>4.4999999999999997E-3</v>
      </c>
      <c r="G41" s="502">
        <f t="shared" ref="G41:G42" si="52">$F$10*(1+F$63)</f>
        <v>2067.6</v>
      </c>
      <c r="H41" s="394">
        <f t="shared" ref="H41:H48" si="53">G41*F41</f>
        <v>9.304199999999998</v>
      </c>
      <c r="I41" s="138"/>
      <c r="J41" s="408">
        <f>IFERROR(VLOOKUP($C41,'Proposed Rates'!$B:$J,J$11,FALSE),0)</f>
        <v>4.7000000000000002E-3</v>
      </c>
      <c r="K41" s="502">
        <f t="shared" ref="K41:K42" si="54">$F$10*(1+J$63)</f>
        <v>2066.3999999999996</v>
      </c>
      <c r="L41" s="394">
        <f t="shared" ref="L41:L48" si="55">K41*J41</f>
        <v>9.7120799999999985</v>
      </c>
      <c r="M41" s="138"/>
      <c r="N41" s="395">
        <f t="shared" si="5"/>
        <v>0.40788000000000046</v>
      </c>
      <c r="O41" s="396">
        <f t="shared" si="6"/>
        <v>4.3838266589282318E-2</v>
      </c>
      <c r="P41" s="53"/>
      <c r="Q41" s="408">
        <f>IFERROR(VLOOKUP($C41,'Proposed Rates'!$B:$J,Q$11,FALSE),0)</f>
        <v>4.7000000000000002E-3</v>
      </c>
      <c r="R41" s="502">
        <f t="shared" ref="R41:R42" si="56">$F$10*(1+Q$63)</f>
        <v>2066.3999999999996</v>
      </c>
      <c r="S41" s="394">
        <f t="shared" ref="S41:S48" si="57">R41*Q41</f>
        <v>9.7120799999999985</v>
      </c>
      <c r="T41" s="138"/>
      <c r="U41" s="395">
        <f t="shared" si="9"/>
        <v>0</v>
      </c>
      <c r="V41" s="396">
        <f t="shared" si="10"/>
        <v>0</v>
      </c>
      <c r="W41" s="53"/>
      <c r="X41" s="408">
        <f>IFERROR(VLOOKUP($C41,'Proposed Rates'!$B:$J,X$11,FALSE),0)</f>
        <v>4.7000000000000002E-3</v>
      </c>
      <c r="Y41" s="502">
        <f t="shared" ref="Y41:Y42" si="58">$F$10*(1+X$63)</f>
        <v>2066.3999999999996</v>
      </c>
      <c r="Z41" s="394">
        <f t="shared" ref="Z41:Z48" si="59">Y41*X41</f>
        <v>9.7120799999999985</v>
      </c>
      <c r="AA41" s="138"/>
      <c r="AB41" s="395">
        <f t="shared" si="13"/>
        <v>0</v>
      </c>
      <c r="AC41" s="396">
        <f t="shared" si="14"/>
        <v>0</v>
      </c>
      <c r="AD41" s="53"/>
      <c r="AE41" s="408">
        <f>IFERROR(VLOOKUP($C41,'Proposed Rates'!$B:$J,AE$11,FALSE),0)</f>
        <v>4.7000000000000002E-3</v>
      </c>
      <c r="AF41" s="502">
        <f t="shared" ref="AF41:AF42" si="60">$F$10*(1+AE$63)</f>
        <v>2066.3999999999996</v>
      </c>
      <c r="AG41" s="394">
        <f t="shared" ref="AG41:AG48" si="61">AF41*AE41</f>
        <v>9.7120799999999985</v>
      </c>
      <c r="AH41" s="138"/>
      <c r="AI41" s="395">
        <f t="shared" si="17"/>
        <v>0</v>
      </c>
      <c r="AJ41" s="396">
        <f t="shared" si="18"/>
        <v>0</v>
      </c>
      <c r="AK41" s="53"/>
      <c r="AL41" s="408">
        <f>IFERROR(VLOOKUP($C41,'Proposed Rates'!$B:$J,AL$11,FALSE),0)</f>
        <v>4.7000000000000002E-3</v>
      </c>
      <c r="AM41" s="502">
        <f t="shared" ref="AM41:AM42" si="62">$F$10*(1+AL$63)</f>
        <v>2066.3999999999996</v>
      </c>
      <c r="AN41" s="394">
        <f t="shared" ref="AN41:AN48" si="63">AM41*AL41</f>
        <v>9.7120799999999985</v>
      </c>
      <c r="AO41" s="138"/>
      <c r="AP41" s="395">
        <f t="shared" si="21"/>
        <v>0</v>
      </c>
      <c r="AQ41" s="396">
        <f t="shared" si="22"/>
        <v>0</v>
      </c>
      <c r="AR41" s="397"/>
    </row>
    <row r="42" spans="1:44" ht="12" customHeight="1">
      <c r="A42" s="53"/>
      <c r="B42" s="328" t="s">
        <v>290</v>
      </c>
      <c r="C42" s="389" t="str">
        <f t="shared" si="51"/>
        <v>General Service &lt; 50 kW.Rural and Remote Rate Protection (RRRP)</v>
      </c>
      <c r="D42" s="390" t="s">
        <v>337</v>
      </c>
      <c r="E42" s="328"/>
      <c r="F42" s="408">
        <f>IFERROR(VLOOKUP($C42,'Proposed Rates'!$B:$J,F$11,FALSE),0)</f>
        <v>1.5E-3</v>
      </c>
      <c r="G42" s="502">
        <f t="shared" si="52"/>
        <v>2067.6</v>
      </c>
      <c r="H42" s="394">
        <f t="shared" si="53"/>
        <v>3.1013999999999999</v>
      </c>
      <c r="I42" s="138"/>
      <c r="J42" s="408">
        <f>IFERROR(VLOOKUP($C42,'Proposed Rates'!$B:$J,J$11,FALSE),0)</f>
        <v>5.9999999999999995E-4</v>
      </c>
      <c r="K42" s="502">
        <f t="shared" si="54"/>
        <v>2066.3999999999996</v>
      </c>
      <c r="L42" s="394">
        <f t="shared" si="55"/>
        <v>1.2398399999999996</v>
      </c>
      <c r="M42" s="138"/>
      <c r="N42" s="395">
        <f t="shared" si="5"/>
        <v>-1.8615600000000003</v>
      </c>
      <c r="O42" s="396">
        <f t="shared" si="6"/>
        <v>-0.60023215322112611</v>
      </c>
      <c r="P42" s="53"/>
      <c r="Q42" s="408">
        <f>IFERROR(VLOOKUP($C42,'Proposed Rates'!$B:$J,Q$11,FALSE),0)</f>
        <v>5.9999999999999995E-4</v>
      </c>
      <c r="R42" s="502">
        <f t="shared" si="56"/>
        <v>2066.3999999999996</v>
      </c>
      <c r="S42" s="394">
        <f t="shared" si="57"/>
        <v>1.2398399999999996</v>
      </c>
      <c r="T42" s="138"/>
      <c r="U42" s="395">
        <f t="shared" si="9"/>
        <v>0</v>
      </c>
      <c r="V42" s="396">
        <f t="shared" si="10"/>
        <v>0</v>
      </c>
      <c r="W42" s="53"/>
      <c r="X42" s="408">
        <f>IFERROR(VLOOKUP($C42,'Proposed Rates'!$B:$J,X$11,FALSE),0)</f>
        <v>5.9999999999999995E-4</v>
      </c>
      <c r="Y42" s="502">
        <f t="shared" si="58"/>
        <v>2066.3999999999996</v>
      </c>
      <c r="Z42" s="394">
        <f t="shared" si="59"/>
        <v>1.2398399999999996</v>
      </c>
      <c r="AA42" s="138"/>
      <c r="AB42" s="395">
        <f t="shared" si="13"/>
        <v>0</v>
      </c>
      <c r="AC42" s="396">
        <f t="shared" si="14"/>
        <v>0</v>
      </c>
      <c r="AD42" s="53"/>
      <c r="AE42" s="408">
        <f>IFERROR(VLOOKUP($C42,'Proposed Rates'!$B:$J,AE$11,FALSE),0)</f>
        <v>5.9999999999999995E-4</v>
      </c>
      <c r="AF42" s="502">
        <f t="shared" si="60"/>
        <v>2066.3999999999996</v>
      </c>
      <c r="AG42" s="394">
        <f t="shared" si="61"/>
        <v>1.2398399999999996</v>
      </c>
      <c r="AH42" s="138"/>
      <c r="AI42" s="395">
        <f t="shared" si="17"/>
        <v>0</v>
      </c>
      <c r="AJ42" s="396">
        <f t="shared" si="18"/>
        <v>0</v>
      </c>
      <c r="AK42" s="53"/>
      <c r="AL42" s="408">
        <f>IFERROR(VLOOKUP($C42,'Proposed Rates'!$B:$J,AL$11,FALSE),0)</f>
        <v>5.9999999999999995E-4</v>
      </c>
      <c r="AM42" s="502">
        <f t="shared" si="62"/>
        <v>2066.3999999999996</v>
      </c>
      <c r="AN42" s="394">
        <f t="shared" si="63"/>
        <v>1.2398399999999996</v>
      </c>
      <c r="AO42" s="138"/>
      <c r="AP42" s="395">
        <f t="shared" si="21"/>
        <v>0</v>
      </c>
      <c r="AQ42" s="396">
        <f t="shared" si="22"/>
        <v>0</v>
      </c>
      <c r="AR42" s="397"/>
    </row>
    <row r="43" spans="1:44" ht="12" customHeight="1">
      <c r="A43" s="53"/>
      <c r="B43" s="328" t="s">
        <v>291</v>
      </c>
      <c r="C43" s="389" t="str">
        <f t="shared" si="51"/>
        <v>General Service &lt; 50 kW.Standard Supply Service Charge</v>
      </c>
      <c r="D43" s="390" t="s">
        <v>335</v>
      </c>
      <c r="E43" s="328"/>
      <c r="F43" s="391">
        <f>IFERROR(VLOOKUP($C43,'Proposed Rates'!$B:$J,F$11,FALSE),0)</f>
        <v>0.25</v>
      </c>
      <c r="G43" s="392">
        <f>IF($D43="Monthly",1,IF($D43="per KWH",$F$10,0))</f>
        <v>1</v>
      </c>
      <c r="H43" s="394">
        <f t="shared" si="53"/>
        <v>0.25</v>
      </c>
      <c r="I43" s="138"/>
      <c r="J43" s="391">
        <f>IFERROR(VLOOKUP($C43,'Proposed Rates'!$B:$J,J$11,FALSE),0)</f>
        <v>0.25</v>
      </c>
      <c r="K43" s="392">
        <f>IF($D43="Monthly",1,IF($D43="per KWH",$F$10,0))</f>
        <v>1</v>
      </c>
      <c r="L43" s="394">
        <f t="shared" si="55"/>
        <v>0.25</v>
      </c>
      <c r="M43" s="138"/>
      <c r="N43" s="395">
        <f t="shared" si="5"/>
        <v>0</v>
      </c>
      <c r="O43" s="396">
        <f t="shared" si="6"/>
        <v>0</v>
      </c>
      <c r="P43" s="53"/>
      <c r="Q43" s="391">
        <f>IFERROR(VLOOKUP($C43,'Proposed Rates'!$B:$J,Q$11,FALSE),0)</f>
        <v>0.25</v>
      </c>
      <c r="R43" s="392">
        <f>IF($D43="Monthly",1,IF($D43="per KWH",$F$10,0))</f>
        <v>1</v>
      </c>
      <c r="S43" s="394">
        <f t="shared" si="57"/>
        <v>0.25</v>
      </c>
      <c r="T43" s="138"/>
      <c r="U43" s="395">
        <f t="shared" si="9"/>
        <v>0</v>
      </c>
      <c r="V43" s="396">
        <f t="shared" si="10"/>
        <v>0</v>
      </c>
      <c r="W43" s="53"/>
      <c r="X43" s="391">
        <f>IFERROR(VLOOKUP($C43,'Proposed Rates'!$B:$J,X$11,FALSE),0)</f>
        <v>0.25</v>
      </c>
      <c r="Y43" s="392">
        <f>IF($D43="Monthly",1,IF($D43="per KWH",$F$10,0))</f>
        <v>1</v>
      </c>
      <c r="Z43" s="394">
        <f t="shared" si="59"/>
        <v>0.25</v>
      </c>
      <c r="AA43" s="138"/>
      <c r="AB43" s="395">
        <f t="shared" si="13"/>
        <v>0</v>
      </c>
      <c r="AC43" s="396">
        <f t="shared" si="14"/>
        <v>0</v>
      </c>
      <c r="AD43" s="53"/>
      <c r="AE43" s="391">
        <f>IFERROR(VLOOKUP($C43,'Proposed Rates'!$B:$J,AE$11,FALSE),0)</f>
        <v>0.25</v>
      </c>
      <c r="AF43" s="392">
        <f>IF($D43="Monthly",1,IF($D43="per KWH",$F$10,0))</f>
        <v>1</v>
      </c>
      <c r="AG43" s="394">
        <f t="shared" si="61"/>
        <v>0.25</v>
      </c>
      <c r="AH43" s="138"/>
      <c r="AI43" s="395">
        <f t="shared" si="17"/>
        <v>0</v>
      </c>
      <c r="AJ43" s="396">
        <f t="shared" si="18"/>
        <v>0</v>
      </c>
      <c r="AK43" s="53"/>
      <c r="AL43" s="391">
        <f>IFERROR(VLOOKUP($C43,'Proposed Rates'!$B:$J,AL$11,FALSE),0)</f>
        <v>0.25</v>
      </c>
      <c r="AM43" s="392">
        <f>IF($D43="Monthly",1,IF($D43="per KWH",$F$10,0))</f>
        <v>1</v>
      </c>
      <c r="AN43" s="394">
        <f t="shared" si="63"/>
        <v>0.25</v>
      </c>
      <c r="AO43" s="138"/>
      <c r="AP43" s="395">
        <f t="shared" si="21"/>
        <v>0</v>
      </c>
      <c r="AQ43" s="396">
        <f t="shared" si="22"/>
        <v>0</v>
      </c>
      <c r="AR43" s="397"/>
    </row>
    <row r="44" spans="1:44" ht="12" customHeight="1">
      <c r="A44" s="53"/>
      <c r="B44" s="328" t="s">
        <v>293</v>
      </c>
      <c r="C44" s="389" t="str">
        <f t="shared" si="51"/>
        <v>General Service &lt; 50 kW.TOU - Off Peak</v>
      </c>
      <c r="D44" s="390" t="s">
        <v>337</v>
      </c>
      <c r="E44" s="328"/>
      <c r="F44" s="424">
        <f>VLOOKUP($B44,'Proposed Rates'!$D$255:$J$261,+F$11-2,FALSE)</f>
        <v>9.8000000000000004E-2</v>
      </c>
      <c r="G44" s="502">
        <f>'Proposed Rates'!$K$256*$F$10</f>
        <v>1280</v>
      </c>
      <c r="H44" s="394">
        <f t="shared" si="53"/>
        <v>125.44</v>
      </c>
      <c r="I44" s="138"/>
      <c r="J44" s="424">
        <f>VLOOKUP($B44,'Proposed Rates'!$D$255:$J$261,+J$11-2,FALSE)</f>
        <v>9.8000000000000004E-2</v>
      </c>
      <c r="K44" s="502">
        <f>'Proposed Rates'!$K$256*$F$10</f>
        <v>1280</v>
      </c>
      <c r="L44" s="394">
        <f t="shared" si="55"/>
        <v>125.44</v>
      </c>
      <c r="M44" s="138"/>
      <c r="N44" s="395">
        <f t="shared" si="5"/>
        <v>0</v>
      </c>
      <c r="O44" s="396">
        <f t="shared" si="6"/>
        <v>0</v>
      </c>
      <c r="P44" s="53"/>
      <c r="Q44" s="424">
        <f>VLOOKUP($B44,'Proposed Rates'!$D$255:$J$261,+Q$11-2,FALSE)</f>
        <v>9.8000000000000004E-2</v>
      </c>
      <c r="R44" s="502">
        <f>'Proposed Rates'!$K$256*$F$10</f>
        <v>1280</v>
      </c>
      <c r="S44" s="394">
        <f t="shared" si="57"/>
        <v>125.44</v>
      </c>
      <c r="T44" s="138"/>
      <c r="U44" s="395">
        <f t="shared" si="9"/>
        <v>0</v>
      </c>
      <c r="V44" s="396">
        <f t="shared" si="10"/>
        <v>0</v>
      </c>
      <c r="W44" s="53"/>
      <c r="X44" s="424">
        <f>VLOOKUP($B44,'Proposed Rates'!$D$255:$J$261,+X$11-2,FALSE)</f>
        <v>9.8000000000000004E-2</v>
      </c>
      <c r="Y44" s="502">
        <f>'Proposed Rates'!$K$256*$F$10</f>
        <v>1280</v>
      </c>
      <c r="Z44" s="394">
        <f t="shared" si="59"/>
        <v>125.44</v>
      </c>
      <c r="AA44" s="138"/>
      <c r="AB44" s="395">
        <f t="shared" si="13"/>
        <v>0</v>
      </c>
      <c r="AC44" s="396">
        <f t="shared" si="14"/>
        <v>0</v>
      </c>
      <c r="AD44" s="53"/>
      <c r="AE44" s="424">
        <f>VLOOKUP($B44,'Proposed Rates'!$D$255:$J$261,+AE$11-2,FALSE)</f>
        <v>9.8000000000000004E-2</v>
      </c>
      <c r="AF44" s="502">
        <f>'Proposed Rates'!$K$256*$F$10</f>
        <v>1280</v>
      </c>
      <c r="AG44" s="394">
        <f t="shared" si="61"/>
        <v>125.44</v>
      </c>
      <c r="AH44" s="138"/>
      <c r="AI44" s="395">
        <f t="shared" si="17"/>
        <v>0</v>
      </c>
      <c r="AJ44" s="396">
        <f t="shared" si="18"/>
        <v>0</v>
      </c>
      <c r="AK44" s="53"/>
      <c r="AL44" s="424">
        <f>VLOOKUP($B44,'Proposed Rates'!$D$255:$J$261,+AL$11-2,FALSE)</f>
        <v>9.8000000000000004E-2</v>
      </c>
      <c r="AM44" s="502">
        <f>'Proposed Rates'!$K$256*$F$10</f>
        <v>1280</v>
      </c>
      <c r="AN44" s="394">
        <f t="shared" si="63"/>
        <v>125.44</v>
      </c>
      <c r="AO44" s="138"/>
      <c r="AP44" s="395">
        <f t="shared" si="21"/>
        <v>0</v>
      </c>
      <c r="AQ44" s="396">
        <f t="shared" si="22"/>
        <v>0</v>
      </c>
      <c r="AR44" s="397"/>
    </row>
    <row r="45" spans="1:44" ht="12" customHeight="1">
      <c r="A45" s="53"/>
      <c r="B45" s="328" t="s">
        <v>294</v>
      </c>
      <c r="C45" s="389" t="str">
        <f t="shared" si="51"/>
        <v>General Service &lt; 50 kW.TOU - Mid Peak</v>
      </c>
      <c r="D45" s="390" t="s">
        <v>337</v>
      </c>
      <c r="E45" s="328"/>
      <c r="F45" s="424">
        <f>VLOOKUP($B45,'Proposed Rates'!$D$255:$J$261,+F$11-2,FALSE)</f>
        <v>0.157</v>
      </c>
      <c r="G45" s="502">
        <f>'Proposed Rates'!$K$257*$F$10</f>
        <v>360</v>
      </c>
      <c r="H45" s="394">
        <f t="shared" si="53"/>
        <v>56.52</v>
      </c>
      <c r="I45" s="138"/>
      <c r="J45" s="424">
        <f>VLOOKUP($B45,'Proposed Rates'!$D$255:$J$261,+J$11-2,FALSE)</f>
        <v>0.157</v>
      </c>
      <c r="K45" s="502">
        <f>'Proposed Rates'!$K$257*$F$10</f>
        <v>360</v>
      </c>
      <c r="L45" s="394">
        <f t="shared" si="55"/>
        <v>56.52</v>
      </c>
      <c r="M45" s="138"/>
      <c r="N45" s="395">
        <f t="shared" si="5"/>
        <v>0</v>
      </c>
      <c r="O45" s="396">
        <f t="shared" si="6"/>
        <v>0</v>
      </c>
      <c r="P45" s="53"/>
      <c r="Q45" s="424">
        <f>VLOOKUP($B45,'Proposed Rates'!$D$255:$J$261,+Q$11-2,FALSE)</f>
        <v>0.157</v>
      </c>
      <c r="R45" s="502">
        <f>'Proposed Rates'!$K$257*$F$10</f>
        <v>360</v>
      </c>
      <c r="S45" s="394">
        <f t="shared" si="57"/>
        <v>56.52</v>
      </c>
      <c r="T45" s="138"/>
      <c r="U45" s="395">
        <f t="shared" si="9"/>
        <v>0</v>
      </c>
      <c r="V45" s="396">
        <f t="shared" si="10"/>
        <v>0</v>
      </c>
      <c r="W45" s="53"/>
      <c r="X45" s="424">
        <f>VLOOKUP($B45,'Proposed Rates'!$D$255:$J$261,+X$11-2,FALSE)</f>
        <v>0.157</v>
      </c>
      <c r="Y45" s="502">
        <f>'Proposed Rates'!$K$257*$F$10</f>
        <v>360</v>
      </c>
      <c r="Z45" s="394">
        <f t="shared" si="59"/>
        <v>56.52</v>
      </c>
      <c r="AA45" s="138"/>
      <c r="AB45" s="395">
        <f t="shared" si="13"/>
        <v>0</v>
      </c>
      <c r="AC45" s="396">
        <f t="shared" si="14"/>
        <v>0</v>
      </c>
      <c r="AD45" s="53"/>
      <c r="AE45" s="424">
        <f>VLOOKUP($B45,'Proposed Rates'!$D$255:$J$261,+AE$11-2,FALSE)</f>
        <v>0.157</v>
      </c>
      <c r="AF45" s="502">
        <f>'Proposed Rates'!$K$257*$F$10</f>
        <v>360</v>
      </c>
      <c r="AG45" s="394">
        <f t="shared" si="61"/>
        <v>56.52</v>
      </c>
      <c r="AH45" s="138"/>
      <c r="AI45" s="395">
        <f t="shared" si="17"/>
        <v>0</v>
      </c>
      <c r="AJ45" s="396">
        <f t="shared" si="18"/>
        <v>0</v>
      </c>
      <c r="AK45" s="53"/>
      <c r="AL45" s="424">
        <f>VLOOKUP($B45,'Proposed Rates'!$D$255:$J$261,+AL$11-2,FALSE)</f>
        <v>0.157</v>
      </c>
      <c r="AM45" s="502">
        <f>'Proposed Rates'!$K$257*$F$10</f>
        <v>360</v>
      </c>
      <c r="AN45" s="394">
        <f t="shared" si="63"/>
        <v>56.52</v>
      </c>
      <c r="AO45" s="138"/>
      <c r="AP45" s="395">
        <f t="shared" si="21"/>
        <v>0</v>
      </c>
      <c r="AQ45" s="396">
        <f t="shared" si="22"/>
        <v>0</v>
      </c>
      <c r="AR45" s="397"/>
    </row>
    <row r="46" spans="1:44" ht="12" customHeight="1">
      <c r="A46" s="53"/>
      <c r="B46" s="53" t="s">
        <v>295</v>
      </c>
      <c r="C46" s="389" t="str">
        <f t="shared" si="51"/>
        <v>General Service &lt; 50 kW.TOU - On Peak</v>
      </c>
      <c r="D46" s="390" t="s">
        <v>337</v>
      </c>
      <c r="E46" s="328"/>
      <c r="F46" s="424">
        <f>VLOOKUP($B46,'Proposed Rates'!$D$255:$J$261,+F$11-2,FALSE)</f>
        <v>0.20300000000000001</v>
      </c>
      <c r="G46" s="502">
        <f>'Proposed Rates'!$K$258*$F$10</f>
        <v>360</v>
      </c>
      <c r="H46" s="394">
        <f t="shared" si="53"/>
        <v>73.08</v>
      </c>
      <c r="I46" s="138"/>
      <c r="J46" s="424">
        <f>VLOOKUP($B46,'Proposed Rates'!$D$255:$J$261,+J$11-2,FALSE)</f>
        <v>0.20300000000000001</v>
      </c>
      <c r="K46" s="502">
        <f>'Proposed Rates'!$K$258*$F$10</f>
        <v>360</v>
      </c>
      <c r="L46" s="394">
        <f t="shared" si="55"/>
        <v>73.08</v>
      </c>
      <c r="M46" s="138"/>
      <c r="N46" s="395">
        <f t="shared" si="5"/>
        <v>0</v>
      </c>
      <c r="O46" s="396">
        <f t="shared" si="6"/>
        <v>0</v>
      </c>
      <c r="P46" s="53"/>
      <c r="Q46" s="424">
        <f>VLOOKUP($B46,'Proposed Rates'!$D$255:$J$261,+Q$11-2,FALSE)</f>
        <v>0.20300000000000001</v>
      </c>
      <c r="R46" s="502">
        <f>'Proposed Rates'!$K$258*$F$10</f>
        <v>360</v>
      </c>
      <c r="S46" s="394">
        <f t="shared" si="57"/>
        <v>73.08</v>
      </c>
      <c r="T46" s="138"/>
      <c r="U46" s="395">
        <f t="shared" si="9"/>
        <v>0</v>
      </c>
      <c r="V46" s="396">
        <f t="shared" si="10"/>
        <v>0</v>
      </c>
      <c r="W46" s="53"/>
      <c r="X46" s="424">
        <f>VLOOKUP($B46,'Proposed Rates'!$D$255:$J$261,+X$11-2,FALSE)</f>
        <v>0.20300000000000001</v>
      </c>
      <c r="Y46" s="502">
        <f>'Proposed Rates'!$K$258*$F$10</f>
        <v>360</v>
      </c>
      <c r="Z46" s="394">
        <f t="shared" si="59"/>
        <v>73.08</v>
      </c>
      <c r="AA46" s="138"/>
      <c r="AB46" s="395">
        <f t="shared" si="13"/>
        <v>0</v>
      </c>
      <c r="AC46" s="396">
        <f t="shared" si="14"/>
        <v>0</v>
      </c>
      <c r="AD46" s="53"/>
      <c r="AE46" s="424">
        <f>VLOOKUP($B46,'Proposed Rates'!$D$255:$J$261,+AE$11-2,FALSE)</f>
        <v>0.20300000000000001</v>
      </c>
      <c r="AF46" s="502">
        <f>'Proposed Rates'!$K$258*$F$10</f>
        <v>360</v>
      </c>
      <c r="AG46" s="394">
        <f t="shared" si="61"/>
        <v>73.08</v>
      </c>
      <c r="AH46" s="138"/>
      <c r="AI46" s="395">
        <f t="shared" si="17"/>
        <v>0</v>
      </c>
      <c r="AJ46" s="396">
        <f t="shared" si="18"/>
        <v>0</v>
      </c>
      <c r="AK46" s="53"/>
      <c r="AL46" s="424">
        <f>VLOOKUP($B46,'Proposed Rates'!$D$255:$J$261,+AL$11-2,FALSE)</f>
        <v>0.20300000000000001</v>
      </c>
      <c r="AM46" s="502">
        <f>'Proposed Rates'!$K$258*$F$10</f>
        <v>360</v>
      </c>
      <c r="AN46" s="394">
        <f t="shared" si="63"/>
        <v>73.08</v>
      </c>
      <c r="AO46" s="138"/>
      <c r="AP46" s="395">
        <f t="shared" si="21"/>
        <v>0</v>
      </c>
      <c r="AQ46" s="396">
        <f t="shared" si="22"/>
        <v>0</v>
      </c>
      <c r="AR46" s="397"/>
    </row>
    <row r="47" spans="1:44" ht="12" customHeight="1">
      <c r="A47" s="53"/>
      <c r="B47" s="328" t="s">
        <v>296</v>
      </c>
      <c r="C47" s="389" t="str">
        <f t="shared" si="51"/>
        <v>General Service &lt; 50 kW.Energy - RPP - Tier 1</v>
      </c>
      <c r="D47" s="390" t="s">
        <v>337</v>
      </c>
      <c r="E47" s="328"/>
      <c r="F47" s="424">
        <f>VLOOKUP($B47,'Proposed Rates'!$D$255:$J$261,+F$11-2,FALSE)</f>
        <v>0.12</v>
      </c>
      <c r="G47" s="502">
        <f>IF(AND($S$2=1, $F$10&gt;=750), 750, IF(AND($S$2=1, AND($F$10&lt;750, $F$10&gt;=0)), $F$10, IF(AND($S$2=2, $F$10&gt;=1000), 1000, IF(AND($S$2=2, AND($F$10&lt;1000, $F$10&gt;=0)), $F$10))))</f>
        <v>750</v>
      </c>
      <c r="H47" s="394">
        <f t="shared" si="53"/>
        <v>90</v>
      </c>
      <c r="I47" s="138"/>
      <c r="J47" s="424">
        <f>VLOOKUP($B47,'Proposed Rates'!$D$255:$J$261,+J$11-2,FALSE)</f>
        <v>0.12</v>
      </c>
      <c r="K47" s="502">
        <f>IF(AND($S$2=1, $F$10&gt;=750), 750, IF(AND($S$2=1, AND($F$10&lt;750, $F$10&gt;=0)), $F$10, IF(AND($S$2=2, $F$10&gt;=1000), 1000, IF(AND($S$2=2, AND($F$10&lt;1000, $F$10&gt;=0)), $F$10))))</f>
        <v>750</v>
      </c>
      <c r="L47" s="394">
        <f t="shared" si="55"/>
        <v>90</v>
      </c>
      <c r="M47" s="138"/>
      <c r="N47" s="395">
        <f t="shared" si="5"/>
        <v>0</v>
      </c>
      <c r="O47" s="396">
        <f t="shared" si="6"/>
        <v>0</v>
      </c>
      <c r="P47" s="53"/>
      <c r="Q47" s="424">
        <f>VLOOKUP($B47,'Proposed Rates'!$D$255:$J$261,+Q$11-2,FALSE)</f>
        <v>0.12</v>
      </c>
      <c r="R47" s="502">
        <f>IF(AND($S$2=1, $F$10&gt;=750), 750, IF(AND($S$2=1, AND($F$10&lt;750, $F$10&gt;=0)), $F$10, IF(AND($S$2=2, $F$10&gt;=1000), 1000, IF(AND($S$2=2, AND($F$10&lt;1000, $F$10&gt;=0)), $F$10))))</f>
        <v>750</v>
      </c>
      <c r="S47" s="394">
        <f t="shared" si="57"/>
        <v>90</v>
      </c>
      <c r="T47" s="138"/>
      <c r="U47" s="395">
        <f t="shared" si="9"/>
        <v>0</v>
      </c>
      <c r="V47" s="396">
        <f t="shared" si="10"/>
        <v>0</v>
      </c>
      <c r="W47" s="53"/>
      <c r="X47" s="424">
        <f>VLOOKUP($B47,'Proposed Rates'!$D$255:$J$261,+X$11-2,FALSE)</f>
        <v>0.12</v>
      </c>
      <c r="Y47" s="502">
        <f>IF(AND($S$2=1, $F$10&gt;=750), 750, IF(AND($S$2=1, AND($F$10&lt;750, $F$10&gt;=0)), $F$10, IF(AND($S$2=2, $F$10&gt;=1000), 1000, IF(AND($S$2=2, AND($F$10&lt;1000, $F$10&gt;=0)), $F$10))))</f>
        <v>750</v>
      </c>
      <c r="Z47" s="394">
        <f t="shared" si="59"/>
        <v>90</v>
      </c>
      <c r="AA47" s="138"/>
      <c r="AB47" s="395">
        <f t="shared" si="13"/>
        <v>0</v>
      </c>
      <c r="AC47" s="396">
        <f t="shared" si="14"/>
        <v>0</v>
      </c>
      <c r="AD47" s="53"/>
      <c r="AE47" s="424">
        <f>VLOOKUP($B47,'Proposed Rates'!$D$255:$J$261,+AE$11-2,FALSE)</f>
        <v>0.12</v>
      </c>
      <c r="AF47" s="502">
        <f>IF(AND($S$2=1, $F$10&gt;=750), 750, IF(AND($S$2=1, AND($F$10&lt;750, $F$10&gt;=0)), $F$10, IF(AND($S$2=2, $F$10&gt;=1000), 1000, IF(AND($S$2=2, AND($F$10&lt;1000, $F$10&gt;=0)), $F$10))))</f>
        <v>750</v>
      </c>
      <c r="AG47" s="394">
        <f t="shared" si="61"/>
        <v>90</v>
      </c>
      <c r="AH47" s="138"/>
      <c r="AI47" s="395">
        <f t="shared" si="17"/>
        <v>0</v>
      </c>
      <c r="AJ47" s="396">
        <f t="shared" si="18"/>
        <v>0</v>
      </c>
      <c r="AK47" s="53"/>
      <c r="AL47" s="424">
        <f>VLOOKUP($B47,'Proposed Rates'!$D$255:$J$261,+AL$11-2,FALSE)</f>
        <v>0.12</v>
      </c>
      <c r="AM47" s="502">
        <f>IF(AND($S$2=1, $F$10&gt;=750), 750, IF(AND($S$2=1, AND($F$10&lt;750, $F$10&gt;=0)), $F$10, IF(AND($S$2=2, $F$10&gt;=1000), 1000, IF(AND($S$2=2, AND($F$10&lt;1000, $F$10&gt;=0)), $F$10))))</f>
        <v>750</v>
      </c>
      <c r="AN47" s="394">
        <f t="shared" si="63"/>
        <v>90</v>
      </c>
      <c r="AO47" s="138"/>
      <c r="AP47" s="395">
        <f t="shared" si="21"/>
        <v>0</v>
      </c>
      <c r="AQ47" s="396">
        <f t="shared" si="22"/>
        <v>0</v>
      </c>
      <c r="AR47" s="397"/>
    </row>
    <row r="48" spans="1:44" ht="12" customHeight="1">
      <c r="A48" s="53"/>
      <c r="B48" s="328" t="s">
        <v>297</v>
      </c>
      <c r="C48" s="389" t="str">
        <f t="shared" si="51"/>
        <v>General Service &lt; 50 kW.Energy - RPP - Tier 2</v>
      </c>
      <c r="D48" s="390" t="s">
        <v>337</v>
      </c>
      <c r="E48" s="328"/>
      <c r="F48" s="424">
        <f>VLOOKUP($B48,'Proposed Rates'!$D$255:$J$261,+F$11-2,FALSE)</f>
        <v>0.14199999999999999</v>
      </c>
      <c r="G48" s="502">
        <f>IF(AND($S$2=1, $F$10&gt;=750), $F$10-750, IF(AND($S$2=1, AND($F$10&lt;750, $F$10&gt;=0)), 0, IF(AND($S$2=2, $F$10&gt;=1000), $F$10-1000, IF(AND($S$2=2, AND($F$10&lt;1000, $F$10&gt;=0)), 0))))</f>
        <v>1250</v>
      </c>
      <c r="H48" s="394">
        <f t="shared" si="53"/>
        <v>177.49999999999997</v>
      </c>
      <c r="I48" s="138"/>
      <c r="J48" s="424">
        <f>VLOOKUP($B48,'Proposed Rates'!$D$255:$J$261,+J$11-2,FALSE)</f>
        <v>0.14199999999999999</v>
      </c>
      <c r="K48" s="502">
        <f>IF(AND($S$2=1, $F$10&gt;=750), $F$10-750, IF(AND($S$2=1, AND($F$10&lt;750, $F$10&gt;=0)), 0, IF(AND($S$2=2, $F$10&gt;=1000), $F$10-1000, IF(AND($S$2=2, AND($F$10&lt;1000, $F$10&gt;=0)), 0))))</f>
        <v>1250</v>
      </c>
      <c r="L48" s="394">
        <f t="shared" si="55"/>
        <v>177.49999999999997</v>
      </c>
      <c r="M48" s="138"/>
      <c r="N48" s="395">
        <f t="shared" si="5"/>
        <v>0</v>
      </c>
      <c r="O48" s="396">
        <f t="shared" si="6"/>
        <v>0</v>
      </c>
      <c r="P48" s="53"/>
      <c r="Q48" s="424">
        <f>VLOOKUP($B48,'Proposed Rates'!$D$255:$J$261,+Q$11-2,FALSE)</f>
        <v>0.14199999999999999</v>
      </c>
      <c r="R48" s="502">
        <f>IF(AND($S$2=1, $F$10&gt;=750), $F$10-750, IF(AND($S$2=1, AND($F$10&lt;750, $F$10&gt;=0)), 0, IF(AND($S$2=2, $F$10&gt;=1000), $F$10-1000, IF(AND($S$2=2, AND($F$10&lt;1000, $F$10&gt;=0)), 0))))</f>
        <v>1250</v>
      </c>
      <c r="S48" s="394">
        <f t="shared" si="57"/>
        <v>177.49999999999997</v>
      </c>
      <c r="T48" s="138"/>
      <c r="U48" s="395">
        <f t="shared" si="9"/>
        <v>0</v>
      </c>
      <c r="V48" s="396">
        <f t="shared" si="10"/>
        <v>0</v>
      </c>
      <c r="W48" s="53"/>
      <c r="X48" s="424">
        <f>VLOOKUP($B48,'Proposed Rates'!$D$255:$J$261,+X$11-2,FALSE)</f>
        <v>0.14199999999999999</v>
      </c>
      <c r="Y48" s="502">
        <f>IF(AND($S$2=1, $F$10&gt;=750), $F$10-750, IF(AND($S$2=1, AND($F$10&lt;750, $F$10&gt;=0)), 0, IF(AND($S$2=2, $F$10&gt;=1000), $F$10-1000, IF(AND($S$2=2, AND($F$10&lt;1000, $F$10&gt;=0)), 0))))</f>
        <v>1250</v>
      </c>
      <c r="Z48" s="394">
        <f t="shared" si="59"/>
        <v>177.49999999999997</v>
      </c>
      <c r="AA48" s="138"/>
      <c r="AB48" s="395">
        <f t="shared" si="13"/>
        <v>0</v>
      </c>
      <c r="AC48" s="396">
        <f t="shared" si="14"/>
        <v>0</v>
      </c>
      <c r="AD48" s="53"/>
      <c r="AE48" s="424">
        <f>VLOOKUP($B48,'Proposed Rates'!$D$255:$J$261,+AE$11-2,FALSE)</f>
        <v>0.14199999999999999</v>
      </c>
      <c r="AF48" s="502">
        <f>IF(AND($S$2=1, $F$10&gt;=750), $F$10-750, IF(AND($S$2=1, AND($F$10&lt;750, $F$10&gt;=0)), 0, IF(AND($S$2=2, $F$10&gt;=1000), $F$10-1000, IF(AND($S$2=2, AND($F$10&lt;1000, $F$10&gt;=0)), 0))))</f>
        <v>1250</v>
      </c>
      <c r="AG48" s="394">
        <f t="shared" si="61"/>
        <v>177.49999999999997</v>
      </c>
      <c r="AH48" s="138"/>
      <c r="AI48" s="395">
        <f t="shared" si="17"/>
        <v>0</v>
      </c>
      <c r="AJ48" s="396">
        <f t="shared" si="18"/>
        <v>0</v>
      </c>
      <c r="AK48" s="53"/>
      <c r="AL48" s="424">
        <f>VLOOKUP($B48,'Proposed Rates'!$D$255:$J$261,+AL$11-2,FALSE)</f>
        <v>0.14199999999999999</v>
      </c>
      <c r="AM48" s="502">
        <f>IF(AND($S$2=1, $F$10&gt;=750), $F$10-750, IF(AND($S$2=1, AND($F$10&lt;750, $F$10&gt;=0)), 0, IF(AND($S$2=2, $F$10&gt;=1000), $F$10-1000, IF(AND($S$2=2, AND($F$10&lt;1000, $F$10&gt;=0)), 0))))</f>
        <v>1250</v>
      </c>
      <c r="AN48" s="394">
        <f t="shared" si="63"/>
        <v>177.49999999999997</v>
      </c>
      <c r="AO48" s="138"/>
      <c r="AP48" s="395">
        <f t="shared" si="21"/>
        <v>0</v>
      </c>
      <c r="AQ48" s="396">
        <f t="shared" si="22"/>
        <v>0</v>
      </c>
      <c r="AR48" s="397"/>
    </row>
    <row r="49" spans="1:44" ht="12"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 customHeight="1">
      <c r="A50" s="53"/>
      <c r="B50" s="438" t="s">
        <v>344</v>
      </c>
      <c r="C50" s="328"/>
      <c r="D50" s="328"/>
      <c r="E50" s="328"/>
      <c r="F50" s="439"/>
      <c r="G50" s="483"/>
      <c r="H50" s="441">
        <f>SUM(H41:H46,H40)</f>
        <v>402.040212</v>
      </c>
      <c r="I50" s="476"/>
      <c r="J50" s="439"/>
      <c r="K50" s="440"/>
      <c r="L50" s="442">
        <f>SUM(L41:L46,L40)</f>
        <v>405.91875199999993</v>
      </c>
      <c r="M50" s="443"/>
      <c r="N50" s="442">
        <f t="shared" ref="N50:N54" si="64">L50-H50</f>
        <v>3.8785399999999299</v>
      </c>
      <c r="O50" s="444">
        <f t="shared" ref="O50:O54" si="65">IF((H50)=0,"",(N50/H50))</f>
        <v>9.6471444503166519E-3</v>
      </c>
      <c r="P50" s="53"/>
      <c r="Q50" s="439"/>
      <c r="R50" s="440"/>
      <c r="S50" s="442">
        <f>SUM(S41:S46,S40)</f>
        <v>412.17875199999992</v>
      </c>
      <c r="T50" s="443"/>
      <c r="U50" s="442">
        <f t="shared" ref="U50:U54" si="66">S50-L50</f>
        <v>6.2599999999999909</v>
      </c>
      <c r="V50" s="444">
        <f t="shared" ref="V50:V54" si="67">IF((L50)=0,"",(U50/L50))</f>
        <v>1.5421805396169507E-2</v>
      </c>
      <c r="W50" s="53"/>
      <c r="X50" s="439"/>
      <c r="Y50" s="440"/>
      <c r="Z50" s="442">
        <f>SUM(Z41:Z46,Z40)</f>
        <v>415.07875199999995</v>
      </c>
      <c r="AA50" s="443"/>
      <c r="AB50" s="442">
        <f t="shared" ref="AB50:AB54" si="68">Z50-S50</f>
        <v>2.9000000000000341</v>
      </c>
      <c r="AC50" s="444">
        <f t="shared" ref="AC50:AC54" si="69">IF((S50)=0,"",(AB50/S50))</f>
        <v>7.0357823782241802E-3</v>
      </c>
      <c r="AD50" s="53"/>
      <c r="AE50" s="439"/>
      <c r="AF50" s="440"/>
      <c r="AG50" s="442">
        <f>SUM(AG41:AG46,AG40)</f>
        <v>416.75875199999996</v>
      </c>
      <c r="AH50" s="443"/>
      <c r="AI50" s="442">
        <f t="shared" ref="AI50:AI54" si="70">AG50-Z50</f>
        <v>1.6800000000000068</v>
      </c>
      <c r="AJ50" s="444">
        <f t="shared" ref="AJ50:AJ54" si="71">IF((Z50)=0,"",(AI50/Z50))</f>
        <v>4.0474247161656858E-3</v>
      </c>
      <c r="AK50" s="53"/>
      <c r="AL50" s="439"/>
      <c r="AM50" s="440"/>
      <c r="AN50" s="442">
        <f>SUM(AN41:AN46,AN40)</f>
        <v>418.40875199999994</v>
      </c>
      <c r="AO50" s="443"/>
      <c r="AP50" s="442">
        <f t="shared" ref="AP50:AP54" si="72">AN50-AG50</f>
        <v>1.6499999999999773</v>
      </c>
      <c r="AQ50" s="444">
        <f t="shared" ref="AQ50:AQ54" si="73">IF((AG50)=0,"",(AP50/AG50))</f>
        <v>3.9591250143679703E-3</v>
      </c>
      <c r="AR50" s="445"/>
    </row>
    <row r="51" spans="1:44" ht="12" customHeight="1">
      <c r="A51" s="53"/>
      <c r="B51" s="446" t="s">
        <v>345</v>
      </c>
      <c r="C51" s="328"/>
      <c r="D51" s="328"/>
      <c r="E51" s="328"/>
      <c r="F51" s="439">
        <v>0.13</v>
      </c>
      <c r="G51" s="138"/>
      <c r="H51" s="484">
        <f>H50*F51</f>
        <v>52.26522756</v>
      </c>
      <c r="I51" s="411"/>
      <c r="J51" s="439">
        <v>0.13</v>
      </c>
      <c r="K51" s="411"/>
      <c r="L51" s="394">
        <f>L50*J51</f>
        <v>52.769437759999995</v>
      </c>
      <c r="M51" s="138"/>
      <c r="N51" s="395">
        <f t="shared" si="64"/>
        <v>0.50421019999999572</v>
      </c>
      <c r="O51" s="396">
        <f t="shared" si="65"/>
        <v>9.6471444503167438E-3</v>
      </c>
      <c r="P51" s="53"/>
      <c r="Q51" s="439">
        <v>0.13</v>
      </c>
      <c r="R51" s="411"/>
      <c r="S51" s="394">
        <f>S50*Q51</f>
        <v>53.583237759999989</v>
      </c>
      <c r="T51" s="138"/>
      <c r="U51" s="395">
        <f t="shared" si="66"/>
        <v>0.81379999999999342</v>
      </c>
      <c r="V51" s="396">
        <f t="shared" si="67"/>
        <v>1.5421805396169403E-2</v>
      </c>
      <c r="W51" s="53"/>
      <c r="X51" s="439">
        <v>0.13</v>
      </c>
      <c r="Y51" s="411"/>
      <c r="Z51" s="394">
        <f>Z50*X51</f>
        <v>53.960237759999998</v>
      </c>
      <c r="AA51" s="138"/>
      <c r="AB51" s="395">
        <f t="shared" si="68"/>
        <v>0.37700000000000955</v>
      </c>
      <c r="AC51" s="396">
        <f t="shared" si="69"/>
        <v>7.0357823782242757E-3</v>
      </c>
      <c r="AD51" s="53"/>
      <c r="AE51" s="439">
        <v>0.13</v>
      </c>
      <c r="AF51" s="411"/>
      <c r="AG51" s="394">
        <f>AG50*AE51</f>
        <v>54.178637759999994</v>
      </c>
      <c r="AH51" s="138"/>
      <c r="AI51" s="395">
        <f t="shared" si="70"/>
        <v>0.21839999999999549</v>
      </c>
      <c r="AJ51" s="396">
        <f t="shared" si="71"/>
        <v>4.0474247161655852E-3</v>
      </c>
      <c r="AK51" s="53"/>
      <c r="AL51" s="439">
        <v>0.13</v>
      </c>
      <c r="AM51" s="411"/>
      <c r="AN51" s="394">
        <f>AN50*AL51</f>
        <v>54.393137759999995</v>
      </c>
      <c r="AO51" s="138"/>
      <c r="AP51" s="395">
        <f t="shared" si="72"/>
        <v>0.21450000000000102</v>
      </c>
      <c r="AQ51" s="396">
        <f t="shared" si="73"/>
        <v>3.9591250143680441E-3</v>
      </c>
      <c r="AR51" s="397"/>
    </row>
    <row r="52" spans="1:44" ht="12" customHeight="1">
      <c r="A52" s="53"/>
      <c r="B52" s="448" t="s">
        <v>394</v>
      </c>
      <c r="C52" s="328"/>
      <c r="D52" s="328"/>
      <c r="E52" s="328"/>
      <c r="F52" s="449"/>
      <c r="G52" s="138"/>
      <c r="H52" s="484">
        <f>H50+H51</f>
        <v>454.30543955999997</v>
      </c>
      <c r="I52" s="411"/>
      <c r="J52" s="449"/>
      <c r="K52" s="411"/>
      <c r="L52" s="394">
        <f>L50+L51</f>
        <v>458.68818975999994</v>
      </c>
      <c r="M52" s="138"/>
      <c r="N52" s="395">
        <f t="shared" si="64"/>
        <v>4.3827501999999754</v>
      </c>
      <c r="O52" s="396">
        <f t="shared" si="65"/>
        <v>9.6471444503167716E-3</v>
      </c>
      <c r="P52" s="53"/>
      <c r="Q52" s="449"/>
      <c r="R52" s="411"/>
      <c r="S52" s="394">
        <f>S50+S51</f>
        <v>465.76198975999989</v>
      </c>
      <c r="T52" s="138"/>
      <c r="U52" s="395">
        <f t="shared" si="66"/>
        <v>7.0737999999999488</v>
      </c>
      <c r="V52" s="396">
        <f t="shared" si="67"/>
        <v>1.5421805396169417E-2</v>
      </c>
      <c r="W52" s="53"/>
      <c r="X52" s="449"/>
      <c r="Y52" s="411"/>
      <c r="Z52" s="394">
        <f>Z50+Z51</f>
        <v>469.03898975999994</v>
      </c>
      <c r="AA52" s="138"/>
      <c r="AB52" s="395">
        <f t="shared" si="68"/>
        <v>3.2770000000000437</v>
      </c>
      <c r="AC52" s="396">
        <f t="shared" si="69"/>
        <v>7.0357823782241915E-3</v>
      </c>
      <c r="AD52" s="53"/>
      <c r="AE52" s="449"/>
      <c r="AF52" s="411"/>
      <c r="AG52" s="394">
        <f>AG50+AG51</f>
        <v>470.93738975999997</v>
      </c>
      <c r="AH52" s="138"/>
      <c r="AI52" s="395">
        <f t="shared" si="70"/>
        <v>1.8984000000000378</v>
      </c>
      <c r="AJ52" s="396">
        <f t="shared" si="71"/>
        <v>4.04742471616575E-3</v>
      </c>
      <c r="AK52" s="53"/>
      <c r="AL52" s="449"/>
      <c r="AM52" s="411"/>
      <c r="AN52" s="394">
        <f>AN50+AN51</f>
        <v>472.80188975999994</v>
      </c>
      <c r="AO52" s="138"/>
      <c r="AP52" s="395">
        <f t="shared" si="72"/>
        <v>1.8644999999999641</v>
      </c>
      <c r="AQ52" s="396">
        <f t="shared" si="73"/>
        <v>3.9591250143679486E-3</v>
      </c>
      <c r="AR52" s="397"/>
    </row>
    <row r="53" spans="1:44" ht="12" customHeight="1">
      <c r="A53" s="53"/>
      <c r="B53" s="626" t="s">
        <v>304</v>
      </c>
      <c r="C53" s="616"/>
      <c r="D53" s="616"/>
      <c r="E53" s="328"/>
      <c r="F53" s="450">
        <f>'Proposed Rates'!E294</f>
        <v>0.23499999999999999</v>
      </c>
      <c r="G53" s="138"/>
      <c r="H53" s="486">
        <f>F53*H50</f>
        <v>94.479449819999999</v>
      </c>
      <c r="I53" s="411"/>
      <c r="J53" s="450">
        <f>'Proposed Rates'!I294</f>
        <v>0.23499999999999999</v>
      </c>
      <c r="K53" s="411"/>
      <c r="L53" s="451">
        <f>J53*L50</f>
        <v>95.390906719999975</v>
      </c>
      <c r="M53" s="138"/>
      <c r="N53" s="451">
        <f t="shared" si="64"/>
        <v>0.91145689999997614</v>
      </c>
      <c r="O53" s="453">
        <f t="shared" si="65"/>
        <v>9.6471444503165738E-3</v>
      </c>
      <c r="P53" s="53"/>
      <c r="Q53" s="450">
        <f>'Proposed Rates'!H294</f>
        <v>0.23499999999999999</v>
      </c>
      <c r="R53" s="411"/>
      <c r="S53" s="451">
        <f>Q53*S50</f>
        <v>96.862006719999968</v>
      </c>
      <c r="T53" s="138"/>
      <c r="U53" s="451">
        <f t="shared" si="66"/>
        <v>1.4710999999999927</v>
      </c>
      <c r="V53" s="453">
        <f t="shared" si="67"/>
        <v>1.5421805396169455E-2</v>
      </c>
      <c r="W53" s="53"/>
      <c r="X53" s="450">
        <f>'Proposed Rates'!J294</f>
        <v>0.23499999999999999</v>
      </c>
      <c r="Y53" s="411"/>
      <c r="Z53" s="451">
        <f>X53*Z50</f>
        <v>97.543506719999982</v>
      </c>
      <c r="AA53" s="138"/>
      <c r="AB53" s="451">
        <f t="shared" si="68"/>
        <v>0.68150000000001398</v>
      </c>
      <c r="AC53" s="453">
        <f t="shared" si="69"/>
        <v>7.0357823782242427E-3</v>
      </c>
      <c r="AD53" s="53"/>
      <c r="AE53" s="450">
        <f>'Proposed Rates'!J294</f>
        <v>0.23499999999999999</v>
      </c>
      <c r="AF53" s="411"/>
      <c r="AG53" s="451">
        <f>AE53*AG50</f>
        <v>97.938306719999986</v>
      </c>
      <c r="AH53" s="138"/>
      <c r="AI53" s="451">
        <f t="shared" si="70"/>
        <v>0.39480000000000359</v>
      </c>
      <c r="AJ53" s="453">
        <f t="shared" si="71"/>
        <v>4.0474247161657066E-3</v>
      </c>
      <c r="AK53" s="53"/>
      <c r="AL53" s="450">
        <f>'Proposed Rates'!J294</f>
        <v>0.23499999999999999</v>
      </c>
      <c r="AM53" s="411"/>
      <c r="AN53" s="451">
        <f>AL53*AN50</f>
        <v>98.326056719999983</v>
      </c>
      <c r="AO53" s="138"/>
      <c r="AP53" s="451">
        <f t="shared" si="72"/>
        <v>0.38774999999999693</v>
      </c>
      <c r="AQ53" s="453">
        <f t="shared" si="73"/>
        <v>3.9591250143679937E-3</v>
      </c>
      <c r="AR53" s="454"/>
    </row>
    <row r="54" spans="1:44" ht="12" customHeight="1">
      <c r="A54" s="53"/>
      <c r="B54" s="627" t="s">
        <v>347</v>
      </c>
      <c r="C54" s="608"/>
      <c r="D54" s="600"/>
      <c r="E54" s="455"/>
      <c r="F54" s="456"/>
      <c r="G54" s="487"/>
      <c r="H54" s="488">
        <f>H52-H53</f>
        <v>359.82598973999995</v>
      </c>
      <c r="I54" s="457"/>
      <c r="J54" s="456"/>
      <c r="K54" s="457"/>
      <c r="L54" s="458">
        <f>L52-L53</f>
        <v>363.29728303999997</v>
      </c>
      <c r="M54" s="459"/>
      <c r="N54" s="460">
        <f t="shared" si="64"/>
        <v>3.4712933000000135</v>
      </c>
      <c r="O54" s="461">
        <f t="shared" si="65"/>
        <v>9.6471444503168635E-3</v>
      </c>
      <c r="P54" s="53"/>
      <c r="Q54" s="456"/>
      <c r="R54" s="457"/>
      <c r="S54" s="458">
        <f>S52-S53</f>
        <v>368.89998303999994</v>
      </c>
      <c r="T54" s="459"/>
      <c r="U54" s="460">
        <f t="shared" si="66"/>
        <v>5.6026999999999703</v>
      </c>
      <c r="V54" s="461">
        <f t="shared" si="67"/>
        <v>1.5421805396169446E-2</v>
      </c>
      <c r="W54" s="53"/>
      <c r="X54" s="456"/>
      <c r="Y54" s="457"/>
      <c r="Z54" s="458">
        <f>Z52-Z53</f>
        <v>371.49548303999995</v>
      </c>
      <c r="AA54" s="459"/>
      <c r="AB54" s="460">
        <f t="shared" si="68"/>
        <v>2.5955000000000155</v>
      </c>
      <c r="AC54" s="461">
        <f t="shared" si="69"/>
        <v>7.0357823782241395E-3</v>
      </c>
      <c r="AD54" s="53"/>
      <c r="AE54" s="456"/>
      <c r="AF54" s="457"/>
      <c r="AG54" s="458">
        <f>AG52-AG53</f>
        <v>372.99908303999996</v>
      </c>
      <c r="AH54" s="459"/>
      <c r="AI54" s="460">
        <f t="shared" si="70"/>
        <v>1.5036000000000058</v>
      </c>
      <c r="AJ54" s="461">
        <f t="shared" si="71"/>
        <v>4.0474247161656849E-3</v>
      </c>
      <c r="AK54" s="53"/>
      <c r="AL54" s="456"/>
      <c r="AM54" s="457"/>
      <c r="AN54" s="458">
        <f>AN52-AN53</f>
        <v>374.47583303999994</v>
      </c>
      <c r="AO54" s="459"/>
      <c r="AP54" s="460">
        <f t="shared" si="72"/>
        <v>1.4767499999999814</v>
      </c>
      <c r="AQ54" s="461">
        <f t="shared" si="73"/>
        <v>3.9591250143679747E-3</v>
      </c>
      <c r="AR54" s="462"/>
    </row>
    <row r="55" spans="1:44" ht="12"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 customHeight="1">
      <c r="A56" s="53"/>
      <c r="B56" s="438" t="s">
        <v>348</v>
      </c>
      <c r="C56" s="328"/>
      <c r="D56" s="328"/>
      <c r="E56" s="328"/>
      <c r="F56" s="439"/>
      <c r="G56" s="483"/>
      <c r="H56" s="441">
        <f>SUM(H47:H48,H40,H41:H43)</f>
        <v>414.50021199999998</v>
      </c>
      <c r="I56" s="476"/>
      <c r="J56" s="439"/>
      <c r="K56" s="440"/>
      <c r="L56" s="442">
        <f>SUM(L47:L48,L40,L41:L43)</f>
        <v>418.37875200000002</v>
      </c>
      <c r="M56" s="443"/>
      <c r="N56" s="442">
        <f t="shared" ref="N56:N60" si="74">L56-H56</f>
        <v>3.8785400000000436</v>
      </c>
      <c r="O56" s="444">
        <f t="shared" ref="O56:O60" si="75">IF((H56)=0,"",(N56/H56))</f>
        <v>9.3571484108192545E-3</v>
      </c>
      <c r="P56" s="53"/>
      <c r="Q56" s="439"/>
      <c r="R56" s="440"/>
      <c r="S56" s="442">
        <f>SUM(S47:S48,S40,S41:S43)</f>
        <v>424.63875200000001</v>
      </c>
      <c r="T56" s="443"/>
      <c r="U56" s="442">
        <f t="shared" ref="U56:U60" si="76">S56-L56</f>
        <v>6.2599999999999909</v>
      </c>
      <c r="V56" s="444">
        <f t="shared" ref="V56:V60" si="77">IF((L56)=0,"",(U56/L56))</f>
        <v>1.4962518937864202E-2</v>
      </c>
      <c r="W56" s="53"/>
      <c r="X56" s="439"/>
      <c r="Y56" s="440"/>
      <c r="Z56" s="442">
        <f>SUM(Z47:Z48,Z40,Z41:Z43)</f>
        <v>427.53875199999999</v>
      </c>
      <c r="AA56" s="443"/>
      <c r="AB56" s="442">
        <f t="shared" ref="AB56:AB60" si="78">Z56-S56</f>
        <v>2.8999999999999773</v>
      </c>
      <c r="AC56" s="444">
        <f t="shared" ref="AC56:AC60" si="79">IF((S56)=0,"",(AB56/S56))</f>
        <v>6.8293343137933327E-3</v>
      </c>
      <c r="AD56" s="53"/>
      <c r="AE56" s="439"/>
      <c r="AF56" s="440"/>
      <c r="AG56" s="442">
        <f>SUM(AG47:AG48,AG40,AG41:AG43)</f>
        <v>429.21875199999994</v>
      </c>
      <c r="AH56" s="443"/>
      <c r="AI56" s="442">
        <f t="shared" ref="AI56:AI60" si="80">AG56-Z56</f>
        <v>1.67999999999995</v>
      </c>
      <c r="AJ56" s="444">
        <f t="shared" ref="AJ56:AJ60" si="81">IF((Z56)=0,"",(AI56/Z56))</f>
        <v>3.9294683631390451E-3</v>
      </c>
      <c r="AK56" s="53"/>
      <c r="AL56" s="439"/>
      <c r="AM56" s="440"/>
      <c r="AN56" s="442">
        <f>SUM(AN47:AN48,AN40,AN41:AN43)</f>
        <v>430.86875199999997</v>
      </c>
      <c r="AO56" s="443"/>
      <c r="AP56" s="442">
        <f t="shared" ref="AP56:AP60" si="82">AN56-AG56</f>
        <v>1.6500000000000341</v>
      </c>
      <c r="AQ56" s="444">
        <f t="shared" ref="AQ56:AQ60" si="83">IF((AG56)=0,"",(AP56/AG56))</f>
        <v>3.8441936479048202E-3</v>
      </c>
      <c r="AR56" s="445"/>
    </row>
    <row r="57" spans="1:44" ht="12" customHeight="1">
      <c r="A57" s="53"/>
      <c r="B57" s="446" t="s">
        <v>345</v>
      </c>
      <c r="C57" s="328"/>
      <c r="D57" s="328"/>
      <c r="E57" s="328"/>
      <c r="F57" s="439">
        <v>0.13</v>
      </c>
      <c r="G57" s="483"/>
      <c r="H57" s="484">
        <f>H56*F57</f>
        <v>53.885027559999997</v>
      </c>
      <c r="I57" s="411"/>
      <c r="J57" s="439">
        <v>0.13</v>
      </c>
      <c r="K57" s="447"/>
      <c r="L57" s="395">
        <f>L56*J57</f>
        <v>54.389237760000007</v>
      </c>
      <c r="M57" s="138"/>
      <c r="N57" s="395">
        <f t="shared" si="74"/>
        <v>0.50421020000000993</v>
      </c>
      <c r="O57" s="396">
        <f t="shared" si="75"/>
        <v>9.3571484108193326E-3</v>
      </c>
      <c r="P57" s="53"/>
      <c r="Q57" s="439">
        <v>0.13</v>
      </c>
      <c r="R57" s="447"/>
      <c r="S57" s="394">
        <f>S56*Q57</f>
        <v>55.203037760000001</v>
      </c>
      <c r="T57" s="138"/>
      <c r="U57" s="395">
        <f t="shared" si="76"/>
        <v>0.81379999999999342</v>
      </c>
      <c r="V57" s="396">
        <f t="shared" si="77"/>
        <v>1.4962518937864102E-2</v>
      </c>
      <c r="W57" s="53"/>
      <c r="X57" s="439">
        <v>0.13</v>
      </c>
      <c r="Y57" s="447"/>
      <c r="Z57" s="394">
        <f>Z56*X57</f>
        <v>55.580037760000003</v>
      </c>
      <c r="AA57" s="138"/>
      <c r="AB57" s="395">
        <f t="shared" si="78"/>
        <v>0.37700000000000244</v>
      </c>
      <c r="AC57" s="396">
        <f t="shared" si="79"/>
        <v>6.8293343137934307E-3</v>
      </c>
      <c r="AD57" s="53"/>
      <c r="AE57" s="439">
        <v>0.13</v>
      </c>
      <c r="AF57" s="447"/>
      <c r="AG57" s="395">
        <f>AG56*AE57</f>
        <v>55.798437759999992</v>
      </c>
      <c r="AH57" s="138"/>
      <c r="AI57" s="395">
        <f t="shared" si="80"/>
        <v>0.21839999999998838</v>
      </c>
      <c r="AJ57" s="396">
        <f t="shared" si="81"/>
        <v>3.9294683631389523E-3</v>
      </c>
      <c r="AK57" s="53"/>
      <c r="AL57" s="439">
        <v>0.13</v>
      </c>
      <c r="AM57" s="447"/>
      <c r="AN57" s="394">
        <f>AN56*AL57</f>
        <v>56.01293776</v>
      </c>
      <c r="AO57" s="138"/>
      <c r="AP57" s="395">
        <f t="shared" si="82"/>
        <v>0.21450000000000813</v>
      </c>
      <c r="AQ57" s="396">
        <f t="shared" si="83"/>
        <v>3.8441936479048865E-3</v>
      </c>
      <c r="AR57" s="397"/>
    </row>
    <row r="58" spans="1:44" ht="12" customHeight="1">
      <c r="A58" s="53"/>
      <c r="B58" s="448" t="s">
        <v>395</v>
      </c>
      <c r="C58" s="328"/>
      <c r="D58" s="328"/>
      <c r="E58" s="328"/>
      <c r="F58" s="449"/>
      <c r="G58" s="138"/>
      <c r="H58" s="484">
        <f>H56+H57</f>
        <v>468.38523955999995</v>
      </c>
      <c r="I58" s="411"/>
      <c r="J58" s="449"/>
      <c r="K58" s="411"/>
      <c r="L58" s="394">
        <f>L56+L57</f>
        <v>472.76798976000003</v>
      </c>
      <c r="M58" s="138"/>
      <c r="N58" s="395">
        <f t="shared" si="74"/>
        <v>4.3827502000000891</v>
      </c>
      <c r="O58" s="396">
        <f t="shared" si="75"/>
        <v>9.3571484108193395E-3</v>
      </c>
      <c r="P58" s="53"/>
      <c r="Q58" s="449"/>
      <c r="R58" s="411"/>
      <c r="S58" s="394">
        <f>S56+S57</f>
        <v>479.84178975999998</v>
      </c>
      <c r="T58" s="138"/>
      <c r="U58" s="395">
        <f t="shared" si="76"/>
        <v>7.0737999999999488</v>
      </c>
      <c r="V58" s="396">
        <f t="shared" si="77"/>
        <v>1.4962518937864116E-2</v>
      </c>
      <c r="W58" s="53"/>
      <c r="X58" s="449"/>
      <c r="Y58" s="411"/>
      <c r="Z58" s="394">
        <f>Z56+Z57</f>
        <v>483.11878975999997</v>
      </c>
      <c r="AA58" s="138"/>
      <c r="AB58" s="395">
        <f t="shared" si="78"/>
        <v>3.2769999999999868</v>
      </c>
      <c r="AC58" s="396">
        <f t="shared" si="79"/>
        <v>6.8293343137933588E-3</v>
      </c>
      <c r="AD58" s="53"/>
      <c r="AE58" s="449"/>
      <c r="AF58" s="411"/>
      <c r="AG58" s="394">
        <f>AG56+AG57</f>
        <v>485.01718975999995</v>
      </c>
      <c r="AH58" s="138"/>
      <c r="AI58" s="395">
        <f t="shared" si="80"/>
        <v>1.898399999999981</v>
      </c>
      <c r="AJ58" s="396">
        <f t="shared" si="81"/>
        <v>3.9294683631391223E-3</v>
      </c>
      <c r="AK58" s="53"/>
      <c r="AL58" s="449"/>
      <c r="AM58" s="411"/>
      <c r="AN58" s="394">
        <f>AN56+AN57</f>
        <v>486.88168975999997</v>
      </c>
      <c r="AO58" s="138"/>
      <c r="AP58" s="395">
        <f t="shared" si="82"/>
        <v>1.8645000000000209</v>
      </c>
      <c r="AQ58" s="396">
        <f t="shared" si="83"/>
        <v>3.8441936479047837E-3</v>
      </c>
      <c r="AR58" s="397"/>
    </row>
    <row r="59" spans="1:44" ht="12" customHeight="1">
      <c r="A59" s="53"/>
      <c r="B59" s="626" t="s">
        <v>304</v>
      </c>
      <c r="C59" s="616"/>
      <c r="D59" s="616"/>
      <c r="E59" s="328"/>
      <c r="F59" s="450">
        <f>F53</f>
        <v>0.23499999999999999</v>
      </c>
      <c r="G59" s="138"/>
      <c r="H59" s="486">
        <f>F59*H56</f>
        <v>97.407549819999986</v>
      </c>
      <c r="I59" s="411"/>
      <c r="J59" s="450">
        <f>J53</f>
        <v>0.23499999999999999</v>
      </c>
      <c r="K59" s="411"/>
      <c r="L59" s="451">
        <f>J59*L56</f>
        <v>98.319006720000004</v>
      </c>
      <c r="M59" s="138"/>
      <c r="N59" s="451">
        <f t="shared" si="74"/>
        <v>0.91145690000001878</v>
      </c>
      <c r="O59" s="453">
        <f t="shared" si="75"/>
        <v>9.357148410819343E-3</v>
      </c>
      <c r="P59" s="53"/>
      <c r="Q59" s="450">
        <f>Q53</f>
        <v>0.23499999999999999</v>
      </c>
      <c r="R59" s="411"/>
      <c r="S59" s="451">
        <f>Q59*S56</f>
        <v>99.790106719999997</v>
      </c>
      <c r="T59" s="138"/>
      <c r="U59" s="451">
        <f t="shared" si="76"/>
        <v>1.4710999999999927</v>
      </c>
      <c r="V59" s="453">
        <f t="shared" si="77"/>
        <v>1.496251893786415E-2</v>
      </c>
      <c r="W59" s="53"/>
      <c r="X59" s="450">
        <f>X53</f>
        <v>0.23499999999999999</v>
      </c>
      <c r="Y59" s="411"/>
      <c r="Z59" s="451">
        <f>X59*Z56</f>
        <v>100.47160672</v>
      </c>
      <c r="AA59" s="138"/>
      <c r="AB59" s="451">
        <f t="shared" si="78"/>
        <v>0.68149999999999977</v>
      </c>
      <c r="AC59" s="453">
        <f t="shared" si="79"/>
        <v>6.8293343137933848E-3</v>
      </c>
      <c r="AD59" s="53"/>
      <c r="AE59" s="450">
        <f>AE53</f>
        <v>0.23499999999999999</v>
      </c>
      <c r="AF59" s="411"/>
      <c r="AG59" s="451">
        <f>AE59*AG56</f>
        <v>100.86640671999999</v>
      </c>
      <c r="AH59" s="138"/>
      <c r="AI59" s="451">
        <f t="shared" si="80"/>
        <v>0.39479999999998938</v>
      </c>
      <c r="AJ59" s="453">
        <f t="shared" si="81"/>
        <v>3.9294683631390563E-3</v>
      </c>
      <c r="AK59" s="53"/>
      <c r="AL59" s="450">
        <f>AL53</f>
        <v>0.23499999999999999</v>
      </c>
      <c r="AM59" s="411"/>
      <c r="AN59" s="451">
        <f>AL59*AN56</f>
        <v>101.25415671999998</v>
      </c>
      <c r="AO59" s="138"/>
      <c r="AP59" s="451">
        <f t="shared" si="82"/>
        <v>0.38774999999999693</v>
      </c>
      <c r="AQ59" s="453">
        <f t="shared" si="83"/>
        <v>3.8441936479047104E-3</v>
      </c>
      <c r="AR59" s="454"/>
    </row>
    <row r="60" spans="1:44" ht="12" customHeight="1">
      <c r="A60" s="53"/>
      <c r="B60" s="627" t="s">
        <v>350</v>
      </c>
      <c r="C60" s="608"/>
      <c r="D60" s="600"/>
      <c r="E60" s="455"/>
      <c r="F60" s="463"/>
      <c r="G60" s="489"/>
      <c r="H60" s="490">
        <f>H58-H59</f>
        <v>370.97768973999996</v>
      </c>
      <c r="I60" s="464"/>
      <c r="J60" s="463"/>
      <c r="K60" s="464"/>
      <c r="L60" s="465">
        <f>L58-L59</f>
        <v>374.44898304000003</v>
      </c>
      <c r="M60" s="466"/>
      <c r="N60" s="467">
        <f t="shared" si="74"/>
        <v>3.4712933000000703</v>
      </c>
      <c r="O60" s="468">
        <f t="shared" si="75"/>
        <v>9.3571484108193395E-3</v>
      </c>
      <c r="P60" s="53"/>
      <c r="Q60" s="463"/>
      <c r="R60" s="464"/>
      <c r="S60" s="465">
        <f>S58-S59</f>
        <v>380.05168304</v>
      </c>
      <c r="T60" s="466"/>
      <c r="U60" s="467">
        <f t="shared" si="76"/>
        <v>5.6026999999999703</v>
      </c>
      <c r="V60" s="468">
        <f t="shared" si="77"/>
        <v>1.4962518937864145E-2</v>
      </c>
      <c r="W60" s="53"/>
      <c r="X60" s="463"/>
      <c r="Y60" s="464"/>
      <c r="Z60" s="465">
        <f>Z58-Z59</f>
        <v>382.64718303999996</v>
      </c>
      <c r="AA60" s="466"/>
      <c r="AB60" s="467">
        <f t="shared" si="78"/>
        <v>2.5954999999999586</v>
      </c>
      <c r="AC60" s="468">
        <f t="shared" si="79"/>
        <v>6.8293343137932772E-3</v>
      </c>
      <c r="AD60" s="53"/>
      <c r="AE60" s="463"/>
      <c r="AF60" s="464"/>
      <c r="AG60" s="465">
        <f>AG58-AG59</f>
        <v>384.15078303999996</v>
      </c>
      <c r="AH60" s="466"/>
      <c r="AI60" s="467">
        <f t="shared" si="80"/>
        <v>1.5036000000000058</v>
      </c>
      <c r="AJ60" s="468">
        <f t="shared" si="81"/>
        <v>3.9294683631391769E-3</v>
      </c>
      <c r="AK60" s="53"/>
      <c r="AL60" s="463"/>
      <c r="AM60" s="464"/>
      <c r="AN60" s="465">
        <f>AN58-AN59</f>
        <v>385.62753304</v>
      </c>
      <c r="AO60" s="466"/>
      <c r="AP60" s="467">
        <f t="shared" si="82"/>
        <v>1.4767500000000382</v>
      </c>
      <c r="AQ60" s="468">
        <f t="shared" si="83"/>
        <v>3.8441936479048401E-3</v>
      </c>
      <c r="AR60" s="462"/>
    </row>
    <row r="61" spans="1:44" ht="12"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474"/>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300-000000000000}">
      <formula1>"TOU,non-TOU"</formula1>
    </dataValidation>
    <dataValidation type="list" allowBlank="1" showErrorMessage="1" sqref="E15:E28 E30:E36 E38:E39 E41:E49 E55 E61" xr:uid="{00000000-0002-0000-1300-000001000000}">
      <formula1>#REF!</formula1>
    </dataValidation>
    <dataValidation type="list" allowBlank="1" showInputMessage="1" showErrorMessage="1" prompt="Select Charge Unit - monthly, per kWh, per kW" sqref="D15:D28 D30:D36 D38:D39 D41:D49 D55 D61" xr:uid="{00000000-0002-0000-1300-000002000000}">
      <formula1>"Monthly,per kWh,per kW"</formula1>
    </dataValidation>
  </dataValidations>
  <pageMargins left="0.74803149606299213" right="0.74803149606299213" top="0.98425196850393704" bottom="0.98425196850393704"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30.7109375" customWidth="1"/>
    <col min="3" max="3" width="4.42578125" customWidth="1"/>
    <col min="4" max="4" width="11.42578125" customWidth="1"/>
    <col min="5" max="5" width="1.42578125" customWidth="1"/>
    <col min="6" max="6" width="10.5703125" customWidth="1"/>
    <col min="7" max="7" width="8" customWidth="1"/>
    <col min="8" max="8" width="9.28515625" customWidth="1"/>
    <col min="9" max="9" width="0.42578125" customWidth="1"/>
    <col min="10" max="10" width="10.42578125" customWidth="1"/>
    <col min="11" max="11" width="8" customWidth="1"/>
    <col min="12" max="12" width="9.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9.28515625" customWidth="1"/>
    <col min="20" max="20" width="0.42578125" customWidth="1"/>
    <col min="21" max="21" width="9.42578125" customWidth="1"/>
    <col min="22" max="22" width="10" customWidth="1"/>
    <col min="23" max="23" width="1"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0.42578125" customWidth="1"/>
    <col min="31" max="31" width="11.7109375" customWidth="1"/>
    <col min="32" max="32" width="8" customWidth="1"/>
    <col min="33" max="33" width="9.28515625"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9.28515625" customWidth="1"/>
    <col min="41" max="41" width="0.42578125" customWidth="1"/>
    <col min="42" max="42" width="9.42578125" customWidth="1"/>
    <col min="43" max="43" width="10" customWidth="1"/>
    <col min="44" max="44" width="0.7109375" customWidth="1"/>
    <col min="45" max="46" width="12.42578125" customWidth="1"/>
  </cols>
  <sheetData>
    <row r="1" spans="1:46" ht="12" customHeight="1">
      <c r="A1" s="53"/>
      <c r="B1" s="53"/>
      <c r="C1" s="53"/>
      <c r="D1" s="53"/>
      <c r="E1" s="53"/>
      <c r="F1" s="53"/>
      <c r="G1" s="53"/>
      <c r="H1" s="53"/>
      <c r="I1" s="53"/>
      <c r="J1" s="53"/>
      <c r="K1" s="53"/>
      <c r="L1" s="3"/>
      <c r="M1" s="3"/>
      <c r="N1" s="3"/>
      <c r="O1" s="3"/>
      <c r="P1" s="3"/>
      <c r="Q1" s="53"/>
      <c r="R1" s="53"/>
      <c r="S1" s="628" t="s">
        <v>319</v>
      </c>
      <c r="T1" s="629"/>
      <c r="U1" s="629"/>
      <c r="V1" s="629"/>
      <c r="W1" s="629"/>
      <c r="X1" s="629"/>
      <c r="Y1" s="630"/>
      <c r="Z1" s="53"/>
      <c r="AA1" s="53"/>
      <c r="AB1" s="53"/>
      <c r="AC1" s="53"/>
      <c r="AD1" s="53"/>
      <c r="AE1" s="53"/>
      <c r="AF1" s="53"/>
      <c r="AG1" s="53"/>
      <c r="AH1" s="53"/>
      <c r="AI1" s="53"/>
      <c r="AJ1" s="53"/>
      <c r="AK1" s="53"/>
      <c r="AL1" s="53"/>
      <c r="AM1" s="53"/>
      <c r="AN1" s="53"/>
      <c r="AO1" s="53"/>
      <c r="AP1" s="53"/>
      <c r="AQ1" s="53"/>
      <c r="AR1" s="53"/>
      <c r="AS1" s="3"/>
      <c r="AT1" s="3"/>
    </row>
    <row r="2" spans="1:46" ht="12" customHeight="1">
      <c r="A2" s="53"/>
      <c r="B2" s="53"/>
      <c r="C2" s="373"/>
      <c r="D2" s="373"/>
      <c r="E2" s="373"/>
      <c r="F2" s="373" t="s">
        <v>320</v>
      </c>
      <c r="G2" s="373"/>
      <c r="H2" s="373"/>
      <c r="I2" s="373"/>
      <c r="J2" s="373"/>
      <c r="K2" s="373"/>
      <c r="L2" s="373"/>
      <c r="M2" s="373"/>
      <c r="N2" s="373"/>
      <c r="O2" s="373"/>
      <c r="P2" s="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c r="AS2" s="3"/>
      <c r="AT2" s="3"/>
    </row>
    <row r="3" spans="1:46" ht="12" customHeight="1">
      <c r="A3" s="53"/>
      <c r="B3" s="53"/>
      <c r="C3" s="373"/>
      <c r="D3" s="373"/>
      <c r="E3" s="373"/>
      <c r="F3" s="373" t="s">
        <v>322</v>
      </c>
      <c r="G3" s="373"/>
      <c r="H3" s="373"/>
      <c r="I3" s="373"/>
      <c r="J3" s="373"/>
      <c r="K3" s="373"/>
      <c r="L3" s="373"/>
      <c r="M3" s="373"/>
      <c r="N3" s="373"/>
      <c r="O3" s="373"/>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row>
    <row r="4" spans="1:46" ht="12" customHeight="1">
      <c r="A4" s="53"/>
      <c r="B4" s="53"/>
      <c r="C4" s="53"/>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row>
    <row r="5" spans="1:46" ht="12" customHeight="1">
      <c r="A5" s="53"/>
      <c r="B5" s="53"/>
      <c r="C5" s="53"/>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row>
    <row r="6" spans="1:46" ht="12" customHeight="1">
      <c r="A6" s="53"/>
      <c r="B6" s="327" t="s">
        <v>323</v>
      </c>
      <c r="C6" s="53"/>
      <c r="D6" s="499" t="s">
        <v>248</v>
      </c>
      <c r="E6" s="500"/>
      <c r="F6" s="500"/>
      <c r="G6" s="500"/>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row>
    <row r="7" spans="1:46"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row>
    <row r="8" spans="1:46" ht="12"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3"/>
      <c r="AT8" s="3"/>
    </row>
    <row r="9" spans="1:46" ht="12"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3"/>
      <c r="AT9" s="3"/>
    </row>
    <row r="10" spans="1:46" ht="12" customHeight="1">
      <c r="A10" s="53"/>
      <c r="B10" s="53"/>
      <c r="C10" s="53"/>
      <c r="D10" s="314" t="s">
        <v>326</v>
      </c>
      <c r="E10" s="314"/>
      <c r="F10" s="380">
        <v>2400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3"/>
      <c r="AT10" s="3"/>
    </row>
    <row r="11" spans="1:46" ht="12"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c r="AS11" s="3"/>
      <c r="AT11" s="3"/>
    </row>
    <row r="12" spans="1:46" ht="12"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c r="AS12" s="3"/>
      <c r="AT12" s="3"/>
    </row>
    <row r="13" spans="1:46" ht="12"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c r="AS13" s="3"/>
      <c r="AT13" s="3"/>
    </row>
    <row r="14" spans="1:46" ht="12"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c r="AS14" s="3"/>
      <c r="AT14" s="3"/>
    </row>
    <row r="15" spans="1:46" ht="12" customHeight="1">
      <c r="A15" s="53"/>
      <c r="B15" s="328" t="s">
        <v>246</v>
      </c>
      <c r="C15" s="389" t="str">
        <f t="shared" ref="C15:C28" si="0">D$6&amp;"."&amp;B15</f>
        <v>General Service &lt; 50 kW.Monthly Service Charge</v>
      </c>
      <c r="D15" s="390" t="s">
        <v>335</v>
      </c>
      <c r="E15" s="328"/>
      <c r="F15" s="391">
        <f>IFERROR(VLOOKUP($C15,'Proposed Rates'!$B:$J,F$11,FALSE),0)</f>
        <v>23.53</v>
      </c>
      <c r="G15" s="392">
        <f t="shared" ref="G15:G28" si="1">IF($D15="Monthly",1,IF($D15="per KWH",$F$10,0))</f>
        <v>1</v>
      </c>
      <c r="H15" s="394">
        <f t="shared" ref="H15:H28" si="2">G15*F15</f>
        <v>23.53</v>
      </c>
      <c r="I15" s="138"/>
      <c r="J15" s="391">
        <f>IFERROR(VLOOKUP($C15,'Proposed Rates'!$B:$J,J$11,FALSE),0)</f>
        <v>26.16</v>
      </c>
      <c r="K15" s="392">
        <f t="shared" ref="K15:K28" si="3">IF($D15="Monthly",1,IF($D15="per KWH",$F$10,0))</f>
        <v>1</v>
      </c>
      <c r="L15" s="394">
        <f t="shared" ref="L15:L28" si="4">K15*J15</f>
        <v>26.16</v>
      </c>
      <c r="M15" s="138"/>
      <c r="N15" s="395">
        <f t="shared" ref="N15:N48" si="5">L15-H15</f>
        <v>2.629999999999999</v>
      </c>
      <c r="O15" s="396">
        <f t="shared" ref="O15:O48" si="6">IF((H15)=0,"",(N15/H15))</f>
        <v>0.11177220569485759</v>
      </c>
      <c r="P15" s="53"/>
      <c r="Q15" s="391">
        <f>IFERROR(VLOOKUP($C15,'Proposed Rates'!$B:$J,Q$11,FALSE),0)</f>
        <v>27.42</v>
      </c>
      <c r="R15" s="392">
        <f t="shared" ref="R15:R28" si="7">IF($D15="Monthly",1,IF($D15="per KWH",$F$10,0))</f>
        <v>1</v>
      </c>
      <c r="S15" s="394">
        <f t="shared" ref="S15:S28" si="8">R15*Q15</f>
        <v>27.42</v>
      </c>
      <c r="T15" s="138"/>
      <c r="U15" s="395">
        <f t="shared" ref="U15:U48" si="9">S15-L15</f>
        <v>1.2600000000000016</v>
      </c>
      <c r="V15" s="396">
        <f t="shared" ref="V15:V48" si="10">IF((L15)=0,"",(U15/L15))</f>
        <v>4.8165137614678957E-2</v>
      </c>
      <c r="W15" s="53"/>
      <c r="X15" s="391">
        <f>IFERROR(VLOOKUP($C15,'Proposed Rates'!$B:$J,X$11,FALSE),0)</f>
        <v>29.3</v>
      </c>
      <c r="Y15" s="392">
        <f t="shared" ref="Y15:Y28" si="11">IF($D15="Monthly",1,IF($D15="per KWH",$F$10,0))</f>
        <v>1</v>
      </c>
      <c r="Z15" s="394">
        <f t="shared" ref="Z15:Z28" si="12">Y15*X15</f>
        <v>29.3</v>
      </c>
      <c r="AA15" s="138"/>
      <c r="AB15" s="395">
        <f t="shared" ref="AB15:AB48" si="13">Z15-S15</f>
        <v>1.879999999999999</v>
      </c>
      <c r="AC15" s="396">
        <f t="shared" ref="AC15:AC48" si="14">IF((S15)=0,"",(AB15/S15))</f>
        <v>6.856309263311447E-2</v>
      </c>
      <c r="AD15" s="53"/>
      <c r="AE15" s="391">
        <f>IFERROR(VLOOKUP($C15,'Proposed Rates'!$B:$J,AE$11,FALSE),0)</f>
        <v>29.77</v>
      </c>
      <c r="AF15" s="392">
        <f t="shared" ref="AF15:AF28" si="15">IF($D15="Monthly",1,IF($D15="per KWH",$F$10,0))</f>
        <v>1</v>
      </c>
      <c r="AG15" s="394">
        <f t="shared" ref="AG15:AG28" si="16">AF15*AE15</f>
        <v>29.77</v>
      </c>
      <c r="AH15" s="138"/>
      <c r="AI15" s="395">
        <f t="shared" ref="AI15:AI48" si="17">AG15-Z15</f>
        <v>0.46999999999999886</v>
      </c>
      <c r="AJ15" s="396">
        <f t="shared" ref="AJ15:AJ48" si="18">IF((Z15)=0,"",(AI15/Z15))</f>
        <v>1.6040955631399279E-2</v>
      </c>
      <c r="AK15" s="53"/>
      <c r="AL15" s="391">
        <f>IFERROR(VLOOKUP($C15,'Proposed Rates'!$B:$J,AL$11,FALSE),0)</f>
        <v>30.21</v>
      </c>
      <c r="AM15" s="392">
        <f t="shared" ref="AM15:AM28" si="19">IF($D15="Monthly",1,IF($D15="per KWH",$F$10,0))</f>
        <v>1</v>
      </c>
      <c r="AN15" s="394">
        <f t="shared" ref="AN15:AN16" si="20">AM15*AL15</f>
        <v>30.21</v>
      </c>
      <c r="AO15" s="138"/>
      <c r="AP15" s="395">
        <f t="shared" ref="AP15:AP48" si="21">AN15-AG15</f>
        <v>0.44000000000000128</v>
      </c>
      <c r="AQ15" s="396">
        <f t="shared" ref="AQ15:AQ48" si="22">IF((AG15)=0,"",(AP15/AG15))</f>
        <v>1.4779979845482072E-2</v>
      </c>
      <c r="AR15" s="397"/>
      <c r="AS15" s="3"/>
      <c r="AT15" s="3"/>
    </row>
    <row r="16" spans="1:46" ht="12" customHeight="1">
      <c r="A16" s="53"/>
      <c r="B16" s="328" t="s">
        <v>336</v>
      </c>
      <c r="C16" s="389" t="str">
        <f t="shared" si="0"/>
        <v>General Service &lt; 50 kW.Smart Meter Rate Adder</v>
      </c>
      <c r="D16" s="390" t="s">
        <v>335</v>
      </c>
      <c r="E16" s="328"/>
      <c r="F16" s="408">
        <f>IFERROR(VLOOKUP($C16,'Proposed Rates'!$B:$J,F$11,FALSE),0)</f>
        <v>0</v>
      </c>
      <c r="G16" s="392">
        <f t="shared" si="1"/>
        <v>1</v>
      </c>
      <c r="H16" s="394">
        <f t="shared" si="2"/>
        <v>0</v>
      </c>
      <c r="I16" s="138"/>
      <c r="J16" s="408">
        <f>IFERROR(VLOOKUP($C16,'Proposed Rates'!$B:$J,J$11,FALSE),0)</f>
        <v>0</v>
      </c>
      <c r="K16" s="392">
        <f t="shared" si="3"/>
        <v>1</v>
      </c>
      <c r="L16" s="394">
        <f t="shared" si="4"/>
        <v>0</v>
      </c>
      <c r="M16" s="138"/>
      <c r="N16" s="395">
        <f t="shared" si="5"/>
        <v>0</v>
      </c>
      <c r="O16" s="396" t="str">
        <f t="shared" si="6"/>
        <v/>
      </c>
      <c r="P16" s="53"/>
      <c r="Q16" s="408">
        <f>IFERROR(VLOOKUP($C16,'Proposed Rates'!$B:$J,Q$11,FALSE),0)</f>
        <v>0</v>
      </c>
      <c r="R16" s="392">
        <f t="shared" si="7"/>
        <v>1</v>
      </c>
      <c r="S16" s="394">
        <f t="shared" si="8"/>
        <v>0</v>
      </c>
      <c r="T16" s="138"/>
      <c r="U16" s="395">
        <f t="shared" si="9"/>
        <v>0</v>
      </c>
      <c r="V16" s="396" t="str">
        <f t="shared" si="10"/>
        <v/>
      </c>
      <c r="W16" s="53"/>
      <c r="X16" s="408">
        <f>IFERROR(VLOOKUP($C16,'Proposed Rates'!$B:$J,X$11,FALSE),0)</f>
        <v>0</v>
      </c>
      <c r="Y16" s="392">
        <f t="shared" si="11"/>
        <v>1</v>
      </c>
      <c r="Z16" s="394">
        <f t="shared" si="12"/>
        <v>0</v>
      </c>
      <c r="AA16" s="138"/>
      <c r="AB16" s="395">
        <f t="shared" si="13"/>
        <v>0</v>
      </c>
      <c r="AC16" s="396" t="str">
        <f t="shared" si="14"/>
        <v/>
      </c>
      <c r="AD16" s="53"/>
      <c r="AE16" s="408">
        <f>IFERROR(VLOOKUP($C16,'Proposed Rates'!$B:$J,AE$11,FALSE),0)</f>
        <v>0</v>
      </c>
      <c r="AF16" s="392">
        <f t="shared" si="15"/>
        <v>1</v>
      </c>
      <c r="AG16" s="394">
        <f t="shared" si="16"/>
        <v>0</v>
      </c>
      <c r="AH16" s="138"/>
      <c r="AI16" s="395">
        <f t="shared" si="17"/>
        <v>0</v>
      </c>
      <c r="AJ16" s="396" t="str">
        <f t="shared" si="18"/>
        <v/>
      </c>
      <c r="AK16" s="53"/>
      <c r="AL16" s="408">
        <f>IFERROR(VLOOKUP($C16,'Proposed Rates'!$B:$J,AL$11,FALSE),0)</f>
        <v>0</v>
      </c>
      <c r="AM16" s="392">
        <f t="shared" si="19"/>
        <v>1</v>
      </c>
      <c r="AN16" s="394">
        <f t="shared" si="20"/>
        <v>0</v>
      </c>
      <c r="AO16" s="138"/>
      <c r="AP16" s="395">
        <f t="shared" si="21"/>
        <v>0</v>
      </c>
      <c r="AQ16" s="396" t="str">
        <f t="shared" si="22"/>
        <v/>
      </c>
      <c r="AR16" s="397"/>
      <c r="AS16" s="3"/>
      <c r="AT16" s="3"/>
    </row>
    <row r="17" spans="1:46" ht="12" customHeight="1">
      <c r="A17" s="53"/>
      <c r="B17" s="398" t="str">
        <f>'Proposed Rates'!C115</f>
        <v>Rate Rider Calculation for Forgone Revenue - variable</v>
      </c>
      <c r="C17" s="389" t="str">
        <f t="shared" si="0"/>
        <v>General Service &lt; 50 kW.Rate Rider Calculation for Forgone Revenue - variable</v>
      </c>
      <c r="D17" s="390" t="s">
        <v>337</v>
      </c>
      <c r="E17" s="328"/>
      <c r="F17" s="408">
        <f>IFERROR(VLOOKUP($C17,'Proposed Rates'!$B:$J,F$11,FALSE),0)</f>
        <v>0</v>
      </c>
      <c r="G17" s="392">
        <f t="shared" si="1"/>
        <v>2400</v>
      </c>
      <c r="H17" s="394">
        <f t="shared" si="2"/>
        <v>0</v>
      </c>
      <c r="I17" s="138"/>
      <c r="J17" s="408">
        <f>IFERROR(VLOOKUP($C17,'Proposed Rates'!$B:$J,J$11,FALSE),0)</f>
        <v>1.4E-3</v>
      </c>
      <c r="K17" s="392">
        <f t="shared" si="3"/>
        <v>2400</v>
      </c>
      <c r="L17" s="394">
        <f t="shared" si="4"/>
        <v>3.36</v>
      </c>
      <c r="M17" s="138"/>
      <c r="N17" s="395">
        <f t="shared" si="5"/>
        <v>3.36</v>
      </c>
      <c r="O17" s="396" t="str">
        <f t="shared" si="6"/>
        <v/>
      </c>
      <c r="P17" s="53"/>
      <c r="Q17" s="408">
        <f>IFERROR(VLOOKUP($C17,'Proposed Rates'!$B:$J,Q$11,FALSE),0)</f>
        <v>1.4E-3</v>
      </c>
      <c r="R17" s="392">
        <f t="shared" si="7"/>
        <v>2400</v>
      </c>
      <c r="S17" s="394">
        <f t="shared" si="8"/>
        <v>3.36</v>
      </c>
      <c r="T17" s="138"/>
      <c r="U17" s="395">
        <f t="shared" si="9"/>
        <v>0</v>
      </c>
      <c r="V17" s="396">
        <f t="shared" si="10"/>
        <v>0</v>
      </c>
      <c r="W17" s="53"/>
      <c r="X17" s="408">
        <f>IFERROR(VLOOKUP($C17,'Proposed Rates'!$B:$J,X$11,FALSE),0)</f>
        <v>0</v>
      </c>
      <c r="Y17" s="392">
        <f t="shared" si="11"/>
        <v>2400</v>
      </c>
      <c r="Z17" s="394">
        <f t="shared" si="12"/>
        <v>0</v>
      </c>
      <c r="AA17" s="138"/>
      <c r="AB17" s="395">
        <f t="shared" si="13"/>
        <v>-3.36</v>
      </c>
      <c r="AC17" s="396">
        <f t="shared" si="14"/>
        <v>-1</v>
      </c>
      <c r="AD17" s="53"/>
      <c r="AE17" s="408">
        <f>IFERROR(VLOOKUP($C17,'Proposed Rates'!$B:$J,AE$11,FALSE),0)</f>
        <v>0</v>
      </c>
      <c r="AF17" s="392">
        <f t="shared" si="15"/>
        <v>2400</v>
      </c>
      <c r="AG17" s="394">
        <f t="shared" si="16"/>
        <v>0</v>
      </c>
      <c r="AH17" s="138"/>
      <c r="AI17" s="395">
        <f t="shared" si="17"/>
        <v>0</v>
      </c>
      <c r="AJ17" s="396" t="str">
        <f t="shared" si="18"/>
        <v/>
      </c>
      <c r="AK17" s="53"/>
      <c r="AL17" s="408">
        <f>IFERROR(VLOOKUP($C17,'Proposed Rates'!$B:$J,AL$11,FALSE),0)</f>
        <v>0</v>
      </c>
      <c r="AM17" s="392">
        <f t="shared" si="19"/>
        <v>2400</v>
      </c>
      <c r="AN17" s="394">
        <f t="shared" ref="AN17:AN18" si="23">AL17*AM17</f>
        <v>0</v>
      </c>
      <c r="AO17" s="138"/>
      <c r="AP17" s="395">
        <f t="shared" si="21"/>
        <v>0</v>
      </c>
      <c r="AQ17" s="396" t="str">
        <f t="shared" si="22"/>
        <v/>
      </c>
      <c r="AR17" s="397"/>
      <c r="AS17" s="3"/>
      <c r="AT17" s="3"/>
    </row>
    <row r="18" spans="1:46" ht="12" customHeight="1">
      <c r="A18" s="53"/>
      <c r="B18" s="398" t="str">
        <f>'Proposed Rates'!C128</f>
        <v>Rate Rider Calculation for Forgone Revenue - fixed</v>
      </c>
      <c r="C18" s="389" t="str">
        <f t="shared" si="0"/>
        <v>General Service &lt; 50 kW.Rate Rider Calculation for Forgone Revenue - fixed</v>
      </c>
      <c r="D18" s="390" t="s">
        <v>335</v>
      </c>
      <c r="E18" s="328"/>
      <c r="F18" s="408">
        <f>IFERROR(VLOOKUP($C18,'Proposed Rates'!$B:$J,F$11,FALSE),0)</f>
        <v>0</v>
      </c>
      <c r="G18" s="392">
        <f t="shared" si="1"/>
        <v>1</v>
      </c>
      <c r="H18" s="394">
        <f t="shared" si="2"/>
        <v>0</v>
      </c>
      <c r="I18" s="138"/>
      <c r="J18" s="408">
        <f>IFERROR(VLOOKUP($C18,'Proposed Rates'!$B:$J,J$11,FALSE),0)</f>
        <v>0.99</v>
      </c>
      <c r="K18" s="392">
        <f t="shared" si="3"/>
        <v>1</v>
      </c>
      <c r="L18" s="394">
        <f t="shared" si="4"/>
        <v>0.99</v>
      </c>
      <c r="M18" s="138"/>
      <c r="N18" s="395">
        <f t="shared" si="5"/>
        <v>0.99</v>
      </c>
      <c r="O18" s="396" t="str">
        <f t="shared" si="6"/>
        <v/>
      </c>
      <c r="P18" s="53"/>
      <c r="Q18" s="408">
        <f>IFERROR(VLOOKUP($C18,'Proposed Rates'!$B:$J,Q$11,FALSE),0)</f>
        <v>0.99</v>
      </c>
      <c r="R18" s="392">
        <f t="shared" si="7"/>
        <v>1</v>
      </c>
      <c r="S18" s="394">
        <f t="shared" si="8"/>
        <v>0.99</v>
      </c>
      <c r="T18" s="138"/>
      <c r="U18" s="395">
        <f t="shared" si="9"/>
        <v>0</v>
      </c>
      <c r="V18" s="396">
        <f t="shared" si="10"/>
        <v>0</v>
      </c>
      <c r="W18" s="53"/>
      <c r="X18" s="408">
        <f>IFERROR(VLOOKUP($C18,'Proposed Rates'!$B:$J,X$11,FALSE),0)</f>
        <v>0</v>
      </c>
      <c r="Y18" s="392">
        <f t="shared" si="11"/>
        <v>1</v>
      </c>
      <c r="Z18" s="394">
        <f t="shared" si="12"/>
        <v>0</v>
      </c>
      <c r="AA18" s="138"/>
      <c r="AB18" s="395">
        <f t="shared" si="13"/>
        <v>-0.99</v>
      </c>
      <c r="AC18" s="396">
        <f t="shared" si="14"/>
        <v>-1</v>
      </c>
      <c r="AD18" s="53"/>
      <c r="AE18" s="408">
        <f>IFERROR(VLOOKUP($C18,'Proposed Rates'!$B:$J,AE$11,FALSE),0)</f>
        <v>0</v>
      </c>
      <c r="AF18" s="392">
        <f t="shared" si="15"/>
        <v>1</v>
      </c>
      <c r="AG18" s="394">
        <f t="shared" si="16"/>
        <v>0</v>
      </c>
      <c r="AH18" s="138"/>
      <c r="AI18" s="395">
        <f t="shared" si="17"/>
        <v>0</v>
      </c>
      <c r="AJ18" s="396" t="str">
        <f t="shared" si="18"/>
        <v/>
      </c>
      <c r="AK18" s="53"/>
      <c r="AL18" s="408">
        <f>IFERROR(VLOOKUP($C18,'Proposed Rates'!$B:$J,AL$11,FALSE),0)</f>
        <v>0</v>
      </c>
      <c r="AM18" s="392">
        <f t="shared" si="19"/>
        <v>1</v>
      </c>
      <c r="AN18" s="394">
        <f t="shared" si="23"/>
        <v>0</v>
      </c>
      <c r="AO18" s="138"/>
      <c r="AP18" s="395">
        <f t="shared" si="21"/>
        <v>0</v>
      </c>
      <c r="AQ18" s="396" t="str">
        <f t="shared" si="22"/>
        <v/>
      </c>
      <c r="AR18" s="397"/>
      <c r="AS18" s="3"/>
      <c r="AT18" s="3"/>
    </row>
    <row r="19" spans="1:46" ht="12" customHeight="1">
      <c r="A19" s="53"/>
      <c r="B19" s="328" t="s">
        <v>62</v>
      </c>
      <c r="C19" s="389" t="str">
        <f t="shared" si="0"/>
        <v>General Service &lt; 50 kW.Distribution Volumetric Rate</v>
      </c>
      <c r="D19" s="390" t="s">
        <v>337</v>
      </c>
      <c r="E19" s="328"/>
      <c r="F19" s="408">
        <f>IFERROR(VLOOKUP($C19,'Proposed Rates'!$B:$J,F$11,FALSE),0)</f>
        <v>3.0499999999999999E-2</v>
      </c>
      <c r="G19" s="392">
        <f t="shared" si="1"/>
        <v>2400</v>
      </c>
      <c r="H19" s="394">
        <f t="shared" si="2"/>
        <v>73.2</v>
      </c>
      <c r="I19" s="138"/>
      <c r="J19" s="408">
        <f>IFERROR(VLOOKUP($C19,'Proposed Rates'!$B:$J,J$11,FALSE),0)</f>
        <v>3.39E-2</v>
      </c>
      <c r="K19" s="392">
        <f t="shared" si="3"/>
        <v>2400</v>
      </c>
      <c r="L19" s="394">
        <f t="shared" si="4"/>
        <v>81.36</v>
      </c>
      <c r="M19" s="138"/>
      <c r="N19" s="395">
        <f t="shared" si="5"/>
        <v>8.1599999999999966</v>
      </c>
      <c r="O19" s="396">
        <f t="shared" si="6"/>
        <v>0.11147540983606552</v>
      </c>
      <c r="P19" s="53"/>
      <c r="Q19" s="408">
        <f>IFERROR(VLOOKUP($C19,'Proposed Rates'!$B:$J,Q$11,FALSE),0)</f>
        <v>3.5499999999999997E-2</v>
      </c>
      <c r="R19" s="392">
        <f t="shared" si="7"/>
        <v>2400</v>
      </c>
      <c r="S19" s="394">
        <f t="shared" si="8"/>
        <v>85.199999999999989</v>
      </c>
      <c r="T19" s="138"/>
      <c r="U19" s="395">
        <f t="shared" si="9"/>
        <v>3.8399999999999892</v>
      </c>
      <c r="V19" s="396">
        <f t="shared" si="10"/>
        <v>4.7197640117993968E-2</v>
      </c>
      <c r="W19" s="53"/>
      <c r="X19" s="408">
        <f>IFERROR(VLOOKUP($C19,'Proposed Rates'!$B:$J,X$11,FALSE),0)</f>
        <v>3.7900000000000003E-2</v>
      </c>
      <c r="Y19" s="392">
        <f t="shared" si="11"/>
        <v>2400</v>
      </c>
      <c r="Z19" s="394">
        <f t="shared" si="12"/>
        <v>90.960000000000008</v>
      </c>
      <c r="AA19" s="138"/>
      <c r="AB19" s="395">
        <f t="shared" si="13"/>
        <v>5.7600000000000193</v>
      </c>
      <c r="AC19" s="396">
        <f t="shared" si="14"/>
        <v>6.7605633802817131E-2</v>
      </c>
      <c r="AD19" s="53"/>
      <c r="AE19" s="408">
        <f>IFERROR(VLOOKUP($C19,'Proposed Rates'!$B:$J,AE$11,FALSE),0)</f>
        <v>3.85E-2</v>
      </c>
      <c r="AF19" s="392">
        <f t="shared" si="15"/>
        <v>2400</v>
      </c>
      <c r="AG19" s="394">
        <f t="shared" si="16"/>
        <v>92.4</v>
      </c>
      <c r="AH19" s="138"/>
      <c r="AI19" s="395">
        <f t="shared" si="17"/>
        <v>1.4399999999999977</v>
      </c>
      <c r="AJ19" s="396">
        <f t="shared" si="18"/>
        <v>1.5831134564643773E-2</v>
      </c>
      <c r="AK19" s="53"/>
      <c r="AL19" s="408">
        <f>IFERROR(VLOOKUP($C19,'Proposed Rates'!$B:$J,AL$11,FALSE),0)</f>
        <v>3.9100000000000003E-2</v>
      </c>
      <c r="AM19" s="392">
        <f t="shared" si="19"/>
        <v>2400</v>
      </c>
      <c r="AN19" s="394">
        <f t="shared" ref="AN19:AN28" si="24">AM19*AL19</f>
        <v>93.84</v>
      </c>
      <c r="AO19" s="138"/>
      <c r="AP19" s="395">
        <f t="shared" si="21"/>
        <v>1.4399999999999977</v>
      </c>
      <c r="AQ19" s="396">
        <f t="shared" si="22"/>
        <v>1.5584415584415558E-2</v>
      </c>
      <c r="AR19" s="397"/>
      <c r="AS19" s="3"/>
      <c r="AT19" s="3"/>
    </row>
    <row r="20" spans="1:46" ht="12" customHeight="1">
      <c r="A20" s="53"/>
      <c r="B20" s="328" t="s">
        <v>338</v>
      </c>
      <c r="C20" s="389" t="str">
        <f t="shared" si="0"/>
        <v>General Service &lt; 50 kW.Smart Meter Disposition Rider</v>
      </c>
      <c r="D20" s="390" t="s">
        <v>337</v>
      </c>
      <c r="E20" s="328"/>
      <c r="F20" s="408">
        <f>IFERROR(VLOOKUP($C20,'Proposed Rates'!$B:$J,F$11,FALSE),0)</f>
        <v>0</v>
      </c>
      <c r="G20" s="392">
        <f t="shared" si="1"/>
        <v>2400</v>
      </c>
      <c r="H20" s="394">
        <f t="shared" si="2"/>
        <v>0</v>
      </c>
      <c r="I20" s="138"/>
      <c r="J20" s="408">
        <f>IFERROR(VLOOKUP($C20,'Proposed Rates'!$B:$J,J$11,FALSE),0)</f>
        <v>0</v>
      </c>
      <c r="K20" s="392">
        <f t="shared" si="3"/>
        <v>2400</v>
      </c>
      <c r="L20" s="394">
        <f t="shared" si="4"/>
        <v>0</v>
      </c>
      <c r="M20" s="138"/>
      <c r="N20" s="395">
        <f t="shared" si="5"/>
        <v>0</v>
      </c>
      <c r="O20" s="396" t="str">
        <f t="shared" si="6"/>
        <v/>
      </c>
      <c r="P20" s="53"/>
      <c r="Q20" s="408">
        <f>IFERROR(VLOOKUP($C20,'Proposed Rates'!$B:$J,Q$11,FALSE),0)</f>
        <v>0</v>
      </c>
      <c r="R20" s="392">
        <f t="shared" si="7"/>
        <v>2400</v>
      </c>
      <c r="S20" s="394">
        <f t="shared" si="8"/>
        <v>0</v>
      </c>
      <c r="T20" s="138"/>
      <c r="U20" s="395">
        <f t="shared" si="9"/>
        <v>0</v>
      </c>
      <c r="V20" s="396" t="str">
        <f t="shared" si="10"/>
        <v/>
      </c>
      <c r="W20" s="53"/>
      <c r="X20" s="408">
        <f>IFERROR(VLOOKUP($C20,'Proposed Rates'!$B:$J,X$11,FALSE),0)</f>
        <v>0</v>
      </c>
      <c r="Y20" s="392">
        <f t="shared" si="11"/>
        <v>2400</v>
      </c>
      <c r="Z20" s="394">
        <f t="shared" si="12"/>
        <v>0</v>
      </c>
      <c r="AA20" s="138"/>
      <c r="AB20" s="395">
        <f t="shared" si="13"/>
        <v>0</v>
      </c>
      <c r="AC20" s="396" t="str">
        <f t="shared" si="14"/>
        <v/>
      </c>
      <c r="AD20" s="53"/>
      <c r="AE20" s="408">
        <f>IFERROR(VLOOKUP($C20,'Proposed Rates'!$B:$J,AE$11,FALSE),0)</f>
        <v>0</v>
      </c>
      <c r="AF20" s="392">
        <f t="shared" si="15"/>
        <v>2400</v>
      </c>
      <c r="AG20" s="394">
        <f t="shared" si="16"/>
        <v>0</v>
      </c>
      <c r="AH20" s="138"/>
      <c r="AI20" s="395">
        <f t="shared" si="17"/>
        <v>0</v>
      </c>
      <c r="AJ20" s="396" t="str">
        <f t="shared" si="18"/>
        <v/>
      </c>
      <c r="AK20" s="53"/>
      <c r="AL20" s="408">
        <f>IFERROR(VLOOKUP($C20,'Proposed Rates'!$B:$J,AL$11,FALSE),0)</f>
        <v>0</v>
      </c>
      <c r="AM20" s="392">
        <f t="shared" si="19"/>
        <v>2400</v>
      </c>
      <c r="AN20" s="394">
        <f t="shared" si="24"/>
        <v>0</v>
      </c>
      <c r="AO20" s="138"/>
      <c r="AP20" s="395">
        <f t="shared" si="21"/>
        <v>0</v>
      </c>
      <c r="AQ20" s="396" t="str">
        <f t="shared" si="22"/>
        <v/>
      </c>
      <c r="AR20" s="397"/>
      <c r="AS20" s="3"/>
      <c r="AT20" s="3"/>
    </row>
    <row r="21" spans="1:46" ht="12" customHeight="1">
      <c r="A21" s="53"/>
      <c r="B21" s="328" t="s">
        <v>269</v>
      </c>
      <c r="C21" s="389" t="str">
        <f t="shared" si="0"/>
        <v>General Service &lt; 50 kW.LRAM Rate Rider</v>
      </c>
      <c r="D21" s="390" t="s">
        <v>337</v>
      </c>
      <c r="E21" s="328"/>
      <c r="F21" s="408">
        <f>'Proposed Rates'!E78+'Proposed Rates'!E91</f>
        <v>6.9999999999999999E-4</v>
      </c>
      <c r="G21" s="392">
        <f t="shared" si="1"/>
        <v>2400</v>
      </c>
      <c r="H21" s="394">
        <f t="shared" si="2"/>
        <v>1.68</v>
      </c>
      <c r="I21" s="138"/>
      <c r="J21" s="408">
        <f>'Proposed Rates'!F78+'Proposed Rates'!F91</f>
        <v>5.9999999999999995E-4</v>
      </c>
      <c r="K21" s="392">
        <f t="shared" si="3"/>
        <v>2400</v>
      </c>
      <c r="L21" s="394">
        <f t="shared" si="4"/>
        <v>1.44</v>
      </c>
      <c r="M21" s="138"/>
      <c r="N21" s="395">
        <f t="shared" si="5"/>
        <v>-0.24</v>
      </c>
      <c r="O21" s="396">
        <f t="shared" si="6"/>
        <v>-0.14285714285714285</v>
      </c>
      <c r="P21" s="53"/>
      <c r="Q21" s="408">
        <f>'Proposed Rates'!G78+'Proposed Rates'!G91</f>
        <v>0</v>
      </c>
      <c r="R21" s="392">
        <f t="shared" si="7"/>
        <v>2400</v>
      </c>
      <c r="S21" s="394">
        <f t="shared" si="8"/>
        <v>0</v>
      </c>
      <c r="T21" s="138"/>
      <c r="U21" s="395">
        <f t="shared" si="9"/>
        <v>-1.44</v>
      </c>
      <c r="V21" s="396">
        <f t="shared" si="10"/>
        <v>-1</v>
      </c>
      <c r="W21" s="53"/>
      <c r="X21" s="408">
        <f>IFERROR(VLOOKUP($C21,'Proposed Rates'!$B:$J,X$11,FALSE),0)</f>
        <v>0</v>
      </c>
      <c r="Y21" s="392">
        <f t="shared" si="11"/>
        <v>2400</v>
      </c>
      <c r="Z21" s="394">
        <f t="shared" si="12"/>
        <v>0</v>
      </c>
      <c r="AA21" s="138"/>
      <c r="AB21" s="395">
        <f t="shared" si="13"/>
        <v>0</v>
      </c>
      <c r="AC21" s="396" t="str">
        <f t="shared" si="14"/>
        <v/>
      </c>
      <c r="AD21" s="53"/>
      <c r="AE21" s="408">
        <f>IFERROR(VLOOKUP($C21,'Proposed Rates'!$B:$J,AE$11,FALSE),0)</f>
        <v>0</v>
      </c>
      <c r="AF21" s="392">
        <f t="shared" si="15"/>
        <v>2400</v>
      </c>
      <c r="AG21" s="394">
        <f t="shared" si="16"/>
        <v>0</v>
      </c>
      <c r="AH21" s="138"/>
      <c r="AI21" s="395">
        <f t="shared" si="17"/>
        <v>0</v>
      </c>
      <c r="AJ21" s="396" t="str">
        <f t="shared" si="18"/>
        <v/>
      </c>
      <c r="AK21" s="53"/>
      <c r="AL21" s="408">
        <f>IFERROR(VLOOKUP($C21,'Proposed Rates'!$B:$J,AL$11,FALSE),0)</f>
        <v>0</v>
      </c>
      <c r="AM21" s="392">
        <f t="shared" si="19"/>
        <v>2400</v>
      </c>
      <c r="AN21" s="394">
        <f t="shared" si="24"/>
        <v>0</v>
      </c>
      <c r="AO21" s="138"/>
      <c r="AP21" s="395">
        <f t="shared" si="21"/>
        <v>0</v>
      </c>
      <c r="AQ21" s="396" t="str">
        <f t="shared" si="22"/>
        <v/>
      </c>
      <c r="AR21" s="397"/>
      <c r="AS21" s="3"/>
      <c r="AT21" s="3"/>
    </row>
    <row r="22" spans="1:46" ht="12" customHeight="1">
      <c r="A22" s="53"/>
      <c r="B22" s="398" t="s">
        <v>265</v>
      </c>
      <c r="C22" s="389" t="str">
        <f t="shared" si="0"/>
        <v>General Service &lt; 50 kW.Deferral/Variance Account Disposition Rate Rider Group 2</v>
      </c>
      <c r="D22" s="390" t="s">
        <v>337</v>
      </c>
      <c r="E22" s="328"/>
      <c r="F22" s="408">
        <f>IFERROR(VLOOKUP($C22,'Proposed Rates'!$B:$J,F$11,FALSE),0)</f>
        <v>0</v>
      </c>
      <c r="G22" s="392">
        <f t="shared" si="1"/>
        <v>2400</v>
      </c>
      <c r="H22" s="394">
        <f t="shared" si="2"/>
        <v>0</v>
      </c>
      <c r="I22" s="138"/>
      <c r="J22" s="408">
        <f>IFERROR(VLOOKUP($C22,'Proposed Rates'!$B:$J,J$11,FALSE),0)</f>
        <v>-1.4E-3</v>
      </c>
      <c r="K22" s="392">
        <f t="shared" si="3"/>
        <v>2400</v>
      </c>
      <c r="L22" s="394">
        <f t="shared" si="4"/>
        <v>-3.36</v>
      </c>
      <c r="M22" s="138"/>
      <c r="N22" s="395">
        <f t="shared" si="5"/>
        <v>-3.36</v>
      </c>
      <c r="O22" s="396" t="str">
        <f t="shared" si="6"/>
        <v/>
      </c>
      <c r="P22" s="53"/>
      <c r="Q22" s="408">
        <f>IFERROR(VLOOKUP($C22,'Proposed Rates'!$B:$J,Q$11,FALSE),0)</f>
        <v>0</v>
      </c>
      <c r="R22" s="392">
        <f t="shared" si="7"/>
        <v>2400</v>
      </c>
      <c r="S22" s="394">
        <f t="shared" si="8"/>
        <v>0</v>
      </c>
      <c r="T22" s="138"/>
      <c r="U22" s="395">
        <f t="shared" si="9"/>
        <v>3.36</v>
      </c>
      <c r="V22" s="396">
        <f t="shared" si="10"/>
        <v>-1</v>
      </c>
      <c r="W22" s="53"/>
      <c r="X22" s="408">
        <f>IFERROR(VLOOKUP($C22,'Proposed Rates'!$B:$J,X$11,FALSE),0)</f>
        <v>0</v>
      </c>
      <c r="Y22" s="392">
        <f t="shared" si="11"/>
        <v>2400</v>
      </c>
      <c r="Z22" s="394">
        <f t="shared" si="12"/>
        <v>0</v>
      </c>
      <c r="AA22" s="138"/>
      <c r="AB22" s="395">
        <f t="shared" si="13"/>
        <v>0</v>
      </c>
      <c r="AC22" s="396" t="str">
        <f t="shared" si="14"/>
        <v/>
      </c>
      <c r="AD22" s="53"/>
      <c r="AE22" s="408">
        <f>IFERROR(VLOOKUP($C22,'Proposed Rates'!$B:$J,AE$11,FALSE),0)</f>
        <v>0</v>
      </c>
      <c r="AF22" s="392">
        <f t="shared" si="15"/>
        <v>2400</v>
      </c>
      <c r="AG22" s="394">
        <f t="shared" si="16"/>
        <v>0</v>
      </c>
      <c r="AH22" s="138"/>
      <c r="AI22" s="395">
        <f t="shared" si="17"/>
        <v>0</v>
      </c>
      <c r="AJ22" s="396" t="str">
        <f t="shared" si="18"/>
        <v/>
      </c>
      <c r="AK22" s="53"/>
      <c r="AL22" s="408">
        <f>IFERROR(VLOOKUP($C22,'Proposed Rates'!$B:$J,AL$11,FALSE),0)</f>
        <v>0</v>
      </c>
      <c r="AM22" s="392">
        <f t="shared" si="19"/>
        <v>2400</v>
      </c>
      <c r="AN22" s="394">
        <f t="shared" si="24"/>
        <v>0</v>
      </c>
      <c r="AO22" s="138"/>
      <c r="AP22" s="395">
        <f t="shared" si="21"/>
        <v>0</v>
      </c>
      <c r="AQ22" s="396" t="str">
        <f t="shared" si="22"/>
        <v/>
      </c>
      <c r="AR22" s="397"/>
      <c r="AS22" s="3"/>
      <c r="AT22" s="3"/>
    </row>
    <row r="23" spans="1:46" ht="12" customHeight="1">
      <c r="A23" s="53"/>
      <c r="B23" s="398"/>
      <c r="C23" s="389" t="str">
        <f t="shared" si="0"/>
        <v>General Service &lt; 50 kW.</v>
      </c>
      <c r="D23" s="390"/>
      <c r="E23" s="328"/>
      <c r="F23" s="408">
        <f>IFERROR(VLOOKUP($C23,'Proposed Rates'!$B:$J,F$11,FALSE),0)</f>
        <v>0</v>
      </c>
      <c r="G23" s="392">
        <f t="shared" si="1"/>
        <v>0</v>
      </c>
      <c r="H23" s="394">
        <f t="shared" si="2"/>
        <v>0</v>
      </c>
      <c r="I23" s="138"/>
      <c r="J23" s="408">
        <f>IFERROR(VLOOKUP($C23,'Proposed Rates'!$B:$J,J$11,FALSE),0)</f>
        <v>0</v>
      </c>
      <c r="K23" s="392">
        <f t="shared" si="3"/>
        <v>0</v>
      </c>
      <c r="L23" s="394">
        <f t="shared" si="4"/>
        <v>0</v>
      </c>
      <c r="M23" s="138"/>
      <c r="N23" s="395">
        <f t="shared" si="5"/>
        <v>0</v>
      </c>
      <c r="O23" s="396" t="str">
        <f t="shared" si="6"/>
        <v/>
      </c>
      <c r="P23" s="53"/>
      <c r="Q23" s="408">
        <f>IFERROR(VLOOKUP($C23,'Proposed Rates'!$B:$J,Q$11,FALSE),0)</f>
        <v>0</v>
      </c>
      <c r="R23" s="392">
        <f t="shared" si="7"/>
        <v>0</v>
      </c>
      <c r="S23" s="394">
        <f t="shared" si="8"/>
        <v>0</v>
      </c>
      <c r="T23" s="138"/>
      <c r="U23" s="395">
        <f t="shared" si="9"/>
        <v>0</v>
      </c>
      <c r="V23" s="396" t="str">
        <f t="shared" si="10"/>
        <v/>
      </c>
      <c r="W23" s="53"/>
      <c r="X23" s="408">
        <f>IFERROR(VLOOKUP($C23,'Proposed Rates'!$B:$J,X$11,FALSE),0)</f>
        <v>0</v>
      </c>
      <c r="Y23" s="392">
        <f t="shared" si="11"/>
        <v>0</v>
      </c>
      <c r="Z23" s="394">
        <f t="shared" si="12"/>
        <v>0</v>
      </c>
      <c r="AA23" s="138"/>
      <c r="AB23" s="395">
        <f t="shared" si="13"/>
        <v>0</v>
      </c>
      <c r="AC23" s="396" t="str">
        <f t="shared" si="14"/>
        <v/>
      </c>
      <c r="AD23" s="53"/>
      <c r="AE23" s="408">
        <f>IFERROR(VLOOKUP($C23,'Proposed Rates'!$B:$J,AE$11,FALSE),0)</f>
        <v>0</v>
      </c>
      <c r="AF23" s="392">
        <f t="shared" si="15"/>
        <v>0</v>
      </c>
      <c r="AG23" s="394">
        <f t="shared" si="16"/>
        <v>0</v>
      </c>
      <c r="AH23" s="138"/>
      <c r="AI23" s="395">
        <f t="shared" si="17"/>
        <v>0</v>
      </c>
      <c r="AJ23" s="396" t="str">
        <f t="shared" si="18"/>
        <v/>
      </c>
      <c r="AK23" s="53"/>
      <c r="AL23" s="408">
        <f>IFERROR(VLOOKUP($C23,'Proposed Rates'!$B:$J,AL$11,FALSE),0)</f>
        <v>0</v>
      </c>
      <c r="AM23" s="392">
        <f t="shared" si="19"/>
        <v>0</v>
      </c>
      <c r="AN23" s="394">
        <f t="shared" si="24"/>
        <v>0</v>
      </c>
      <c r="AO23" s="138"/>
      <c r="AP23" s="395">
        <f t="shared" si="21"/>
        <v>0</v>
      </c>
      <c r="AQ23" s="396" t="str">
        <f t="shared" si="22"/>
        <v/>
      </c>
      <c r="AR23" s="397"/>
      <c r="AS23" s="3"/>
      <c r="AT23" s="3"/>
    </row>
    <row r="24" spans="1:46" ht="12" customHeight="1">
      <c r="A24" s="53"/>
      <c r="B24" s="398"/>
      <c r="C24" s="389" t="str">
        <f t="shared" si="0"/>
        <v>General Service &lt; 50 kW.</v>
      </c>
      <c r="D24" s="390"/>
      <c r="E24" s="328"/>
      <c r="F24" s="408">
        <f>IFERROR(VLOOKUP($C24,'Proposed Rates'!$B:$J,F$11,FALSE),0)</f>
        <v>0</v>
      </c>
      <c r="G24" s="392">
        <f t="shared" si="1"/>
        <v>0</v>
      </c>
      <c r="H24" s="394">
        <f t="shared" si="2"/>
        <v>0</v>
      </c>
      <c r="I24" s="138"/>
      <c r="J24" s="408">
        <f>IFERROR(VLOOKUP($C24,'Proposed Rates'!$B:$J,J$11,FALSE),0)</f>
        <v>0</v>
      </c>
      <c r="K24" s="392">
        <f t="shared" si="3"/>
        <v>0</v>
      </c>
      <c r="L24" s="394">
        <f t="shared" si="4"/>
        <v>0</v>
      </c>
      <c r="M24" s="138"/>
      <c r="N24" s="395">
        <f t="shared" si="5"/>
        <v>0</v>
      </c>
      <c r="O24" s="396" t="str">
        <f t="shared" si="6"/>
        <v/>
      </c>
      <c r="P24" s="53"/>
      <c r="Q24" s="408">
        <f>IFERROR(VLOOKUP($C24,'Proposed Rates'!$B:$J,Q$11,FALSE),0)</f>
        <v>0</v>
      </c>
      <c r="R24" s="392">
        <f t="shared" si="7"/>
        <v>0</v>
      </c>
      <c r="S24" s="394">
        <f t="shared" si="8"/>
        <v>0</v>
      </c>
      <c r="T24" s="138"/>
      <c r="U24" s="395">
        <f t="shared" si="9"/>
        <v>0</v>
      </c>
      <c r="V24" s="396" t="str">
        <f t="shared" si="10"/>
        <v/>
      </c>
      <c r="W24" s="53"/>
      <c r="X24" s="408">
        <f>IFERROR(VLOOKUP($C24,'Proposed Rates'!$B:$J,X$11,FALSE),0)</f>
        <v>0</v>
      </c>
      <c r="Y24" s="392">
        <f t="shared" si="11"/>
        <v>0</v>
      </c>
      <c r="Z24" s="394">
        <f t="shared" si="12"/>
        <v>0</v>
      </c>
      <c r="AA24" s="138"/>
      <c r="AB24" s="395">
        <f t="shared" si="13"/>
        <v>0</v>
      </c>
      <c r="AC24" s="396" t="str">
        <f t="shared" si="14"/>
        <v/>
      </c>
      <c r="AD24" s="53"/>
      <c r="AE24" s="408">
        <f>IFERROR(VLOOKUP($C24,'Proposed Rates'!$B:$J,AE$11,FALSE),0)</f>
        <v>0</v>
      </c>
      <c r="AF24" s="392">
        <f t="shared" si="15"/>
        <v>0</v>
      </c>
      <c r="AG24" s="394">
        <f t="shared" si="16"/>
        <v>0</v>
      </c>
      <c r="AH24" s="138"/>
      <c r="AI24" s="395">
        <f t="shared" si="17"/>
        <v>0</v>
      </c>
      <c r="AJ24" s="396" t="str">
        <f t="shared" si="18"/>
        <v/>
      </c>
      <c r="AK24" s="53"/>
      <c r="AL24" s="408">
        <f>IFERROR(VLOOKUP($C24,'Proposed Rates'!$B:$J,AL$11,FALSE),0)</f>
        <v>0</v>
      </c>
      <c r="AM24" s="392">
        <f t="shared" si="19"/>
        <v>0</v>
      </c>
      <c r="AN24" s="394">
        <f t="shared" si="24"/>
        <v>0</v>
      </c>
      <c r="AO24" s="138"/>
      <c r="AP24" s="395">
        <f t="shared" si="21"/>
        <v>0</v>
      </c>
      <c r="AQ24" s="396" t="str">
        <f t="shared" si="22"/>
        <v/>
      </c>
      <c r="AR24" s="397"/>
      <c r="AS24" s="3"/>
      <c r="AT24" s="3"/>
    </row>
    <row r="25" spans="1:46" ht="12" customHeight="1">
      <c r="A25" s="53"/>
      <c r="B25" s="398"/>
      <c r="C25" s="389" t="str">
        <f t="shared" si="0"/>
        <v>General Service &lt; 50 kW.</v>
      </c>
      <c r="D25" s="390"/>
      <c r="E25" s="328"/>
      <c r="F25" s="408">
        <f>IFERROR(VLOOKUP($C25,'Proposed Rates'!$B:$J,F$11,FALSE),0)</f>
        <v>0</v>
      </c>
      <c r="G25" s="392">
        <f t="shared" si="1"/>
        <v>0</v>
      </c>
      <c r="H25" s="394">
        <f t="shared" si="2"/>
        <v>0</v>
      </c>
      <c r="I25" s="138"/>
      <c r="J25" s="408">
        <f>IFERROR(VLOOKUP($C25,'Proposed Rates'!$B:$J,J$11,FALSE),0)</f>
        <v>0</v>
      </c>
      <c r="K25" s="392">
        <f t="shared" si="3"/>
        <v>0</v>
      </c>
      <c r="L25" s="394">
        <f t="shared" si="4"/>
        <v>0</v>
      </c>
      <c r="M25" s="138"/>
      <c r="N25" s="395">
        <f t="shared" si="5"/>
        <v>0</v>
      </c>
      <c r="O25" s="396" t="str">
        <f t="shared" si="6"/>
        <v/>
      </c>
      <c r="P25" s="53"/>
      <c r="Q25" s="408">
        <f>IFERROR(VLOOKUP($C25,'Proposed Rates'!$B:$J,Q$11,FALSE),0)</f>
        <v>0</v>
      </c>
      <c r="R25" s="392">
        <f t="shared" si="7"/>
        <v>0</v>
      </c>
      <c r="S25" s="394">
        <f t="shared" si="8"/>
        <v>0</v>
      </c>
      <c r="T25" s="138"/>
      <c r="U25" s="395">
        <f t="shared" si="9"/>
        <v>0</v>
      </c>
      <c r="V25" s="396" t="str">
        <f t="shared" si="10"/>
        <v/>
      </c>
      <c r="W25" s="53"/>
      <c r="X25" s="408">
        <f>IFERROR(VLOOKUP($C25,'Proposed Rates'!$B:$J,X$11,FALSE),0)</f>
        <v>0</v>
      </c>
      <c r="Y25" s="392">
        <f t="shared" si="11"/>
        <v>0</v>
      </c>
      <c r="Z25" s="394">
        <f t="shared" si="12"/>
        <v>0</v>
      </c>
      <c r="AA25" s="138"/>
      <c r="AB25" s="395">
        <f t="shared" si="13"/>
        <v>0</v>
      </c>
      <c r="AC25" s="396" t="str">
        <f t="shared" si="14"/>
        <v/>
      </c>
      <c r="AD25" s="53"/>
      <c r="AE25" s="408">
        <f>IFERROR(VLOOKUP($C25,'Proposed Rates'!$B:$J,AE$11,FALSE),0)</f>
        <v>0</v>
      </c>
      <c r="AF25" s="392">
        <f t="shared" si="15"/>
        <v>0</v>
      </c>
      <c r="AG25" s="394">
        <f t="shared" si="16"/>
        <v>0</v>
      </c>
      <c r="AH25" s="138"/>
      <c r="AI25" s="395">
        <f t="shared" si="17"/>
        <v>0</v>
      </c>
      <c r="AJ25" s="396" t="str">
        <f t="shared" si="18"/>
        <v/>
      </c>
      <c r="AK25" s="53"/>
      <c r="AL25" s="408">
        <f>IFERROR(VLOOKUP($C25,'Proposed Rates'!$B:$J,AL$11,FALSE),0)</f>
        <v>0</v>
      </c>
      <c r="AM25" s="392">
        <f t="shared" si="19"/>
        <v>0</v>
      </c>
      <c r="AN25" s="394">
        <f t="shared" si="24"/>
        <v>0</v>
      </c>
      <c r="AO25" s="138"/>
      <c r="AP25" s="395">
        <f t="shared" si="21"/>
        <v>0</v>
      </c>
      <c r="AQ25" s="396" t="str">
        <f t="shared" si="22"/>
        <v/>
      </c>
      <c r="AR25" s="397"/>
      <c r="AS25" s="3"/>
      <c r="AT25" s="3"/>
    </row>
    <row r="26" spans="1:46" ht="12" customHeight="1">
      <c r="A26" s="53"/>
      <c r="B26" s="398"/>
      <c r="C26" s="389" t="str">
        <f t="shared" si="0"/>
        <v>General Service &lt; 50 kW.</v>
      </c>
      <c r="D26" s="390"/>
      <c r="E26" s="328"/>
      <c r="F26" s="408">
        <f>IFERROR(VLOOKUP($C26,'Proposed Rates'!$B:$J,F$11,FALSE),0)</f>
        <v>0</v>
      </c>
      <c r="G26" s="392">
        <f t="shared" si="1"/>
        <v>0</v>
      </c>
      <c r="H26" s="394">
        <f t="shared" si="2"/>
        <v>0</v>
      </c>
      <c r="I26" s="138"/>
      <c r="J26" s="408">
        <f>IFERROR(VLOOKUP($C26,'Proposed Rates'!$B:$J,J$11,FALSE),0)</f>
        <v>0</v>
      </c>
      <c r="K26" s="392">
        <f t="shared" si="3"/>
        <v>0</v>
      </c>
      <c r="L26" s="394">
        <f t="shared" si="4"/>
        <v>0</v>
      </c>
      <c r="M26" s="138"/>
      <c r="N26" s="395">
        <f t="shared" si="5"/>
        <v>0</v>
      </c>
      <c r="O26" s="396" t="str">
        <f t="shared" si="6"/>
        <v/>
      </c>
      <c r="P26" s="53"/>
      <c r="Q26" s="408">
        <f>IFERROR(VLOOKUP($C26,'Proposed Rates'!$B:$J,Q$11,FALSE),0)</f>
        <v>0</v>
      </c>
      <c r="R26" s="392">
        <f t="shared" si="7"/>
        <v>0</v>
      </c>
      <c r="S26" s="394">
        <f t="shared" si="8"/>
        <v>0</v>
      </c>
      <c r="T26" s="138"/>
      <c r="U26" s="395">
        <f t="shared" si="9"/>
        <v>0</v>
      </c>
      <c r="V26" s="396" t="str">
        <f t="shared" si="10"/>
        <v/>
      </c>
      <c r="W26" s="53"/>
      <c r="X26" s="408">
        <f>IFERROR(VLOOKUP($C26,'Proposed Rates'!$B:$J,X$11,FALSE),0)</f>
        <v>0</v>
      </c>
      <c r="Y26" s="392">
        <f t="shared" si="11"/>
        <v>0</v>
      </c>
      <c r="Z26" s="394">
        <f t="shared" si="12"/>
        <v>0</v>
      </c>
      <c r="AA26" s="138"/>
      <c r="AB26" s="395">
        <f t="shared" si="13"/>
        <v>0</v>
      </c>
      <c r="AC26" s="396" t="str">
        <f t="shared" si="14"/>
        <v/>
      </c>
      <c r="AD26" s="53"/>
      <c r="AE26" s="408">
        <f>IFERROR(VLOOKUP($C26,'Proposed Rates'!$B:$J,AE$11,FALSE),0)</f>
        <v>0</v>
      </c>
      <c r="AF26" s="392">
        <f t="shared" si="15"/>
        <v>0</v>
      </c>
      <c r="AG26" s="394">
        <f t="shared" si="16"/>
        <v>0</v>
      </c>
      <c r="AH26" s="138"/>
      <c r="AI26" s="395">
        <f t="shared" si="17"/>
        <v>0</v>
      </c>
      <c r="AJ26" s="396" t="str">
        <f t="shared" si="18"/>
        <v/>
      </c>
      <c r="AK26" s="53"/>
      <c r="AL26" s="408">
        <f>IFERROR(VLOOKUP($C26,'Proposed Rates'!$B:$J,AL$11,FALSE),0)</f>
        <v>0</v>
      </c>
      <c r="AM26" s="392">
        <f t="shared" si="19"/>
        <v>0</v>
      </c>
      <c r="AN26" s="394">
        <f t="shared" si="24"/>
        <v>0</v>
      </c>
      <c r="AO26" s="138"/>
      <c r="AP26" s="395">
        <f t="shared" si="21"/>
        <v>0</v>
      </c>
      <c r="AQ26" s="396" t="str">
        <f t="shared" si="22"/>
        <v/>
      </c>
      <c r="AR26" s="397"/>
      <c r="AS26" s="3"/>
      <c r="AT26" s="3"/>
    </row>
    <row r="27" spans="1:46" ht="12" customHeight="1">
      <c r="A27" s="53"/>
      <c r="B27" s="398"/>
      <c r="C27" s="389" t="str">
        <f t="shared" si="0"/>
        <v>General Service &lt; 50 kW.</v>
      </c>
      <c r="D27" s="390"/>
      <c r="E27" s="328"/>
      <c r="F27" s="408">
        <f>IFERROR(VLOOKUP($C27,'Proposed Rates'!$B:$J,F$11,FALSE),0)</f>
        <v>0</v>
      </c>
      <c r="G27" s="392">
        <f t="shared" si="1"/>
        <v>0</v>
      </c>
      <c r="H27" s="394">
        <f t="shared" si="2"/>
        <v>0</v>
      </c>
      <c r="I27" s="138"/>
      <c r="J27" s="408">
        <f>IFERROR(VLOOKUP($C27,'Proposed Rates'!$B:$J,J$11,FALSE),0)</f>
        <v>0</v>
      </c>
      <c r="K27" s="392">
        <f t="shared" si="3"/>
        <v>0</v>
      </c>
      <c r="L27" s="394">
        <f t="shared" si="4"/>
        <v>0</v>
      </c>
      <c r="M27" s="138"/>
      <c r="N27" s="395">
        <f t="shared" si="5"/>
        <v>0</v>
      </c>
      <c r="O27" s="396" t="str">
        <f t="shared" si="6"/>
        <v/>
      </c>
      <c r="P27" s="53"/>
      <c r="Q27" s="408">
        <f>IFERROR(VLOOKUP($C27,'Proposed Rates'!$B:$J,Q$11,FALSE),0)</f>
        <v>0</v>
      </c>
      <c r="R27" s="392">
        <f t="shared" si="7"/>
        <v>0</v>
      </c>
      <c r="S27" s="394">
        <f t="shared" si="8"/>
        <v>0</v>
      </c>
      <c r="T27" s="138"/>
      <c r="U27" s="395">
        <f t="shared" si="9"/>
        <v>0</v>
      </c>
      <c r="V27" s="396" t="str">
        <f t="shared" si="10"/>
        <v/>
      </c>
      <c r="W27" s="53"/>
      <c r="X27" s="408">
        <f>IFERROR(VLOOKUP($C27,'Proposed Rates'!$B:$J,X$11,FALSE),0)</f>
        <v>0</v>
      </c>
      <c r="Y27" s="392">
        <f t="shared" si="11"/>
        <v>0</v>
      </c>
      <c r="Z27" s="394">
        <f t="shared" si="12"/>
        <v>0</v>
      </c>
      <c r="AA27" s="138"/>
      <c r="AB27" s="395">
        <f t="shared" si="13"/>
        <v>0</v>
      </c>
      <c r="AC27" s="396" t="str">
        <f t="shared" si="14"/>
        <v/>
      </c>
      <c r="AD27" s="53"/>
      <c r="AE27" s="408">
        <f>IFERROR(VLOOKUP($C27,'Proposed Rates'!$B:$J,AE$11,FALSE),0)</f>
        <v>0</v>
      </c>
      <c r="AF27" s="392">
        <f t="shared" si="15"/>
        <v>0</v>
      </c>
      <c r="AG27" s="394">
        <f t="shared" si="16"/>
        <v>0</v>
      </c>
      <c r="AH27" s="138"/>
      <c r="AI27" s="395">
        <f t="shared" si="17"/>
        <v>0</v>
      </c>
      <c r="AJ27" s="396" t="str">
        <f t="shared" si="18"/>
        <v/>
      </c>
      <c r="AK27" s="53"/>
      <c r="AL27" s="408">
        <f>IFERROR(VLOOKUP($C27,'Proposed Rates'!$B:$J,AL$11,FALSE),0)</f>
        <v>0</v>
      </c>
      <c r="AM27" s="392">
        <f t="shared" si="19"/>
        <v>0</v>
      </c>
      <c r="AN27" s="394">
        <f t="shared" si="24"/>
        <v>0</v>
      </c>
      <c r="AO27" s="138"/>
      <c r="AP27" s="395">
        <f t="shared" si="21"/>
        <v>0</v>
      </c>
      <c r="AQ27" s="396" t="str">
        <f t="shared" si="22"/>
        <v/>
      </c>
      <c r="AR27" s="397"/>
      <c r="AS27" s="3"/>
      <c r="AT27" s="3"/>
    </row>
    <row r="28" spans="1:46" ht="12" customHeight="1">
      <c r="A28" s="53"/>
      <c r="B28" s="398"/>
      <c r="C28" s="389" t="str">
        <f t="shared" si="0"/>
        <v>General Service &lt; 50 kW.</v>
      </c>
      <c r="D28" s="390"/>
      <c r="E28" s="328"/>
      <c r="F28" s="408">
        <f>IFERROR(VLOOKUP($C28,'Proposed Rates'!$B:$J,F$11,FALSE),0)</f>
        <v>0</v>
      </c>
      <c r="G28" s="392">
        <f t="shared" si="1"/>
        <v>0</v>
      </c>
      <c r="H28" s="394">
        <f t="shared" si="2"/>
        <v>0</v>
      </c>
      <c r="I28" s="138"/>
      <c r="J28" s="408">
        <f>IFERROR(VLOOKUP($C28,'Proposed Rates'!$B:$J,J$11,FALSE),0)</f>
        <v>0</v>
      </c>
      <c r="K28" s="392">
        <f t="shared" si="3"/>
        <v>0</v>
      </c>
      <c r="L28" s="394">
        <f t="shared" si="4"/>
        <v>0</v>
      </c>
      <c r="M28" s="138"/>
      <c r="N28" s="395">
        <f t="shared" si="5"/>
        <v>0</v>
      </c>
      <c r="O28" s="396" t="str">
        <f t="shared" si="6"/>
        <v/>
      </c>
      <c r="P28" s="53"/>
      <c r="Q28" s="408">
        <f>IFERROR(VLOOKUP($C28,'Proposed Rates'!$B:$J,Q$11,FALSE),0)</f>
        <v>0</v>
      </c>
      <c r="R28" s="392">
        <f t="shared" si="7"/>
        <v>0</v>
      </c>
      <c r="S28" s="394">
        <f t="shared" si="8"/>
        <v>0</v>
      </c>
      <c r="T28" s="138"/>
      <c r="U28" s="395">
        <f t="shared" si="9"/>
        <v>0</v>
      </c>
      <c r="V28" s="396" t="str">
        <f t="shared" si="10"/>
        <v/>
      </c>
      <c r="W28" s="53"/>
      <c r="X28" s="408">
        <f>IFERROR(VLOOKUP($C28,'Proposed Rates'!$B:$J,X$11,FALSE),0)</f>
        <v>0</v>
      </c>
      <c r="Y28" s="392">
        <f t="shared" si="11"/>
        <v>0</v>
      </c>
      <c r="Z28" s="394">
        <f t="shared" si="12"/>
        <v>0</v>
      </c>
      <c r="AA28" s="138"/>
      <c r="AB28" s="395">
        <f t="shared" si="13"/>
        <v>0</v>
      </c>
      <c r="AC28" s="396" t="str">
        <f t="shared" si="14"/>
        <v/>
      </c>
      <c r="AD28" s="53"/>
      <c r="AE28" s="408">
        <f>IFERROR(VLOOKUP($C28,'Proposed Rates'!$B:$J,AE$11,FALSE),0)</f>
        <v>0</v>
      </c>
      <c r="AF28" s="392">
        <f t="shared" si="15"/>
        <v>0</v>
      </c>
      <c r="AG28" s="394">
        <f t="shared" si="16"/>
        <v>0</v>
      </c>
      <c r="AH28" s="138"/>
      <c r="AI28" s="395">
        <f t="shared" si="17"/>
        <v>0</v>
      </c>
      <c r="AJ28" s="396" t="str">
        <f t="shared" si="18"/>
        <v/>
      </c>
      <c r="AK28" s="53"/>
      <c r="AL28" s="408">
        <f>IFERROR(VLOOKUP($C28,'Proposed Rates'!$B:$J,AL$11,FALSE),0)</f>
        <v>0</v>
      </c>
      <c r="AM28" s="392">
        <f t="shared" si="19"/>
        <v>0</v>
      </c>
      <c r="AN28" s="394">
        <f t="shared" si="24"/>
        <v>0</v>
      </c>
      <c r="AO28" s="138"/>
      <c r="AP28" s="395">
        <f t="shared" si="21"/>
        <v>0</v>
      </c>
      <c r="AQ28" s="396" t="str">
        <f t="shared" si="22"/>
        <v/>
      </c>
      <c r="AR28" s="397"/>
      <c r="AS28" s="3"/>
      <c r="AT28" s="3"/>
    </row>
    <row r="29" spans="1:46" ht="12" customHeight="1">
      <c r="A29" s="314"/>
      <c r="B29" s="399" t="s">
        <v>339</v>
      </c>
      <c r="C29" s="400"/>
      <c r="D29" s="400"/>
      <c r="E29" s="400"/>
      <c r="F29" s="401"/>
      <c r="G29" s="494"/>
      <c r="H29" s="403">
        <f>SUM(H15:H28)</f>
        <v>98.410000000000011</v>
      </c>
      <c r="I29" s="404"/>
      <c r="J29" s="401"/>
      <c r="K29" s="494"/>
      <c r="L29" s="496">
        <f>SUM(L15:L28)</f>
        <v>109.95</v>
      </c>
      <c r="M29" s="404"/>
      <c r="N29" s="405">
        <f t="shared" si="5"/>
        <v>11.539999999999992</v>
      </c>
      <c r="O29" s="406">
        <f t="shared" si="6"/>
        <v>0.11726450563967067</v>
      </c>
      <c r="P29" s="314"/>
      <c r="Q29" s="401"/>
      <c r="R29" s="494"/>
      <c r="S29" s="403">
        <f>SUM(S15:S28)</f>
        <v>116.96999999999998</v>
      </c>
      <c r="T29" s="404"/>
      <c r="U29" s="405">
        <f t="shared" si="9"/>
        <v>7.0199999999999818</v>
      </c>
      <c r="V29" s="406">
        <f t="shared" si="10"/>
        <v>6.3847203274215392E-2</v>
      </c>
      <c r="W29" s="314"/>
      <c r="X29" s="401"/>
      <c r="Y29" s="494"/>
      <c r="Z29" s="403">
        <f>SUM(Z15:Z28)</f>
        <v>120.26</v>
      </c>
      <c r="AA29" s="404"/>
      <c r="AB29" s="405">
        <f t="shared" si="13"/>
        <v>3.2900000000000205</v>
      </c>
      <c r="AC29" s="406">
        <f t="shared" si="14"/>
        <v>2.8126870137642309E-2</v>
      </c>
      <c r="AD29" s="314"/>
      <c r="AE29" s="401"/>
      <c r="AF29" s="494"/>
      <c r="AG29" s="403">
        <f>SUM(AG15:AG28)</f>
        <v>122.17</v>
      </c>
      <c r="AH29" s="404"/>
      <c r="AI29" s="405">
        <f t="shared" si="17"/>
        <v>1.9099999999999966</v>
      </c>
      <c r="AJ29" s="406">
        <f t="shared" si="18"/>
        <v>1.5882255113919812E-2</v>
      </c>
      <c r="AK29" s="314"/>
      <c r="AL29" s="401"/>
      <c r="AM29" s="494"/>
      <c r="AN29" s="403">
        <f>SUM(AN15:AN28)</f>
        <v>124.05000000000001</v>
      </c>
      <c r="AO29" s="404"/>
      <c r="AP29" s="405">
        <f t="shared" si="21"/>
        <v>1.8800000000000097</v>
      </c>
      <c r="AQ29" s="406">
        <f t="shared" si="22"/>
        <v>1.5388393222558808E-2</v>
      </c>
      <c r="AR29" s="407"/>
      <c r="AS29" s="3"/>
      <c r="AT29" s="3"/>
    </row>
    <row r="30" spans="1:46" ht="12" customHeight="1">
      <c r="A30" s="53"/>
      <c r="B30" s="398" t="s">
        <v>262</v>
      </c>
      <c r="C30" s="389" t="str">
        <f t="shared" ref="C30:C36" si="25">D$6&amp;"."&amp;B30</f>
        <v>General Service &lt; 50 kW.DVA Disposition Rate Rider Group 1 -2025</v>
      </c>
      <c r="D30" s="390" t="s">
        <v>337</v>
      </c>
      <c r="E30" s="328"/>
      <c r="F30" s="408">
        <f>IFERROR(VLOOKUP($C30,'Proposed Rates'!$B:$J,F$11,FALSE),0)</f>
        <v>0</v>
      </c>
      <c r="G30" s="392">
        <f t="shared" ref="G30:G33" si="26">IF($D30="Monthly",1,IF($D30="per KWH",$F$10,0))</f>
        <v>2400</v>
      </c>
      <c r="H30" s="394">
        <f t="shared" ref="H30:H36" si="27">G30*F30</f>
        <v>0</v>
      </c>
      <c r="I30" s="138"/>
      <c r="J30" s="408">
        <f>IFERROR(VLOOKUP($C30,'Proposed Rates'!$B:$J,J$11,FALSE),0)</f>
        <v>-8.9999999999999998E-4</v>
      </c>
      <c r="K30" s="392">
        <f t="shared" ref="K30:K33" si="28">IF($D30="Monthly",1,IF($D30="per KWH",$F$10,0))</f>
        <v>2400</v>
      </c>
      <c r="L30" s="394">
        <f t="shared" ref="L30:L36" si="29">K30*J30</f>
        <v>-2.16</v>
      </c>
      <c r="M30" s="138"/>
      <c r="N30" s="395">
        <f t="shared" si="5"/>
        <v>-2.16</v>
      </c>
      <c r="O30" s="396" t="str">
        <f t="shared" si="6"/>
        <v/>
      </c>
      <c r="P30" s="53"/>
      <c r="Q30" s="408">
        <f>IFERROR(VLOOKUP($C30,'Proposed Rates'!$B:$J,Q$11,FALSE),0)</f>
        <v>0</v>
      </c>
      <c r="R30" s="392">
        <f t="shared" ref="R30:R33" si="30">IF($D30="Monthly",1,IF($D30="per KWH",$F$10,0))</f>
        <v>2400</v>
      </c>
      <c r="S30" s="394">
        <f t="shared" ref="S30:S36" si="31">R30*Q30</f>
        <v>0</v>
      </c>
      <c r="T30" s="138"/>
      <c r="U30" s="395">
        <f t="shared" si="9"/>
        <v>2.16</v>
      </c>
      <c r="V30" s="396">
        <f t="shared" si="10"/>
        <v>-1</v>
      </c>
      <c r="W30" s="53"/>
      <c r="X30" s="408">
        <f>IFERROR(VLOOKUP($C30,'Proposed Rates'!$B:$J,X$11,FALSE),0)</f>
        <v>0</v>
      </c>
      <c r="Y30" s="392">
        <f t="shared" ref="Y30:Y33" si="32">IF($D30="Monthly",1,IF($D30="per KWH",$F$10,0))</f>
        <v>2400</v>
      </c>
      <c r="Z30" s="394">
        <f t="shared" ref="Z30:Z36" si="33">Y30*X30</f>
        <v>0</v>
      </c>
      <c r="AA30" s="138"/>
      <c r="AB30" s="395">
        <f t="shared" si="13"/>
        <v>0</v>
      </c>
      <c r="AC30" s="396" t="str">
        <f t="shared" si="14"/>
        <v/>
      </c>
      <c r="AD30" s="53"/>
      <c r="AE30" s="408">
        <f>IFERROR(VLOOKUP($C30,'Proposed Rates'!$B:$J,AE$11,FALSE),0)</f>
        <v>0</v>
      </c>
      <c r="AF30" s="392">
        <f t="shared" ref="AF30:AF33" si="34">IF($D30="Monthly",1,IF($D30="per KWH",$F$10,0))</f>
        <v>2400</v>
      </c>
      <c r="AG30" s="394">
        <f t="shared" ref="AG30:AG36" si="35">AF30*AE30</f>
        <v>0</v>
      </c>
      <c r="AH30" s="138"/>
      <c r="AI30" s="395">
        <f t="shared" si="17"/>
        <v>0</v>
      </c>
      <c r="AJ30" s="396" t="str">
        <f t="shared" si="18"/>
        <v/>
      </c>
      <c r="AK30" s="53"/>
      <c r="AL30" s="408">
        <f>IFERROR(VLOOKUP($C30,'Proposed Rates'!$B:$J,AL$11,FALSE),0)</f>
        <v>0</v>
      </c>
      <c r="AM30" s="392">
        <f t="shared" ref="AM30:AM33" si="36">IF($D30="Monthly",1,IF($D30="per KWH",$F$10,0))</f>
        <v>2400</v>
      </c>
      <c r="AN30" s="394">
        <f t="shared" ref="AN30:AN36" si="37">AM30*AL30</f>
        <v>0</v>
      </c>
      <c r="AO30" s="138"/>
      <c r="AP30" s="395">
        <f t="shared" si="21"/>
        <v>0</v>
      </c>
      <c r="AQ30" s="396" t="str">
        <f t="shared" si="22"/>
        <v/>
      </c>
      <c r="AR30" s="397"/>
      <c r="AS30" s="3"/>
      <c r="AT30" s="3"/>
    </row>
    <row r="31" spans="1:46" ht="12" customHeight="1">
      <c r="A31" s="53"/>
      <c r="B31" s="398" t="s">
        <v>264</v>
      </c>
      <c r="C31" s="389" t="str">
        <f t="shared" si="25"/>
        <v>General Service &lt; 50 kW.DVA Disposition Rate Rider Group 1 - 2024</v>
      </c>
      <c r="D31" s="390" t="s">
        <v>337</v>
      </c>
      <c r="E31" s="328"/>
      <c r="F31" s="408">
        <f>IFERROR(VLOOKUP($C31,'Proposed Rates'!$B:$J,F$11,FALSE),0)</f>
        <v>0</v>
      </c>
      <c r="G31" s="392">
        <f t="shared" si="26"/>
        <v>2400</v>
      </c>
      <c r="H31" s="394">
        <f t="shared" si="27"/>
        <v>0</v>
      </c>
      <c r="I31" s="479"/>
      <c r="J31" s="408">
        <f>IFERROR(VLOOKUP($C31,'Proposed Rates'!$B:$J,J$11,FALSE),0)</f>
        <v>0</v>
      </c>
      <c r="K31" s="392">
        <f t="shared" si="28"/>
        <v>2400</v>
      </c>
      <c r="L31" s="394">
        <f t="shared" si="29"/>
        <v>0</v>
      </c>
      <c r="M31" s="411"/>
      <c r="N31" s="395">
        <f t="shared" si="5"/>
        <v>0</v>
      </c>
      <c r="O31" s="396" t="str">
        <f t="shared" si="6"/>
        <v/>
      </c>
      <c r="P31" s="53"/>
      <c r="Q31" s="408">
        <f>IFERROR(VLOOKUP($C31,'Proposed Rates'!$B:$J,Q$11,FALSE),0)</f>
        <v>0</v>
      </c>
      <c r="R31" s="392">
        <f t="shared" si="30"/>
        <v>2400</v>
      </c>
      <c r="S31" s="394">
        <f t="shared" si="31"/>
        <v>0</v>
      </c>
      <c r="T31" s="411"/>
      <c r="U31" s="395">
        <f t="shared" si="9"/>
        <v>0</v>
      </c>
      <c r="V31" s="396" t="str">
        <f t="shared" si="10"/>
        <v/>
      </c>
      <c r="W31" s="53"/>
      <c r="X31" s="408">
        <f>IFERROR(VLOOKUP($C31,'Proposed Rates'!$B:$J,X$11,FALSE),0)</f>
        <v>0</v>
      </c>
      <c r="Y31" s="392">
        <f t="shared" si="32"/>
        <v>2400</v>
      </c>
      <c r="Z31" s="394">
        <f t="shared" si="33"/>
        <v>0</v>
      </c>
      <c r="AA31" s="411"/>
      <c r="AB31" s="395">
        <f t="shared" si="13"/>
        <v>0</v>
      </c>
      <c r="AC31" s="396" t="str">
        <f t="shared" si="14"/>
        <v/>
      </c>
      <c r="AD31" s="53"/>
      <c r="AE31" s="408">
        <f>IFERROR(VLOOKUP($C31,'Proposed Rates'!$B:$J,AE$11,FALSE),0)</f>
        <v>0</v>
      </c>
      <c r="AF31" s="392">
        <f t="shared" si="34"/>
        <v>2400</v>
      </c>
      <c r="AG31" s="394">
        <f t="shared" si="35"/>
        <v>0</v>
      </c>
      <c r="AH31" s="411"/>
      <c r="AI31" s="395">
        <f t="shared" si="17"/>
        <v>0</v>
      </c>
      <c r="AJ31" s="396" t="str">
        <f t="shared" si="18"/>
        <v/>
      </c>
      <c r="AK31" s="53"/>
      <c r="AL31" s="408">
        <f>IFERROR(VLOOKUP($C31,'Proposed Rates'!$B:$J,AL$11,FALSE),0)</f>
        <v>0</v>
      </c>
      <c r="AM31" s="392">
        <f t="shared" si="36"/>
        <v>2400</v>
      </c>
      <c r="AN31" s="394">
        <f t="shared" si="37"/>
        <v>0</v>
      </c>
      <c r="AO31" s="411"/>
      <c r="AP31" s="395">
        <f t="shared" si="21"/>
        <v>0</v>
      </c>
      <c r="AQ31" s="396" t="str">
        <f t="shared" si="22"/>
        <v/>
      </c>
      <c r="AR31" s="397"/>
      <c r="AS31" s="3"/>
      <c r="AT31" s="3"/>
    </row>
    <row r="32" spans="1:46" ht="12" customHeight="1">
      <c r="A32" s="53"/>
      <c r="B32" s="398" t="s">
        <v>272</v>
      </c>
      <c r="C32" s="389" t="str">
        <f t="shared" si="25"/>
        <v>General Service &lt; 50 kW.CBR Class B Rate Riders</v>
      </c>
      <c r="D32" s="390" t="s">
        <v>337</v>
      </c>
      <c r="E32" s="328"/>
      <c r="F32" s="408">
        <f>IFERROR(VLOOKUP($C32,'Proposed Rates'!$B:$J,F$11,FALSE),0)</f>
        <v>2.0000000000000001E-4</v>
      </c>
      <c r="G32" s="392">
        <f t="shared" si="26"/>
        <v>2400</v>
      </c>
      <c r="H32" s="394">
        <f t="shared" si="27"/>
        <v>0.48000000000000004</v>
      </c>
      <c r="I32" s="479"/>
      <c r="J32" s="408">
        <f>IFERROR(VLOOKUP($C32,'Proposed Rates'!$B:$J,J$11,FALSE),0)</f>
        <v>8.0000000000000004E-4</v>
      </c>
      <c r="K32" s="392">
        <f t="shared" si="28"/>
        <v>2400</v>
      </c>
      <c r="L32" s="394">
        <f t="shared" si="29"/>
        <v>1.9200000000000002</v>
      </c>
      <c r="M32" s="411"/>
      <c r="N32" s="395">
        <f t="shared" si="5"/>
        <v>1.4400000000000002</v>
      </c>
      <c r="O32" s="396">
        <f t="shared" si="6"/>
        <v>3</v>
      </c>
      <c r="P32" s="53"/>
      <c r="Q32" s="408">
        <f>IFERROR(VLOOKUP($C32,'Proposed Rates'!$B:$J,Q$11,FALSE),0)</f>
        <v>0</v>
      </c>
      <c r="R32" s="392">
        <f t="shared" si="30"/>
        <v>2400</v>
      </c>
      <c r="S32" s="394">
        <f t="shared" si="31"/>
        <v>0</v>
      </c>
      <c r="T32" s="411"/>
      <c r="U32" s="395">
        <f t="shared" si="9"/>
        <v>-1.9200000000000002</v>
      </c>
      <c r="V32" s="396">
        <f t="shared" si="10"/>
        <v>-1</v>
      </c>
      <c r="W32" s="53"/>
      <c r="X32" s="408">
        <f>IFERROR(VLOOKUP($C32,'Proposed Rates'!$B:$J,X$11,FALSE),0)</f>
        <v>0</v>
      </c>
      <c r="Y32" s="392">
        <f t="shared" si="32"/>
        <v>2400</v>
      </c>
      <c r="Z32" s="394">
        <f t="shared" si="33"/>
        <v>0</v>
      </c>
      <c r="AA32" s="411"/>
      <c r="AB32" s="395">
        <f t="shared" si="13"/>
        <v>0</v>
      </c>
      <c r="AC32" s="396" t="str">
        <f t="shared" si="14"/>
        <v/>
      </c>
      <c r="AD32" s="53"/>
      <c r="AE32" s="408">
        <f>IFERROR(VLOOKUP($C32,'Proposed Rates'!$B:$J,AE$11,FALSE),0)</f>
        <v>0</v>
      </c>
      <c r="AF32" s="392">
        <f t="shared" si="34"/>
        <v>2400</v>
      </c>
      <c r="AG32" s="394">
        <f t="shared" si="35"/>
        <v>0</v>
      </c>
      <c r="AH32" s="411"/>
      <c r="AI32" s="395">
        <f t="shared" si="17"/>
        <v>0</v>
      </c>
      <c r="AJ32" s="396" t="str">
        <f t="shared" si="18"/>
        <v/>
      </c>
      <c r="AK32" s="53"/>
      <c r="AL32" s="408">
        <f>IFERROR(VLOOKUP($C32,'Proposed Rates'!$B:$J,AL$11,FALSE),0)</f>
        <v>0</v>
      </c>
      <c r="AM32" s="392">
        <f t="shared" si="36"/>
        <v>2400</v>
      </c>
      <c r="AN32" s="394">
        <f t="shared" si="37"/>
        <v>0</v>
      </c>
      <c r="AO32" s="411"/>
      <c r="AP32" s="395">
        <f t="shared" si="21"/>
        <v>0</v>
      </c>
      <c r="AQ32" s="396" t="str">
        <f t="shared" si="22"/>
        <v/>
      </c>
      <c r="AR32" s="397"/>
      <c r="AS32" s="3"/>
      <c r="AT32" s="3"/>
    </row>
    <row r="33" spans="1:46" ht="12" customHeight="1">
      <c r="A33" s="53"/>
      <c r="B33" s="398" t="s">
        <v>340</v>
      </c>
      <c r="C33" s="389" t="str">
        <f t="shared" si="25"/>
        <v>General Service &lt; 50 kW.GA Disposition Rate Rider-NonRPP</v>
      </c>
      <c r="D33" s="390" t="s">
        <v>337</v>
      </c>
      <c r="E33" s="328"/>
      <c r="F33" s="408">
        <f>IFERROR(VLOOKUP($C33,'Proposed Rates'!$B:$J,F$11,FALSE),0)</f>
        <v>0</v>
      </c>
      <c r="G33" s="392">
        <f t="shared" si="26"/>
        <v>2400</v>
      </c>
      <c r="H33" s="394">
        <f t="shared" si="27"/>
        <v>0</v>
      </c>
      <c r="I33" s="479"/>
      <c r="J33" s="408">
        <f>IFERROR(VLOOKUP($C33,'Proposed Rates'!$B:$J,J$11,FALSE),0)</f>
        <v>0</v>
      </c>
      <c r="K33" s="392">
        <f t="shared" si="28"/>
        <v>2400</v>
      </c>
      <c r="L33" s="394">
        <f t="shared" si="29"/>
        <v>0</v>
      </c>
      <c r="M33" s="411"/>
      <c r="N33" s="395">
        <f t="shared" si="5"/>
        <v>0</v>
      </c>
      <c r="O33" s="396" t="str">
        <f t="shared" si="6"/>
        <v/>
      </c>
      <c r="P33" s="53"/>
      <c r="Q33" s="408">
        <f>IFERROR(VLOOKUP($C33,'Proposed Rates'!$B:$J,Q$11,FALSE),0)</f>
        <v>0</v>
      </c>
      <c r="R33" s="392">
        <f t="shared" si="30"/>
        <v>2400</v>
      </c>
      <c r="S33" s="394">
        <f t="shared" si="31"/>
        <v>0</v>
      </c>
      <c r="T33" s="411"/>
      <c r="U33" s="395">
        <f t="shared" si="9"/>
        <v>0</v>
      </c>
      <c r="V33" s="396" t="str">
        <f t="shared" si="10"/>
        <v/>
      </c>
      <c r="W33" s="53"/>
      <c r="X33" s="408">
        <f>IFERROR(VLOOKUP($C33,'Proposed Rates'!$B:$J,X$11,FALSE),0)</f>
        <v>0</v>
      </c>
      <c r="Y33" s="392">
        <f t="shared" si="32"/>
        <v>2400</v>
      </c>
      <c r="Z33" s="394">
        <f t="shared" si="33"/>
        <v>0</v>
      </c>
      <c r="AA33" s="411"/>
      <c r="AB33" s="395">
        <f t="shared" si="13"/>
        <v>0</v>
      </c>
      <c r="AC33" s="396" t="str">
        <f t="shared" si="14"/>
        <v/>
      </c>
      <c r="AD33" s="53"/>
      <c r="AE33" s="408">
        <f>IFERROR(VLOOKUP($C33,'Proposed Rates'!$B:$J,AE$11,FALSE),0)</f>
        <v>0</v>
      </c>
      <c r="AF33" s="392">
        <f t="shared" si="34"/>
        <v>2400</v>
      </c>
      <c r="AG33" s="394">
        <f t="shared" si="35"/>
        <v>0</v>
      </c>
      <c r="AH33" s="411"/>
      <c r="AI33" s="395">
        <f t="shared" si="17"/>
        <v>0</v>
      </c>
      <c r="AJ33" s="396" t="str">
        <f t="shared" si="18"/>
        <v/>
      </c>
      <c r="AK33" s="53"/>
      <c r="AL33" s="408">
        <f>IFERROR(VLOOKUP($C33,'Proposed Rates'!$B:$J,AL$11,FALSE),0)</f>
        <v>0</v>
      </c>
      <c r="AM33" s="392">
        <f t="shared" si="36"/>
        <v>2400</v>
      </c>
      <c r="AN33" s="394">
        <f t="shared" si="37"/>
        <v>0</v>
      </c>
      <c r="AO33" s="411"/>
      <c r="AP33" s="395">
        <f t="shared" si="21"/>
        <v>0</v>
      </c>
      <c r="AQ33" s="396" t="str">
        <f t="shared" si="22"/>
        <v/>
      </c>
      <c r="AR33" s="397"/>
      <c r="AS33" s="3"/>
      <c r="AT33" s="3"/>
    </row>
    <row r="34" spans="1:46" ht="12" customHeight="1">
      <c r="A34" s="53"/>
      <c r="B34" s="328" t="s">
        <v>300</v>
      </c>
      <c r="C34" s="389" t="str">
        <f t="shared" si="25"/>
        <v>General Service &lt; 50 kW.Low Voltage Service Charge</v>
      </c>
      <c r="D34" s="390" t="s">
        <v>337</v>
      </c>
      <c r="E34" s="328"/>
      <c r="F34" s="412">
        <f>IFERROR(VLOOKUP($C34,'Proposed Rates'!$B:$J,F$11,FALSE),0)</f>
        <v>5.0000000000000002E-5</v>
      </c>
      <c r="G34" s="413">
        <f>$F$10*(1+F$63)</f>
        <v>2481.1200000000003</v>
      </c>
      <c r="H34" s="394">
        <f t="shared" si="27"/>
        <v>0.12405600000000003</v>
      </c>
      <c r="I34" s="138"/>
      <c r="J34" s="412">
        <f>IFERROR(VLOOKUP($C34,'Proposed Rates'!$B:$J,J$11,FALSE),0)</f>
        <v>6.0000000000000002E-5</v>
      </c>
      <c r="K34" s="413">
        <f>$F$10*(1+J$63)</f>
        <v>2479.6799999999998</v>
      </c>
      <c r="L34" s="394">
        <f t="shared" si="29"/>
        <v>0.14878079999999999</v>
      </c>
      <c r="M34" s="138"/>
      <c r="N34" s="395">
        <f t="shared" si="5"/>
        <v>2.4724799999999963E-2</v>
      </c>
      <c r="O34" s="396">
        <f t="shared" si="6"/>
        <v>0.19930354033662184</v>
      </c>
      <c r="P34" s="53"/>
      <c r="Q34" s="412">
        <f>IFERROR(VLOOKUP($C34,'Proposed Rates'!$B:$J,Q$11,FALSE),0)</f>
        <v>6.0000000000000002E-5</v>
      </c>
      <c r="R34" s="413">
        <f>$F$10*(1+Q$63)</f>
        <v>2479.6799999999998</v>
      </c>
      <c r="S34" s="394">
        <f t="shared" si="31"/>
        <v>0.14878079999999999</v>
      </c>
      <c r="T34" s="138"/>
      <c r="U34" s="395">
        <f t="shared" si="9"/>
        <v>0</v>
      </c>
      <c r="V34" s="396">
        <f t="shared" si="10"/>
        <v>0</v>
      </c>
      <c r="W34" s="53"/>
      <c r="X34" s="412">
        <f>IFERROR(VLOOKUP($C34,'Proposed Rates'!$B:$J,X$11,FALSE),0)</f>
        <v>6.0000000000000002E-5</v>
      </c>
      <c r="Y34" s="413">
        <f>$F$10*(1+X$63)</f>
        <v>2479.6799999999998</v>
      </c>
      <c r="Z34" s="394">
        <f t="shared" si="33"/>
        <v>0.14878079999999999</v>
      </c>
      <c r="AA34" s="138"/>
      <c r="AB34" s="395">
        <f t="shared" si="13"/>
        <v>0</v>
      </c>
      <c r="AC34" s="396">
        <f t="shared" si="14"/>
        <v>0</v>
      </c>
      <c r="AD34" s="53"/>
      <c r="AE34" s="503">
        <f>IFERROR(VLOOKUP($C34,'Proposed Rates'!$B:$J,AE$11,FALSE),0)</f>
        <v>6.0000000000000002E-5</v>
      </c>
      <c r="AF34" s="413">
        <f>$F$10*(1+AE$63)</f>
        <v>2479.6799999999998</v>
      </c>
      <c r="AG34" s="504">
        <f t="shared" si="35"/>
        <v>0.14878079999999999</v>
      </c>
      <c r="AH34" s="138"/>
      <c r="AI34" s="395">
        <f t="shared" si="17"/>
        <v>0</v>
      </c>
      <c r="AJ34" s="396">
        <f t="shared" si="18"/>
        <v>0</v>
      </c>
      <c r="AK34" s="53"/>
      <c r="AL34" s="412">
        <f>IFERROR(VLOOKUP($C34,'Proposed Rates'!$B:$J,AL$11,FALSE),0)</f>
        <v>6.0000000000000002E-5</v>
      </c>
      <c r="AM34" s="413">
        <f>$F$10*(1+AL$63)</f>
        <v>2479.6799999999998</v>
      </c>
      <c r="AN34" s="394">
        <f t="shared" si="37"/>
        <v>0.14878079999999999</v>
      </c>
      <c r="AO34" s="138"/>
      <c r="AP34" s="395">
        <f t="shared" si="21"/>
        <v>0</v>
      </c>
      <c r="AQ34" s="396">
        <f t="shared" si="22"/>
        <v>0</v>
      </c>
      <c r="AR34" s="397"/>
      <c r="AS34" s="3"/>
      <c r="AT34" s="3"/>
    </row>
    <row r="35" spans="1:46" ht="12" customHeight="1">
      <c r="A35" s="53"/>
      <c r="B35" s="328" t="s">
        <v>341</v>
      </c>
      <c r="C35" s="389" t="str">
        <f t="shared" si="25"/>
        <v>General Service &lt; 50 kW.Line Losses on Cost of Power</v>
      </c>
      <c r="D35" s="390" t="s">
        <v>337</v>
      </c>
      <c r="E35" s="328"/>
      <c r="F35" s="414">
        <f>'Proposed Rates'!$K$256*F$44+'Proposed Rates'!$K$257*F$45+'Proposed Rates'!$K$258*F$46</f>
        <v>0.12752000000000002</v>
      </c>
      <c r="G35" s="501">
        <f>$F$10*(1+F$63)-$F$10</f>
        <v>81.120000000000346</v>
      </c>
      <c r="H35" s="394">
        <f t="shared" si="27"/>
        <v>10.344422400000045</v>
      </c>
      <c r="I35" s="138"/>
      <c r="J35" s="414">
        <f>'Proposed Rates'!$K$256*J$44+'Proposed Rates'!$K$257*J$45+'Proposed Rates'!$K$258*J$46</f>
        <v>0.12752000000000002</v>
      </c>
      <c r="K35" s="501">
        <f>$F$10*(1+J$63)-$F$10</f>
        <v>79.679999999999836</v>
      </c>
      <c r="L35" s="394">
        <f t="shared" si="29"/>
        <v>10.16079359999998</v>
      </c>
      <c r="M35" s="138"/>
      <c r="N35" s="395">
        <f t="shared" si="5"/>
        <v>-0.18362880000006498</v>
      </c>
      <c r="O35" s="396">
        <f t="shared" si="6"/>
        <v>-1.7751479289947032E-2</v>
      </c>
      <c r="P35" s="53"/>
      <c r="Q35" s="414">
        <f>'Proposed Rates'!$K$256*Q$44+'Proposed Rates'!$K$257*Q$45+'Proposed Rates'!$K$258*Q$46</f>
        <v>0.12752000000000002</v>
      </c>
      <c r="R35" s="501">
        <f>$F$10*(1+Q$63)-$F$10</f>
        <v>79.679999999999836</v>
      </c>
      <c r="S35" s="394">
        <f t="shared" si="31"/>
        <v>10.16079359999998</v>
      </c>
      <c r="T35" s="138"/>
      <c r="U35" s="395">
        <f t="shared" si="9"/>
        <v>0</v>
      </c>
      <c r="V35" s="396">
        <f t="shared" si="10"/>
        <v>0</v>
      </c>
      <c r="W35" s="53"/>
      <c r="X35" s="414">
        <f>'Proposed Rates'!$K$256*X$44+'Proposed Rates'!$K$257*X$45+'Proposed Rates'!$K$258*X$46</f>
        <v>0.12752000000000002</v>
      </c>
      <c r="Y35" s="501">
        <f>$F$10*(1+X$63)-$F$10</f>
        <v>79.679999999999836</v>
      </c>
      <c r="Z35" s="394">
        <f t="shared" si="33"/>
        <v>10.16079359999998</v>
      </c>
      <c r="AA35" s="138"/>
      <c r="AB35" s="395">
        <f t="shared" si="13"/>
        <v>0</v>
      </c>
      <c r="AC35" s="396">
        <f t="shared" si="14"/>
        <v>0</v>
      </c>
      <c r="AD35" s="53"/>
      <c r="AE35" s="414">
        <f>'Proposed Rates'!$K$256*AE$44+'Proposed Rates'!$K$257*AE$45+'Proposed Rates'!$K$258*AE$46</f>
        <v>0.12752000000000002</v>
      </c>
      <c r="AF35" s="501">
        <f>$F$10*(1+AE$63)-$F$10</f>
        <v>79.679999999999836</v>
      </c>
      <c r="AG35" s="504">
        <f t="shared" si="35"/>
        <v>10.16079359999998</v>
      </c>
      <c r="AH35" s="138"/>
      <c r="AI35" s="395">
        <f t="shared" si="17"/>
        <v>0</v>
      </c>
      <c r="AJ35" s="396">
        <f t="shared" si="18"/>
        <v>0</v>
      </c>
      <c r="AK35" s="53"/>
      <c r="AL35" s="414">
        <f>'Proposed Rates'!$K$256*AL$44+'Proposed Rates'!$K$257*AL$45+'Proposed Rates'!$K$258*AL$46</f>
        <v>0.12752000000000002</v>
      </c>
      <c r="AM35" s="501">
        <f>$F$10*(1+AL$63)-$F$10</f>
        <v>79.679999999999836</v>
      </c>
      <c r="AN35" s="394">
        <f t="shared" si="37"/>
        <v>10.16079359999998</v>
      </c>
      <c r="AO35" s="138"/>
      <c r="AP35" s="395">
        <f t="shared" si="21"/>
        <v>0</v>
      </c>
      <c r="AQ35" s="396">
        <f t="shared" si="22"/>
        <v>0</v>
      </c>
      <c r="AR35" s="397"/>
      <c r="AS35" s="3"/>
      <c r="AT35" s="3"/>
    </row>
    <row r="36" spans="1:46" ht="12" customHeight="1">
      <c r="A36" s="53"/>
      <c r="B36" s="328" t="s">
        <v>302</v>
      </c>
      <c r="C36" s="389" t="str">
        <f t="shared" si="25"/>
        <v>General Service &lt; 50 kW.Smart Meter Entity Charge</v>
      </c>
      <c r="D36" s="390" t="s">
        <v>335</v>
      </c>
      <c r="E36" s="328"/>
      <c r="F36" s="391">
        <f>IFERROR(VLOOKUP($C36,'Proposed Rates'!$B:$J,F$11,FALSE),0)</f>
        <v>0.42</v>
      </c>
      <c r="G36" s="392">
        <f>IF($D36="Monthly",1,IF($D36="per KWH",$F$10,0))</f>
        <v>1</v>
      </c>
      <c r="H36" s="394">
        <f t="shared" si="27"/>
        <v>0.42</v>
      </c>
      <c r="I36" s="138"/>
      <c r="J36" s="391">
        <f>IFERROR(VLOOKUP($C36,'Proposed Rates'!$B:$J,J$11,FALSE),0)</f>
        <v>0.42</v>
      </c>
      <c r="K36" s="392">
        <f>IF($D36="Monthly",1,IF($D36="per KWH",$F$10,0))</f>
        <v>1</v>
      </c>
      <c r="L36" s="394">
        <f t="shared" si="29"/>
        <v>0.42</v>
      </c>
      <c r="M36" s="138"/>
      <c r="N36" s="395">
        <f t="shared" si="5"/>
        <v>0</v>
      </c>
      <c r="O36" s="396">
        <f t="shared" si="6"/>
        <v>0</v>
      </c>
      <c r="P36" s="53"/>
      <c r="Q36" s="391">
        <f>IFERROR(VLOOKUP($C36,'Proposed Rates'!$B:$J,Q$11,FALSE),0)</f>
        <v>0.42</v>
      </c>
      <c r="R36" s="392">
        <f>IF($D36="Monthly",1,IF($D36="per KWH",$F$10,0))</f>
        <v>1</v>
      </c>
      <c r="S36" s="394">
        <f t="shared" si="31"/>
        <v>0.42</v>
      </c>
      <c r="T36" s="138"/>
      <c r="U36" s="395">
        <f t="shared" si="9"/>
        <v>0</v>
      </c>
      <c r="V36" s="396">
        <f t="shared" si="10"/>
        <v>0</v>
      </c>
      <c r="W36" s="53"/>
      <c r="X36" s="391">
        <f>IFERROR(VLOOKUP($C36,'Proposed Rates'!$B:$J,X$11,FALSE),0)</f>
        <v>0.43</v>
      </c>
      <c r="Y36" s="392">
        <f>IF($D36="Monthly",1,IF($D36="per KWH",$F$10,0))</f>
        <v>1</v>
      </c>
      <c r="Z36" s="394">
        <f t="shared" si="33"/>
        <v>0.43</v>
      </c>
      <c r="AA36" s="138"/>
      <c r="AB36" s="395">
        <f t="shared" si="13"/>
        <v>1.0000000000000009E-2</v>
      </c>
      <c r="AC36" s="396">
        <f t="shared" si="14"/>
        <v>2.3809523809523832E-2</v>
      </c>
      <c r="AD36" s="53"/>
      <c r="AE36" s="391">
        <f>IFERROR(VLOOKUP($C36,'Proposed Rates'!$B:$J,AE$11,FALSE),0)</f>
        <v>0.44</v>
      </c>
      <c r="AF36" s="392">
        <f>IF($D36="Monthly",1,IF($D36="per KWH",$F$10,0))</f>
        <v>1</v>
      </c>
      <c r="AG36" s="504">
        <f t="shared" si="35"/>
        <v>0.44</v>
      </c>
      <c r="AH36" s="138"/>
      <c r="AI36" s="395">
        <f t="shared" si="17"/>
        <v>1.0000000000000009E-2</v>
      </c>
      <c r="AJ36" s="396">
        <f t="shared" si="18"/>
        <v>2.3255813953488393E-2</v>
      </c>
      <c r="AK36" s="53"/>
      <c r="AL36" s="391">
        <f>IFERROR(VLOOKUP($C36,'Proposed Rates'!$B:$J,AL$11,FALSE),0)</f>
        <v>0.45</v>
      </c>
      <c r="AM36" s="392">
        <f>IF($D36="Monthly",1,IF($D36="per KWH",$F$10,0))</f>
        <v>1</v>
      </c>
      <c r="AN36" s="394">
        <f t="shared" si="37"/>
        <v>0.45</v>
      </c>
      <c r="AO36" s="138"/>
      <c r="AP36" s="395">
        <f t="shared" si="21"/>
        <v>1.0000000000000009E-2</v>
      </c>
      <c r="AQ36" s="396">
        <f t="shared" si="22"/>
        <v>2.2727272727272749E-2</v>
      </c>
      <c r="AR36" s="397"/>
      <c r="AS36" s="3"/>
      <c r="AT36" s="3"/>
    </row>
    <row r="37" spans="1:46" ht="12" customHeight="1">
      <c r="A37" s="53"/>
      <c r="B37" s="399" t="s">
        <v>342</v>
      </c>
      <c r="C37" s="416"/>
      <c r="D37" s="416"/>
      <c r="E37" s="416"/>
      <c r="F37" s="417"/>
      <c r="G37" s="495"/>
      <c r="H37" s="403">
        <f>SUM(H30:H36)+H29</f>
        <v>109.77847840000005</v>
      </c>
      <c r="I37" s="419"/>
      <c r="J37" s="417"/>
      <c r="K37" s="495"/>
      <c r="L37" s="496">
        <f>SUM(L30:L36)+L29</f>
        <v>120.43957439999998</v>
      </c>
      <c r="M37" s="419"/>
      <c r="N37" s="405">
        <f t="shared" si="5"/>
        <v>10.66109599999993</v>
      </c>
      <c r="O37" s="406">
        <f t="shared" si="6"/>
        <v>9.7114627159925401E-2</v>
      </c>
      <c r="P37" s="53"/>
      <c r="Q37" s="417"/>
      <c r="R37" s="495"/>
      <c r="S37" s="403">
        <f>SUM(S30:S36)+S29</f>
        <v>127.69957439999996</v>
      </c>
      <c r="T37" s="419"/>
      <c r="U37" s="405">
        <f t="shared" si="9"/>
        <v>7.2599999999999767</v>
      </c>
      <c r="V37" s="406">
        <f t="shared" si="10"/>
        <v>6.0279190093185664E-2</v>
      </c>
      <c r="W37" s="53"/>
      <c r="X37" s="417"/>
      <c r="Y37" s="495"/>
      <c r="Z37" s="403">
        <f>SUM(Z30:Z36)+Z29</f>
        <v>130.99957439999997</v>
      </c>
      <c r="AA37" s="419"/>
      <c r="AB37" s="405">
        <f t="shared" si="13"/>
        <v>3.3000000000000114</v>
      </c>
      <c r="AC37" s="406">
        <f t="shared" si="14"/>
        <v>2.5841902884212058E-2</v>
      </c>
      <c r="AD37" s="53"/>
      <c r="AE37" s="417"/>
      <c r="AF37" s="495"/>
      <c r="AG37" s="403">
        <f>SUM(AG30:AG36)+AG29</f>
        <v>132.91957439999999</v>
      </c>
      <c r="AH37" s="419"/>
      <c r="AI37" s="405">
        <f t="shared" si="17"/>
        <v>1.9200000000000159</v>
      </c>
      <c r="AJ37" s="406">
        <f t="shared" si="18"/>
        <v>1.4656536166578693E-2</v>
      </c>
      <c r="AK37" s="53"/>
      <c r="AL37" s="417"/>
      <c r="AM37" s="495"/>
      <c r="AN37" s="403">
        <f>SUM(AN30:AN36)+AN29</f>
        <v>134.8095744</v>
      </c>
      <c r="AO37" s="419"/>
      <c r="AP37" s="405">
        <f t="shared" si="21"/>
        <v>1.8900000000000148</v>
      </c>
      <c r="AQ37" s="406">
        <f t="shared" si="22"/>
        <v>1.421912467393527E-2</v>
      </c>
      <c r="AR37" s="407"/>
      <c r="AS37" s="3"/>
      <c r="AT37" s="3"/>
    </row>
    <row r="38" spans="1:46" ht="12" customHeight="1">
      <c r="A38" s="53"/>
      <c r="B38" s="138" t="s">
        <v>285</v>
      </c>
      <c r="C38" s="389" t="str">
        <f t="shared" ref="C38:C39" si="38">D$6&amp;"."&amp;B38</f>
        <v>General Service &lt; 50 kW.RTSR - Network</v>
      </c>
      <c r="D38" s="420" t="s">
        <v>337</v>
      </c>
      <c r="E38" s="138"/>
      <c r="F38" s="408">
        <f>IFERROR(VLOOKUP($C38,'Proposed Rates'!$B:$J,F$11,FALSE),0)</f>
        <v>1.18E-2</v>
      </c>
      <c r="G38" s="502">
        <f t="shared" ref="G38:G39" si="39">$F$10*(1+F$63)</f>
        <v>2481.1200000000003</v>
      </c>
      <c r="H38" s="394">
        <f t="shared" ref="H38:H39" si="40">G38*F38</f>
        <v>29.277216000000003</v>
      </c>
      <c r="I38" s="138"/>
      <c r="J38" s="408">
        <f>IFERROR(VLOOKUP($C38,'Proposed Rates'!$B:$J,J$11,FALSE),0)</f>
        <v>1.0699999999999999E-2</v>
      </c>
      <c r="K38" s="502">
        <f t="shared" ref="K38:K39" si="41">$F$10*(1+J$63)</f>
        <v>2479.6799999999998</v>
      </c>
      <c r="L38" s="394">
        <f t="shared" ref="L38:L39" si="42">K38*J38</f>
        <v>26.532575999999995</v>
      </c>
      <c r="M38" s="138"/>
      <c r="N38" s="395">
        <f t="shared" si="5"/>
        <v>-2.7446400000000075</v>
      </c>
      <c r="O38" s="396">
        <f t="shared" si="6"/>
        <v>-9.374661853094253E-2</v>
      </c>
      <c r="P38" s="53"/>
      <c r="Q38" s="408">
        <f>IFERROR(VLOOKUP($C38,'Proposed Rates'!$B:$J,Q$11,FALSE),0)</f>
        <v>1.0699999999999999E-2</v>
      </c>
      <c r="R38" s="502">
        <f t="shared" ref="R38:R39" si="43">$F$10*(1+Q$63)</f>
        <v>2479.6799999999998</v>
      </c>
      <c r="S38" s="394">
        <f t="shared" ref="S38:S39" si="44">R38*Q38</f>
        <v>26.532575999999995</v>
      </c>
      <c r="T38" s="138"/>
      <c r="U38" s="395">
        <f t="shared" si="9"/>
        <v>0</v>
      </c>
      <c r="V38" s="396">
        <f t="shared" si="10"/>
        <v>0</v>
      </c>
      <c r="W38" s="53"/>
      <c r="X38" s="408">
        <f>IFERROR(VLOOKUP($C38,'Proposed Rates'!$B:$J,X$11,FALSE),0)</f>
        <v>1.0699999999999999E-2</v>
      </c>
      <c r="Y38" s="502">
        <f t="shared" ref="Y38:Y39" si="45">$F$10*(1+X$63)</f>
        <v>2479.6799999999998</v>
      </c>
      <c r="Z38" s="394">
        <f t="shared" ref="Z38:Z39" si="46">Y38*X38</f>
        <v>26.532575999999995</v>
      </c>
      <c r="AA38" s="138"/>
      <c r="AB38" s="395">
        <f t="shared" si="13"/>
        <v>0</v>
      </c>
      <c r="AC38" s="396">
        <f t="shared" si="14"/>
        <v>0</v>
      </c>
      <c r="AD38" s="53"/>
      <c r="AE38" s="408">
        <f>IFERROR(VLOOKUP($C38,'Proposed Rates'!$B:$J,AE$11,FALSE),0)</f>
        <v>1.0699999999999999E-2</v>
      </c>
      <c r="AF38" s="502">
        <f t="shared" ref="AF38:AF39" si="47">$F$10*(1+AE$63)</f>
        <v>2479.6799999999998</v>
      </c>
      <c r="AG38" s="394">
        <f t="shared" ref="AG38:AG39" si="48">AF38*AE38</f>
        <v>26.532575999999995</v>
      </c>
      <c r="AH38" s="138"/>
      <c r="AI38" s="395">
        <f t="shared" si="17"/>
        <v>0</v>
      </c>
      <c r="AJ38" s="396">
        <f t="shared" si="18"/>
        <v>0</v>
      </c>
      <c r="AK38" s="53"/>
      <c r="AL38" s="408">
        <f>IFERROR(VLOOKUP($C38,'Proposed Rates'!$B:$J,AL$11,FALSE),0)</f>
        <v>1.0699999999999999E-2</v>
      </c>
      <c r="AM38" s="502">
        <f t="shared" ref="AM38:AM39" si="49">$F$10*(1+AL$63)</f>
        <v>2479.6799999999998</v>
      </c>
      <c r="AN38" s="394">
        <f t="shared" ref="AN38:AN39" si="50">AM38*AL38</f>
        <v>26.532575999999995</v>
      </c>
      <c r="AO38" s="138"/>
      <c r="AP38" s="395">
        <f t="shared" si="21"/>
        <v>0</v>
      </c>
      <c r="AQ38" s="396">
        <f t="shared" si="22"/>
        <v>0</v>
      </c>
      <c r="AR38" s="397"/>
      <c r="AS38" s="3"/>
      <c r="AT38" s="3"/>
    </row>
    <row r="39" spans="1:46" ht="12" customHeight="1">
      <c r="A39" s="53"/>
      <c r="B39" s="138" t="s">
        <v>288</v>
      </c>
      <c r="C39" s="389" t="str">
        <f t="shared" si="38"/>
        <v>General Service &lt; 50 kW.RTSR - Line and Transformation Connection</v>
      </c>
      <c r="D39" s="420" t="s">
        <v>337</v>
      </c>
      <c r="E39" s="138"/>
      <c r="F39" s="408">
        <f>IFERROR(VLOOKUP($C39,'Proposed Rates'!$B:$J,F$11,FALSE),0)</f>
        <v>7.0000000000000001E-3</v>
      </c>
      <c r="G39" s="502">
        <f t="shared" si="39"/>
        <v>2481.1200000000003</v>
      </c>
      <c r="H39" s="394">
        <f t="shared" si="40"/>
        <v>17.367840000000001</v>
      </c>
      <c r="I39" s="138"/>
      <c r="J39" s="408">
        <f>IFERROR(VLOOKUP($C39,'Proposed Rates'!$B:$J,J$11,FALSE),0)</f>
        <v>6.1000000000000004E-3</v>
      </c>
      <c r="K39" s="502">
        <f t="shared" si="41"/>
        <v>2479.6799999999998</v>
      </c>
      <c r="L39" s="394">
        <f t="shared" si="42"/>
        <v>15.126048000000001</v>
      </c>
      <c r="M39" s="138"/>
      <c r="N39" s="395">
        <f t="shared" si="5"/>
        <v>-2.2417920000000002</v>
      </c>
      <c r="O39" s="396">
        <f t="shared" si="6"/>
        <v>-0.12907719094602438</v>
      </c>
      <c r="P39" s="53"/>
      <c r="Q39" s="408">
        <f>IFERROR(VLOOKUP($C39,'Proposed Rates'!$B:$J,Q$11,FALSE),0)</f>
        <v>6.1000000000000004E-3</v>
      </c>
      <c r="R39" s="502">
        <f t="shared" si="43"/>
        <v>2479.6799999999998</v>
      </c>
      <c r="S39" s="394">
        <f t="shared" si="44"/>
        <v>15.126048000000001</v>
      </c>
      <c r="T39" s="138"/>
      <c r="U39" s="395">
        <f t="shared" si="9"/>
        <v>0</v>
      </c>
      <c r="V39" s="396">
        <f t="shared" si="10"/>
        <v>0</v>
      </c>
      <c r="W39" s="53"/>
      <c r="X39" s="408">
        <f>IFERROR(VLOOKUP($C39,'Proposed Rates'!$B:$J,X$11,FALSE),0)</f>
        <v>6.1000000000000004E-3</v>
      </c>
      <c r="Y39" s="502">
        <f t="shared" si="45"/>
        <v>2479.6799999999998</v>
      </c>
      <c r="Z39" s="394">
        <f t="shared" si="46"/>
        <v>15.126048000000001</v>
      </c>
      <c r="AA39" s="138"/>
      <c r="AB39" s="395">
        <f t="shared" si="13"/>
        <v>0</v>
      </c>
      <c r="AC39" s="396">
        <f t="shared" si="14"/>
        <v>0</v>
      </c>
      <c r="AD39" s="53"/>
      <c r="AE39" s="408">
        <f>IFERROR(VLOOKUP($C39,'Proposed Rates'!$B:$J,AE$11,FALSE),0)</f>
        <v>6.1000000000000004E-3</v>
      </c>
      <c r="AF39" s="502">
        <f t="shared" si="47"/>
        <v>2479.6799999999998</v>
      </c>
      <c r="AG39" s="394">
        <f t="shared" si="48"/>
        <v>15.126048000000001</v>
      </c>
      <c r="AH39" s="138"/>
      <c r="AI39" s="395">
        <f t="shared" si="17"/>
        <v>0</v>
      </c>
      <c r="AJ39" s="396">
        <f t="shared" si="18"/>
        <v>0</v>
      </c>
      <c r="AK39" s="53"/>
      <c r="AL39" s="408">
        <f>IFERROR(VLOOKUP($C39,'Proposed Rates'!$B:$J,AL$11,FALSE),0)</f>
        <v>6.1000000000000004E-3</v>
      </c>
      <c r="AM39" s="502">
        <f t="shared" si="49"/>
        <v>2479.6799999999998</v>
      </c>
      <c r="AN39" s="394">
        <f t="shared" si="50"/>
        <v>15.126048000000001</v>
      </c>
      <c r="AO39" s="138"/>
      <c r="AP39" s="395">
        <f t="shared" si="21"/>
        <v>0</v>
      </c>
      <c r="AQ39" s="396">
        <f t="shared" si="22"/>
        <v>0</v>
      </c>
      <c r="AR39" s="397"/>
      <c r="AS39" s="3"/>
      <c r="AT39" s="3"/>
    </row>
    <row r="40" spans="1:46" ht="12" customHeight="1">
      <c r="A40" s="53"/>
      <c r="B40" s="399" t="s">
        <v>343</v>
      </c>
      <c r="C40" s="421"/>
      <c r="D40" s="421"/>
      <c r="E40" s="421"/>
      <c r="F40" s="422"/>
      <c r="G40" s="495"/>
      <c r="H40" s="403">
        <f>SUM(H37:H39)</f>
        <v>156.42353440000005</v>
      </c>
      <c r="I40" s="404"/>
      <c r="J40" s="422"/>
      <c r="K40" s="495"/>
      <c r="L40" s="496">
        <f>SUM(L37:L39)</f>
        <v>162.09819839999997</v>
      </c>
      <c r="M40" s="404"/>
      <c r="N40" s="405">
        <f t="shared" si="5"/>
        <v>5.6746639999999218</v>
      </c>
      <c r="O40" s="406">
        <f t="shared" si="6"/>
        <v>3.6277559011605606E-2</v>
      </c>
      <c r="P40" s="53"/>
      <c r="Q40" s="422"/>
      <c r="R40" s="495"/>
      <c r="S40" s="403">
        <f>SUM(S37:S39)</f>
        <v>169.35819839999996</v>
      </c>
      <c r="T40" s="404"/>
      <c r="U40" s="405">
        <f t="shared" si="9"/>
        <v>7.2599999999999909</v>
      </c>
      <c r="V40" s="406">
        <f t="shared" si="10"/>
        <v>4.4787666190372617E-2</v>
      </c>
      <c r="W40" s="53"/>
      <c r="X40" s="422"/>
      <c r="Y40" s="495"/>
      <c r="Z40" s="403">
        <f>SUM(Z37:Z39)</f>
        <v>172.65819839999997</v>
      </c>
      <c r="AA40" s="404"/>
      <c r="AB40" s="405">
        <f t="shared" si="13"/>
        <v>3.3000000000000114</v>
      </c>
      <c r="AC40" s="406">
        <f t="shared" si="14"/>
        <v>1.9485327732442458E-2</v>
      </c>
      <c r="AD40" s="53"/>
      <c r="AE40" s="422"/>
      <c r="AF40" s="495"/>
      <c r="AG40" s="403">
        <f>SUM(AG37:AG39)</f>
        <v>174.57819839999999</v>
      </c>
      <c r="AH40" s="404"/>
      <c r="AI40" s="405">
        <f t="shared" si="17"/>
        <v>1.9200000000000159</v>
      </c>
      <c r="AJ40" s="406">
        <f t="shared" si="18"/>
        <v>1.1120236500741896E-2</v>
      </c>
      <c r="AK40" s="53"/>
      <c r="AL40" s="422"/>
      <c r="AM40" s="495"/>
      <c r="AN40" s="403">
        <f>SUM(AN37:AN39)</f>
        <v>176.46819840000001</v>
      </c>
      <c r="AO40" s="404"/>
      <c r="AP40" s="405">
        <f t="shared" si="21"/>
        <v>1.8900000000000148</v>
      </c>
      <c r="AQ40" s="406">
        <f t="shared" si="22"/>
        <v>1.0826094078881358E-2</v>
      </c>
      <c r="AR40" s="407"/>
      <c r="AS40" s="3"/>
      <c r="AT40" s="3"/>
    </row>
    <row r="41" spans="1:46" ht="12" customHeight="1">
      <c r="A41" s="53"/>
      <c r="B41" s="328" t="s">
        <v>289</v>
      </c>
      <c r="C41" s="389" t="str">
        <f t="shared" ref="C41:C48" si="51">D$6&amp;"."&amp;B41</f>
        <v>General Service &lt; 50 kW.Wholesale Market Service Charge (WMSC)</v>
      </c>
      <c r="D41" s="390" t="s">
        <v>337</v>
      </c>
      <c r="E41" s="328"/>
      <c r="F41" s="408">
        <f>IFERROR(VLOOKUP($C41,'Proposed Rates'!$B:$J,F$11,FALSE),0)</f>
        <v>4.4999999999999997E-3</v>
      </c>
      <c r="G41" s="502">
        <f t="shared" ref="G41:G42" si="52">$F$10*(1+F$63)</f>
        <v>2481.1200000000003</v>
      </c>
      <c r="H41" s="394">
        <f t="shared" ref="H41:H48" si="53">G41*F41</f>
        <v>11.165040000000001</v>
      </c>
      <c r="I41" s="138"/>
      <c r="J41" s="408">
        <f>IFERROR(VLOOKUP($C41,'Proposed Rates'!$B:$J,J$11,FALSE),0)</f>
        <v>4.7000000000000002E-3</v>
      </c>
      <c r="K41" s="502">
        <f t="shared" ref="K41:K42" si="54">$F$10*(1+J$63)</f>
        <v>2479.6799999999998</v>
      </c>
      <c r="L41" s="394">
        <f t="shared" ref="L41:L48" si="55">K41*J41</f>
        <v>11.654496</v>
      </c>
      <c r="M41" s="138"/>
      <c r="N41" s="395">
        <f t="shared" si="5"/>
        <v>0.48945599999999878</v>
      </c>
      <c r="O41" s="396">
        <f t="shared" si="6"/>
        <v>4.3838266589282145E-2</v>
      </c>
      <c r="P41" s="53"/>
      <c r="Q41" s="408">
        <f>IFERROR(VLOOKUP($C41,'Proposed Rates'!$B:$J,Q$11,FALSE),0)</f>
        <v>4.7000000000000002E-3</v>
      </c>
      <c r="R41" s="502">
        <f t="shared" ref="R41:R42" si="56">$F$10*(1+Q$63)</f>
        <v>2479.6799999999998</v>
      </c>
      <c r="S41" s="394">
        <f t="shared" ref="S41:S48" si="57">R41*Q41</f>
        <v>11.654496</v>
      </c>
      <c r="T41" s="138"/>
      <c r="U41" s="395">
        <f t="shared" si="9"/>
        <v>0</v>
      </c>
      <c r="V41" s="396">
        <f t="shared" si="10"/>
        <v>0</v>
      </c>
      <c r="W41" s="53"/>
      <c r="X41" s="408">
        <f>IFERROR(VLOOKUP($C41,'Proposed Rates'!$B:$J,X$11,FALSE),0)</f>
        <v>4.7000000000000002E-3</v>
      </c>
      <c r="Y41" s="502">
        <f t="shared" ref="Y41:Y42" si="58">$F$10*(1+X$63)</f>
        <v>2479.6799999999998</v>
      </c>
      <c r="Z41" s="394">
        <f t="shared" ref="Z41:Z48" si="59">Y41*X41</f>
        <v>11.654496</v>
      </c>
      <c r="AA41" s="138"/>
      <c r="AB41" s="395">
        <f t="shared" si="13"/>
        <v>0</v>
      </c>
      <c r="AC41" s="396">
        <f t="shared" si="14"/>
        <v>0</v>
      </c>
      <c r="AD41" s="53"/>
      <c r="AE41" s="408">
        <f>IFERROR(VLOOKUP($C41,'Proposed Rates'!$B:$J,AE$11,FALSE),0)</f>
        <v>4.7000000000000002E-3</v>
      </c>
      <c r="AF41" s="502">
        <f t="shared" ref="AF41:AF42" si="60">$F$10*(1+AE$63)</f>
        <v>2479.6799999999998</v>
      </c>
      <c r="AG41" s="394">
        <f t="shared" ref="AG41:AG48" si="61">AF41*AE41</f>
        <v>11.654496</v>
      </c>
      <c r="AH41" s="138"/>
      <c r="AI41" s="395">
        <f t="shared" si="17"/>
        <v>0</v>
      </c>
      <c r="AJ41" s="396">
        <f t="shared" si="18"/>
        <v>0</v>
      </c>
      <c r="AK41" s="53"/>
      <c r="AL41" s="408">
        <f>IFERROR(VLOOKUP($C41,'Proposed Rates'!$B:$J,AL$11,FALSE),0)</f>
        <v>4.7000000000000002E-3</v>
      </c>
      <c r="AM41" s="502">
        <f t="shared" ref="AM41:AM42" si="62">$F$10*(1+AL$63)</f>
        <v>2479.6799999999998</v>
      </c>
      <c r="AN41" s="394">
        <f t="shared" ref="AN41:AN48" si="63">AM41*AL41</f>
        <v>11.654496</v>
      </c>
      <c r="AO41" s="138"/>
      <c r="AP41" s="395">
        <f t="shared" si="21"/>
        <v>0</v>
      </c>
      <c r="AQ41" s="396">
        <f t="shared" si="22"/>
        <v>0</v>
      </c>
      <c r="AR41" s="397"/>
      <c r="AS41" s="3"/>
      <c r="AT41" s="3"/>
    </row>
    <row r="42" spans="1:46" ht="12" customHeight="1">
      <c r="A42" s="53"/>
      <c r="B42" s="328" t="s">
        <v>290</v>
      </c>
      <c r="C42" s="389" t="str">
        <f t="shared" si="51"/>
        <v>General Service &lt; 50 kW.Rural and Remote Rate Protection (RRRP)</v>
      </c>
      <c r="D42" s="390" t="s">
        <v>337</v>
      </c>
      <c r="E42" s="328"/>
      <c r="F42" s="408">
        <f>IFERROR(VLOOKUP($C42,'Proposed Rates'!$B:$J,F$11,FALSE),0)</f>
        <v>1.5E-3</v>
      </c>
      <c r="G42" s="502">
        <f t="shared" si="52"/>
        <v>2481.1200000000003</v>
      </c>
      <c r="H42" s="394">
        <f t="shared" si="53"/>
        <v>3.7216800000000005</v>
      </c>
      <c r="I42" s="138"/>
      <c r="J42" s="408">
        <f>IFERROR(VLOOKUP($C42,'Proposed Rates'!$B:$J,J$11,FALSE),0)</f>
        <v>5.9999999999999995E-4</v>
      </c>
      <c r="K42" s="502">
        <f t="shared" si="54"/>
        <v>2479.6799999999998</v>
      </c>
      <c r="L42" s="394">
        <f t="shared" si="55"/>
        <v>1.4878079999999998</v>
      </c>
      <c r="M42" s="138"/>
      <c r="N42" s="395">
        <f t="shared" si="5"/>
        <v>-2.2338720000000007</v>
      </c>
      <c r="O42" s="396">
        <f t="shared" si="6"/>
        <v>-0.60023215322112611</v>
      </c>
      <c r="P42" s="53"/>
      <c r="Q42" s="408">
        <f>IFERROR(VLOOKUP($C42,'Proposed Rates'!$B:$J,Q$11,FALSE),0)</f>
        <v>5.9999999999999995E-4</v>
      </c>
      <c r="R42" s="502">
        <f t="shared" si="56"/>
        <v>2479.6799999999998</v>
      </c>
      <c r="S42" s="394">
        <f t="shared" si="57"/>
        <v>1.4878079999999998</v>
      </c>
      <c r="T42" s="138"/>
      <c r="U42" s="395">
        <f t="shared" si="9"/>
        <v>0</v>
      </c>
      <c r="V42" s="396">
        <f t="shared" si="10"/>
        <v>0</v>
      </c>
      <c r="W42" s="53"/>
      <c r="X42" s="408">
        <f>IFERROR(VLOOKUP($C42,'Proposed Rates'!$B:$J,X$11,FALSE),0)</f>
        <v>5.9999999999999995E-4</v>
      </c>
      <c r="Y42" s="502">
        <f t="shared" si="58"/>
        <v>2479.6799999999998</v>
      </c>
      <c r="Z42" s="394">
        <f t="shared" si="59"/>
        <v>1.4878079999999998</v>
      </c>
      <c r="AA42" s="138"/>
      <c r="AB42" s="395">
        <f t="shared" si="13"/>
        <v>0</v>
      </c>
      <c r="AC42" s="396">
        <f t="shared" si="14"/>
        <v>0</v>
      </c>
      <c r="AD42" s="53"/>
      <c r="AE42" s="408">
        <f>IFERROR(VLOOKUP($C42,'Proposed Rates'!$B:$J,AE$11,FALSE),0)</f>
        <v>5.9999999999999995E-4</v>
      </c>
      <c r="AF42" s="502">
        <f t="shared" si="60"/>
        <v>2479.6799999999998</v>
      </c>
      <c r="AG42" s="394">
        <f t="shared" si="61"/>
        <v>1.4878079999999998</v>
      </c>
      <c r="AH42" s="138"/>
      <c r="AI42" s="395">
        <f t="shared" si="17"/>
        <v>0</v>
      </c>
      <c r="AJ42" s="396">
        <f t="shared" si="18"/>
        <v>0</v>
      </c>
      <c r="AK42" s="53"/>
      <c r="AL42" s="408">
        <f>IFERROR(VLOOKUP($C42,'Proposed Rates'!$B:$J,AL$11,FALSE),0)</f>
        <v>5.9999999999999995E-4</v>
      </c>
      <c r="AM42" s="502">
        <f t="shared" si="62"/>
        <v>2479.6799999999998</v>
      </c>
      <c r="AN42" s="394">
        <f t="shared" si="63"/>
        <v>1.4878079999999998</v>
      </c>
      <c r="AO42" s="138"/>
      <c r="AP42" s="395">
        <f t="shared" si="21"/>
        <v>0</v>
      </c>
      <c r="AQ42" s="396">
        <f t="shared" si="22"/>
        <v>0</v>
      </c>
      <c r="AR42" s="397"/>
      <c r="AS42" s="3"/>
      <c r="AT42" s="3"/>
    </row>
    <row r="43" spans="1:46" ht="12" customHeight="1">
      <c r="A43" s="53"/>
      <c r="B43" s="328" t="s">
        <v>291</v>
      </c>
      <c r="C43" s="389" t="str">
        <f t="shared" si="51"/>
        <v>General Service &lt; 50 kW.Standard Supply Service Charge</v>
      </c>
      <c r="D43" s="390" t="s">
        <v>335</v>
      </c>
      <c r="E43" s="328"/>
      <c r="F43" s="391">
        <f>IFERROR(VLOOKUP($C43,'Proposed Rates'!$B:$J,F$11,FALSE),0)</f>
        <v>0.25</v>
      </c>
      <c r="G43" s="392">
        <f>IF($D43="Monthly",1,IF($D43="per KWH",$F$10,0))</f>
        <v>1</v>
      </c>
      <c r="H43" s="394">
        <f t="shared" si="53"/>
        <v>0.25</v>
      </c>
      <c r="I43" s="138"/>
      <c r="J43" s="391">
        <f>IFERROR(VLOOKUP($C43,'Proposed Rates'!$B:$J,J$11,FALSE),0)</f>
        <v>0.25</v>
      </c>
      <c r="K43" s="392">
        <f>IF($D43="Monthly",1,IF($D43="per KWH",$F$10,0))</f>
        <v>1</v>
      </c>
      <c r="L43" s="394">
        <f t="shared" si="55"/>
        <v>0.25</v>
      </c>
      <c r="M43" s="138"/>
      <c r="N43" s="395">
        <f t="shared" si="5"/>
        <v>0</v>
      </c>
      <c r="O43" s="396">
        <f t="shared" si="6"/>
        <v>0</v>
      </c>
      <c r="P43" s="53"/>
      <c r="Q43" s="391">
        <f>IFERROR(VLOOKUP($C43,'Proposed Rates'!$B:$J,Q$11,FALSE),0)</f>
        <v>0.25</v>
      </c>
      <c r="R43" s="392">
        <f>IF($D43="Monthly",1,IF($D43="per KWH",$F$10,0))</f>
        <v>1</v>
      </c>
      <c r="S43" s="394">
        <f t="shared" si="57"/>
        <v>0.25</v>
      </c>
      <c r="T43" s="138"/>
      <c r="U43" s="395">
        <f t="shared" si="9"/>
        <v>0</v>
      </c>
      <c r="V43" s="396">
        <f t="shared" si="10"/>
        <v>0</v>
      </c>
      <c r="W43" s="53"/>
      <c r="X43" s="391">
        <f>IFERROR(VLOOKUP($C43,'Proposed Rates'!$B:$J,X$11,FALSE),0)</f>
        <v>0.25</v>
      </c>
      <c r="Y43" s="392">
        <f>IF($D43="Monthly",1,IF($D43="per KWH",$F$10,0))</f>
        <v>1</v>
      </c>
      <c r="Z43" s="394">
        <f t="shared" si="59"/>
        <v>0.25</v>
      </c>
      <c r="AA43" s="138"/>
      <c r="AB43" s="395">
        <f t="shared" si="13"/>
        <v>0</v>
      </c>
      <c r="AC43" s="396">
        <f t="shared" si="14"/>
        <v>0</v>
      </c>
      <c r="AD43" s="53"/>
      <c r="AE43" s="391">
        <f>IFERROR(VLOOKUP($C43,'Proposed Rates'!$B:$J,AE$11,FALSE),0)</f>
        <v>0.25</v>
      </c>
      <c r="AF43" s="392">
        <f>IF($D43="Monthly",1,IF($D43="per KWH",$F$10,0))</f>
        <v>1</v>
      </c>
      <c r="AG43" s="394">
        <f t="shared" si="61"/>
        <v>0.25</v>
      </c>
      <c r="AH43" s="138"/>
      <c r="AI43" s="395">
        <f t="shared" si="17"/>
        <v>0</v>
      </c>
      <c r="AJ43" s="396">
        <f t="shared" si="18"/>
        <v>0</v>
      </c>
      <c r="AK43" s="53"/>
      <c r="AL43" s="391">
        <f>IFERROR(VLOOKUP($C43,'Proposed Rates'!$B:$J,AL$11,FALSE),0)</f>
        <v>0.25</v>
      </c>
      <c r="AM43" s="392">
        <f>IF($D43="Monthly",1,IF($D43="per KWH",$F$10,0))</f>
        <v>1</v>
      </c>
      <c r="AN43" s="394">
        <f t="shared" si="63"/>
        <v>0.25</v>
      </c>
      <c r="AO43" s="138"/>
      <c r="AP43" s="395">
        <f t="shared" si="21"/>
        <v>0</v>
      </c>
      <c r="AQ43" s="396">
        <f t="shared" si="22"/>
        <v>0</v>
      </c>
      <c r="AR43" s="397"/>
      <c r="AS43" s="3"/>
      <c r="AT43" s="3"/>
    </row>
    <row r="44" spans="1:46" ht="12" customHeight="1">
      <c r="A44" s="53"/>
      <c r="B44" s="328" t="s">
        <v>293</v>
      </c>
      <c r="C44" s="389" t="str">
        <f t="shared" si="51"/>
        <v>General Service &lt; 50 kW.TOU - Off Peak</v>
      </c>
      <c r="D44" s="390" t="s">
        <v>337</v>
      </c>
      <c r="E44" s="328"/>
      <c r="F44" s="424">
        <f>VLOOKUP($B44,'Proposed Rates'!$D$255:$J$261,+F$11-2,FALSE)</f>
        <v>9.8000000000000004E-2</v>
      </c>
      <c r="G44" s="502">
        <f>'Proposed Rates'!$K$256*$F$10</f>
        <v>1536</v>
      </c>
      <c r="H44" s="394">
        <f t="shared" si="53"/>
        <v>150.52800000000002</v>
      </c>
      <c r="I44" s="138"/>
      <c r="J44" s="424">
        <f>VLOOKUP($B44,'Proposed Rates'!$D$255:$J$261,+J$11-2,FALSE)</f>
        <v>9.8000000000000004E-2</v>
      </c>
      <c r="K44" s="502">
        <f>'Proposed Rates'!$K$256*$F$10</f>
        <v>1536</v>
      </c>
      <c r="L44" s="394">
        <f t="shared" si="55"/>
        <v>150.52800000000002</v>
      </c>
      <c r="M44" s="138"/>
      <c r="N44" s="395">
        <f t="shared" si="5"/>
        <v>0</v>
      </c>
      <c r="O44" s="396">
        <f t="shared" si="6"/>
        <v>0</v>
      </c>
      <c r="P44" s="53"/>
      <c r="Q44" s="424">
        <f>VLOOKUP($B44,'Proposed Rates'!$D$255:$J$261,+Q$11-2,FALSE)</f>
        <v>9.8000000000000004E-2</v>
      </c>
      <c r="R44" s="502">
        <f>'Proposed Rates'!$K$256*$F$10</f>
        <v>1536</v>
      </c>
      <c r="S44" s="394">
        <f t="shared" si="57"/>
        <v>150.52800000000002</v>
      </c>
      <c r="T44" s="138"/>
      <c r="U44" s="395">
        <f t="shared" si="9"/>
        <v>0</v>
      </c>
      <c r="V44" s="396">
        <f t="shared" si="10"/>
        <v>0</v>
      </c>
      <c r="W44" s="53"/>
      <c r="X44" s="424">
        <f>VLOOKUP($B44,'Proposed Rates'!$D$255:$J$261,+X$11-2,FALSE)</f>
        <v>9.8000000000000004E-2</v>
      </c>
      <c r="Y44" s="502">
        <f>'Proposed Rates'!$K$256*$F$10</f>
        <v>1536</v>
      </c>
      <c r="Z44" s="394">
        <f t="shared" si="59"/>
        <v>150.52800000000002</v>
      </c>
      <c r="AA44" s="138"/>
      <c r="AB44" s="395">
        <f t="shared" si="13"/>
        <v>0</v>
      </c>
      <c r="AC44" s="396">
        <f t="shared" si="14"/>
        <v>0</v>
      </c>
      <c r="AD44" s="53"/>
      <c r="AE44" s="424">
        <f>VLOOKUP($B44,'Proposed Rates'!$D$255:$J$261,+AE$11-2,FALSE)</f>
        <v>9.8000000000000004E-2</v>
      </c>
      <c r="AF44" s="502">
        <f>'Proposed Rates'!$K$256*$F$10</f>
        <v>1536</v>
      </c>
      <c r="AG44" s="394">
        <f t="shared" si="61"/>
        <v>150.52800000000002</v>
      </c>
      <c r="AH44" s="138"/>
      <c r="AI44" s="395">
        <f t="shared" si="17"/>
        <v>0</v>
      </c>
      <c r="AJ44" s="396">
        <f t="shared" si="18"/>
        <v>0</v>
      </c>
      <c r="AK44" s="53"/>
      <c r="AL44" s="424">
        <f>VLOOKUP($B44,'Proposed Rates'!$D$255:$J$261,+AL$11-2,FALSE)</f>
        <v>9.8000000000000004E-2</v>
      </c>
      <c r="AM44" s="502">
        <f>'Proposed Rates'!$K$256*$F$10</f>
        <v>1536</v>
      </c>
      <c r="AN44" s="394">
        <f t="shared" si="63"/>
        <v>150.52800000000002</v>
      </c>
      <c r="AO44" s="138"/>
      <c r="AP44" s="395">
        <f t="shared" si="21"/>
        <v>0</v>
      </c>
      <c r="AQ44" s="396">
        <f t="shared" si="22"/>
        <v>0</v>
      </c>
      <c r="AR44" s="397"/>
      <c r="AS44" s="3"/>
      <c r="AT44" s="3"/>
    </row>
    <row r="45" spans="1:46" ht="12" customHeight="1">
      <c r="A45" s="53"/>
      <c r="B45" s="328" t="s">
        <v>294</v>
      </c>
      <c r="C45" s="389" t="str">
        <f t="shared" si="51"/>
        <v>General Service &lt; 50 kW.TOU - Mid Peak</v>
      </c>
      <c r="D45" s="390" t="s">
        <v>337</v>
      </c>
      <c r="E45" s="328"/>
      <c r="F45" s="424">
        <f>VLOOKUP($B45,'Proposed Rates'!$D$255:$J$261,+F$11-2,FALSE)</f>
        <v>0.157</v>
      </c>
      <c r="G45" s="502">
        <f>'Proposed Rates'!$K$257*$F$10</f>
        <v>432</v>
      </c>
      <c r="H45" s="394">
        <f t="shared" si="53"/>
        <v>67.823999999999998</v>
      </c>
      <c r="I45" s="138"/>
      <c r="J45" s="424">
        <f>VLOOKUP($B45,'Proposed Rates'!$D$255:$J$261,+J$11-2,FALSE)</f>
        <v>0.157</v>
      </c>
      <c r="K45" s="502">
        <f>'Proposed Rates'!$K$257*$F$10</f>
        <v>432</v>
      </c>
      <c r="L45" s="394">
        <f t="shared" si="55"/>
        <v>67.823999999999998</v>
      </c>
      <c r="M45" s="138"/>
      <c r="N45" s="395">
        <f t="shared" si="5"/>
        <v>0</v>
      </c>
      <c r="O45" s="396">
        <f t="shared" si="6"/>
        <v>0</v>
      </c>
      <c r="P45" s="53"/>
      <c r="Q45" s="424">
        <f>VLOOKUP($B45,'Proposed Rates'!$D$255:$J$261,+Q$11-2,FALSE)</f>
        <v>0.157</v>
      </c>
      <c r="R45" s="502">
        <f>'Proposed Rates'!$K$257*$F$10</f>
        <v>432</v>
      </c>
      <c r="S45" s="394">
        <f t="shared" si="57"/>
        <v>67.823999999999998</v>
      </c>
      <c r="T45" s="138"/>
      <c r="U45" s="395">
        <f t="shared" si="9"/>
        <v>0</v>
      </c>
      <c r="V45" s="396">
        <f t="shared" si="10"/>
        <v>0</v>
      </c>
      <c r="W45" s="53"/>
      <c r="X45" s="424">
        <f>VLOOKUP($B45,'Proposed Rates'!$D$255:$J$261,+X$11-2,FALSE)</f>
        <v>0.157</v>
      </c>
      <c r="Y45" s="502">
        <f>'Proposed Rates'!$K$257*$F$10</f>
        <v>432</v>
      </c>
      <c r="Z45" s="394">
        <f t="shared" si="59"/>
        <v>67.823999999999998</v>
      </c>
      <c r="AA45" s="138"/>
      <c r="AB45" s="395">
        <f t="shared" si="13"/>
        <v>0</v>
      </c>
      <c r="AC45" s="396">
        <f t="shared" si="14"/>
        <v>0</v>
      </c>
      <c r="AD45" s="53"/>
      <c r="AE45" s="424">
        <f>VLOOKUP($B45,'Proposed Rates'!$D$255:$J$261,+AE$11-2,FALSE)</f>
        <v>0.157</v>
      </c>
      <c r="AF45" s="502">
        <f>'Proposed Rates'!$K$257*$F$10</f>
        <v>432</v>
      </c>
      <c r="AG45" s="394">
        <f t="shared" si="61"/>
        <v>67.823999999999998</v>
      </c>
      <c r="AH45" s="138"/>
      <c r="AI45" s="395">
        <f t="shared" si="17"/>
        <v>0</v>
      </c>
      <c r="AJ45" s="396">
        <f t="shared" si="18"/>
        <v>0</v>
      </c>
      <c r="AK45" s="53"/>
      <c r="AL45" s="424">
        <f>VLOOKUP($B45,'Proposed Rates'!$D$255:$J$261,+AL$11-2,FALSE)</f>
        <v>0.157</v>
      </c>
      <c r="AM45" s="502">
        <f>'Proposed Rates'!$K$257*$F$10</f>
        <v>432</v>
      </c>
      <c r="AN45" s="394">
        <f t="shared" si="63"/>
        <v>67.823999999999998</v>
      </c>
      <c r="AO45" s="138"/>
      <c r="AP45" s="395">
        <f t="shared" si="21"/>
        <v>0</v>
      </c>
      <c r="AQ45" s="396">
        <f t="shared" si="22"/>
        <v>0</v>
      </c>
      <c r="AR45" s="397"/>
      <c r="AS45" s="3"/>
      <c r="AT45" s="3"/>
    </row>
    <row r="46" spans="1:46" ht="12" customHeight="1">
      <c r="A46" s="53"/>
      <c r="B46" s="53" t="s">
        <v>295</v>
      </c>
      <c r="C46" s="389" t="str">
        <f t="shared" si="51"/>
        <v>General Service &lt; 50 kW.TOU - On Peak</v>
      </c>
      <c r="D46" s="390" t="s">
        <v>337</v>
      </c>
      <c r="E46" s="328"/>
      <c r="F46" s="424">
        <f>VLOOKUP($B46,'Proposed Rates'!$D$255:$J$261,+F$11-2,FALSE)</f>
        <v>0.20300000000000001</v>
      </c>
      <c r="G46" s="502">
        <f>'Proposed Rates'!$K$258*$F$10</f>
        <v>432</v>
      </c>
      <c r="H46" s="394">
        <f t="shared" si="53"/>
        <v>87.696000000000012</v>
      </c>
      <c r="I46" s="138"/>
      <c r="J46" s="424">
        <f>VLOOKUP($B46,'Proposed Rates'!$D$255:$J$261,+J$11-2,FALSE)</f>
        <v>0.20300000000000001</v>
      </c>
      <c r="K46" s="502">
        <f>'Proposed Rates'!$K$258*$F$10</f>
        <v>432</v>
      </c>
      <c r="L46" s="394">
        <f t="shared" si="55"/>
        <v>87.696000000000012</v>
      </c>
      <c r="M46" s="138"/>
      <c r="N46" s="395">
        <f t="shared" si="5"/>
        <v>0</v>
      </c>
      <c r="O46" s="396">
        <f t="shared" si="6"/>
        <v>0</v>
      </c>
      <c r="P46" s="53"/>
      <c r="Q46" s="424">
        <f>VLOOKUP($B46,'Proposed Rates'!$D$255:$J$261,+Q$11-2,FALSE)</f>
        <v>0.20300000000000001</v>
      </c>
      <c r="R46" s="502">
        <f>'Proposed Rates'!$K$258*$F$10</f>
        <v>432</v>
      </c>
      <c r="S46" s="394">
        <f t="shared" si="57"/>
        <v>87.696000000000012</v>
      </c>
      <c r="T46" s="138"/>
      <c r="U46" s="395">
        <f t="shared" si="9"/>
        <v>0</v>
      </c>
      <c r="V46" s="396">
        <f t="shared" si="10"/>
        <v>0</v>
      </c>
      <c r="W46" s="53"/>
      <c r="X46" s="424">
        <f>VLOOKUP($B46,'Proposed Rates'!$D$255:$J$261,+X$11-2,FALSE)</f>
        <v>0.20300000000000001</v>
      </c>
      <c r="Y46" s="502">
        <f>'Proposed Rates'!$K$258*$F$10</f>
        <v>432</v>
      </c>
      <c r="Z46" s="394">
        <f t="shared" si="59"/>
        <v>87.696000000000012</v>
      </c>
      <c r="AA46" s="138"/>
      <c r="AB46" s="395">
        <f t="shared" si="13"/>
        <v>0</v>
      </c>
      <c r="AC46" s="396">
        <f t="shared" si="14"/>
        <v>0</v>
      </c>
      <c r="AD46" s="53"/>
      <c r="AE46" s="424">
        <f>VLOOKUP($B46,'Proposed Rates'!$D$255:$J$261,+AE$11-2,FALSE)</f>
        <v>0.20300000000000001</v>
      </c>
      <c r="AF46" s="502">
        <f>'Proposed Rates'!$K$258*$F$10</f>
        <v>432</v>
      </c>
      <c r="AG46" s="394">
        <f t="shared" si="61"/>
        <v>87.696000000000012</v>
      </c>
      <c r="AH46" s="138"/>
      <c r="AI46" s="395">
        <f t="shared" si="17"/>
        <v>0</v>
      </c>
      <c r="AJ46" s="396">
        <f t="shared" si="18"/>
        <v>0</v>
      </c>
      <c r="AK46" s="53"/>
      <c r="AL46" s="424">
        <f>VLOOKUP($B46,'Proposed Rates'!$D$255:$J$261,+AL$11-2,FALSE)</f>
        <v>0.20300000000000001</v>
      </c>
      <c r="AM46" s="502">
        <f>'Proposed Rates'!$K$258*$F$10</f>
        <v>432</v>
      </c>
      <c r="AN46" s="394">
        <f t="shared" si="63"/>
        <v>87.696000000000012</v>
      </c>
      <c r="AO46" s="138"/>
      <c r="AP46" s="395">
        <f t="shared" si="21"/>
        <v>0</v>
      </c>
      <c r="AQ46" s="396">
        <f t="shared" si="22"/>
        <v>0</v>
      </c>
      <c r="AR46" s="397"/>
      <c r="AS46" s="3"/>
      <c r="AT46" s="3"/>
    </row>
    <row r="47" spans="1:46" ht="12" customHeight="1">
      <c r="A47" s="53"/>
      <c r="B47" s="328" t="s">
        <v>296</v>
      </c>
      <c r="C47" s="389" t="str">
        <f t="shared" si="51"/>
        <v>General Service &lt; 50 kW.Energy - RPP - Tier 1</v>
      </c>
      <c r="D47" s="390" t="s">
        <v>337</v>
      </c>
      <c r="E47" s="328"/>
      <c r="F47" s="424">
        <f>VLOOKUP($B47,'Proposed Rates'!$D$255:$J$261,+F$11-2,FALSE)</f>
        <v>0.12</v>
      </c>
      <c r="G47" s="502">
        <f>IF(AND($S$2=1, $F$10&gt;=750), 750, IF(AND($S$2=1, AND($F$10&lt;750, $F$10&gt;=0)), $F$10, IF(AND($S$2=2, $F$10&gt;=1000), 1000, IF(AND($S$2=2, AND($F$10&lt;1000, $F$10&gt;=0)), $F$10))))</f>
        <v>750</v>
      </c>
      <c r="H47" s="394">
        <f t="shared" si="53"/>
        <v>90</v>
      </c>
      <c r="I47" s="138"/>
      <c r="J47" s="424">
        <f>VLOOKUP($B47,'Proposed Rates'!$D$255:$J$261,+J$11-2,FALSE)</f>
        <v>0.12</v>
      </c>
      <c r="K47" s="502">
        <f>IF(AND($S$2=1, $F$10&gt;=750), 750, IF(AND($S$2=1, AND($F$10&lt;750, $F$10&gt;=0)), $F$10, IF(AND($S$2=2, $F$10&gt;=1000), 1000, IF(AND($S$2=2, AND($F$10&lt;1000, $F$10&gt;=0)), $F$10))))</f>
        <v>750</v>
      </c>
      <c r="L47" s="394">
        <f t="shared" si="55"/>
        <v>90</v>
      </c>
      <c r="M47" s="138"/>
      <c r="N47" s="395">
        <f t="shared" si="5"/>
        <v>0</v>
      </c>
      <c r="O47" s="396">
        <f t="shared" si="6"/>
        <v>0</v>
      </c>
      <c r="P47" s="53"/>
      <c r="Q47" s="424">
        <f>VLOOKUP($B47,'Proposed Rates'!$D$255:$J$261,+Q$11-2,FALSE)</f>
        <v>0.12</v>
      </c>
      <c r="R47" s="502">
        <f>IF(AND($S$2=1, $F$10&gt;=750), 750, IF(AND($S$2=1, AND($F$10&lt;750, $F$10&gt;=0)), $F$10, IF(AND($S$2=2, $F$10&gt;=1000), 1000, IF(AND($S$2=2, AND($F$10&lt;1000, $F$10&gt;=0)), $F$10))))</f>
        <v>750</v>
      </c>
      <c r="S47" s="394">
        <f t="shared" si="57"/>
        <v>90</v>
      </c>
      <c r="T47" s="138"/>
      <c r="U47" s="395">
        <f t="shared" si="9"/>
        <v>0</v>
      </c>
      <c r="V47" s="396">
        <f t="shared" si="10"/>
        <v>0</v>
      </c>
      <c r="W47" s="53"/>
      <c r="X47" s="424">
        <f>VLOOKUP($B47,'Proposed Rates'!$D$255:$J$261,+X$11-2,FALSE)</f>
        <v>0.12</v>
      </c>
      <c r="Y47" s="502">
        <f>IF(AND($S$2=1, $F$10&gt;=750), 750, IF(AND($S$2=1, AND($F$10&lt;750, $F$10&gt;=0)), $F$10, IF(AND($S$2=2, $F$10&gt;=1000), 1000, IF(AND($S$2=2, AND($F$10&lt;1000, $F$10&gt;=0)), $F$10))))</f>
        <v>750</v>
      </c>
      <c r="Z47" s="394">
        <f t="shared" si="59"/>
        <v>90</v>
      </c>
      <c r="AA47" s="138"/>
      <c r="AB47" s="395">
        <f t="shared" si="13"/>
        <v>0</v>
      </c>
      <c r="AC47" s="396">
        <f t="shared" si="14"/>
        <v>0</v>
      </c>
      <c r="AD47" s="53"/>
      <c r="AE47" s="424">
        <f>VLOOKUP($B47,'Proposed Rates'!$D$255:$J$261,+AE$11-2,FALSE)</f>
        <v>0.12</v>
      </c>
      <c r="AF47" s="502">
        <f>IF(AND($S$2=1, $F$10&gt;=750), 750, IF(AND($S$2=1, AND($F$10&lt;750, $F$10&gt;=0)), $F$10, IF(AND($S$2=2, $F$10&gt;=1000), 1000, IF(AND($S$2=2, AND($F$10&lt;1000, $F$10&gt;=0)), $F$10))))</f>
        <v>750</v>
      </c>
      <c r="AG47" s="394">
        <f t="shared" si="61"/>
        <v>90</v>
      </c>
      <c r="AH47" s="138"/>
      <c r="AI47" s="395">
        <f t="shared" si="17"/>
        <v>0</v>
      </c>
      <c r="AJ47" s="396">
        <f t="shared" si="18"/>
        <v>0</v>
      </c>
      <c r="AK47" s="53"/>
      <c r="AL47" s="424">
        <f>VLOOKUP($B47,'Proposed Rates'!$D$255:$J$261,+AL$11-2,FALSE)</f>
        <v>0.12</v>
      </c>
      <c r="AM47" s="502">
        <f>IF(AND($S$2=1, $F$10&gt;=750), 750, IF(AND($S$2=1, AND($F$10&lt;750, $F$10&gt;=0)), $F$10, IF(AND($S$2=2, $F$10&gt;=1000), 1000, IF(AND($S$2=2, AND($F$10&lt;1000, $F$10&gt;=0)), $F$10))))</f>
        <v>750</v>
      </c>
      <c r="AN47" s="394">
        <f t="shared" si="63"/>
        <v>90</v>
      </c>
      <c r="AO47" s="138"/>
      <c r="AP47" s="395">
        <f t="shared" si="21"/>
        <v>0</v>
      </c>
      <c r="AQ47" s="396">
        <f t="shared" si="22"/>
        <v>0</v>
      </c>
      <c r="AR47" s="397"/>
      <c r="AS47" s="3"/>
      <c r="AT47" s="3"/>
    </row>
    <row r="48" spans="1:46" ht="12" customHeight="1">
      <c r="A48" s="53"/>
      <c r="B48" s="328" t="s">
        <v>297</v>
      </c>
      <c r="C48" s="389" t="str">
        <f t="shared" si="51"/>
        <v>General Service &lt; 50 kW.Energy - RPP - Tier 2</v>
      </c>
      <c r="D48" s="390" t="s">
        <v>337</v>
      </c>
      <c r="E48" s="328"/>
      <c r="F48" s="424">
        <f>VLOOKUP($B48,'Proposed Rates'!$D$255:$J$261,+F$11-2,FALSE)</f>
        <v>0.14199999999999999</v>
      </c>
      <c r="G48" s="502">
        <f>IF(AND($S$2=1, $F$10&gt;=750), $F$10-750, IF(AND($S$2=1, AND($F$10&lt;750, $F$10&gt;=0)), 0, IF(AND($S$2=2, $F$10&gt;=1000), $F$10-1000, IF(AND($S$2=2, AND($F$10&lt;1000, $F$10&gt;=0)), 0))))</f>
        <v>1650</v>
      </c>
      <c r="H48" s="394">
        <f t="shared" si="53"/>
        <v>234.29999999999998</v>
      </c>
      <c r="I48" s="138"/>
      <c r="J48" s="424">
        <f>VLOOKUP($B48,'Proposed Rates'!$D$255:$J$261,+J$11-2,FALSE)</f>
        <v>0.14199999999999999</v>
      </c>
      <c r="K48" s="502">
        <f>IF(AND($S$2=1, $F$10&gt;=750), $F$10-750, IF(AND($S$2=1, AND($F$10&lt;750, $F$10&gt;=0)), 0, IF(AND($S$2=2, $F$10&gt;=1000), $F$10-1000, IF(AND($S$2=2, AND($F$10&lt;1000, $F$10&gt;=0)), 0))))</f>
        <v>1650</v>
      </c>
      <c r="L48" s="394">
        <f t="shared" si="55"/>
        <v>234.29999999999998</v>
      </c>
      <c r="M48" s="138"/>
      <c r="N48" s="395">
        <f t="shared" si="5"/>
        <v>0</v>
      </c>
      <c r="O48" s="396">
        <f t="shared" si="6"/>
        <v>0</v>
      </c>
      <c r="P48" s="53"/>
      <c r="Q48" s="424">
        <f>VLOOKUP($B48,'Proposed Rates'!$D$255:$J$261,+Q$11-2,FALSE)</f>
        <v>0.14199999999999999</v>
      </c>
      <c r="R48" s="502">
        <f>IF(AND($S$2=1, $F$10&gt;=750), $F$10-750, IF(AND($S$2=1, AND($F$10&lt;750, $F$10&gt;=0)), 0, IF(AND($S$2=2, $F$10&gt;=1000), $F$10-1000, IF(AND($S$2=2, AND($F$10&lt;1000, $F$10&gt;=0)), 0))))</f>
        <v>1650</v>
      </c>
      <c r="S48" s="394">
        <f t="shared" si="57"/>
        <v>234.29999999999998</v>
      </c>
      <c r="T48" s="138"/>
      <c r="U48" s="395">
        <f t="shared" si="9"/>
        <v>0</v>
      </c>
      <c r="V48" s="396">
        <f t="shared" si="10"/>
        <v>0</v>
      </c>
      <c r="W48" s="53"/>
      <c r="X48" s="424">
        <f>VLOOKUP($B48,'Proposed Rates'!$D$255:$J$261,+X$11-2,FALSE)</f>
        <v>0.14199999999999999</v>
      </c>
      <c r="Y48" s="502">
        <f>IF(AND($S$2=1, $F$10&gt;=750), $F$10-750, IF(AND($S$2=1, AND($F$10&lt;750, $F$10&gt;=0)), 0, IF(AND($S$2=2, $F$10&gt;=1000), $F$10-1000, IF(AND($S$2=2, AND($F$10&lt;1000, $F$10&gt;=0)), 0))))</f>
        <v>1650</v>
      </c>
      <c r="Z48" s="394">
        <f t="shared" si="59"/>
        <v>234.29999999999998</v>
      </c>
      <c r="AA48" s="138"/>
      <c r="AB48" s="395">
        <f t="shared" si="13"/>
        <v>0</v>
      </c>
      <c r="AC48" s="396">
        <f t="shared" si="14"/>
        <v>0</v>
      </c>
      <c r="AD48" s="53"/>
      <c r="AE48" s="424">
        <f>VLOOKUP($B48,'Proposed Rates'!$D$255:$J$261,+AE$11-2,FALSE)</f>
        <v>0.14199999999999999</v>
      </c>
      <c r="AF48" s="502">
        <f>IF(AND($S$2=1, $F$10&gt;=750), $F$10-750, IF(AND($S$2=1, AND($F$10&lt;750, $F$10&gt;=0)), 0, IF(AND($S$2=2, $F$10&gt;=1000), $F$10-1000, IF(AND($S$2=2, AND($F$10&lt;1000, $F$10&gt;=0)), 0))))</f>
        <v>1650</v>
      </c>
      <c r="AG48" s="394">
        <f t="shared" si="61"/>
        <v>234.29999999999998</v>
      </c>
      <c r="AH48" s="138"/>
      <c r="AI48" s="395">
        <f t="shared" si="17"/>
        <v>0</v>
      </c>
      <c r="AJ48" s="396">
        <f t="shared" si="18"/>
        <v>0</v>
      </c>
      <c r="AK48" s="53"/>
      <c r="AL48" s="424">
        <f>VLOOKUP($B48,'Proposed Rates'!$D$255:$J$261,+AL$11-2,FALSE)</f>
        <v>0.14199999999999999</v>
      </c>
      <c r="AM48" s="502">
        <f>IF(AND($S$2=1, $F$10&gt;=750), $F$10-750, IF(AND($S$2=1, AND($F$10&lt;750, $F$10&gt;=0)), 0, IF(AND($S$2=2, $F$10&gt;=1000), $F$10-1000, IF(AND($S$2=2, AND($F$10&lt;1000, $F$10&gt;=0)), 0))))</f>
        <v>1650</v>
      </c>
      <c r="AN48" s="394">
        <f t="shared" si="63"/>
        <v>234.29999999999998</v>
      </c>
      <c r="AO48" s="138"/>
      <c r="AP48" s="395">
        <f t="shared" si="21"/>
        <v>0</v>
      </c>
      <c r="AQ48" s="396">
        <f t="shared" si="22"/>
        <v>0</v>
      </c>
      <c r="AR48" s="397"/>
      <c r="AS48" s="3"/>
      <c r="AT48" s="3"/>
    </row>
    <row r="49" spans="1:46" ht="12"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c r="AS49" s="3"/>
      <c r="AT49" s="3"/>
    </row>
    <row r="50" spans="1:46" ht="12" customHeight="1">
      <c r="A50" s="53"/>
      <c r="B50" s="438" t="s">
        <v>344</v>
      </c>
      <c r="C50" s="328"/>
      <c r="D50" s="328"/>
      <c r="E50" s="328"/>
      <c r="F50" s="439"/>
      <c r="G50" s="483"/>
      <c r="H50" s="441">
        <f>SUM(H41:H46,H40)</f>
        <v>477.60825440000008</v>
      </c>
      <c r="I50" s="476"/>
      <c r="J50" s="439"/>
      <c r="K50" s="440"/>
      <c r="L50" s="442">
        <f>SUM(L41:L46,L40)</f>
        <v>481.53850239999997</v>
      </c>
      <c r="M50" s="443"/>
      <c r="N50" s="442">
        <f t="shared" ref="N50:N54" si="64">L50-H50</f>
        <v>3.9302479999998923</v>
      </c>
      <c r="O50" s="444">
        <f t="shared" ref="O50:O54" si="65">IF((H50)=0,"",(N50/H50))</f>
        <v>8.229020256229248E-3</v>
      </c>
      <c r="P50" s="53"/>
      <c r="Q50" s="439"/>
      <c r="R50" s="440"/>
      <c r="S50" s="442">
        <f>SUM(S41:S46,S40)</f>
        <v>488.79850239999996</v>
      </c>
      <c r="T50" s="443"/>
      <c r="U50" s="442">
        <f t="shared" ref="U50:U54" si="66">S50-L50</f>
        <v>7.2599999999999909</v>
      </c>
      <c r="V50" s="444">
        <f t="shared" ref="V50:V54" si="67">IF((L50)=0,"",(U50/L50))</f>
        <v>1.5076676036944021E-2</v>
      </c>
      <c r="W50" s="53"/>
      <c r="X50" s="439"/>
      <c r="Y50" s="440"/>
      <c r="Z50" s="442">
        <f>SUM(Z41:Z46,Z40)</f>
        <v>492.09850240000003</v>
      </c>
      <c r="AA50" s="443"/>
      <c r="AB50" s="442">
        <f t="shared" ref="AB50:AB54" si="68">Z50-S50</f>
        <v>3.3000000000000682</v>
      </c>
      <c r="AC50" s="444">
        <f t="shared" ref="AC50:AC54" si="69">IF((S50)=0,"",(AB50/S50))</f>
        <v>6.7512481805837637E-3</v>
      </c>
      <c r="AD50" s="53"/>
      <c r="AE50" s="439"/>
      <c r="AF50" s="440"/>
      <c r="AG50" s="442">
        <f>SUM(AG41:AG46,AG40)</f>
        <v>494.01850239999999</v>
      </c>
      <c r="AH50" s="443"/>
      <c r="AI50" s="442">
        <f t="shared" ref="AI50:AI54" si="70">AG50-Z50</f>
        <v>1.9199999999999591</v>
      </c>
      <c r="AJ50" s="444">
        <f t="shared" ref="AJ50:AJ54" si="71">IF((Z50)=0,"",(AI50/Z50))</f>
        <v>3.9016578807616361E-3</v>
      </c>
      <c r="AK50" s="53"/>
      <c r="AL50" s="439"/>
      <c r="AM50" s="440"/>
      <c r="AN50" s="442">
        <f>SUM(AN41:AN46,AN40)</f>
        <v>495.90850240000003</v>
      </c>
      <c r="AO50" s="443"/>
      <c r="AP50" s="442">
        <f t="shared" ref="AP50:AP54" si="72">AN50-AG50</f>
        <v>1.8900000000000432</v>
      </c>
      <c r="AQ50" s="444">
        <f t="shared" ref="AQ50:AQ54" si="73">IF((AG50)=0,"",(AP50/AG50))</f>
        <v>3.825767639912677E-3</v>
      </c>
      <c r="AR50" s="445"/>
      <c r="AS50" s="3"/>
      <c r="AT50" s="3"/>
    </row>
    <row r="51" spans="1:46" ht="12" customHeight="1">
      <c r="A51" s="53"/>
      <c r="B51" s="446" t="s">
        <v>345</v>
      </c>
      <c r="C51" s="328"/>
      <c r="D51" s="328"/>
      <c r="E51" s="328"/>
      <c r="F51" s="439">
        <v>0.13</v>
      </c>
      <c r="G51" s="138"/>
      <c r="H51" s="484">
        <f>H50*F51</f>
        <v>62.089073072000012</v>
      </c>
      <c r="I51" s="411"/>
      <c r="J51" s="439">
        <v>0.13</v>
      </c>
      <c r="K51" s="411"/>
      <c r="L51" s="394">
        <f>L50*J51</f>
        <v>62.600005312</v>
      </c>
      <c r="M51" s="138"/>
      <c r="N51" s="395">
        <f t="shared" si="64"/>
        <v>0.51093223999998827</v>
      </c>
      <c r="O51" s="396">
        <f t="shared" si="65"/>
        <v>8.2290202562292844E-3</v>
      </c>
      <c r="P51" s="53"/>
      <c r="Q51" s="439">
        <v>0.13</v>
      </c>
      <c r="R51" s="411"/>
      <c r="S51" s="394">
        <f>S50*Q51</f>
        <v>63.543805311999996</v>
      </c>
      <c r="T51" s="138"/>
      <c r="U51" s="395">
        <f t="shared" si="66"/>
        <v>0.94379999999999598</v>
      </c>
      <c r="V51" s="396">
        <f t="shared" si="67"/>
        <v>1.5076676036943975E-2</v>
      </c>
      <c r="W51" s="53"/>
      <c r="X51" s="439">
        <v>0.13</v>
      </c>
      <c r="Y51" s="411"/>
      <c r="Z51" s="394">
        <f>Z50*X51</f>
        <v>63.972805312000006</v>
      </c>
      <c r="AA51" s="138"/>
      <c r="AB51" s="395">
        <f t="shared" si="68"/>
        <v>0.42900000000000915</v>
      </c>
      <c r="AC51" s="396">
        <f t="shared" si="69"/>
        <v>6.751248180583768E-3</v>
      </c>
      <c r="AD51" s="53"/>
      <c r="AE51" s="439">
        <v>0.13</v>
      </c>
      <c r="AF51" s="411"/>
      <c r="AG51" s="394">
        <f>AG50*AE51</f>
        <v>64.222405312000006</v>
      </c>
      <c r="AH51" s="138"/>
      <c r="AI51" s="395">
        <f t="shared" si="70"/>
        <v>0.24960000000000093</v>
      </c>
      <c r="AJ51" s="396">
        <f t="shared" si="71"/>
        <v>3.9016578807617337E-3</v>
      </c>
      <c r="AK51" s="53"/>
      <c r="AL51" s="439">
        <v>0.13</v>
      </c>
      <c r="AM51" s="411"/>
      <c r="AN51" s="394">
        <f>AN50*AL51</f>
        <v>64.468105312000006</v>
      </c>
      <c r="AO51" s="138"/>
      <c r="AP51" s="395">
        <f t="shared" si="72"/>
        <v>0.24569999999999936</v>
      </c>
      <c r="AQ51" s="396">
        <f t="shared" si="73"/>
        <v>3.8257676399125794E-3</v>
      </c>
      <c r="AR51" s="397"/>
      <c r="AS51" s="3"/>
      <c r="AT51" s="3"/>
    </row>
    <row r="52" spans="1:46" ht="12" customHeight="1">
      <c r="A52" s="53"/>
      <c r="B52" s="448" t="s">
        <v>396</v>
      </c>
      <c r="C52" s="328"/>
      <c r="D52" s="328"/>
      <c r="E52" s="328"/>
      <c r="F52" s="449"/>
      <c r="G52" s="138"/>
      <c r="H52" s="484">
        <f>H50+H51</f>
        <v>539.6973274720001</v>
      </c>
      <c r="I52" s="411"/>
      <c r="J52" s="449"/>
      <c r="K52" s="411"/>
      <c r="L52" s="394">
        <f>L50+L51</f>
        <v>544.13850771199998</v>
      </c>
      <c r="M52" s="138"/>
      <c r="N52" s="395">
        <f t="shared" si="64"/>
        <v>4.4411802399998805</v>
      </c>
      <c r="O52" s="396">
        <f t="shared" si="65"/>
        <v>8.2290202562292514E-3</v>
      </c>
      <c r="P52" s="53"/>
      <c r="Q52" s="449"/>
      <c r="R52" s="411"/>
      <c r="S52" s="394">
        <f>S50+S51</f>
        <v>552.34230771199998</v>
      </c>
      <c r="T52" s="138"/>
      <c r="U52" s="395">
        <f t="shared" si="66"/>
        <v>8.2038000000000011</v>
      </c>
      <c r="V52" s="396">
        <f t="shared" si="67"/>
        <v>1.5076676036944042E-2</v>
      </c>
      <c r="W52" s="53"/>
      <c r="X52" s="449"/>
      <c r="Y52" s="411"/>
      <c r="Z52" s="394">
        <f>Z50+Z51</f>
        <v>556.07130771200002</v>
      </c>
      <c r="AA52" s="138"/>
      <c r="AB52" s="395">
        <f t="shared" si="68"/>
        <v>3.7290000000000418</v>
      </c>
      <c r="AC52" s="396">
        <f t="shared" si="69"/>
        <v>6.7512481805836995E-3</v>
      </c>
      <c r="AD52" s="53"/>
      <c r="AE52" s="449"/>
      <c r="AF52" s="411"/>
      <c r="AG52" s="394">
        <f>AG50+AG51</f>
        <v>558.24090771199997</v>
      </c>
      <c r="AH52" s="138"/>
      <c r="AI52" s="395">
        <f t="shared" si="70"/>
        <v>2.1695999999999458</v>
      </c>
      <c r="AJ52" s="396">
        <f t="shared" si="71"/>
        <v>3.9016578807616218E-3</v>
      </c>
      <c r="AK52" s="53"/>
      <c r="AL52" s="449"/>
      <c r="AM52" s="411"/>
      <c r="AN52" s="394">
        <f>AN50+AN51</f>
        <v>560.37660771200001</v>
      </c>
      <c r="AO52" s="138"/>
      <c r="AP52" s="395">
        <f t="shared" si="72"/>
        <v>2.1357000000000426</v>
      </c>
      <c r="AQ52" s="396">
        <f t="shared" si="73"/>
        <v>3.8257676399126661E-3</v>
      </c>
      <c r="AR52" s="397"/>
      <c r="AS52" s="3"/>
      <c r="AT52" s="3"/>
    </row>
    <row r="53" spans="1:46" ht="12" customHeight="1">
      <c r="A53" s="53"/>
      <c r="B53" s="626" t="s">
        <v>304</v>
      </c>
      <c r="C53" s="616"/>
      <c r="D53" s="616"/>
      <c r="E53" s="328"/>
      <c r="F53" s="450">
        <f>'Proposed Rates'!E294</f>
        <v>0.23499999999999999</v>
      </c>
      <c r="G53" s="138"/>
      <c r="H53" s="486">
        <f>F53*H50</f>
        <v>112.23793978400001</v>
      </c>
      <c r="I53" s="411"/>
      <c r="J53" s="450">
        <f>'Proposed Rates'!I294</f>
        <v>0.23499999999999999</v>
      </c>
      <c r="K53" s="411"/>
      <c r="L53" s="451">
        <f>J53*L50</f>
        <v>113.16154806399999</v>
      </c>
      <c r="M53" s="138"/>
      <c r="N53" s="451">
        <f t="shared" si="64"/>
        <v>0.92360827999998207</v>
      </c>
      <c r="O53" s="453">
        <f t="shared" si="65"/>
        <v>8.2290202562293139E-3</v>
      </c>
      <c r="P53" s="53"/>
      <c r="Q53" s="450">
        <f>'Proposed Rates'!H294</f>
        <v>0.23499999999999999</v>
      </c>
      <c r="R53" s="411"/>
      <c r="S53" s="451">
        <f>Q53*S50</f>
        <v>114.86764806399998</v>
      </c>
      <c r="T53" s="138"/>
      <c r="U53" s="451">
        <f t="shared" si="66"/>
        <v>1.7060999999999922</v>
      </c>
      <c r="V53" s="453">
        <f t="shared" si="67"/>
        <v>1.5076676036943973E-2</v>
      </c>
      <c r="W53" s="53"/>
      <c r="X53" s="450">
        <f>'Proposed Rates'!J294</f>
        <v>0.23499999999999999</v>
      </c>
      <c r="Y53" s="411"/>
      <c r="Z53" s="451">
        <f>X53*Z50</f>
        <v>115.643148064</v>
      </c>
      <c r="AA53" s="138"/>
      <c r="AB53" s="451">
        <f t="shared" si="68"/>
        <v>0.77550000000002228</v>
      </c>
      <c r="AC53" s="453">
        <f t="shared" si="69"/>
        <v>6.7512481805838192E-3</v>
      </c>
      <c r="AD53" s="53"/>
      <c r="AE53" s="450">
        <f>'Proposed Rates'!J294</f>
        <v>0.23499999999999999</v>
      </c>
      <c r="AF53" s="411"/>
      <c r="AG53" s="451">
        <f>AE53*AG50</f>
        <v>116.09434806399999</v>
      </c>
      <c r="AH53" s="138"/>
      <c r="AI53" s="451">
        <f t="shared" si="70"/>
        <v>0.45119999999998583</v>
      </c>
      <c r="AJ53" s="453">
        <f t="shared" si="71"/>
        <v>3.9016578807615971E-3</v>
      </c>
      <c r="AK53" s="53"/>
      <c r="AL53" s="450">
        <f>'Proposed Rates'!J294</f>
        <v>0.23499999999999999</v>
      </c>
      <c r="AM53" s="411"/>
      <c r="AN53" s="451">
        <f>AL53*AN50</f>
        <v>116.538498064</v>
      </c>
      <c r="AO53" s="138"/>
      <c r="AP53" s="451">
        <f t="shared" si="72"/>
        <v>0.44415000000000759</v>
      </c>
      <c r="AQ53" s="453">
        <f t="shared" si="73"/>
        <v>3.8257676399126553E-3</v>
      </c>
      <c r="AR53" s="454"/>
      <c r="AS53" s="3"/>
      <c r="AT53" s="3"/>
    </row>
    <row r="54" spans="1:46" ht="12" customHeight="1">
      <c r="A54" s="53"/>
      <c r="B54" s="627" t="s">
        <v>347</v>
      </c>
      <c r="C54" s="608"/>
      <c r="D54" s="600"/>
      <c r="E54" s="455"/>
      <c r="F54" s="456"/>
      <c r="G54" s="487"/>
      <c r="H54" s="488">
        <f>H52-H53</f>
        <v>427.45938768800011</v>
      </c>
      <c r="I54" s="457"/>
      <c r="J54" s="456"/>
      <c r="K54" s="457"/>
      <c r="L54" s="458">
        <f>L52-L53</f>
        <v>430.97695964799999</v>
      </c>
      <c r="M54" s="459"/>
      <c r="N54" s="460">
        <f t="shared" si="64"/>
        <v>3.5175719599998843</v>
      </c>
      <c r="O54" s="461">
        <f t="shared" si="65"/>
        <v>8.2290202562292011E-3</v>
      </c>
      <c r="P54" s="53"/>
      <c r="Q54" s="456"/>
      <c r="R54" s="457"/>
      <c r="S54" s="458">
        <f>S52-S53</f>
        <v>437.474659648</v>
      </c>
      <c r="T54" s="459"/>
      <c r="U54" s="460">
        <f t="shared" si="66"/>
        <v>6.4977000000000089</v>
      </c>
      <c r="V54" s="461">
        <f t="shared" si="67"/>
        <v>1.5076676036944061E-2</v>
      </c>
      <c r="W54" s="53"/>
      <c r="X54" s="456"/>
      <c r="Y54" s="457"/>
      <c r="Z54" s="458">
        <f>Z52-Z53</f>
        <v>440.42815964800002</v>
      </c>
      <c r="AA54" s="459"/>
      <c r="AB54" s="460">
        <f t="shared" si="68"/>
        <v>2.9535000000000196</v>
      </c>
      <c r="AC54" s="461">
        <f t="shared" si="69"/>
        <v>6.7512481805836683E-3</v>
      </c>
      <c r="AD54" s="53"/>
      <c r="AE54" s="456"/>
      <c r="AF54" s="457"/>
      <c r="AG54" s="458">
        <f>AG52-AG53</f>
        <v>442.14655964799999</v>
      </c>
      <c r="AH54" s="459"/>
      <c r="AI54" s="460">
        <f t="shared" si="70"/>
        <v>1.7183999999999742</v>
      </c>
      <c r="AJ54" s="461">
        <f t="shared" si="71"/>
        <v>3.9016578807616609E-3</v>
      </c>
      <c r="AK54" s="53"/>
      <c r="AL54" s="456"/>
      <c r="AM54" s="457"/>
      <c r="AN54" s="458">
        <f>AN52-AN53</f>
        <v>443.838109648</v>
      </c>
      <c r="AO54" s="459"/>
      <c r="AP54" s="460">
        <f t="shared" si="72"/>
        <v>1.6915500000000065</v>
      </c>
      <c r="AQ54" s="461">
        <f t="shared" si="73"/>
        <v>3.8257676399126046E-3</v>
      </c>
      <c r="AR54" s="462"/>
      <c r="AS54" s="3"/>
      <c r="AT54" s="3"/>
    </row>
    <row r="55" spans="1:46" ht="12"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c r="AS55" s="3"/>
      <c r="AT55" s="3"/>
    </row>
    <row r="56" spans="1:46" ht="12" customHeight="1">
      <c r="A56" s="53"/>
      <c r="B56" s="438" t="s">
        <v>348</v>
      </c>
      <c r="C56" s="328"/>
      <c r="D56" s="328"/>
      <c r="E56" s="328"/>
      <c r="F56" s="439"/>
      <c r="G56" s="483"/>
      <c r="H56" s="441">
        <f>SUM(H47:H48,H40,H41:H43)</f>
        <v>495.86025439999997</v>
      </c>
      <c r="I56" s="476"/>
      <c r="J56" s="439"/>
      <c r="K56" s="440"/>
      <c r="L56" s="442">
        <f>SUM(L47:L48,L40,L41:L43)</f>
        <v>499.79050239999992</v>
      </c>
      <c r="M56" s="443"/>
      <c r="N56" s="442">
        <f t="shared" ref="N56:N60" si="74">L56-H56</f>
        <v>3.9302479999999491</v>
      </c>
      <c r="O56" s="444">
        <f t="shared" ref="O56:O60" si="75">IF((H56)=0,"",(N56/H56))</f>
        <v>7.9261202428003059E-3</v>
      </c>
      <c r="P56" s="53"/>
      <c r="Q56" s="439"/>
      <c r="R56" s="440"/>
      <c r="S56" s="442">
        <f>SUM(S47:S48,S40,S41:S43)</f>
        <v>507.05050239999991</v>
      </c>
      <c r="T56" s="443"/>
      <c r="U56" s="442">
        <f t="shared" ref="U56:U60" si="76">S56-L56</f>
        <v>7.2599999999999909</v>
      </c>
      <c r="V56" s="444">
        <f t="shared" ref="V56:V60" si="77">IF((L56)=0,"",(U56/L56))</f>
        <v>1.4526086360459801E-2</v>
      </c>
      <c r="W56" s="53"/>
      <c r="X56" s="439"/>
      <c r="Y56" s="440"/>
      <c r="Z56" s="442">
        <f>SUM(Z47:Z48,Z40,Z41:Z43)</f>
        <v>510.35050239999987</v>
      </c>
      <c r="AA56" s="443"/>
      <c r="AB56" s="442">
        <f t="shared" ref="AB56:AB60" si="78">Z56-S56</f>
        <v>3.2999999999999545</v>
      </c>
      <c r="AC56" s="444">
        <f t="shared" ref="AC56:AC60" si="79">IF((S56)=0,"",(AB56/S56))</f>
        <v>6.5082274534394684E-3</v>
      </c>
      <c r="AD56" s="53"/>
      <c r="AE56" s="439"/>
      <c r="AF56" s="440"/>
      <c r="AG56" s="442">
        <f>SUM(AG47:AG48,AG40,AG41:AG43)</f>
        <v>512.27050239999994</v>
      </c>
      <c r="AH56" s="443"/>
      <c r="AI56" s="442">
        <f t="shared" ref="AI56:AI60" si="80">AG56-Z56</f>
        <v>1.9200000000000728</v>
      </c>
      <c r="AJ56" s="444">
        <f t="shared" ref="AJ56:AJ60" si="81">IF((Z56)=0,"",(AI56/Z56))</f>
        <v>3.7621203290111099E-3</v>
      </c>
      <c r="AK56" s="53"/>
      <c r="AL56" s="439"/>
      <c r="AM56" s="440"/>
      <c r="AN56" s="442">
        <f>SUM(AN47:AN48,AN40,AN41:AN43)</f>
        <v>514.16050239999993</v>
      </c>
      <c r="AO56" s="443"/>
      <c r="AP56" s="442">
        <f t="shared" ref="AP56:AP60" si="82">AN56-AG56</f>
        <v>1.8899999999999864</v>
      </c>
      <c r="AQ56" s="444">
        <f t="shared" ref="AQ56:AQ60" si="83">IF((AG56)=0,"",(AP56/AG56))</f>
        <v>3.6894570176211391E-3</v>
      </c>
      <c r="AR56" s="445"/>
      <c r="AS56" s="3"/>
      <c r="AT56" s="3"/>
    </row>
    <row r="57" spans="1:46" ht="12" customHeight="1">
      <c r="A57" s="53"/>
      <c r="B57" s="446" t="s">
        <v>345</v>
      </c>
      <c r="C57" s="328"/>
      <c r="D57" s="328"/>
      <c r="E57" s="328"/>
      <c r="F57" s="439">
        <v>0.13</v>
      </c>
      <c r="G57" s="483"/>
      <c r="H57" s="484">
        <f>H56*F57</f>
        <v>64.461833072000005</v>
      </c>
      <c r="I57" s="411"/>
      <c r="J57" s="439">
        <v>0.13</v>
      </c>
      <c r="K57" s="447"/>
      <c r="L57" s="395">
        <f>L56*J57</f>
        <v>64.972765311999993</v>
      </c>
      <c r="M57" s="138"/>
      <c r="N57" s="395">
        <f t="shared" si="74"/>
        <v>0.51093223999998827</v>
      </c>
      <c r="O57" s="396">
        <f t="shared" si="75"/>
        <v>7.9261202428002261E-3</v>
      </c>
      <c r="P57" s="53"/>
      <c r="Q57" s="439">
        <v>0.13</v>
      </c>
      <c r="R57" s="447"/>
      <c r="S57" s="394">
        <f>S56*Q57</f>
        <v>65.916565311999989</v>
      </c>
      <c r="T57" s="138"/>
      <c r="U57" s="395">
        <f t="shared" si="76"/>
        <v>0.94379999999999598</v>
      </c>
      <c r="V57" s="396">
        <f t="shared" si="77"/>
        <v>1.4526086360459758E-2</v>
      </c>
      <c r="W57" s="53"/>
      <c r="X57" s="439">
        <v>0.13</v>
      </c>
      <c r="Y57" s="447"/>
      <c r="Z57" s="394">
        <f>Z56*X57</f>
        <v>66.345565311999991</v>
      </c>
      <c r="AA57" s="138"/>
      <c r="AB57" s="395">
        <f t="shared" si="78"/>
        <v>0.42900000000000205</v>
      </c>
      <c r="AC57" s="396">
        <f t="shared" si="79"/>
        <v>6.5082274534395889E-3</v>
      </c>
      <c r="AD57" s="53"/>
      <c r="AE57" s="439">
        <v>0.13</v>
      </c>
      <c r="AF57" s="447"/>
      <c r="AG57" s="395">
        <f>AG56*AE57</f>
        <v>66.595165311999992</v>
      </c>
      <c r="AH57" s="138"/>
      <c r="AI57" s="395">
        <f t="shared" si="80"/>
        <v>0.24960000000000093</v>
      </c>
      <c r="AJ57" s="396">
        <f t="shared" si="81"/>
        <v>3.7621203290109811E-3</v>
      </c>
      <c r="AK57" s="53"/>
      <c r="AL57" s="439">
        <v>0.13</v>
      </c>
      <c r="AM57" s="447"/>
      <c r="AN57" s="394">
        <f>AN56*AL57</f>
        <v>66.840865311999991</v>
      </c>
      <c r="AO57" s="138"/>
      <c r="AP57" s="395">
        <f t="shared" si="82"/>
        <v>0.24569999999999936</v>
      </c>
      <c r="AQ57" s="396">
        <f t="shared" si="83"/>
        <v>3.689457017621156E-3</v>
      </c>
      <c r="AR57" s="397"/>
      <c r="AS57" s="3"/>
      <c r="AT57" s="3"/>
    </row>
    <row r="58" spans="1:46" ht="12" customHeight="1">
      <c r="A58" s="53"/>
      <c r="B58" s="448" t="s">
        <v>397</v>
      </c>
      <c r="C58" s="328"/>
      <c r="D58" s="328"/>
      <c r="E58" s="328"/>
      <c r="F58" s="449"/>
      <c r="G58" s="138"/>
      <c r="H58" s="484">
        <f>H56+H57</f>
        <v>560.32208747200002</v>
      </c>
      <c r="I58" s="411"/>
      <c r="J58" s="449"/>
      <c r="K58" s="411"/>
      <c r="L58" s="394">
        <f>L56+L57</f>
        <v>564.7632677119999</v>
      </c>
      <c r="M58" s="138"/>
      <c r="N58" s="395">
        <f t="shared" si="74"/>
        <v>4.4411802399998805</v>
      </c>
      <c r="O58" s="396">
        <f t="shared" si="75"/>
        <v>7.9261202428001949E-3</v>
      </c>
      <c r="P58" s="53"/>
      <c r="Q58" s="449"/>
      <c r="R58" s="411"/>
      <c r="S58" s="394">
        <f>S56+S57</f>
        <v>572.9670677119999</v>
      </c>
      <c r="T58" s="138"/>
      <c r="U58" s="395">
        <f t="shared" si="76"/>
        <v>8.2038000000000011</v>
      </c>
      <c r="V58" s="396">
        <f t="shared" si="77"/>
        <v>1.4526086360459822E-2</v>
      </c>
      <c r="W58" s="53"/>
      <c r="X58" s="449"/>
      <c r="Y58" s="411"/>
      <c r="Z58" s="394">
        <f>Z56+Z57</f>
        <v>576.69606771199983</v>
      </c>
      <c r="AA58" s="138"/>
      <c r="AB58" s="395">
        <f t="shared" si="78"/>
        <v>3.7289999999999281</v>
      </c>
      <c r="AC58" s="396">
        <f t="shared" si="79"/>
        <v>6.5082274534394328E-3</v>
      </c>
      <c r="AD58" s="53"/>
      <c r="AE58" s="449"/>
      <c r="AF58" s="411"/>
      <c r="AG58" s="394">
        <f>AG56+AG57</f>
        <v>578.86566771199989</v>
      </c>
      <c r="AH58" s="138"/>
      <c r="AI58" s="395">
        <f t="shared" si="80"/>
        <v>2.1696000000000595</v>
      </c>
      <c r="AJ58" s="396">
        <f t="shared" si="81"/>
        <v>3.7621203290110709E-3</v>
      </c>
      <c r="AK58" s="53"/>
      <c r="AL58" s="449"/>
      <c r="AM58" s="411"/>
      <c r="AN58" s="394">
        <f>AN56+AN57</f>
        <v>581.00136771199993</v>
      </c>
      <c r="AO58" s="138"/>
      <c r="AP58" s="395">
        <f t="shared" si="82"/>
        <v>2.1357000000000426</v>
      </c>
      <c r="AQ58" s="396">
        <f t="shared" si="83"/>
        <v>3.6894570176212397E-3</v>
      </c>
      <c r="AR58" s="397"/>
      <c r="AS58" s="3"/>
      <c r="AT58" s="3"/>
    </row>
    <row r="59" spans="1:46" ht="12" customHeight="1">
      <c r="A59" s="53"/>
      <c r="B59" s="626" t="s">
        <v>304</v>
      </c>
      <c r="C59" s="616"/>
      <c r="D59" s="616"/>
      <c r="E59" s="328"/>
      <c r="F59" s="450">
        <f>F53</f>
        <v>0.23499999999999999</v>
      </c>
      <c r="G59" s="138"/>
      <c r="H59" s="486">
        <f>F59*H56</f>
        <v>116.52715978399999</v>
      </c>
      <c r="I59" s="411"/>
      <c r="J59" s="450">
        <f>J53</f>
        <v>0.23499999999999999</v>
      </c>
      <c r="K59" s="411"/>
      <c r="L59" s="451">
        <f>J59*L56</f>
        <v>117.45076806399997</v>
      </c>
      <c r="M59" s="138"/>
      <c r="N59" s="451">
        <f t="shared" si="74"/>
        <v>0.92360827999998207</v>
      </c>
      <c r="O59" s="453">
        <f t="shared" si="75"/>
        <v>7.9261202428002539E-3</v>
      </c>
      <c r="P59" s="53"/>
      <c r="Q59" s="450">
        <f>Q53</f>
        <v>0.23499999999999999</v>
      </c>
      <c r="R59" s="411"/>
      <c r="S59" s="451">
        <f>Q59*S56</f>
        <v>119.15686806399998</v>
      </c>
      <c r="T59" s="138"/>
      <c r="U59" s="451">
        <f t="shared" si="76"/>
        <v>1.7061000000000064</v>
      </c>
      <c r="V59" s="453">
        <f t="shared" si="77"/>
        <v>1.4526086360459876E-2</v>
      </c>
      <c r="W59" s="53"/>
      <c r="X59" s="450">
        <f>X53</f>
        <v>0.23499999999999999</v>
      </c>
      <c r="Y59" s="411"/>
      <c r="Z59" s="451">
        <f>X59*Z56</f>
        <v>119.93236806399996</v>
      </c>
      <c r="AA59" s="138"/>
      <c r="AB59" s="451">
        <f t="shared" si="78"/>
        <v>0.77549999999997965</v>
      </c>
      <c r="AC59" s="453">
        <f t="shared" si="79"/>
        <v>6.5082274534393877E-3</v>
      </c>
      <c r="AD59" s="53"/>
      <c r="AE59" s="450">
        <f>AE53</f>
        <v>0.23499999999999999</v>
      </c>
      <c r="AF59" s="411"/>
      <c r="AG59" s="451">
        <f>AE59*AG56</f>
        <v>120.38356806399997</v>
      </c>
      <c r="AH59" s="138"/>
      <c r="AI59" s="451">
        <f t="shared" si="80"/>
        <v>0.45120000000001426</v>
      </c>
      <c r="AJ59" s="453">
        <f t="shared" si="81"/>
        <v>3.7621203290110865E-3</v>
      </c>
      <c r="AK59" s="53"/>
      <c r="AL59" s="450">
        <f>AL53</f>
        <v>0.23499999999999999</v>
      </c>
      <c r="AM59" s="411"/>
      <c r="AN59" s="451">
        <f>AL59*AN56</f>
        <v>120.82771806399998</v>
      </c>
      <c r="AO59" s="138"/>
      <c r="AP59" s="451">
        <f t="shared" si="82"/>
        <v>0.44415000000000759</v>
      </c>
      <c r="AQ59" s="453">
        <f t="shared" si="83"/>
        <v>3.6894570176212293E-3</v>
      </c>
      <c r="AR59" s="454"/>
      <c r="AS59" s="3"/>
      <c r="AT59" s="3"/>
    </row>
    <row r="60" spans="1:46" ht="12" customHeight="1">
      <c r="A60" s="53"/>
      <c r="B60" s="627" t="s">
        <v>350</v>
      </c>
      <c r="C60" s="608"/>
      <c r="D60" s="600"/>
      <c r="E60" s="455"/>
      <c r="F60" s="463"/>
      <c r="G60" s="489"/>
      <c r="H60" s="490">
        <f>H58-H59</f>
        <v>443.79492768800003</v>
      </c>
      <c r="I60" s="464"/>
      <c r="J60" s="463"/>
      <c r="K60" s="464"/>
      <c r="L60" s="465">
        <f>L58-L59</f>
        <v>447.31249964799991</v>
      </c>
      <c r="M60" s="466"/>
      <c r="N60" s="467">
        <f t="shared" si="74"/>
        <v>3.5175719599998843</v>
      </c>
      <c r="O60" s="468">
        <f t="shared" si="75"/>
        <v>7.9261202428001463E-3</v>
      </c>
      <c r="P60" s="53"/>
      <c r="Q60" s="463"/>
      <c r="R60" s="464"/>
      <c r="S60" s="465">
        <f>S58-S59</f>
        <v>453.81019964799992</v>
      </c>
      <c r="T60" s="466"/>
      <c r="U60" s="467">
        <f t="shared" si="76"/>
        <v>6.4977000000000089</v>
      </c>
      <c r="V60" s="468">
        <f t="shared" si="77"/>
        <v>1.4526086360459841E-2</v>
      </c>
      <c r="W60" s="53"/>
      <c r="X60" s="463"/>
      <c r="Y60" s="464"/>
      <c r="Z60" s="465">
        <f>Z58-Z59</f>
        <v>456.76369964799989</v>
      </c>
      <c r="AA60" s="466"/>
      <c r="AB60" s="467">
        <f t="shared" si="78"/>
        <v>2.9534999999999627</v>
      </c>
      <c r="AC60" s="468">
        <f t="shared" si="79"/>
        <v>6.5082274534394762E-3</v>
      </c>
      <c r="AD60" s="53"/>
      <c r="AE60" s="463"/>
      <c r="AF60" s="464"/>
      <c r="AG60" s="465">
        <f>AG58-AG59</f>
        <v>458.48209964799992</v>
      </c>
      <c r="AH60" s="466"/>
      <c r="AI60" s="467">
        <f t="shared" si="80"/>
        <v>1.718400000000031</v>
      </c>
      <c r="AJ60" s="468">
        <f t="shared" si="81"/>
        <v>3.7621203290110353E-3</v>
      </c>
      <c r="AK60" s="53"/>
      <c r="AL60" s="463"/>
      <c r="AM60" s="464"/>
      <c r="AN60" s="465">
        <f>AN58-AN59</f>
        <v>460.17364964799992</v>
      </c>
      <c r="AO60" s="466"/>
      <c r="AP60" s="467">
        <f t="shared" si="82"/>
        <v>1.6915500000000065</v>
      </c>
      <c r="AQ60" s="468">
        <f t="shared" si="83"/>
        <v>3.6894570176211803E-3</v>
      </c>
      <c r="AR60" s="462"/>
      <c r="AS60" s="3"/>
      <c r="AT60" s="3"/>
    </row>
    <row r="61" spans="1:46" ht="12"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c r="AS61" s="3"/>
      <c r="AT61" s="3"/>
    </row>
    <row r="62" spans="1:46"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c r="AS62" s="3"/>
      <c r="AT62" s="3"/>
    </row>
    <row r="63" spans="1:46" ht="12"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c r="AS63" s="3"/>
      <c r="AT63" s="3"/>
    </row>
    <row r="64" spans="1:46"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3"/>
      <c r="AT64" s="3"/>
    </row>
    <row r="65" spans="1:46"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3"/>
      <c r="AT65" s="3"/>
    </row>
    <row r="66" spans="1:46"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3"/>
      <c r="AT66" s="3"/>
    </row>
    <row r="67" spans="1:46"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3"/>
      <c r="AT67" s="3"/>
    </row>
    <row r="68" spans="1:46"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3"/>
      <c r="AT68" s="3"/>
    </row>
    <row r="69" spans="1:46"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3"/>
      <c r="AT69" s="3"/>
    </row>
    <row r="70" spans="1:46"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3"/>
      <c r="AT70" s="3"/>
    </row>
    <row r="71" spans="1:46"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3"/>
      <c r="AT71" s="3"/>
    </row>
    <row r="72" spans="1:46"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3"/>
      <c r="AT72" s="3"/>
    </row>
    <row r="73" spans="1:46" ht="12" customHeight="1">
      <c r="A73" s="474"/>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3"/>
      <c r="AT73" s="3"/>
    </row>
    <row r="74" spans="1:46"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3"/>
      <c r="AT74" s="3"/>
    </row>
    <row r="75" spans="1:46"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3"/>
      <c r="AT75" s="3"/>
    </row>
    <row r="76" spans="1:46"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3"/>
      <c r="AT76" s="3"/>
    </row>
    <row r="77" spans="1:46"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3"/>
      <c r="AT77" s="3"/>
    </row>
    <row r="78" spans="1:46"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3"/>
      <c r="AT78" s="3"/>
    </row>
    <row r="79" spans="1:46"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3"/>
      <c r="AT79" s="3"/>
    </row>
    <row r="80" spans="1:46"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3"/>
      <c r="AT80" s="3"/>
    </row>
    <row r="81" spans="1:46"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3"/>
      <c r="AT81" s="3"/>
    </row>
    <row r="82" spans="1:46"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3"/>
      <c r="AT82" s="3"/>
    </row>
    <row r="83" spans="1:46"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3"/>
      <c r="AT83" s="3"/>
    </row>
    <row r="84" spans="1:46"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3"/>
      <c r="AT84" s="3"/>
    </row>
    <row r="85" spans="1:46"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3"/>
      <c r="AT85" s="3"/>
    </row>
    <row r="86" spans="1:46"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3"/>
      <c r="AT86" s="3"/>
    </row>
    <row r="87" spans="1:46"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3"/>
      <c r="AT87" s="3"/>
    </row>
    <row r="88" spans="1:46"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3"/>
      <c r="AT88" s="3"/>
    </row>
    <row r="89" spans="1:46"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3"/>
      <c r="AT89" s="3"/>
    </row>
    <row r="90" spans="1:46"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3"/>
      <c r="AT90" s="3"/>
    </row>
    <row r="91" spans="1:46"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3"/>
      <c r="AT91" s="3"/>
    </row>
    <row r="92" spans="1:46"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3"/>
      <c r="AT92" s="3"/>
    </row>
    <row r="93" spans="1:46"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3"/>
      <c r="AT93" s="3"/>
    </row>
    <row r="94" spans="1:46"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3"/>
      <c r="AT94" s="3"/>
    </row>
    <row r="95" spans="1:46"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3"/>
      <c r="AT95" s="3"/>
    </row>
    <row r="96" spans="1:46"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3"/>
      <c r="AT96" s="3"/>
    </row>
    <row r="97" spans="1:46"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3"/>
      <c r="AT97" s="3"/>
    </row>
    <row r="98" spans="1:46"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3"/>
      <c r="AT98" s="3"/>
    </row>
    <row r="99" spans="1:46"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3"/>
      <c r="AT99" s="3"/>
    </row>
    <row r="100" spans="1:46"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3"/>
      <c r="AT100" s="3"/>
    </row>
    <row r="101" spans="1:46"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3"/>
      <c r="AT101" s="3"/>
    </row>
    <row r="102" spans="1:46"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3"/>
      <c r="AT102" s="3"/>
    </row>
    <row r="103" spans="1:46"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3"/>
      <c r="AT103" s="3"/>
    </row>
    <row r="104" spans="1:46"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3"/>
      <c r="AT104" s="3"/>
    </row>
    <row r="105" spans="1:46"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3"/>
      <c r="AT105" s="3"/>
    </row>
    <row r="106" spans="1:46"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3"/>
      <c r="AT106" s="3"/>
    </row>
    <row r="107" spans="1:46"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3"/>
      <c r="AT107" s="3"/>
    </row>
    <row r="108" spans="1:46"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3"/>
      <c r="AT108" s="3"/>
    </row>
    <row r="109" spans="1:46"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3"/>
      <c r="AT109" s="3"/>
    </row>
    <row r="110" spans="1:46"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3"/>
      <c r="AT110" s="3"/>
    </row>
    <row r="111" spans="1:46"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3"/>
      <c r="AT111" s="3"/>
    </row>
    <row r="112" spans="1:46"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3"/>
      <c r="AT112" s="3"/>
    </row>
    <row r="113" spans="1:46"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3"/>
      <c r="AT113" s="3"/>
    </row>
    <row r="114" spans="1:46"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3"/>
      <c r="AT114" s="3"/>
    </row>
    <row r="115" spans="1:46"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3"/>
      <c r="AT115" s="3"/>
    </row>
    <row r="116" spans="1:46"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3"/>
      <c r="AT116" s="3"/>
    </row>
    <row r="117" spans="1:46"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3"/>
      <c r="AT117" s="3"/>
    </row>
    <row r="118" spans="1:46"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3"/>
      <c r="AT118" s="3"/>
    </row>
    <row r="119" spans="1:46"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3"/>
      <c r="AT119" s="3"/>
    </row>
    <row r="120" spans="1:46"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3"/>
      <c r="AT120" s="3"/>
    </row>
    <row r="121" spans="1:46"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3"/>
      <c r="AT121" s="3"/>
    </row>
    <row r="122" spans="1:46"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3"/>
      <c r="AT122" s="3"/>
    </row>
    <row r="123" spans="1:46"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3"/>
      <c r="AT123" s="3"/>
    </row>
    <row r="124" spans="1:46"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3"/>
      <c r="AT124" s="3"/>
    </row>
    <row r="125" spans="1:46"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3"/>
      <c r="AT125" s="3"/>
    </row>
    <row r="126" spans="1:46"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3"/>
      <c r="AT126" s="3"/>
    </row>
    <row r="127" spans="1:46"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3"/>
      <c r="AT127" s="3"/>
    </row>
    <row r="128" spans="1:46"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3"/>
      <c r="AT128" s="3"/>
    </row>
    <row r="129" spans="1:46"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3"/>
      <c r="AT129" s="3"/>
    </row>
    <row r="130" spans="1:46"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3"/>
      <c r="AT130" s="3"/>
    </row>
    <row r="131" spans="1:46"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3"/>
      <c r="AT131" s="3"/>
    </row>
    <row r="132" spans="1:46"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3"/>
      <c r="AT132" s="3"/>
    </row>
    <row r="133" spans="1:46"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3"/>
      <c r="AT133" s="3"/>
    </row>
    <row r="134" spans="1:46"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3"/>
      <c r="AT134" s="3"/>
    </row>
    <row r="135" spans="1:46"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3"/>
      <c r="AT135" s="3"/>
    </row>
    <row r="136" spans="1:46"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3"/>
      <c r="AT136" s="3"/>
    </row>
    <row r="137" spans="1:46"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3"/>
      <c r="AT137" s="3"/>
    </row>
    <row r="138" spans="1:46"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3"/>
      <c r="AT138" s="3"/>
    </row>
    <row r="139" spans="1:46"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3"/>
      <c r="AT139" s="3"/>
    </row>
    <row r="140" spans="1:46"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3"/>
      <c r="AT140" s="3"/>
    </row>
    <row r="141" spans="1:46"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3"/>
      <c r="AT141" s="3"/>
    </row>
    <row r="142" spans="1:46"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3"/>
      <c r="AT142" s="3"/>
    </row>
    <row r="143" spans="1:46"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3"/>
      <c r="AT143" s="3"/>
    </row>
    <row r="144" spans="1:46"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3"/>
      <c r="AT144" s="3"/>
    </row>
    <row r="145" spans="1:46"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3"/>
      <c r="AT145" s="3"/>
    </row>
    <row r="146" spans="1:46"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3"/>
      <c r="AT146" s="3"/>
    </row>
    <row r="147" spans="1:46"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3"/>
      <c r="AT147" s="3"/>
    </row>
    <row r="148" spans="1:46"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3"/>
      <c r="AT148" s="3"/>
    </row>
    <row r="149" spans="1:46"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3"/>
      <c r="AT149" s="3"/>
    </row>
    <row r="150" spans="1:46"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3"/>
      <c r="AT150" s="3"/>
    </row>
    <row r="151" spans="1:46"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3"/>
      <c r="AT151" s="3"/>
    </row>
    <row r="152" spans="1:46"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3"/>
      <c r="AT152" s="3"/>
    </row>
    <row r="153" spans="1:46"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3"/>
      <c r="AT153" s="3"/>
    </row>
    <row r="154" spans="1:46"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3"/>
      <c r="AT154" s="3"/>
    </row>
    <row r="155" spans="1:46"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3"/>
      <c r="AT155" s="3"/>
    </row>
    <row r="156" spans="1:46"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3"/>
      <c r="AT156" s="3"/>
    </row>
    <row r="157" spans="1:46"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3"/>
      <c r="AT157" s="3"/>
    </row>
    <row r="158" spans="1:46"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3"/>
      <c r="AT158" s="3"/>
    </row>
    <row r="159" spans="1:46"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3"/>
      <c r="AT159" s="3"/>
    </row>
    <row r="160" spans="1:46"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3"/>
      <c r="AT160" s="3"/>
    </row>
    <row r="161" spans="1:46"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
      <c r="AT161" s="3"/>
    </row>
    <row r="162" spans="1:46"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3"/>
      <c r="AT162" s="3"/>
    </row>
    <row r="163" spans="1:46"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3"/>
      <c r="AT163" s="3"/>
    </row>
    <row r="164" spans="1:46"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3"/>
      <c r="AT164" s="3"/>
    </row>
    <row r="165" spans="1:46"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3"/>
      <c r="AT165" s="3"/>
    </row>
    <row r="166" spans="1:46"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3"/>
      <c r="AT166" s="3"/>
    </row>
    <row r="167" spans="1:46"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3"/>
      <c r="AT167" s="3"/>
    </row>
    <row r="168" spans="1:46"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3"/>
      <c r="AT168" s="3"/>
    </row>
    <row r="169" spans="1:46"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3"/>
      <c r="AT169" s="3"/>
    </row>
    <row r="170" spans="1:46"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3"/>
      <c r="AT170" s="3"/>
    </row>
    <row r="171" spans="1:46"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3"/>
      <c r="AT171" s="3"/>
    </row>
    <row r="172" spans="1:46"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3"/>
      <c r="AT172" s="3"/>
    </row>
    <row r="173" spans="1:46"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3"/>
      <c r="AT173" s="3"/>
    </row>
    <row r="174" spans="1:46"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3"/>
      <c r="AT174" s="3"/>
    </row>
    <row r="175" spans="1:46"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3"/>
      <c r="AT175" s="3"/>
    </row>
    <row r="176" spans="1:46"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3"/>
      <c r="AT176" s="3"/>
    </row>
    <row r="177" spans="1:46"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3"/>
      <c r="AT177" s="3"/>
    </row>
    <row r="178" spans="1:46"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3"/>
      <c r="AT178" s="3"/>
    </row>
    <row r="179" spans="1:46"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3"/>
      <c r="AT179" s="3"/>
    </row>
    <row r="180" spans="1:46"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3"/>
      <c r="AT180" s="3"/>
    </row>
    <row r="181" spans="1:46"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3"/>
      <c r="AT181" s="3"/>
    </row>
    <row r="182" spans="1:46"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3"/>
      <c r="AT182" s="3"/>
    </row>
    <row r="183" spans="1:46"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3"/>
      <c r="AT183" s="3"/>
    </row>
    <row r="184" spans="1:46"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3"/>
      <c r="AT184" s="3"/>
    </row>
    <row r="185" spans="1:46"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3"/>
      <c r="AT185" s="3"/>
    </row>
    <row r="186" spans="1:46"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3"/>
      <c r="AT186" s="3"/>
    </row>
    <row r="187" spans="1:46"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3"/>
      <c r="AT187" s="3"/>
    </row>
    <row r="188" spans="1:46"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3"/>
      <c r="AT188" s="3"/>
    </row>
    <row r="189" spans="1:46"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3"/>
      <c r="AT189" s="3"/>
    </row>
    <row r="190" spans="1:46"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3"/>
      <c r="AT190" s="3"/>
    </row>
    <row r="191" spans="1:46"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3"/>
      <c r="AS191" s="3"/>
      <c r="AT191" s="3"/>
    </row>
    <row r="192" spans="1:46"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c r="AS192" s="3"/>
      <c r="AT192" s="3"/>
    </row>
    <row r="193" spans="1:46"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c r="AS193" s="3"/>
      <c r="AT193" s="3"/>
    </row>
    <row r="194" spans="1:46"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c r="AS194" s="3"/>
      <c r="AT194" s="3"/>
    </row>
    <row r="195" spans="1:46"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c r="AS195" s="3"/>
      <c r="AT195" s="3"/>
    </row>
    <row r="196" spans="1:46"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c r="AS196" s="3"/>
      <c r="AT196" s="3"/>
    </row>
    <row r="197" spans="1:46"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c r="AS197" s="3"/>
      <c r="AT197" s="3"/>
    </row>
    <row r="198" spans="1:46"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c r="AS198" s="3"/>
      <c r="AT198" s="3"/>
    </row>
    <row r="199" spans="1:46"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c r="AS199" s="3"/>
      <c r="AT199" s="3"/>
    </row>
    <row r="200" spans="1:46"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c r="AS200" s="3"/>
      <c r="AT200" s="3"/>
    </row>
    <row r="201" spans="1:46"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c r="AS201" s="3"/>
      <c r="AT201" s="3"/>
    </row>
    <row r="202" spans="1:46"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c r="AS202" s="3"/>
      <c r="AT202" s="3"/>
    </row>
    <row r="203" spans="1:46"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c r="AS203" s="3"/>
      <c r="AT203" s="3"/>
    </row>
    <row r="204" spans="1:46"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c r="AS204" s="3"/>
      <c r="AT204" s="3"/>
    </row>
    <row r="205" spans="1:46"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c r="AS205" s="3"/>
      <c r="AT205" s="3"/>
    </row>
    <row r="206" spans="1:46"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c r="AS206" s="3"/>
      <c r="AT206" s="3"/>
    </row>
    <row r="207" spans="1:46"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c r="AS207" s="3"/>
      <c r="AT207" s="3"/>
    </row>
    <row r="208" spans="1:46"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c r="AS208" s="3"/>
      <c r="AT208" s="3"/>
    </row>
    <row r="209" spans="1:46"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c r="AS209" s="3"/>
      <c r="AT209" s="3"/>
    </row>
    <row r="210" spans="1:46"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c r="AS210" s="3"/>
      <c r="AT210" s="3"/>
    </row>
    <row r="211" spans="1:46"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c r="AS211" s="3"/>
      <c r="AT211" s="3"/>
    </row>
    <row r="212" spans="1:46"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c r="AS212" s="3"/>
      <c r="AT212" s="3"/>
    </row>
    <row r="213" spans="1:46"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c r="AS213" s="3"/>
      <c r="AT213" s="3"/>
    </row>
    <row r="214" spans="1:46"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c r="AS214" s="3"/>
      <c r="AT214" s="3"/>
    </row>
    <row r="215" spans="1:46"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c r="AS215" s="3"/>
      <c r="AT215" s="3"/>
    </row>
    <row r="216" spans="1:46"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c r="AS216" s="3"/>
      <c r="AT216" s="3"/>
    </row>
    <row r="217" spans="1:46"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c r="AS217" s="3"/>
      <c r="AT217" s="3"/>
    </row>
    <row r="218" spans="1:46"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c r="AS218" s="3"/>
      <c r="AT218" s="3"/>
    </row>
    <row r="219" spans="1:46"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c r="AS219" s="3"/>
      <c r="AT219" s="3"/>
    </row>
    <row r="220" spans="1:46"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c r="AS220" s="3"/>
      <c r="AT220" s="3"/>
    </row>
    <row r="221" spans="1:46"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c r="AS221" s="3"/>
      <c r="AT221" s="3"/>
    </row>
    <row r="222" spans="1:46"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c r="AS222" s="3"/>
      <c r="AT222" s="3"/>
    </row>
    <row r="223" spans="1:46"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c r="AS223" s="3"/>
      <c r="AT223" s="3"/>
    </row>
    <row r="224" spans="1:46"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c r="AS224" s="3"/>
      <c r="AT224" s="3"/>
    </row>
    <row r="225" spans="1:46"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c r="AS225" s="3"/>
      <c r="AT225" s="3"/>
    </row>
    <row r="226" spans="1:46"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c r="AS226" s="3"/>
      <c r="AT226" s="3"/>
    </row>
    <row r="227" spans="1:46"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c r="AS227" s="3"/>
      <c r="AT227" s="3"/>
    </row>
    <row r="228" spans="1:46"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c r="AS228" s="3"/>
      <c r="AT228" s="3"/>
    </row>
    <row r="229" spans="1:46"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c r="AS229" s="3"/>
      <c r="AT229" s="3"/>
    </row>
    <row r="230" spans="1:46"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c r="AS230" s="3"/>
      <c r="AT230" s="3"/>
    </row>
    <row r="231" spans="1:46"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c r="AS231" s="3"/>
      <c r="AT231" s="3"/>
    </row>
    <row r="232" spans="1:46"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c r="AS232" s="3"/>
      <c r="AT232" s="3"/>
    </row>
    <row r="233" spans="1:46"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c r="AS233" s="3"/>
      <c r="AT233" s="3"/>
    </row>
    <row r="234" spans="1:46"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c r="AS234" s="3"/>
      <c r="AT234" s="3"/>
    </row>
    <row r="235" spans="1:46"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c r="AS235" s="3"/>
      <c r="AT235" s="3"/>
    </row>
    <row r="236" spans="1:46"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c r="AS236" s="3"/>
      <c r="AT236" s="3"/>
    </row>
    <row r="237" spans="1:46"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c r="AS237" s="3"/>
      <c r="AT237" s="3"/>
    </row>
    <row r="238" spans="1:46"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c r="AS238" s="3"/>
      <c r="AT238" s="3"/>
    </row>
    <row r="239" spans="1:46"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c r="AS239" s="3"/>
      <c r="AT239" s="3"/>
    </row>
    <row r="240" spans="1:46"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c r="AS240" s="3"/>
      <c r="AT240" s="3"/>
    </row>
    <row r="241" spans="1:46"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c r="AS241" s="3"/>
      <c r="AT241" s="3"/>
    </row>
    <row r="242" spans="1:46"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c r="AS242" s="3"/>
      <c r="AT242" s="3"/>
    </row>
    <row r="243" spans="1:46"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c r="AS243" s="3"/>
      <c r="AT243" s="3"/>
    </row>
    <row r="244" spans="1:46"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c r="AS244" s="3"/>
      <c r="AT244" s="3"/>
    </row>
    <row r="245" spans="1:46"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c r="AS245" s="3"/>
      <c r="AT245" s="3"/>
    </row>
    <row r="246" spans="1:46"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c r="AS246" s="3"/>
      <c r="AT246" s="3"/>
    </row>
    <row r="247" spans="1:46"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c r="AS247" s="3"/>
      <c r="AT247" s="3"/>
    </row>
    <row r="248" spans="1:46"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c r="AS248" s="3"/>
      <c r="AT248" s="3"/>
    </row>
    <row r="249" spans="1:46"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c r="AS249" s="3"/>
      <c r="AT249" s="3"/>
    </row>
    <row r="250" spans="1:46"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c r="AS250" s="3"/>
      <c r="AT250" s="3"/>
    </row>
    <row r="251" spans="1:46"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c r="AS251" s="3"/>
      <c r="AT251" s="3"/>
    </row>
    <row r="252" spans="1:46"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c r="AS252" s="3"/>
      <c r="AT252" s="3"/>
    </row>
    <row r="253" spans="1:46"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c r="AS253" s="3"/>
      <c r="AT253" s="3"/>
    </row>
    <row r="254" spans="1:46"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c r="AS254" s="3"/>
      <c r="AT254" s="3"/>
    </row>
    <row r="255" spans="1:46"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c r="AS255" s="3"/>
      <c r="AT255" s="3"/>
    </row>
    <row r="256" spans="1:46"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c r="AS256" s="3"/>
      <c r="AT256" s="3"/>
    </row>
    <row r="257" spans="1:46"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c r="AS257" s="3"/>
      <c r="AT257" s="3"/>
    </row>
    <row r="258" spans="1:46"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c r="AS258" s="3"/>
      <c r="AT258" s="3"/>
    </row>
    <row r="259" spans="1:46"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c r="AS259" s="3"/>
      <c r="AT259" s="3"/>
    </row>
    <row r="260" spans="1:46"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c r="AS260" s="3"/>
      <c r="AT260" s="3"/>
    </row>
    <row r="261" spans="1:46"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c r="AS261" s="3"/>
      <c r="AT261" s="3"/>
    </row>
    <row r="262" spans="1:46"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c r="AS262" s="3"/>
      <c r="AT262" s="3"/>
    </row>
    <row r="263" spans="1:46"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c r="AS263" s="3"/>
      <c r="AT263" s="3"/>
    </row>
    <row r="264" spans="1:46"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c r="AS264" s="3"/>
      <c r="AT264" s="3"/>
    </row>
    <row r="265" spans="1:46"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c r="AS265" s="3"/>
      <c r="AT265" s="3"/>
    </row>
    <row r="266" spans="1:46"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c r="AS266" s="3"/>
      <c r="AT266" s="3"/>
    </row>
    <row r="267" spans="1:46"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c r="AS267" s="3"/>
      <c r="AT267" s="3"/>
    </row>
    <row r="268" spans="1:46"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c r="AS268" s="3"/>
      <c r="AT268" s="3"/>
    </row>
    <row r="269" spans="1:46"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c r="AS269" s="3"/>
      <c r="AT269" s="3"/>
    </row>
    <row r="270" spans="1:46"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c r="AS270" s="3"/>
      <c r="AT270" s="3"/>
    </row>
    <row r="271" spans="1:46"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c r="AS271" s="3"/>
      <c r="AT271" s="3"/>
    </row>
    <row r="272" spans="1:46"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c r="AS272" s="3"/>
      <c r="AT272" s="3"/>
    </row>
    <row r="273" spans="1:46"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c r="AS273" s="3"/>
      <c r="AT273" s="3"/>
    </row>
    <row r="274" spans="1:46"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c r="AS274" s="3"/>
      <c r="AT274" s="3"/>
    </row>
    <row r="275" spans="1:46"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c r="AS275" s="3"/>
      <c r="AT275" s="3"/>
    </row>
    <row r="276" spans="1:4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row>
    <row r="277" spans="1:4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row>
    <row r="278" spans="1:4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row>
    <row r="279" spans="1:4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row>
    <row r="280" spans="1:4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row>
    <row r="281" spans="1:4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row>
    <row r="282" spans="1:4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row>
    <row r="283" spans="1:4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row>
    <row r="284" spans="1:4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row>
    <row r="285" spans="1:4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row>
    <row r="286" spans="1:4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row>
    <row r="287" spans="1:4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row>
    <row r="288" spans="1:4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row>
    <row r="289" spans="1:4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row>
    <row r="290" spans="1:4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row>
    <row r="291" spans="1:4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row>
    <row r="292" spans="1:4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row>
    <row r="293" spans="1:4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row>
    <row r="294" spans="1:4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row>
    <row r="295" spans="1:4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row>
    <row r="296" spans="1:4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row>
    <row r="297" spans="1:4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row>
    <row r="298" spans="1:4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row>
    <row r="299" spans="1:4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row>
    <row r="300" spans="1:4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row>
    <row r="301" spans="1:4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row>
    <row r="302" spans="1:4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row>
    <row r="303" spans="1:4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row>
    <row r="304" spans="1:4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row>
    <row r="305" spans="1:4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row>
    <row r="306" spans="1:4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row>
    <row r="307" spans="1:4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spans="1:4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spans="1:4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spans="1:4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spans="1:4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spans="1:4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spans="1:4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spans="1:4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spans="1:4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spans="1:4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spans="1:4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spans="1:4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spans="1:4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spans="1:4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spans="1:4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spans="1:4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spans="1:4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spans="1:4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spans="1:4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spans="1:4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spans="1:4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spans="1:4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spans="1:4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spans="1:4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spans="1:4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spans="1:4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spans="1:4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spans="1:4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spans="1:4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spans="1:4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spans="1:4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spans="1:4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spans="1:4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spans="1:4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spans="1:4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spans="1:4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spans="1:4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spans="1:4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spans="1:4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spans="1: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spans="1:4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spans="1:4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spans="1:4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spans="1:4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spans="1:4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spans="1:4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spans="1:4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spans="1:4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spans="1:4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spans="1:4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spans="1:4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spans="1:4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spans="1:4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spans="1:4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spans="1:4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spans="1:4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spans="1:4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spans="1:4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spans="1:4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spans="1:4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spans="1:4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spans="1:4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spans="1:4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spans="1:4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spans="1:4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spans="1:4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spans="1:4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spans="1:4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spans="1:4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spans="1:4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spans="1:4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spans="1:4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spans="1:4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spans="1:4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spans="1:4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spans="1:4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spans="1:4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spans="1:4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spans="1:4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spans="1:4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spans="1:4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spans="1:4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spans="1:4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spans="1:4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spans="1:4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spans="1:4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spans="1:4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spans="1:4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spans="1:4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spans="1:4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spans="1:4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spans="1:4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spans="1:4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spans="1:4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spans="1:4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spans="1:4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spans="1:4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spans="1:4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spans="1:4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spans="1:4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spans="1:4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spans="1:4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spans="1:4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spans="1:4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spans="1:4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spans="1:4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spans="1:4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spans="1:4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spans="1:4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spans="1:4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spans="1:4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spans="1:4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spans="1:4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spans="1:4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spans="1:4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spans="1:4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spans="1:4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spans="1:4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spans="1:4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spans="1:4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spans="1:4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spans="1:4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spans="1:4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spans="1:4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spans="1:4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spans="1:4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spans="1:4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spans="1:4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spans="1:4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spans="1:4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spans="1:4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spans="1:4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spans="1:4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spans="1:4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spans="1:4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spans="1:4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spans="1:4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spans="1:4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spans="1:4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spans="1: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spans="1:4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spans="1:4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spans="1:4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spans="1:4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spans="1:4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spans="1:4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spans="1:4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spans="1:4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spans="1:4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spans="1:4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spans="1:4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spans="1:4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spans="1:4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spans="1:4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spans="1:4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spans="1:4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spans="1:4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spans="1:4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spans="1:4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spans="1:4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spans="1:4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spans="1:4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spans="1:4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spans="1:4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spans="1:4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spans="1:4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spans="1:4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spans="1:4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spans="1:4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spans="1:4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spans="1:4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spans="1:4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spans="1:4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spans="1:4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spans="1:4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spans="1:4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spans="1:4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spans="1:4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spans="1:4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spans="1:4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spans="1:4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spans="1:4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spans="1:4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spans="1:4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spans="1:4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spans="1:4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spans="1:4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spans="1:4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spans="1:4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spans="1:4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spans="1:4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spans="1:4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spans="1:4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spans="1:4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spans="1:4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spans="1:4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spans="1:4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spans="1:4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spans="1:4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spans="1:4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spans="1:4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spans="1:4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spans="1:4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spans="1:4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spans="1:4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spans="1:4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spans="1:4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spans="1:4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spans="1:4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spans="1:4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spans="1:4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spans="1:4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spans="1:4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spans="1:4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spans="1:4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spans="1:4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spans="1:4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spans="1:4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spans="1:4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spans="1:4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spans="1:4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spans="1:4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spans="1:4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spans="1:4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spans="1:4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spans="1:4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spans="1:4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spans="1:4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spans="1:4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spans="1:4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spans="1:4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spans="1:4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spans="1:4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spans="1:4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spans="1:4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spans="1:4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spans="1:4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spans="1:4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spans="1:4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spans="1: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spans="1:4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spans="1:4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spans="1:4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spans="1:4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spans="1:4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spans="1:4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spans="1:4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spans="1:4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spans="1:4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spans="1:4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spans="1:4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spans="1:4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spans="1:4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spans="1:4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spans="1:4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spans="1:4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spans="1:4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spans="1:4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spans="1:4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spans="1:4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spans="1:4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spans="1:4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spans="1:4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spans="1:4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spans="1:4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spans="1:4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spans="1:4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spans="1:4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spans="1:4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spans="1:4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spans="1:4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spans="1:4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spans="1:4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spans="1:4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spans="1:4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spans="1:4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spans="1:4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spans="1:4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spans="1:4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spans="1:4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spans="1:4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spans="1:4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spans="1:4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spans="1:4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spans="1:4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spans="1:4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spans="1:4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spans="1:4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spans="1:4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spans="1:4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spans="1:4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spans="1:4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spans="1:4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spans="1:4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spans="1:4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spans="1:4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spans="1:4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spans="1:4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spans="1:4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spans="1:4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spans="1:4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spans="1:4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spans="1:4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spans="1:4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spans="1:4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spans="1:4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spans="1:4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spans="1:4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spans="1:4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spans="1:4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spans="1:4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spans="1:4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spans="1:4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spans="1:4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spans="1:4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spans="1:4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spans="1:4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spans="1:4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spans="1:4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spans="1:4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spans="1:4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spans="1:4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spans="1:4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spans="1:4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spans="1:4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spans="1:4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spans="1:4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spans="1:4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spans="1:4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spans="1:4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spans="1:4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spans="1:4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spans="1:4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spans="1:4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spans="1:4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spans="1:4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spans="1:4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spans="1:4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spans="1:4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spans="1: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spans="1:4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spans="1:4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spans="1:4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spans="1:4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spans="1:4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spans="1:4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spans="1:4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spans="1:4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spans="1:4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spans="1:4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spans="1:4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spans="1:4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spans="1:4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spans="1:4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spans="1:4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spans="1:4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spans="1:4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spans="1:4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spans="1:4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spans="1:4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spans="1:4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spans="1:4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spans="1:4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spans="1:4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spans="1:4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spans="1:4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spans="1:4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spans="1:4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spans="1:4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spans="1:4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spans="1:4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spans="1:4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spans="1:4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spans="1:4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spans="1:4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spans="1:4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spans="1:4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spans="1:4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spans="1:4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spans="1:4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spans="1:4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spans="1:4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spans="1:4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spans="1:4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spans="1:4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spans="1:4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spans="1:4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spans="1:4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spans="1:4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spans="1:4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spans="1:4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spans="1:4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spans="1:4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spans="1:4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spans="1:4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spans="1:4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spans="1:4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spans="1:4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spans="1:4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spans="1:4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spans="1:4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spans="1:4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spans="1:4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spans="1:4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spans="1:4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spans="1:4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spans="1:4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spans="1:4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spans="1:4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spans="1:4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spans="1:4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spans="1:4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spans="1:4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spans="1:4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spans="1:4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spans="1:4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spans="1:4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spans="1:4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spans="1:4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spans="1:4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spans="1:4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spans="1:4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spans="1:4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spans="1:4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spans="1:4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spans="1:4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spans="1:4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spans="1:4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spans="1:4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spans="1:4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spans="1:4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spans="1:4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spans="1:4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spans="1:4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spans="1:4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spans="1:4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spans="1:4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spans="1:4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spans="1:4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spans="1: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spans="1:4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spans="1:4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spans="1:4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spans="1:4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spans="1:4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spans="1:4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spans="1:4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spans="1:4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spans="1:4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spans="1:4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spans="1:4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spans="1:4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spans="1:4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spans="1:4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spans="1:4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spans="1:4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spans="1:4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spans="1:4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spans="1:4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spans="1:4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spans="1:4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spans="1:4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spans="1:4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spans="1:4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spans="1:4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spans="1:4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spans="1:4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spans="1:4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spans="1:4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spans="1:4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spans="1:4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spans="1:4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spans="1:4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spans="1:4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spans="1:4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spans="1:4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spans="1:4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spans="1:4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spans="1:4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spans="1:4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spans="1:4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spans="1:4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spans="1:4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spans="1:4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spans="1:4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spans="1:4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spans="1:4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spans="1:4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spans="1:4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spans="1:4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spans="1:4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spans="1:4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spans="1:4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spans="1:4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spans="1:4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spans="1:4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spans="1:4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spans="1:4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spans="1:4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spans="1:4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spans="1:4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spans="1:4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spans="1:4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spans="1:4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spans="1:4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spans="1:4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spans="1:4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spans="1:4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spans="1:4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spans="1:4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spans="1:4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spans="1:4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spans="1:4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spans="1:4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spans="1:4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spans="1:4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spans="1:4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spans="1:4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spans="1:4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spans="1:4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spans="1:4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spans="1:4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spans="1:4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spans="1:4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spans="1:4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spans="1:4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spans="1:4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spans="1:4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spans="1:4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spans="1:4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spans="1:4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spans="1:4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spans="1:4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spans="1:4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spans="1:4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spans="1:4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spans="1:4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spans="1:4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spans="1:4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spans="1: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spans="1:4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spans="1:4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spans="1:4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spans="1:4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spans="1:4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spans="1:4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spans="1:4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spans="1:4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spans="1:4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spans="1:4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spans="1:4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spans="1:4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spans="1:4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spans="1:4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spans="1:4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spans="1:4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spans="1:4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spans="1:4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spans="1:4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spans="1:4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spans="1:4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spans="1:4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spans="1:4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spans="1:4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spans="1:4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spans="1:4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spans="1:4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spans="1:4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spans="1:4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spans="1:4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spans="1:4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spans="1:4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spans="1:4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spans="1:4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spans="1:4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spans="1:4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spans="1:4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spans="1:4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spans="1:4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spans="1:4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spans="1:4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spans="1:4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spans="1:4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spans="1:4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spans="1:4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spans="1:4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spans="1:4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spans="1:4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spans="1:4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spans="1:4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spans="1:4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spans="1:4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spans="1:4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spans="1:4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spans="1:4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spans="1:4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spans="1:4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spans="1:4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spans="1:4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spans="1:4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spans="1:4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spans="1:4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spans="1:4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spans="1:4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spans="1:4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spans="1:4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spans="1:4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spans="1:4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spans="1:4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spans="1:4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spans="1:4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spans="1:4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spans="1:4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spans="1:4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spans="1:4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spans="1:4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spans="1:4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spans="1:4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spans="1:4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spans="1:4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spans="1:4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spans="1:4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spans="1:4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spans="1:4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spans="1:4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spans="1:4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spans="1:4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spans="1:4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spans="1:4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spans="1:4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spans="1:4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spans="1:4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spans="1:4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spans="1:4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spans="1:4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spans="1:4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spans="1:4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spans="1:4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spans="1:4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spans="1: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spans="1:4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spans="1:4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spans="1:4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spans="1:4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spans="1:4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spans="1:4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spans="1:4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spans="1:4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spans="1:4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spans="1:4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spans="1:4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spans="1:4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spans="1:4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spans="1:4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spans="1:4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spans="1:4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spans="1:4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spans="1:4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spans="1:4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spans="1:4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spans="1:4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spans="1:4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spans="1:4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spans="1:4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spans="1:4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spans="1:4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spans="1:4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spans="1:4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spans="1:4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spans="1:4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spans="1:4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spans="1:4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spans="1:4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spans="1:4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spans="1:4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spans="1:4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spans="1:4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spans="1:4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spans="1:4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spans="1:4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spans="1:4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row r="988" spans="1:4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row>
    <row r="989" spans="1:4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row>
    <row r="990" spans="1:4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row>
    <row r="991" spans="1:4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row>
    <row r="992" spans="1:4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row>
    <row r="993" spans="1:4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row>
    <row r="994" spans="1:4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row>
    <row r="995" spans="1:4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row>
    <row r="996" spans="1:4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row>
    <row r="997" spans="1:4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row>
    <row r="998" spans="1:4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row>
    <row r="999" spans="1:4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row>
    <row r="1000" spans="1:4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row>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400-000000000000}">
      <formula1>"TOU,non-TOU"</formula1>
    </dataValidation>
    <dataValidation type="list" allowBlank="1" showErrorMessage="1" sqref="E15:E28 E30:E36 E38:E39 E41:E49 E55 E61" xr:uid="{00000000-0002-0000-1400-000001000000}">
      <formula1>#REF!</formula1>
    </dataValidation>
    <dataValidation type="list" allowBlank="1" showInputMessage="1" showErrorMessage="1" prompt="Select Charge Unit - monthly, per kWh, per kW" sqref="D15:D28 D30:D36 D38:D39 D41:D49 D55 D61" xr:uid="{00000000-0002-0000-1400-000002000000}">
      <formula1>"Monthly,per kWh,per kW"</formula1>
    </dataValidation>
  </dataValidations>
  <pageMargins left="0.74803149606299213" right="0.74803149606299213" top="0.98425196850393704" bottom="0.98425196850393704"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U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10.5703125" customWidth="1"/>
    <col min="7" max="7" width="8" customWidth="1"/>
    <col min="8" max="8" width="9.28515625" customWidth="1"/>
    <col min="9" max="9" width="0.42578125" customWidth="1"/>
    <col min="10" max="10" width="10.42578125" customWidth="1"/>
    <col min="11" max="11" width="8" customWidth="1"/>
    <col min="12" max="12" width="10.28515625" customWidth="1"/>
    <col min="13" max="13" width="0.42578125" customWidth="1"/>
    <col min="14" max="14" width="9.42578125" customWidth="1"/>
    <col min="15" max="15" width="10" customWidth="1"/>
    <col min="16" max="16" width="0.42578125" customWidth="1"/>
    <col min="17" max="17" width="10.42578125" customWidth="1"/>
    <col min="18" max="18" width="8" customWidth="1"/>
    <col min="19" max="19" width="11" customWidth="1"/>
    <col min="20" max="20" width="0.42578125" customWidth="1"/>
    <col min="21" max="21" width="9.42578125" customWidth="1"/>
    <col min="22" max="22" width="10" customWidth="1"/>
    <col min="23" max="23" width="1" customWidth="1"/>
    <col min="24" max="24" width="10.42578125" customWidth="1"/>
    <col min="25" max="25" width="8"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 customWidth="1"/>
    <col min="40" max="40" width="11" customWidth="1"/>
    <col min="41" max="41" width="0.42578125" customWidth="1"/>
    <col min="42" max="42" width="9.42578125" customWidth="1"/>
    <col min="43" max="43" width="10" customWidth="1"/>
    <col min="44" max="44" width="0.7109375" customWidth="1"/>
    <col min="45" max="47" width="12.42578125" customWidth="1"/>
  </cols>
  <sheetData>
    <row r="1" spans="1:47" ht="12" customHeight="1">
      <c r="A1" s="53"/>
      <c r="B1" s="53"/>
      <c r="C1" s="53"/>
      <c r="D1" s="53"/>
      <c r="E1" s="53"/>
      <c r="F1" s="53"/>
      <c r="G1" s="53"/>
      <c r="H1" s="53"/>
      <c r="I1" s="53"/>
      <c r="J1" s="53"/>
      <c r="K1" s="53"/>
      <c r="Q1" s="53"/>
      <c r="R1" s="53"/>
      <c r="S1" s="628" t="s">
        <v>319</v>
      </c>
      <c r="T1" s="629"/>
      <c r="U1" s="629"/>
      <c r="V1" s="629"/>
      <c r="W1" s="629"/>
      <c r="X1" s="629"/>
      <c r="Y1" s="630"/>
      <c r="Z1" s="53"/>
      <c r="AA1" s="53"/>
      <c r="AB1" s="53"/>
      <c r="AC1" s="53"/>
      <c r="AD1" s="53"/>
      <c r="AE1" s="53"/>
      <c r="AF1" s="53"/>
      <c r="AG1" s="53"/>
      <c r="AH1" s="53"/>
      <c r="AI1" s="53"/>
      <c r="AJ1" s="53"/>
      <c r="AK1" s="53"/>
      <c r="AL1" s="53"/>
      <c r="AM1" s="53"/>
      <c r="AN1" s="53"/>
      <c r="AO1" s="53"/>
      <c r="AP1" s="53"/>
      <c r="AQ1" s="53"/>
      <c r="AR1" s="53"/>
    </row>
    <row r="2" spans="1:47" ht="12"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7"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7"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7"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7" ht="12" customHeight="1">
      <c r="A6" s="53"/>
      <c r="B6" s="327" t="s">
        <v>323</v>
      </c>
      <c r="C6" s="53"/>
      <c r="D6" s="499" t="s">
        <v>248</v>
      </c>
      <c r="E6" s="500"/>
      <c r="F6" s="500"/>
      <c r="G6" s="500"/>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row>
    <row r="7" spans="1:47"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7" ht="12"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7" ht="12"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7" ht="12" customHeight="1">
      <c r="A10" s="53"/>
      <c r="B10" s="53"/>
      <c r="C10" s="53"/>
      <c r="D10" s="314" t="s">
        <v>326</v>
      </c>
      <c r="E10" s="314"/>
      <c r="F10" s="380">
        <v>5000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7" ht="12"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7" ht="12"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7" ht="12"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7" ht="12"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7" ht="12" customHeight="1">
      <c r="A15" s="53"/>
      <c r="B15" s="328" t="s">
        <v>246</v>
      </c>
      <c r="C15" s="389" t="str">
        <f t="shared" ref="C15:C28" si="0">D$6&amp;"."&amp;B15</f>
        <v>General Service &lt; 50 kW.Monthly Service Charge</v>
      </c>
      <c r="D15" s="390" t="s">
        <v>335</v>
      </c>
      <c r="E15" s="328"/>
      <c r="F15" s="391">
        <f>IFERROR(VLOOKUP($C15,'Proposed Rates'!$B:$J,F$11,FALSE),0)</f>
        <v>23.53</v>
      </c>
      <c r="G15" s="392">
        <f t="shared" ref="G15:G28" si="1">IF($D15="Monthly",1,IF($D15="per KWH",$F$10,0))</f>
        <v>1</v>
      </c>
      <c r="H15" s="394">
        <f t="shared" ref="H15:H28" si="2">G15*F15</f>
        <v>23.53</v>
      </c>
      <c r="I15" s="138"/>
      <c r="J15" s="391">
        <f>IFERROR(VLOOKUP($C15,'Proposed Rates'!$B:$J,J$11,FALSE),0)</f>
        <v>26.16</v>
      </c>
      <c r="K15" s="392">
        <f t="shared" ref="K15:K28" si="3">IF($D15="Monthly",1,IF($D15="per KWH",$F$10,0))</f>
        <v>1</v>
      </c>
      <c r="L15" s="394">
        <f t="shared" ref="L15:L28" si="4">K15*J15</f>
        <v>26.16</v>
      </c>
      <c r="M15" s="138"/>
      <c r="N15" s="395">
        <f t="shared" ref="N15:N48" si="5">L15-H15</f>
        <v>2.629999999999999</v>
      </c>
      <c r="O15" s="396">
        <f t="shared" ref="O15:O48" si="6">IF((H15)=0,"",(N15/H15))</f>
        <v>0.11177220569485759</v>
      </c>
      <c r="P15" s="53"/>
      <c r="Q15" s="391">
        <f>IFERROR(VLOOKUP($C15,'Proposed Rates'!$B:$J,Q$11,FALSE),0)</f>
        <v>27.42</v>
      </c>
      <c r="R15" s="392">
        <f t="shared" ref="R15:R28" si="7">IF($D15="Monthly",1,IF($D15="per KWH",$F$10,0))</f>
        <v>1</v>
      </c>
      <c r="S15" s="394">
        <f t="shared" ref="S15:S28" si="8">R15*Q15</f>
        <v>27.42</v>
      </c>
      <c r="T15" s="138"/>
      <c r="U15" s="395">
        <f t="shared" ref="U15:U48" si="9">S15-L15</f>
        <v>1.2600000000000016</v>
      </c>
      <c r="V15" s="396">
        <f t="shared" ref="V15:V48" si="10">IF((L15)=0,"",(U15/L15))</f>
        <v>4.8165137614678957E-2</v>
      </c>
      <c r="W15" s="53"/>
      <c r="X15" s="391">
        <f>IFERROR(VLOOKUP($C15,'Proposed Rates'!$B:$J,X$11,FALSE),0)</f>
        <v>29.3</v>
      </c>
      <c r="Y15" s="392">
        <f t="shared" ref="Y15:Y28" si="11">IF($D15="Monthly",1,IF($D15="per KWH",$F$10,0))</f>
        <v>1</v>
      </c>
      <c r="Z15" s="394">
        <f t="shared" ref="Z15:Z28" si="12">Y15*X15</f>
        <v>29.3</v>
      </c>
      <c r="AA15" s="138"/>
      <c r="AB15" s="395">
        <f t="shared" ref="AB15:AB48" si="13">Z15-S15</f>
        <v>1.879999999999999</v>
      </c>
      <c r="AC15" s="396">
        <f t="shared" ref="AC15:AC48" si="14">IF((S15)=0,"",(AB15/S15))</f>
        <v>6.856309263311447E-2</v>
      </c>
      <c r="AD15" s="53"/>
      <c r="AE15" s="391">
        <f>IFERROR(VLOOKUP($C15,'Proposed Rates'!$B:$J,AE$11,FALSE),0)</f>
        <v>29.77</v>
      </c>
      <c r="AF15" s="392">
        <f t="shared" ref="AF15:AF28" si="15">IF($D15="Monthly",1,IF($D15="per KWH",$F$10,0))</f>
        <v>1</v>
      </c>
      <c r="AG15" s="394">
        <f t="shared" ref="AG15:AG28" si="16">AF15*AE15</f>
        <v>29.77</v>
      </c>
      <c r="AH15" s="138"/>
      <c r="AI15" s="395">
        <f t="shared" ref="AI15:AI48" si="17">AG15-Z15</f>
        <v>0.46999999999999886</v>
      </c>
      <c r="AJ15" s="396">
        <f t="shared" ref="AJ15:AJ48" si="18">IF((Z15)=0,"",(AI15/Z15))</f>
        <v>1.6040955631399279E-2</v>
      </c>
      <c r="AK15" s="53"/>
      <c r="AL15" s="391">
        <f>IFERROR(VLOOKUP($C15,'Proposed Rates'!$B:$J,AL$11,FALSE),0)</f>
        <v>30.21</v>
      </c>
      <c r="AM15" s="392">
        <f t="shared" ref="AM15:AM28" si="19">IF($D15="Monthly",1,IF($D15="per KWH",$F$10,0))</f>
        <v>1</v>
      </c>
      <c r="AN15" s="394">
        <f t="shared" ref="AN15:AN16" si="20">AM15*AL15</f>
        <v>30.21</v>
      </c>
      <c r="AO15" s="138"/>
      <c r="AP15" s="395">
        <f t="shared" ref="AP15:AP48" si="21">AN15-AG15</f>
        <v>0.44000000000000128</v>
      </c>
      <c r="AQ15" s="396">
        <f t="shared" ref="AQ15:AQ48" si="22">IF((AG15)=0,"",(AP15/AG15))</f>
        <v>1.4779979845482072E-2</v>
      </c>
      <c r="AR15" s="397"/>
    </row>
    <row r="16" spans="1:47" ht="12" customHeight="1">
      <c r="A16" s="53"/>
      <c r="B16" s="328" t="s">
        <v>336</v>
      </c>
      <c r="C16" s="389" t="str">
        <f t="shared" si="0"/>
        <v>General Service &lt; 50 kW.Smart Meter Rate Adder</v>
      </c>
      <c r="D16" s="390" t="s">
        <v>335</v>
      </c>
      <c r="E16" s="328"/>
      <c r="F16" s="408">
        <f>IFERROR(VLOOKUP($C16,'Proposed Rates'!$B:$J,F$11,FALSE),0)</f>
        <v>0</v>
      </c>
      <c r="G16" s="392">
        <f t="shared" si="1"/>
        <v>1</v>
      </c>
      <c r="H16" s="394">
        <f t="shared" si="2"/>
        <v>0</v>
      </c>
      <c r="I16" s="138"/>
      <c r="J16" s="408">
        <f>IFERROR(VLOOKUP($C16,'Proposed Rates'!$B:$J,J$11,FALSE),0)</f>
        <v>0</v>
      </c>
      <c r="K16" s="392">
        <f t="shared" si="3"/>
        <v>1</v>
      </c>
      <c r="L16" s="394">
        <f t="shared" si="4"/>
        <v>0</v>
      </c>
      <c r="M16" s="138"/>
      <c r="N16" s="395">
        <f t="shared" si="5"/>
        <v>0</v>
      </c>
      <c r="O16" s="396" t="str">
        <f t="shared" si="6"/>
        <v/>
      </c>
      <c r="P16" s="53"/>
      <c r="Q16" s="408">
        <f>IFERROR(VLOOKUP($C16,'Proposed Rates'!$B:$J,Q$11,FALSE),0)</f>
        <v>0</v>
      </c>
      <c r="R16" s="392">
        <f t="shared" si="7"/>
        <v>1</v>
      </c>
      <c r="S16" s="394">
        <f t="shared" si="8"/>
        <v>0</v>
      </c>
      <c r="T16" s="138"/>
      <c r="U16" s="395">
        <f t="shared" si="9"/>
        <v>0</v>
      </c>
      <c r="V16" s="396" t="str">
        <f t="shared" si="10"/>
        <v/>
      </c>
      <c r="W16" s="53"/>
      <c r="X16" s="408">
        <f>IFERROR(VLOOKUP($C16,'Proposed Rates'!$B:$J,X$11,FALSE),0)</f>
        <v>0</v>
      </c>
      <c r="Y16" s="392">
        <f t="shared" si="11"/>
        <v>1</v>
      </c>
      <c r="Z16" s="394">
        <f t="shared" si="12"/>
        <v>0</v>
      </c>
      <c r="AA16" s="138"/>
      <c r="AB16" s="395">
        <f t="shared" si="13"/>
        <v>0</v>
      </c>
      <c r="AC16" s="396" t="str">
        <f t="shared" si="14"/>
        <v/>
      </c>
      <c r="AD16" s="53"/>
      <c r="AE16" s="408">
        <f>IFERROR(VLOOKUP($C16,'Proposed Rates'!$B:$J,AE$11,FALSE),0)</f>
        <v>0</v>
      </c>
      <c r="AF16" s="392">
        <f t="shared" si="15"/>
        <v>1</v>
      </c>
      <c r="AG16" s="394">
        <f t="shared" si="16"/>
        <v>0</v>
      </c>
      <c r="AH16" s="138"/>
      <c r="AI16" s="395">
        <f t="shared" si="17"/>
        <v>0</v>
      </c>
      <c r="AJ16" s="396" t="str">
        <f t="shared" si="18"/>
        <v/>
      </c>
      <c r="AK16" s="53"/>
      <c r="AL16" s="408">
        <f>IFERROR(VLOOKUP($C16,'Proposed Rates'!$B:$J,AL$11,FALSE),0)</f>
        <v>0</v>
      </c>
      <c r="AM16" s="392">
        <f t="shared" si="19"/>
        <v>1</v>
      </c>
      <c r="AN16" s="394">
        <f t="shared" si="20"/>
        <v>0</v>
      </c>
      <c r="AO16" s="138"/>
      <c r="AP16" s="395">
        <f t="shared" si="21"/>
        <v>0</v>
      </c>
      <c r="AQ16" s="396" t="str">
        <f t="shared" si="22"/>
        <v/>
      </c>
      <c r="AR16" s="397"/>
    </row>
    <row r="17" spans="1:44" ht="12" customHeight="1">
      <c r="A17" s="53"/>
      <c r="B17" s="398" t="str">
        <f>'Proposed Rates'!C115</f>
        <v>Rate Rider Calculation for Forgone Revenue - variable</v>
      </c>
      <c r="C17" s="389" t="str">
        <f t="shared" si="0"/>
        <v>General Service &lt; 50 kW.Rate Rider Calculation for Forgone Revenue - variable</v>
      </c>
      <c r="D17" s="390" t="s">
        <v>337</v>
      </c>
      <c r="E17" s="328"/>
      <c r="F17" s="408">
        <f>IFERROR(VLOOKUP($C17,'Proposed Rates'!$B:$J,F$11,FALSE),0)</f>
        <v>0</v>
      </c>
      <c r="G17" s="392">
        <f t="shared" si="1"/>
        <v>5000</v>
      </c>
      <c r="H17" s="394">
        <f t="shared" si="2"/>
        <v>0</v>
      </c>
      <c r="I17" s="138"/>
      <c r="J17" s="408">
        <f>IFERROR(VLOOKUP($C17,'Proposed Rates'!$B:$J,J$11,FALSE),0)</f>
        <v>1.4E-3</v>
      </c>
      <c r="K17" s="392">
        <f t="shared" si="3"/>
        <v>5000</v>
      </c>
      <c r="L17" s="394">
        <f t="shared" si="4"/>
        <v>7</v>
      </c>
      <c r="M17" s="138"/>
      <c r="N17" s="395">
        <f t="shared" si="5"/>
        <v>7</v>
      </c>
      <c r="O17" s="396" t="str">
        <f t="shared" si="6"/>
        <v/>
      </c>
      <c r="P17" s="53"/>
      <c r="Q17" s="408">
        <f>IFERROR(VLOOKUP($C17,'Proposed Rates'!$B:$J,Q$11,FALSE),0)</f>
        <v>1.4E-3</v>
      </c>
      <c r="R17" s="392">
        <f t="shared" si="7"/>
        <v>5000</v>
      </c>
      <c r="S17" s="394">
        <f t="shared" si="8"/>
        <v>7</v>
      </c>
      <c r="T17" s="138"/>
      <c r="U17" s="395">
        <f t="shared" si="9"/>
        <v>0</v>
      </c>
      <c r="V17" s="396">
        <f t="shared" si="10"/>
        <v>0</v>
      </c>
      <c r="W17" s="53"/>
      <c r="X17" s="408">
        <f>IFERROR(VLOOKUP($C17,'Proposed Rates'!$B:$J,X$11,FALSE),0)</f>
        <v>0</v>
      </c>
      <c r="Y17" s="392">
        <f t="shared" si="11"/>
        <v>5000</v>
      </c>
      <c r="Z17" s="394">
        <f t="shared" si="12"/>
        <v>0</v>
      </c>
      <c r="AA17" s="138"/>
      <c r="AB17" s="395">
        <f t="shared" si="13"/>
        <v>-7</v>
      </c>
      <c r="AC17" s="396">
        <f t="shared" si="14"/>
        <v>-1</v>
      </c>
      <c r="AD17" s="53"/>
      <c r="AE17" s="408">
        <f>IFERROR(VLOOKUP($C17,'Proposed Rates'!$B:$J,AE$11,FALSE),0)</f>
        <v>0</v>
      </c>
      <c r="AF17" s="392">
        <f t="shared" si="15"/>
        <v>5000</v>
      </c>
      <c r="AG17" s="394">
        <f t="shared" si="16"/>
        <v>0</v>
      </c>
      <c r="AH17" s="138"/>
      <c r="AI17" s="395">
        <f t="shared" si="17"/>
        <v>0</v>
      </c>
      <c r="AJ17" s="396" t="str">
        <f t="shared" si="18"/>
        <v/>
      </c>
      <c r="AK17" s="53"/>
      <c r="AL17" s="408">
        <f>IFERROR(VLOOKUP($C17,'Proposed Rates'!$B:$J,AL$11,FALSE),0)</f>
        <v>0</v>
      </c>
      <c r="AM17" s="392">
        <f t="shared" si="19"/>
        <v>5000</v>
      </c>
      <c r="AN17" s="394">
        <f t="shared" ref="AN17:AN18" si="23">AL17*AM17</f>
        <v>0</v>
      </c>
      <c r="AO17" s="138"/>
      <c r="AP17" s="395">
        <f t="shared" si="21"/>
        <v>0</v>
      </c>
      <c r="AQ17" s="396" t="str">
        <f t="shared" si="22"/>
        <v/>
      </c>
      <c r="AR17" s="397"/>
    </row>
    <row r="18" spans="1:44" ht="12" customHeight="1">
      <c r="A18" s="53"/>
      <c r="B18" s="398" t="str">
        <f>'Proposed Rates'!C128</f>
        <v>Rate Rider Calculation for Forgone Revenue - fixed</v>
      </c>
      <c r="C18" s="389" t="str">
        <f t="shared" si="0"/>
        <v>General Service &lt; 50 kW.Rate Rider Calculation for Forgone Revenue - fixed</v>
      </c>
      <c r="D18" s="390" t="s">
        <v>335</v>
      </c>
      <c r="E18" s="328"/>
      <c r="F18" s="408">
        <f>IFERROR(VLOOKUP($C18,'Proposed Rates'!$B:$J,F$11,FALSE),0)</f>
        <v>0</v>
      </c>
      <c r="G18" s="392">
        <f t="shared" si="1"/>
        <v>1</v>
      </c>
      <c r="H18" s="394">
        <f t="shared" si="2"/>
        <v>0</v>
      </c>
      <c r="I18" s="138"/>
      <c r="J18" s="408">
        <f>IFERROR(VLOOKUP($C18,'Proposed Rates'!$B:$J,J$11,FALSE),0)</f>
        <v>0.99</v>
      </c>
      <c r="K18" s="392">
        <f t="shared" si="3"/>
        <v>1</v>
      </c>
      <c r="L18" s="394">
        <f t="shared" si="4"/>
        <v>0.99</v>
      </c>
      <c r="M18" s="138"/>
      <c r="N18" s="395">
        <f t="shared" si="5"/>
        <v>0.99</v>
      </c>
      <c r="O18" s="396" t="str">
        <f t="shared" si="6"/>
        <v/>
      </c>
      <c r="P18" s="53"/>
      <c r="Q18" s="408">
        <f>IFERROR(VLOOKUP($C18,'Proposed Rates'!$B:$J,Q$11,FALSE),0)</f>
        <v>0.99</v>
      </c>
      <c r="R18" s="392">
        <f t="shared" si="7"/>
        <v>1</v>
      </c>
      <c r="S18" s="394">
        <f t="shared" si="8"/>
        <v>0.99</v>
      </c>
      <c r="T18" s="138"/>
      <c r="U18" s="395">
        <f t="shared" si="9"/>
        <v>0</v>
      </c>
      <c r="V18" s="396">
        <f t="shared" si="10"/>
        <v>0</v>
      </c>
      <c r="W18" s="53"/>
      <c r="X18" s="408">
        <f>IFERROR(VLOOKUP($C18,'Proposed Rates'!$B:$J,X$11,FALSE),0)</f>
        <v>0</v>
      </c>
      <c r="Y18" s="392">
        <f t="shared" si="11"/>
        <v>1</v>
      </c>
      <c r="Z18" s="394">
        <f t="shared" si="12"/>
        <v>0</v>
      </c>
      <c r="AA18" s="138"/>
      <c r="AB18" s="395">
        <f t="shared" si="13"/>
        <v>-0.99</v>
      </c>
      <c r="AC18" s="396">
        <f t="shared" si="14"/>
        <v>-1</v>
      </c>
      <c r="AD18" s="53"/>
      <c r="AE18" s="408">
        <f>IFERROR(VLOOKUP($C18,'Proposed Rates'!$B:$J,AE$11,FALSE),0)</f>
        <v>0</v>
      </c>
      <c r="AF18" s="392">
        <f t="shared" si="15"/>
        <v>1</v>
      </c>
      <c r="AG18" s="394">
        <f t="shared" si="16"/>
        <v>0</v>
      </c>
      <c r="AH18" s="138"/>
      <c r="AI18" s="395">
        <f t="shared" si="17"/>
        <v>0</v>
      </c>
      <c r="AJ18" s="396" t="str">
        <f t="shared" si="18"/>
        <v/>
      </c>
      <c r="AK18" s="53"/>
      <c r="AL18" s="408">
        <f>IFERROR(VLOOKUP($C18,'Proposed Rates'!$B:$J,AL$11,FALSE),0)</f>
        <v>0</v>
      </c>
      <c r="AM18" s="392">
        <f t="shared" si="19"/>
        <v>1</v>
      </c>
      <c r="AN18" s="394">
        <f t="shared" si="23"/>
        <v>0</v>
      </c>
      <c r="AO18" s="138"/>
      <c r="AP18" s="395">
        <f t="shared" si="21"/>
        <v>0</v>
      </c>
      <c r="AQ18" s="396" t="str">
        <f t="shared" si="22"/>
        <v/>
      </c>
      <c r="AR18" s="397"/>
    </row>
    <row r="19" spans="1:44" ht="12" customHeight="1">
      <c r="A19" s="53"/>
      <c r="B19" s="328" t="s">
        <v>62</v>
      </c>
      <c r="C19" s="389" t="str">
        <f t="shared" si="0"/>
        <v>General Service &lt; 50 kW.Distribution Volumetric Rate</v>
      </c>
      <c r="D19" s="390" t="s">
        <v>337</v>
      </c>
      <c r="E19" s="328"/>
      <c r="F19" s="408">
        <f>IFERROR(VLOOKUP($C19,'Proposed Rates'!$B:$J,F$11,FALSE),0)</f>
        <v>3.0499999999999999E-2</v>
      </c>
      <c r="G19" s="392">
        <f t="shared" si="1"/>
        <v>5000</v>
      </c>
      <c r="H19" s="394">
        <f t="shared" si="2"/>
        <v>152.5</v>
      </c>
      <c r="I19" s="138"/>
      <c r="J19" s="408">
        <f>IFERROR(VLOOKUP($C19,'Proposed Rates'!$B:$J,J$11,FALSE),0)</f>
        <v>3.39E-2</v>
      </c>
      <c r="K19" s="392">
        <f t="shared" si="3"/>
        <v>5000</v>
      </c>
      <c r="L19" s="394">
        <f t="shared" si="4"/>
        <v>169.5</v>
      </c>
      <c r="M19" s="138"/>
      <c r="N19" s="395">
        <f t="shared" si="5"/>
        <v>17</v>
      </c>
      <c r="O19" s="396">
        <f t="shared" si="6"/>
        <v>0.11147540983606558</v>
      </c>
      <c r="P19" s="53"/>
      <c r="Q19" s="408">
        <f>IFERROR(VLOOKUP($C19,'Proposed Rates'!$B:$J,Q$11,FALSE),0)</f>
        <v>3.5499999999999997E-2</v>
      </c>
      <c r="R19" s="392">
        <f t="shared" si="7"/>
        <v>5000</v>
      </c>
      <c r="S19" s="394">
        <f t="shared" si="8"/>
        <v>177.49999999999997</v>
      </c>
      <c r="T19" s="138"/>
      <c r="U19" s="395">
        <f t="shared" si="9"/>
        <v>7.9999999999999716</v>
      </c>
      <c r="V19" s="396">
        <f t="shared" si="10"/>
        <v>4.7197640117993933E-2</v>
      </c>
      <c r="W19" s="53"/>
      <c r="X19" s="408">
        <f>IFERROR(VLOOKUP($C19,'Proposed Rates'!$B:$J,X$11,FALSE),0)</f>
        <v>3.7900000000000003E-2</v>
      </c>
      <c r="Y19" s="392">
        <f t="shared" si="11"/>
        <v>5000</v>
      </c>
      <c r="Z19" s="394">
        <f t="shared" si="12"/>
        <v>189.50000000000003</v>
      </c>
      <c r="AA19" s="138"/>
      <c r="AB19" s="395">
        <f t="shared" si="13"/>
        <v>12.000000000000057</v>
      </c>
      <c r="AC19" s="396">
        <f t="shared" si="14"/>
        <v>6.7605633802817228E-2</v>
      </c>
      <c r="AD19" s="53"/>
      <c r="AE19" s="408">
        <f>IFERROR(VLOOKUP($C19,'Proposed Rates'!$B:$J,AE$11,FALSE),0)</f>
        <v>3.85E-2</v>
      </c>
      <c r="AF19" s="392">
        <f t="shared" si="15"/>
        <v>5000</v>
      </c>
      <c r="AG19" s="394">
        <f t="shared" si="16"/>
        <v>192.5</v>
      </c>
      <c r="AH19" s="138"/>
      <c r="AI19" s="395">
        <f t="shared" si="17"/>
        <v>2.9999999999999716</v>
      </c>
      <c r="AJ19" s="396">
        <f t="shared" si="18"/>
        <v>1.5831134564643648E-2</v>
      </c>
      <c r="AK19" s="53"/>
      <c r="AL19" s="408">
        <f>IFERROR(VLOOKUP($C19,'Proposed Rates'!$B:$J,AL$11,FALSE),0)</f>
        <v>3.9100000000000003E-2</v>
      </c>
      <c r="AM19" s="392">
        <f t="shared" si="19"/>
        <v>5000</v>
      </c>
      <c r="AN19" s="394">
        <f t="shared" ref="AN19:AN28" si="24">AM19*AL19</f>
        <v>195.5</v>
      </c>
      <c r="AO19" s="138"/>
      <c r="AP19" s="395">
        <f t="shared" si="21"/>
        <v>3</v>
      </c>
      <c r="AQ19" s="396">
        <f t="shared" si="22"/>
        <v>1.5584415584415584E-2</v>
      </c>
      <c r="AR19" s="397"/>
    </row>
    <row r="20" spans="1:44" ht="12" customHeight="1">
      <c r="A20" s="53"/>
      <c r="B20" s="328" t="s">
        <v>338</v>
      </c>
      <c r="C20" s="389" t="str">
        <f t="shared" si="0"/>
        <v>General Service &lt; 50 kW.Smart Meter Disposition Rider</v>
      </c>
      <c r="D20" s="390" t="s">
        <v>337</v>
      </c>
      <c r="E20" s="328"/>
      <c r="F20" s="408">
        <f>IFERROR(VLOOKUP($C20,'Proposed Rates'!$B:$J,F$11,FALSE),0)</f>
        <v>0</v>
      </c>
      <c r="G20" s="392">
        <f t="shared" si="1"/>
        <v>5000</v>
      </c>
      <c r="H20" s="394">
        <f t="shared" si="2"/>
        <v>0</v>
      </c>
      <c r="I20" s="138"/>
      <c r="J20" s="408">
        <f>IFERROR(VLOOKUP($C20,'Proposed Rates'!$B:$J,J$11,FALSE),0)</f>
        <v>0</v>
      </c>
      <c r="K20" s="392">
        <f t="shared" si="3"/>
        <v>5000</v>
      </c>
      <c r="L20" s="394">
        <f t="shared" si="4"/>
        <v>0</v>
      </c>
      <c r="M20" s="138"/>
      <c r="N20" s="395">
        <f t="shared" si="5"/>
        <v>0</v>
      </c>
      <c r="O20" s="396" t="str">
        <f t="shared" si="6"/>
        <v/>
      </c>
      <c r="P20" s="53"/>
      <c r="Q20" s="408">
        <f>IFERROR(VLOOKUP($C20,'Proposed Rates'!$B:$J,Q$11,FALSE),0)</f>
        <v>0</v>
      </c>
      <c r="R20" s="392">
        <f t="shared" si="7"/>
        <v>5000</v>
      </c>
      <c r="S20" s="394">
        <f t="shared" si="8"/>
        <v>0</v>
      </c>
      <c r="T20" s="138"/>
      <c r="U20" s="395">
        <f t="shared" si="9"/>
        <v>0</v>
      </c>
      <c r="V20" s="396" t="str">
        <f t="shared" si="10"/>
        <v/>
      </c>
      <c r="W20" s="53"/>
      <c r="X20" s="408">
        <f>IFERROR(VLOOKUP($C20,'Proposed Rates'!$B:$J,X$11,FALSE),0)</f>
        <v>0</v>
      </c>
      <c r="Y20" s="392">
        <f t="shared" si="11"/>
        <v>5000</v>
      </c>
      <c r="Z20" s="394">
        <f t="shared" si="12"/>
        <v>0</v>
      </c>
      <c r="AA20" s="138"/>
      <c r="AB20" s="395">
        <f t="shared" si="13"/>
        <v>0</v>
      </c>
      <c r="AC20" s="396" t="str">
        <f t="shared" si="14"/>
        <v/>
      </c>
      <c r="AD20" s="53"/>
      <c r="AE20" s="408">
        <f>IFERROR(VLOOKUP($C20,'Proposed Rates'!$B:$J,AE$11,FALSE),0)</f>
        <v>0</v>
      </c>
      <c r="AF20" s="392">
        <f t="shared" si="15"/>
        <v>5000</v>
      </c>
      <c r="AG20" s="394">
        <f t="shared" si="16"/>
        <v>0</v>
      </c>
      <c r="AH20" s="138"/>
      <c r="AI20" s="395">
        <f t="shared" si="17"/>
        <v>0</v>
      </c>
      <c r="AJ20" s="396" t="str">
        <f t="shared" si="18"/>
        <v/>
      </c>
      <c r="AK20" s="53"/>
      <c r="AL20" s="408">
        <f>IFERROR(VLOOKUP($C20,'Proposed Rates'!$B:$J,AL$11,FALSE),0)</f>
        <v>0</v>
      </c>
      <c r="AM20" s="392">
        <f t="shared" si="19"/>
        <v>5000</v>
      </c>
      <c r="AN20" s="394">
        <f t="shared" si="24"/>
        <v>0</v>
      </c>
      <c r="AO20" s="138"/>
      <c r="AP20" s="395">
        <f t="shared" si="21"/>
        <v>0</v>
      </c>
      <c r="AQ20" s="396" t="str">
        <f t="shared" si="22"/>
        <v/>
      </c>
      <c r="AR20" s="397"/>
    </row>
    <row r="21" spans="1:44" ht="12" customHeight="1">
      <c r="A21" s="53"/>
      <c r="B21" s="328" t="s">
        <v>269</v>
      </c>
      <c r="C21" s="389" t="str">
        <f t="shared" si="0"/>
        <v>General Service &lt; 50 kW.LRAM Rate Rider</v>
      </c>
      <c r="D21" s="390" t="s">
        <v>337</v>
      </c>
      <c r="E21" s="328"/>
      <c r="F21" s="408">
        <f>'Proposed Rates'!E78+'Proposed Rates'!E91</f>
        <v>6.9999999999999999E-4</v>
      </c>
      <c r="G21" s="392">
        <f t="shared" si="1"/>
        <v>5000</v>
      </c>
      <c r="H21" s="394">
        <f t="shared" si="2"/>
        <v>3.5</v>
      </c>
      <c r="I21" s="138"/>
      <c r="J21" s="408">
        <f>'Proposed Rates'!F78+'Proposed Rates'!F91</f>
        <v>5.9999999999999995E-4</v>
      </c>
      <c r="K21" s="392">
        <f t="shared" si="3"/>
        <v>5000</v>
      </c>
      <c r="L21" s="394">
        <f t="shared" si="4"/>
        <v>2.9999999999999996</v>
      </c>
      <c r="M21" s="138"/>
      <c r="N21" s="395">
        <f t="shared" si="5"/>
        <v>-0.50000000000000044</v>
      </c>
      <c r="O21" s="396">
        <f t="shared" si="6"/>
        <v>-0.14285714285714299</v>
      </c>
      <c r="P21" s="53"/>
      <c r="Q21" s="408">
        <f>'Proposed Rates'!G78+'Proposed Rates'!G91</f>
        <v>0</v>
      </c>
      <c r="R21" s="392">
        <f t="shared" si="7"/>
        <v>5000</v>
      </c>
      <c r="S21" s="394">
        <f t="shared" si="8"/>
        <v>0</v>
      </c>
      <c r="T21" s="138"/>
      <c r="U21" s="395">
        <f t="shared" si="9"/>
        <v>-2.9999999999999996</v>
      </c>
      <c r="V21" s="396">
        <f t="shared" si="10"/>
        <v>-1</v>
      </c>
      <c r="W21" s="53"/>
      <c r="X21" s="408">
        <f>IFERROR(VLOOKUP($C21,'Proposed Rates'!$B:$J,X$11,FALSE),0)</f>
        <v>0</v>
      </c>
      <c r="Y21" s="392">
        <f t="shared" si="11"/>
        <v>5000</v>
      </c>
      <c r="Z21" s="394">
        <f t="shared" si="12"/>
        <v>0</v>
      </c>
      <c r="AA21" s="138"/>
      <c r="AB21" s="395">
        <f t="shared" si="13"/>
        <v>0</v>
      </c>
      <c r="AC21" s="396" t="str">
        <f t="shared" si="14"/>
        <v/>
      </c>
      <c r="AD21" s="53"/>
      <c r="AE21" s="408">
        <f>IFERROR(VLOOKUP($C21,'Proposed Rates'!$B:$J,AE$11,FALSE),0)</f>
        <v>0</v>
      </c>
      <c r="AF21" s="392">
        <f t="shared" si="15"/>
        <v>5000</v>
      </c>
      <c r="AG21" s="394">
        <f t="shared" si="16"/>
        <v>0</v>
      </c>
      <c r="AH21" s="138"/>
      <c r="AI21" s="395">
        <f t="shared" si="17"/>
        <v>0</v>
      </c>
      <c r="AJ21" s="396" t="str">
        <f t="shared" si="18"/>
        <v/>
      </c>
      <c r="AK21" s="53"/>
      <c r="AL21" s="408">
        <f>IFERROR(VLOOKUP($C21,'Proposed Rates'!$B:$J,AL$11,FALSE),0)</f>
        <v>0</v>
      </c>
      <c r="AM21" s="392">
        <f t="shared" si="19"/>
        <v>5000</v>
      </c>
      <c r="AN21" s="394">
        <f t="shared" si="24"/>
        <v>0</v>
      </c>
      <c r="AO21" s="138"/>
      <c r="AP21" s="395">
        <f t="shared" si="21"/>
        <v>0</v>
      </c>
      <c r="AQ21" s="396" t="str">
        <f t="shared" si="22"/>
        <v/>
      </c>
      <c r="AR21" s="397"/>
    </row>
    <row r="22" spans="1:44" ht="12" customHeight="1">
      <c r="A22" s="53"/>
      <c r="B22" s="398" t="s">
        <v>265</v>
      </c>
      <c r="C22" s="389" t="str">
        <f t="shared" si="0"/>
        <v>General Service &lt; 50 kW.Deferral/Variance Account Disposition Rate Rider Group 2</v>
      </c>
      <c r="D22" s="390" t="s">
        <v>337</v>
      </c>
      <c r="E22" s="328"/>
      <c r="F22" s="408">
        <f>IFERROR(VLOOKUP($C22,'Proposed Rates'!$B:$J,F$11,FALSE),0)</f>
        <v>0</v>
      </c>
      <c r="G22" s="392">
        <f t="shared" si="1"/>
        <v>5000</v>
      </c>
      <c r="H22" s="394">
        <f t="shared" si="2"/>
        <v>0</v>
      </c>
      <c r="I22" s="138"/>
      <c r="J22" s="408">
        <f>IFERROR(VLOOKUP($C22,'Proposed Rates'!$B:$J,J$11,FALSE),0)</f>
        <v>-1.4E-3</v>
      </c>
      <c r="K22" s="392">
        <f t="shared" si="3"/>
        <v>5000</v>
      </c>
      <c r="L22" s="394">
        <f t="shared" si="4"/>
        <v>-7</v>
      </c>
      <c r="M22" s="138"/>
      <c r="N22" s="395">
        <f t="shared" si="5"/>
        <v>-7</v>
      </c>
      <c r="O22" s="396" t="str">
        <f t="shared" si="6"/>
        <v/>
      </c>
      <c r="P22" s="53"/>
      <c r="Q22" s="408">
        <f>IFERROR(VLOOKUP($C22,'Proposed Rates'!$B:$J,Q$11,FALSE),0)</f>
        <v>0</v>
      </c>
      <c r="R22" s="392">
        <f t="shared" si="7"/>
        <v>5000</v>
      </c>
      <c r="S22" s="394">
        <f t="shared" si="8"/>
        <v>0</v>
      </c>
      <c r="T22" s="138"/>
      <c r="U22" s="395">
        <f t="shared" si="9"/>
        <v>7</v>
      </c>
      <c r="V22" s="396">
        <f t="shared" si="10"/>
        <v>-1</v>
      </c>
      <c r="W22" s="53"/>
      <c r="X22" s="408">
        <f>IFERROR(VLOOKUP($C22,'Proposed Rates'!$B:$J,X$11,FALSE),0)</f>
        <v>0</v>
      </c>
      <c r="Y22" s="392">
        <f t="shared" si="11"/>
        <v>5000</v>
      </c>
      <c r="Z22" s="394">
        <f t="shared" si="12"/>
        <v>0</v>
      </c>
      <c r="AA22" s="138"/>
      <c r="AB22" s="395">
        <f t="shared" si="13"/>
        <v>0</v>
      </c>
      <c r="AC22" s="396" t="str">
        <f t="shared" si="14"/>
        <v/>
      </c>
      <c r="AD22" s="53"/>
      <c r="AE22" s="408">
        <f>IFERROR(VLOOKUP($C22,'Proposed Rates'!$B:$J,AE$11,FALSE),0)</f>
        <v>0</v>
      </c>
      <c r="AF22" s="392">
        <f t="shared" si="15"/>
        <v>5000</v>
      </c>
      <c r="AG22" s="394">
        <f t="shared" si="16"/>
        <v>0</v>
      </c>
      <c r="AH22" s="138"/>
      <c r="AI22" s="395">
        <f t="shared" si="17"/>
        <v>0</v>
      </c>
      <c r="AJ22" s="396" t="str">
        <f t="shared" si="18"/>
        <v/>
      </c>
      <c r="AK22" s="53"/>
      <c r="AL22" s="408">
        <f>IFERROR(VLOOKUP($C22,'Proposed Rates'!$B:$J,AL$11,FALSE),0)</f>
        <v>0</v>
      </c>
      <c r="AM22" s="392">
        <f t="shared" si="19"/>
        <v>5000</v>
      </c>
      <c r="AN22" s="394">
        <f t="shared" si="24"/>
        <v>0</v>
      </c>
      <c r="AO22" s="138"/>
      <c r="AP22" s="395">
        <f t="shared" si="21"/>
        <v>0</v>
      </c>
      <c r="AQ22" s="396" t="str">
        <f t="shared" si="22"/>
        <v/>
      </c>
      <c r="AR22" s="397"/>
    </row>
    <row r="23" spans="1:44" ht="12" customHeight="1">
      <c r="A23" s="53"/>
      <c r="B23" s="398"/>
      <c r="C23" s="389" t="str">
        <f t="shared" si="0"/>
        <v>General Service &lt; 50 kW.</v>
      </c>
      <c r="D23" s="390"/>
      <c r="E23" s="328"/>
      <c r="F23" s="408">
        <f>IFERROR(VLOOKUP($C23,'Proposed Rates'!$B:$J,F$11,FALSE),0)</f>
        <v>0</v>
      </c>
      <c r="G23" s="392">
        <f t="shared" si="1"/>
        <v>0</v>
      </c>
      <c r="H23" s="394">
        <f t="shared" si="2"/>
        <v>0</v>
      </c>
      <c r="I23" s="138"/>
      <c r="J23" s="408">
        <f>IFERROR(VLOOKUP($C23,'Proposed Rates'!$B:$J,J$11,FALSE),0)</f>
        <v>0</v>
      </c>
      <c r="K23" s="392">
        <f t="shared" si="3"/>
        <v>0</v>
      </c>
      <c r="L23" s="394">
        <f t="shared" si="4"/>
        <v>0</v>
      </c>
      <c r="M23" s="138"/>
      <c r="N23" s="395">
        <f t="shared" si="5"/>
        <v>0</v>
      </c>
      <c r="O23" s="396" t="str">
        <f t="shared" si="6"/>
        <v/>
      </c>
      <c r="P23" s="53"/>
      <c r="Q23" s="408">
        <f>IFERROR(VLOOKUP($C23,'Proposed Rates'!$B:$J,Q$11,FALSE),0)</f>
        <v>0</v>
      </c>
      <c r="R23" s="392">
        <f t="shared" si="7"/>
        <v>0</v>
      </c>
      <c r="S23" s="394">
        <f t="shared" si="8"/>
        <v>0</v>
      </c>
      <c r="T23" s="138"/>
      <c r="U23" s="395">
        <f t="shared" si="9"/>
        <v>0</v>
      </c>
      <c r="V23" s="396" t="str">
        <f t="shared" si="10"/>
        <v/>
      </c>
      <c r="W23" s="53"/>
      <c r="X23" s="408">
        <f>IFERROR(VLOOKUP($C23,'Proposed Rates'!$B:$J,X$11,FALSE),0)</f>
        <v>0</v>
      </c>
      <c r="Y23" s="392">
        <f t="shared" si="11"/>
        <v>0</v>
      </c>
      <c r="Z23" s="394">
        <f t="shared" si="12"/>
        <v>0</v>
      </c>
      <c r="AA23" s="138"/>
      <c r="AB23" s="395">
        <f t="shared" si="13"/>
        <v>0</v>
      </c>
      <c r="AC23" s="396" t="str">
        <f t="shared" si="14"/>
        <v/>
      </c>
      <c r="AD23" s="53"/>
      <c r="AE23" s="408">
        <f>IFERROR(VLOOKUP($C23,'Proposed Rates'!$B:$J,AE$11,FALSE),0)</f>
        <v>0</v>
      </c>
      <c r="AF23" s="392">
        <f t="shared" si="15"/>
        <v>0</v>
      </c>
      <c r="AG23" s="394">
        <f t="shared" si="16"/>
        <v>0</v>
      </c>
      <c r="AH23" s="138"/>
      <c r="AI23" s="395">
        <f t="shared" si="17"/>
        <v>0</v>
      </c>
      <c r="AJ23" s="396" t="str">
        <f t="shared" si="18"/>
        <v/>
      </c>
      <c r="AK23" s="53"/>
      <c r="AL23" s="408">
        <f>IFERROR(VLOOKUP($C23,'Proposed Rates'!$B:$J,AL$11,FALSE),0)</f>
        <v>0</v>
      </c>
      <c r="AM23" s="392">
        <f t="shared" si="19"/>
        <v>0</v>
      </c>
      <c r="AN23" s="394">
        <f t="shared" si="24"/>
        <v>0</v>
      </c>
      <c r="AO23" s="138"/>
      <c r="AP23" s="395">
        <f t="shared" si="21"/>
        <v>0</v>
      </c>
      <c r="AQ23" s="396" t="str">
        <f t="shared" si="22"/>
        <v/>
      </c>
      <c r="AR23" s="397"/>
    </row>
    <row r="24" spans="1:44" ht="12" customHeight="1">
      <c r="A24" s="53"/>
      <c r="B24" s="398"/>
      <c r="C24" s="389" t="str">
        <f t="shared" si="0"/>
        <v>General Service &lt; 50 kW.</v>
      </c>
      <c r="D24" s="390"/>
      <c r="E24" s="328"/>
      <c r="F24" s="408">
        <f>IFERROR(VLOOKUP($C24,'Proposed Rates'!$B:$J,F$11,FALSE),0)</f>
        <v>0</v>
      </c>
      <c r="G24" s="392">
        <f t="shared" si="1"/>
        <v>0</v>
      </c>
      <c r="H24" s="394">
        <f t="shared" si="2"/>
        <v>0</v>
      </c>
      <c r="I24" s="138"/>
      <c r="J24" s="408">
        <f>IFERROR(VLOOKUP($C24,'Proposed Rates'!$B:$J,J$11,FALSE),0)</f>
        <v>0</v>
      </c>
      <c r="K24" s="392">
        <f t="shared" si="3"/>
        <v>0</v>
      </c>
      <c r="L24" s="394">
        <f t="shared" si="4"/>
        <v>0</v>
      </c>
      <c r="M24" s="138"/>
      <c r="N24" s="395">
        <f t="shared" si="5"/>
        <v>0</v>
      </c>
      <c r="O24" s="396" t="str">
        <f t="shared" si="6"/>
        <v/>
      </c>
      <c r="P24" s="53"/>
      <c r="Q24" s="408">
        <f>IFERROR(VLOOKUP($C24,'Proposed Rates'!$B:$J,Q$11,FALSE),0)</f>
        <v>0</v>
      </c>
      <c r="R24" s="392">
        <f t="shared" si="7"/>
        <v>0</v>
      </c>
      <c r="S24" s="394">
        <f t="shared" si="8"/>
        <v>0</v>
      </c>
      <c r="T24" s="138"/>
      <c r="U24" s="395">
        <f t="shared" si="9"/>
        <v>0</v>
      </c>
      <c r="V24" s="396" t="str">
        <f t="shared" si="10"/>
        <v/>
      </c>
      <c r="W24" s="53"/>
      <c r="X24" s="408">
        <f>IFERROR(VLOOKUP($C24,'Proposed Rates'!$B:$J,X$11,FALSE),0)</f>
        <v>0</v>
      </c>
      <c r="Y24" s="392">
        <f t="shared" si="11"/>
        <v>0</v>
      </c>
      <c r="Z24" s="394">
        <f t="shared" si="12"/>
        <v>0</v>
      </c>
      <c r="AA24" s="138"/>
      <c r="AB24" s="395">
        <f t="shared" si="13"/>
        <v>0</v>
      </c>
      <c r="AC24" s="396" t="str">
        <f t="shared" si="14"/>
        <v/>
      </c>
      <c r="AD24" s="53"/>
      <c r="AE24" s="408">
        <f>IFERROR(VLOOKUP($C24,'Proposed Rates'!$B:$J,AE$11,FALSE),0)</f>
        <v>0</v>
      </c>
      <c r="AF24" s="392">
        <f t="shared" si="15"/>
        <v>0</v>
      </c>
      <c r="AG24" s="394">
        <f t="shared" si="16"/>
        <v>0</v>
      </c>
      <c r="AH24" s="138"/>
      <c r="AI24" s="395">
        <f t="shared" si="17"/>
        <v>0</v>
      </c>
      <c r="AJ24" s="396" t="str">
        <f t="shared" si="18"/>
        <v/>
      </c>
      <c r="AK24" s="53"/>
      <c r="AL24" s="408">
        <f>IFERROR(VLOOKUP($C24,'Proposed Rates'!$B:$J,AL$11,FALSE),0)</f>
        <v>0</v>
      </c>
      <c r="AM24" s="392">
        <f t="shared" si="19"/>
        <v>0</v>
      </c>
      <c r="AN24" s="394">
        <f t="shared" si="24"/>
        <v>0</v>
      </c>
      <c r="AO24" s="138"/>
      <c r="AP24" s="395">
        <f t="shared" si="21"/>
        <v>0</v>
      </c>
      <c r="AQ24" s="396" t="str">
        <f t="shared" si="22"/>
        <v/>
      </c>
      <c r="AR24" s="397"/>
    </row>
    <row r="25" spans="1:44" ht="12" customHeight="1">
      <c r="A25" s="53"/>
      <c r="B25" s="398"/>
      <c r="C25" s="389" t="str">
        <f t="shared" si="0"/>
        <v>General Service &lt; 50 kW.</v>
      </c>
      <c r="D25" s="390"/>
      <c r="E25" s="328"/>
      <c r="F25" s="408">
        <f>IFERROR(VLOOKUP($C25,'Proposed Rates'!$B:$J,F$11,FALSE),0)</f>
        <v>0</v>
      </c>
      <c r="G25" s="392">
        <f t="shared" si="1"/>
        <v>0</v>
      </c>
      <c r="H25" s="394">
        <f t="shared" si="2"/>
        <v>0</v>
      </c>
      <c r="I25" s="138"/>
      <c r="J25" s="408">
        <f>IFERROR(VLOOKUP($C25,'Proposed Rates'!$B:$J,J$11,FALSE),0)</f>
        <v>0</v>
      </c>
      <c r="K25" s="392">
        <f t="shared" si="3"/>
        <v>0</v>
      </c>
      <c r="L25" s="394">
        <f t="shared" si="4"/>
        <v>0</v>
      </c>
      <c r="M25" s="138"/>
      <c r="N25" s="395">
        <f t="shared" si="5"/>
        <v>0</v>
      </c>
      <c r="O25" s="396" t="str">
        <f t="shared" si="6"/>
        <v/>
      </c>
      <c r="P25" s="53"/>
      <c r="Q25" s="408">
        <f>IFERROR(VLOOKUP($C25,'Proposed Rates'!$B:$J,Q$11,FALSE),0)</f>
        <v>0</v>
      </c>
      <c r="R25" s="392">
        <f t="shared" si="7"/>
        <v>0</v>
      </c>
      <c r="S25" s="394">
        <f t="shared" si="8"/>
        <v>0</v>
      </c>
      <c r="T25" s="138"/>
      <c r="U25" s="395">
        <f t="shared" si="9"/>
        <v>0</v>
      </c>
      <c r="V25" s="396" t="str">
        <f t="shared" si="10"/>
        <v/>
      </c>
      <c r="W25" s="53"/>
      <c r="X25" s="408">
        <f>IFERROR(VLOOKUP($C25,'Proposed Rates'!$B:$J,X$11,FALSE),0)</f>
        <v>0</v>
      </c>
      <c r="Y25" s="392">
        <f t="shared" si="11"/>
        <v>0</v>
      </c>
      <c r="Z25" s="394">
        <f t="shared" si="12"/>
        <v>0</v>
      </c>
      <c r="AA25" s="138"/>
      <c r="AB25" s="395">
        <f t="shared" si="13"/>
        <v>0</v>
      </c>
      <c r="AC25" s="396" t="str">
        <f t="shared" si="14"/>
        <v/>
      </c>
      <c r="AD25" s="53"/>
      <c r="AE25" s="408">
        <f>IFERROR(VLOOKUP($C25,'Proposed Rates'!$B:$J,AE$11,FALSE),0)</f>
        <v>0</v>
      </c>
      <c r="AF25" s="392">
        <f t="shared" si="15"/>
        <v>0</v>
      </c>
      <c r="AG25" s="394">
        <f t="shared" si="16"/>
        <v>0</v>
      </c>
      <c r="AH25" s="138"/>
      <c r="AI25" s="395">
        <f t="shared" si="17"/>
        <v>0</v>
      </c>
      <c r="AJ25" s="396" t="str">
        <f t="shared" si="18"/>
        <v/>
      </c>
      <c r="AK25" s="53"/>
      <c r="AL25" s="408">
        <f>IFERROR(VLOOKUP($C25,'Proposed Rates'!$B:$J,AL$11,FALSE),0)</f>
        <v>0</v>
      </c>
      <c r="AM25" s="392">
        <f t="shared" si="19"/>
        <v>0</v>
      </c>
      <c r="AN25" s="394">
        <f t="shared" si="24"/>
        <v>0</v>
      </c>
      <c r="AO25" s="138"/>
      <c r="AP25" s="395">
        <f t="shared" si="21"/>
        <v>0</v>
      </c>
      <c r="AQ25" s="396" t="str">
        <f t="shared" si="22"/>
        <v/>
      </c>
      <c r="AR25" s="397"/>
    </row>
    <row r="26" spans="1:44" ht="12" customHeight="1">
      <c r="A26" s="53"/>
      <c r="B26" s="398"/>
      <c r="C26" s="389" t="str">
        <f t="shared" si="0"/>
        <v>General Service &lt; 50 kW.</v>
      </c>
      <c r="D26" s="390"/>
      <c r="E26" s="328"/>
      <c r="F26" s="408">
        <f>IFERROR(VLOOKUP($C26,'Proposed Rates'!$B:$J,F$11,FALSE),0)</f>
        <v>0</v>
      </c>
      <c r="G26" s="392">
        <f t="shared" si="1"/>
        <v>0</v>
      </c>
      <c r="H26" s="394">
        <f t="shared" si="2"/>
        <v>0</v>
      </c>
      <c r="I26" s="138"/>
      <c r="J26" s="408">
        <f>IFERROR(VLOOKUP($C26,'Proposed Rates'!$B:$J,J$11,FALSE),0)</f>
        <v>0</v>
      </c>
      <c r="K26" s="392">
        <f t="shared" si="3"/>
        <v>0</v>
      </c>
      <c r="L26" s="394">
        <f t="shared" si="4"/>
        <v>0</v>
      </c>
      <c r="M26" s="138"/>
      <c r="N26" s="395">
        <f t="shared" si="5"/>
        <v>0</v>
      </c>
      <c r="O26" s="396" t="str">
        <f t="shared" si="6"/>
        <v/>
      </c>
      <c r="P26" s="53"/>
      <c r="Q26" s="408">
        <f>IFERROR(VLOOKUP($C26,'Proposed Rates'!$B:$J,Q$11,FALSE),0)</f>
        <v>0</v>
      </c>
      <c r="R26" s="392">
        <f t="shared" si="7"/>
        <v>0</v>
      </c>
      <c r="S26" s="394">
        <f t="shared" si="8"/>
        <v>0</v>
      </c>
      <c r="T26" s="138"/>
      <c r="U26" s="395">
        <f t="shared" si="9"/>
        <v>0</v>
      </c>
      <c r="V26" s="396" t="str">
        <f t="shared" si="10"/>
        <v/>
      </c>
      <c r="W26" s="53"/>
      <c r="X26" s="408">
        <f>IFERROR(VLOOKUP($C26,'Proposed Rates'!$B:$J,X$11,FALSE),0)</f>
        <v>0</v>
      </c>
      <c r="Y26" s="392">
        <f t="shared" si="11"/>
        <v>0</v>
      </c>
      <c r="Z26" s="394">
        <f t="shared" si="12"/>
        <v>0</v>
      </c>
      <c r="AA26" s="138"/>
      <c r="AB26" s="395">
        <f t="shared" si="13"/>
        <v>0</v>
      </c>
      <c r="AC26" s="396" t="str">
        <f t="shared" si="14"/>
        <v/>
      </c>
      <c r="AD26" s="53"/>
      <c r="AE26" s="408">
        <f>IFERROR(VLOOKUP($C26,'Proposed Rates'!$B:$J,AE$11,FALSE),0)</f>
        <v>0</v>
      </c>
      <c r="AF26" s="392">
        <f t="shared" si="15"/>
        <v>0</v>
      </c>
      <c r="AG26" s="394">
        <f t="shared" si="16"/>
        <v>0</v>
      </c>
      <c r="AH26" s="138"/>
      <c r="AI26" s="395">
        <f t="shared" si="17"/>
        <v>0</v>
      </c>
      <c r="AJ26" s="396" t="str">
        <f t="shared" si="18"/>
        <v/>
      </c>
      <c r="AK26" s="53"/>
      <c r="AL26" s="408">
        <f>IFERROR(VLOOKUP($C26,'Proposed Rates'!$B:$J,AL$11,FALSE),0)</f>
        <v>0</v>
      </c>
      <c r="AM26" s="392">
        <f t="shared" si="19"/>
        <v>0</v>
      </c>
      <c r="AN26" s="394">
        <f t="shared" si="24"/>
        <v>0</v>
      </c>
      <c r="AO26" s="138"/>
      <c r="AP26" s="395">
        <f t="shared" si="21"/>
        <v>0</v>
      </c>
      <c r="AQ26" s="396" t="str">
        <f t="shared" si="22"/>
        <v/>
      </c>
      <c r="AR26" s="397"/>
    </row>
    <row r="27" spans="1:44" ht="12" customHeight="1">
      <c r="A27" s="53"/>
      <c r="B27" s="398"/>
      <c r="C27" s="389" t="str">
        <f t="shared" si="0"/>
        <v>General Service &lt; 50 kW.</v>
      </c>
      <c r="D27" s="390"/>
      <c r="E27" s="328"/>
      <c r="F27" s="408">
        <f>IFERROR(VLOOKUP($C27,'Proposed Rates'!$B:$J,F$11,FALSE),0)</f>
        <v>0</v>
      </c>
      <c r="G27" s="392">
        <f t="shared" si="1"/>
        <v>0</v>
      </c>
      <c r="H27" s="394">
        <f t="shared" si="2"/>
        <v>0</v>
      </c>
      <c r="I27" s="138"/>
      <c r="J27" s="408">
        <f>IFERROR(VLOOKUP($C27,'Proposed Rates'!$B:$J,J$11,FALSE),0)</f>
        <v>0</v>
      </c>
      <c r="K27" s="392">
        <f t="shared" si="3"/>
        <v>0</v>
      </c>
      <c r="L27" s="394">
        <f t="shared" si="4"/>
        <v>0</v>
      </c>
      <c r="M27" s="138"/>
      <c r="N27" s="395">
        <f t="shared" si="5"/>
        <v>0</v>
      </c>
      <c r="O27" s="396" t="str">
        <f t="shared" si="6"/>
        <v/>
      </c>
      <c r="P27" s="53"/>
      <c r="Q27" s="408">
        <f>IFERROR(VLOOKUP($C27,'Proposed Rates'!$B:$J,Q$11,FALSE),0)</f>
        <v>0</v>
      </c>
      <c r="R27" s="392">
        <f t="shared" si="7"/>
        <v>0</v>
      </c>
      <c r="S27" s="394">
        <f t="shared" si="8"/>
        <v>0</v>
      </c>
      <c r="T27" s="138"/>
      <c r="U27" s="395">
        <f t="shared" si="9"/>
        <v>0</v>
      </c>
      <c r="V27" s="396" t="str">
        <f t="shared" si="10"/>
        <v/>
      </c>
      <c r="W27" s="53"/>
      <c r="X27" s="408">
        <f>IFERROR(VLOOKUP($C27,'Proposed Rates'!$B:$J,X$11,FALSE),0)</f>
        <v>0</v>
      </c>
      <c r="Y27" s="392">
        <f t="shared" si="11"/>
        <v>0</v>
      </c>
      <c r="Z27" s="394">
        <f t="shared" si="12"/>
        <v>0</v>
      </c>
      <c r="AA27" s="138"/>
      <c r="AB27" s="395">
        <f t="shared" si="13"/>
        <v>0</v>
      </c>
      <c r="AC27" s="396" t="str">
        <f t="shared" si="14"/>
        <v/>
      </c>
      <c r="AD27" s="53"/>
      <c r="AE27" s="408">
        <f>IFERROR(VLOOKUP($C27,'Proposed Rates'!$B:$J,AE$11,FALSE),0)</f>
        <v>0</v>
      </c>
      <c r="AF27" s="392">
        <f t="shared" si="15"/>
        <v>0</v>
      </c>
      <c r="AG27" s="394">
        <f t="shared" si="16"/>
        <v>0</v>
      </c>
      <c r="AH27" s="138"/>
      <c r="AI27" s="395">
        <f t="shared" si="17"/>
        <v>0</v>
      </c>
      <c r="AJ27" s="396" t="str">
        <f t="shared" si="18"/>
        <v/>
      </c>
      <c r="AK27" s="53"/>
      <c r="AL27" s="408">
        <f>IFERROR(VLOOKUP($C27,'Proposed Rates'!$B:$J,AL$11,FALSE),0)</f>
        <v>0</v>
      </c>
      <c r="AM27" s="392">
        <f t="shared" si="19"/>
        <v>0</v>
      </c>
      <c r="AN27" s="394">
        <f t="shared" si="24"/>
        <v>0</v>
      </c>
      <c r="AO27" s="138"/>
      <c r="AP27" s="395">
        <f t="shared" si="21"/>
        <v>0</v>
      </c>
      <c r="AQ27" s="396" t="str">
        <f t="shared" si="22"/>
        <v/>
      </c>
      <c r="AR27" s="397"/>
    </row>
    <row r="28" spans="1:44" ht="12" customHeight="1">
      <c r="A28" s="53"/>
      <c r="B28" s="398"/>
      <c r="C28" s="389" t="str">
        <f t="shared" si="0"/>
        <v>General Service &lt; 50 kW.</v>
      </c>
      <c r="D28" s="390"/>
      <c r="E28" s="328"/>
      <c r="F28" s="408">
        <f>IFERROR(VLOOKUP($C28,'Proposed Rates'!$B:$J,F$11,FALSE),0)</f>
        <v>0</v>
      </c>
      <c r="G28" s="392">
        <f t="shared" si="1"/>
        <v>0</v>
      </c>
      <c r="H28" s="394">
        <f t="shared" si="2"/>
        <v>0</v>
      </c>
      <c r="I28" s="138"/>
      <c r="J28" s="408">
        <f>IFERROR(VLOOKUP($C28,'Proposed Rates'!$B:$J,J$11,FALSE),0)</f>
        <v>0</v>
      </c>
      <c r="K28" s="392">
        <f t="shared" si="3"/>
        <v>0</v>
      </c>
      <c r="L28" s="394">
        <f t="shared" si="4"/>
        <v>0</v>
      </c>
      <c r="M28" s="138"/>
      <c r="N28" s="395">
        <f t="shared" si="5"/>
        <v>0</v>
      </c>
      <c r="O28" s="396" t="str">
        <f t="shared" si="6"/>
        <v/>
      </c>
      <c r="P28" s="53"/>
      <c r="Q28" s="408">
        <f>IFERROR(VLOOKUP($C28,'Proposed Rates'!$B:$J,Q$11,FALSE),0)</f>
        <v>0</v>
      </c>
      <c r="R28" s="392">
        <f t="shared" si="7"/>
        <v>0</v>
      </c>
      <c r="S28" s="394">
        <f t="shared" si="8"/>
        <v>0</v>
      </c>
      <c r="T28" s="138"/>
      <c r="U28" s="395">
        <f t="shared" si="9"/>
        <v>0</v>
      </c>
      <c r="V28" s="396" t="str">
        <f t="shared" si="10"/>
        <v/>
      </c>
      <c r="W28" s="53"/>
      <c r="X28" s="408">
        <f>IFERROR(VLOOKUP($C28,'Proposed Rates'!$B:$J,X$11,FALSE),0)</f>
        <v>0</v>
      </c>
      <c r="Y28" s="392">
        <f t="shared" si="11"/>
        <v>0</v>
      </c>
      <c r="Z28" s="394">
        <f t="shared" si="12"/>
        <v>0</v>
      </c>
      <c r="AA28" s="138"/>
      <c r="AB28" s="395">
        <f t="shared" si="13"/>
        <v>0</v>
      </c>
      <c r="AC28" s="396" t="str">
        <f t="shared" si="14"/>
        <v/>
      </c>
      <c r="AD28" s="53"/>
      <c r="AE28" s="408">
        <f>IFERROR(VLOOKUP($C28,'Proposed Rates'!$B:$J,AE$11,FALSE),0)</f>
        <v>0</v>
      </c>
      <c r="AF28" s="392">
        <f t="shared" si="15"/>
        <v>0</v>
      </c>
      <c r="AG28" s="394">
        <f t="shared" si="16"/>
        <v>0</v>
      </c>
      <c r="AH28" s="138"/>
      <c r="AI28" s="395">
        <f t="shared" si="17"/>
        <v>0</v>
      </c>
      <c r="AJ28" s="396" t="str">
        <f t="shared" si="18"/>
        <v/>
      </c>
      <c r="AK28" s="53"/>
      <c r="AL28" s="408">
        <f>IFERROR(VLOOKUP($C28,'Proposed Rates'!$B:$J,AL$11,FALSE),0)</f>
        <v>0</v>
      </c>
      <c r="AM28" s="392">
        <f t="shared" si="19"/>
        <v>0</v>
      </c>
      <c r="AN28" s="394">
        <f t="shared" si="24"/>
        <v>0</v>
      </c>
      <c r="AO28" s="138"/>
      <c r="AP28" s="395">
        <f t="shared" si="21"/>
        <v>0</v>
      </c>
      <c r="AQ28" s="396" t="str">
        <f t="shared" si="22"/>
        <v/>
      </c>
      <c r="AR28" s="397"/>
    </row>
    <row r="29" spans="1:44" ht="12" customHeight="1">
      <c r="A29" s="314"/>
      <c r="B29" s="399" t="s">
        <v>339</v>
      </c>
      <c r="C29" s="400"/>
      <c r="D29" s="400"/>
      <c r="E29" s="400"/>
      <c r="F29" s="401"/>
      <c r="G29" s="494"/>
      <c r="H29" s="403">
        <f>SUM(H15:H28)</f>
        <v>179.53</v>
      </c>
      <c r="I29" s="404"/>
      <c r="J29" s="401"/>
      <c r="K29" s="494"/>
      <c r="L29" s="403">
        <f>SUM(L15:L28)</f>
        <v>199.65</v>
      </c>
      <c r="M29" s="404"/>
      <c r="N29" s="405">
        <f t="shared" si="5"/>
        <v>20.120000000000005</v>
      </c>
      <c r="O29" s="406">
        <f t="shared" si="6"/>
        <v>0.11207040606026851</v>
      </c>
      <c r="P29" s="314"/>
      <c r="Q29" s="401"/>
      <c r="R29" s="494"/>
      <c r="S29" s="403">
        <f>SUM(S15:S28)</f>
        <v>212.90999999999997</v>
      </c>
      <c r="T29" s="404"/>
      <c r="U29" s="405">
        <f t="shared" si="9"/>
        <v>13.259999999999962</v>
      </c>
      <c r="V29" s="406">
        <f t="shared" si="10"/>
        <v>6.6416228399699281E-2</v>
      </c>
      <c r="W29" s="314"/>
      <c r="X29" s="401"/>
      <c r="Y29" s="494"/>
      <c r="Z29" s="403">
        <f>SUM(Z15:Z28)</f>
        <v>218.80000000000004</v>
      </c>
      <c r="AA29" s="404"/>
      <c r="AB29" s="405">
        <f t="shared" si="13"/>
        <v>5.8900000000000716</v>
      </c>
      <c r="AC29" s="406">
        <f t="shared" si="14"/>
        <v>2.7664271288338135E-2</v>
      </c>
      <c r="AD29" s="314"/>
      <c r="AE29" s="401"/>
      <c r="AF29" s="494"/>
      <c r="AG29" s="403">
        <f>SUM(AG15:AG28)</f>
        <v>222.27</v>
      </c>
      <c r="AH29" s="404"/>
      <c r="AI29" s="405">
        <f t="shared" si="17"/>
        <v>3.4699999999999704</v>
      </c>
      <c r="AJ29" s="406">
        <f t="shared" si="18"/>
        <v>1.5859232175502603E-2</v>
      </c>
      <c r="AK29" s="314"/>
      <c r="AL29" s="401"/>
      <c r="AM29" s="494"/>
      <c r="AN29" s="403">
        <f>SUM(AN15:AN28)</f>
        <v>225.71</v>
      </c>
      <c r="AO29" s="404"/>
      <c r="AP29" s="405">
        <f t="shared" si="21"/>
        <v>3.4399999999999977</v>
      </c>
      <c r="AQ29" s="406">
        <f t="shared" si="22"/>
        <v>1.5476672515409176E-2</v>
      </c>
      <c r="AR29" s="407"/>
    </row>
    <row r="30" spans="1:44" ht="12" customHeight="1">
      <c r="A30" s="53"/>
      <c r="B30" s="398" t="s">
        <v>262</v>
      </c>
      <c r="C30" s="389" t="str">
        <f t="shared" ref="C30:C36" si="25">D$6&amp;"."&amp;B30</f>
        <v>General Service &lt; 50 kW.DVA Disposition Rate Rider Group 1 -2025</v>
      </c>
      <c r="D30" s="390" t="s">
        <v>337</v>
      </c>
      <c r="E30" s="328"/>
      <c r="F30" s="408">
        <f>IFERROR(VLOOKUP($C30,'Proposed Rates'!$B:$J,F$11,FALSE),0)</f>
        <v>0</v>
      </c>
      <c r="G30" s="392">
        <f t="shared" ref="G30:G33" si="26">IF($D30="Monthly",1,IF($D30="per KWH",$F$10,0))</f>
        <v>5000</v>
      </c>
      <c r="H30" s="394">
        <f t="shared" ref="H30:H36" si="27">G30*F30</f>
        <v>0</v>
      </c>
      <c r="I30" s="138"/>
      <c r="J30" s="408">
        <f>IFERROR(VLOOKUP($C30,'Proposed Rates'!$B:$J,J$11,FALSE),0)</f>
        <v>-8.9999999999999998E-4</v>
      </c>
      <c r="K30" s="392">
        <f t="shared" ref="K30:K33" si="28">IF($D30="Monthly",1,IF($D30="per KWH",$F$10,0))</f>
        <v>5000</v>
      </c>
      <c r="L30" s="394">
        <f t="shared" ref="L30:L36" si="29">K30*J30</f>
        <v>-4.5</v>
      </c>
      <c r="M30" s="138"/>
      <c r="N30" s="395">
        <f t="shared" si="5"/>
        <v>-4.5</v>
      </c>
      <c r="O30" s="396" t="str">
        <f t="shared" si="6"/>
        <v/>
      </c>
      <c r="P30" s="53"/>
      <c r="Q30" s="408">
        <f>IFERROR(VLOOKUP($C30,'Proposed Rates'!$B:$J,Q$11,FALSE),0)</f>
        <v>0</v>
      </c>
      <c r="R30" s="392">
        <f t="shared" ref="R30:R33" si="30">IF($D30="Monthly",1,IF($D30="per KWH",$F$10,0))</f>
        <v>5000</v>
      </c>
      <c r="S30" s="394">
        <f t="shared" ref="S30:S36" si="31">R30*Q30</f>
        <v>0</v>
      </c>
      <c r="T30" s="138"/>
      <c r="U30" s="395">
        <f t="shared" si="9"/>
        <v>4.5</v>
      </c>
      <c r="V30" s="396">
        <f t="shared" si="10"/>
        <v>-1</v>
      </c>
      <c r="W30" s="53"/>
      <c r="X30" s="408">
        <f>IFERROR(VLOOKUP($C30,'Proposed Rates'!$B:$J,X$11,FALSE),0)</f>
        <v>0</v>
      </c>
      <c r="Y30" s="392">
        <f t="shared" ref="Y30:Y33" si="32">IF($D30="Monthly",1,IF($D30="per KWH",$F$10,0))</f>
        <v>5000</v>
      </c>
      <c r="Z30" s="394">
        <f t="shared" ref="Z30:Z36" si="33">Y30*X30</f>
        <v>0</v>
      </c>
      <c r="AA30" s="138"/>
      <c r="AB30" s="395">
        <f t="shared" si="13"/>
        <v>0</v>
      </c>
      <c r="AC30" s="396" t="str">
        <f t="shared" si="14"/>
        <v/>
      </c>
      <c r="AD30" s="53"/>
      <c r="AE30" s="408">
        <f>IFERROR(VLOOKUP($C30,'Proposed Rates'!$B:$J,AE$11,FALSE),0)</f>
        <v>0</v>
      </c>
      <c r="AF30" s="392">
        <f t="shared" ref="AF30:AF33" si="34">IF($D30="Monthly",1,IF($D30="per KWH",$F$10,0))</f>
        <v>5000</v>
      </c>
      <c r="AG30" s="394">
        <f t="shared" ref="AG30:AG36" si="35">AF30*AE30</f>
        <v>0</v>
      </c>
      <c r="AH30" s="138"/>
      <c r="AI30" s="395">
        <f t="shared" si="17"/>
        <v>0</v>
      </c>
      <c r="AJ30" s="396" t="str">
        <f t="shared" si="18"/>
        <v/>
      </c>
      <c r="AK30" s="53"/>
      <c r="AL30" s="408">
        <f>IFERROR(VLOOKUP($C30,'Proposed Rates'!$B:$J,AL$11,FALSE),0)</f>
        <v>0</v>
      </c>
      <c r="AM30" s="392">
        <f t="shared" ref="AM30:AM33" si="36">IF($D30="Monthly",1,IF($D30="per KWH",$F$10,0))</f>
        <v>5000</v>
      </c>
      <c r="AN30" s="394">
        <f t="shared" ref="AN30:AN36" si="37">AM30*AL30</f>
        <v>0</v>
      </c>
      <c r="AO30" s="138"/>
      <c r="AP30" s="395">
        <f t="shared" si="21"/>
        <v>0</v>
      </c>
      <c r="AQ30" s="396" t="str">
        <f t="shared" si="22"/>
        <v/>
      </c>
      <c r="AR30" s="397"/>
    </row>
    <row r="31" spans="1:44" ht="12" customHeight="1">
      <c r="A31" s="53"/>
      <c r="B31" s="398" t="s">
        <v>264</v>
      </c>
      <c r="C31" s="389" t="str">
        <f t="shared" si="25"/>
        <v>General Service &lt; 50 kW.DVA Disposition Rate Rider Group 1 - 2024</v>
      </c>
      <c r="D31" s="390" t="s">
        <v>337</v>
      </c>
      <c r="E31" s="328"/>
      <c r="F31" s="408">
        <f>IFERROR(VLOOKUP($C31,'Proposed Rates'!$B:$J,F$11,FALSE),0)</f>
        <v>0</v>
      </c>
      <c r="G31" s="392">
        <f t="shared" si="26"/>
        <v>5000</v>
      </c>
      <c r="H31" s="394">
        <f t="shared" si="27"/>
        <v>0</v>
      </c>
      <c r="I31" s="479"/>
      <c r="J31" s="408">
        <f>IFERROR(VLOOKUP($C31,'Proposed Rates'!$B:$J,J$11,FALSE),0)</f>
        <v>0</v>
      </c>
      <c r="K31" s="392">
        <f t="shared" si="28"/>
        <v>5000</v>
      </c>
      <c r="L31" s="394">
        <f t="shared" si="29"/>
        <v>0</v>
      </c>
      <c r="M31" s="411"/>
      <c r="N31" s="395">
        <f t="shared" si="5"/>
        <v>0</v>
      </c>
      <c r="O31" s="396" t="str">
        <f t="shared" si="6"/>
        <v/>
      </c>
      <c r="P31" s="53"/>
      <c r="Q31" s="408">
        <f>IFERROR(VLOOKUP($C31,'Proposed Rates'!$B:$J,Q$11,FALSE),0)</f>
        <v>0</v>
      </c>
      <c r="R31" s="392">
        <f t="shared" si="30"/>
        <v>5000</v>
      </c>
      <c r="S31" s="394">
        <f t="shared" si="31"/>
        <v>0</v>
      </c>
      <c r="T31" s="411"/>
      <c r="U31" s="395">
        <f t="shared" si="9"/>
        <v>0</v>
      </c>
      <c r="V31" s="396" t="str">
        <f t="shared" si="10"/>
        <v/>
      </c>
      <c r="W31" s="53"/>
      <c r="X31" s="408">
        <f>IFERROR(VLOOKUP($C31,'Proposed Rates'!$B:$J,X$11,FALSE),0)</f>
        <v>0</v>
      </c>
      <c r="Y31" s="392">
        <f t="shared" si="32"/>
        <v>5000</v>
      </c>
      <c r="Z31" s="394">
        <f t="shared" si="33"/>
        <v>0</v>
      </c>
      <c r="AA31" s="411"/>
      <c r="AB31" s="395">
        <f t="shared" si="13"/>
        <v>0</v>
      </c>
      <c r="AC31" s="396" t="str">
        <f t="shared" si="14"/>
        <v/>
      </c>
      <c r="AD31" s="53"/>
      <c r="AE31" s="408">
        <f>IFERROR(VLOOKUP($C31,'Proposed Rates'!$B:$J,AE$11,FALSE),0)</f>
        <v>0</v>
      </c>
      <c r="AF31" s="392">
        <f t="shared" si="34"/>
        <v>5000</v>
      </c>
      <c r="AG31" s="394">
        <f t="shared" si="35"/>
        <v>0</v>
      </c>
      <c r="AH31" s="411"/>
      <c r="AI31" s="395">
        <f t="shared" si="17"/>
        <v>0</v>
      </c>
      <c r="AJ31" s="396" t="str">
        <f t="shared" si="18"/>
        <v/>
      </c>
      <c r="AK31" s="53"/>
      <c r="AL31" s="408">
        <f>IFERROR(VLOOKUP($C31,'Proposed Rates'!$B:$J,AL$11,FALSE),0)</f>
        <v>0</v>
      </c>
      <c r="AM31" s="392">
        <f t="shared" si="36"/>
        <v>5000</v>
      </c>
      <c r="AN31" s="394">
        <f t="shared" si="37"/>
        <v>0</v>
      </c>
      <c r="AO31" s="411"/>
      <c r="AP31" s="395">
        <f t="shared" si="21"/>
        <v>0</v>
      </c>
      <c r="AQ31" s="396" t="str">
        <f t="shared" si="22"/>
        <v/>
      </c>
      <c r="AR31" s="397"/>
    </row>
    <row r="32" spans="1:44" ht="12" customHeight="1">
      <c r="A32" s="53"/>
      <c r="B32" s="398" t="s">
        <v>272</v>
      </c>
      <c r="C32" s="389" t="str">
        <f t="shared" si="25"/>
        <v>General Service &lt; 50 kW.CBR Class B Rate Riders</v>
      </c>
      <c r="D32" s="390" t="s">
        <v>337</v>
      </c>
      <c r="E32" s="328"/>
      <c r="F32" s="408">
        <f>IFERROR(VLOOKUP($C32,'Proposed Rates'!$B:$J,F$11,FALSE),0)</f>
        <v>2.0000000000000001E-4</v>
      </c>
      <c r="G32" s="392">
        <f t="shared" si="26"/>
        <v>5000</v>
      </c>
      <c r="H32" s="394">
        <f t="shared" si="27"/>
        <v>1</v>
      </c>
      <c r="I32" s="479"/>
      <c r="J32" s="408">
        <f>IFERROR(VLOOKUP($C32,'Proposed Rates'!$B:$J,J$11,FALSE),0)</f>
        <v>8.0000000000000004E-4</v>
      </c>
      <c r="K32" s="392">
        <f t="shared" si="28"/>
        <v>5000</v>
      </c>
      <c r="L32" s="394">
        <f t="shared" si="29"/>
        <v>4</v>
      </c>
      <c r="M32" s="411"/>
      <c r="N32" s="395">
        <f t="shared" si="5"/>
        <v>3</v>
      </c>
      <c r="O32" s="396">
        <f t="shared" si="6"/>
        <v>3</v>
      </c>
      <c r="P32" s="53"/>
      <c r="Q32" s="408">
        <f>IFERROR(VLOOKUP($C32,'Proposed Rates'!$B:$J,Q$11,FALSE),0)</f>
        <v>0</v>
      </c>
      <c r="R32" s="392">
        <f t="shared" si="30"/>
        <v>5000</v>
      </c>
      <c r="S32" s="394">
        <f t="shared" si="31"/>
        <v>0</v>
      </c>
      <c r="T32" s="411"/>
      <c r="U32" s="395">
        <f t="shared" si="9"/>
        <v>-4</v>
      </c>
      <c r="V32" s="396">
        <f t="shared" si="10"/>
        <v>-1</v>
      </c>
      <c r="W32" s="53"/>
      <c r="X32" s="408">
        <f>IFERROR(VLOOKUP($C32,'Proposed Rates'!$B:$J,X$11,FALSE),0)</f>
        <v>0</v>
      </c>
      <c r="Y32" s="392">
        <f t="shared" si="32"/>
        <v>5000</v>
      </c>
      <c r="Z32" s="394">
        <f t="shared" si="33"/>
        <v>0</v>
      </c>
      <c r="AA32" s="411"/>
      <c r="AB32" s="395">
        <f t="shared" si="13"/>
        <v>0</v>
      </c>
      <c r="AC32" s="396" t="str">
        <f t="shared" si="14"/>
        <v/>
      </c>
      <c r="AD32" s="53"/>
      <c r="AE32" s="408">
        <f>IFERROR(VLOOKUP($C32,'Proposed Rates'!$B:$J,AE$11,FALSE),0)</f>
        <v>0</v>
      </c>
      <c r="AF32" s="392">
        <f t="shared" si="34"/>
        <v>5000</v>
      </c>
      <c r="AG32" s="394">
        <f t="shared" si="35"/>
        <v>0</v>
      </c>
      <c r="AH32" s="411"/>
      <c r="AI32" s="395">
        <f t="shared" si="17"/>
        <v>0</v>
      </c>
      <c r="AJ32" s="396" t="str">
        <f t="shared" si="18"/>
        <v/>
      </c>
      <c r="AK32" s="53"/>
      <c r="AL32" s="408">
        <f>IFERROR(VLOOKUP($C32,'Proposed Rates'!$B:$J,AL$11,FALSE),0)</f>
        <v>0</v>
      </c>
      <c r="AM32" s="392">
        <f t="shared" si="36"/>
        <v>5000</v>
      </c>
      <c r="AN32" s="394">
        <f t="shared" si="37"/>
        <v>0</v>
      </c>
      <c r="AO32" s="411"/>
      <c r="AP32" s="395">
        <f t="shared" si="21"/>
        <v>0</v>
      </c>
      <c r="AQ32" s="396" t="str">
        <f t="shared" si="22"/>
        <v/>
      </c>
      <c r="AR32" s="397"/>
    </row>
    <row r="33" spans="1:44" ht="12" customHeight="1">
      <c r="A33" s="53"/>
      <c r="B33" s="398" t="s">
        <v>340</v>
      </c>
      <c r="C33" s="389" t="str">
        <f t="shared" si="25"/>
        <v>General Service &lt; 50 kW.GA Disposition Rate Rider-NonRPP</v>
      </c>
      <c r="D33" s="390" t="s">
        <v>337</v>
      </c>
      <c r="E33" s="328"/>
      <c r="F33" s="408">
        <f>IFERROR(VLOOKUP($C33,'Proposed Rates'!$B:$J,F$11,FALSE),0)</f>
        <v>0</v>
      </c>
      <c r="G33" s="392">
        <f t="shared" si="26"/>
        <v>5000</v>
      </c>
      <c r="H33" s="394">
        <f t="shared" si="27"/>
        <v>0</v>
      </c>
      <c r="I33" s="479"/>
      <c r="J33" s="408">
        <f>IFERROR(VLOOKUP($C33,'Proposed Rates'!$B:$J,J$11,FALSE),0)</f>
        <v>0</v>
      </c>
      <c r="K33" s="392">
        <f t="shared" si="28"/>
        <v>5000</v>
      </c>
      <c r="L33" s="394">
        <f t="shared" si="29"/>
        <v>0</v>
      </c>
      <c r="M33" s="411"/>
      <c r="N33" s="395">
        <f t="shared" si="5"/>
        <v>0</v>
      </c>
      <c r="O33" s="396" t="str">
        <f t="shared" si="6"/>
        <v/>
      </c>
      <c r="P33" s="53"/>
      <c r="Q33" s="408">
        <f>IFERROR(VLOOKUP($C33,'Proposed Rates'!$B:$J,Q$11,FALSE),0)</f>
        <v>0</v>
      </c>
      <c r="R33" s="392">
        <f t="shared" si="30"/>
        <v>5000</v>
      </c>
      <c r="S33" s="394">
        <f t="shared" si="31"/>
        <v>0</v>
      </c>
      <c r="T33" s="411"/>
      <c r="U33" s="395">
        <f t="shared" si="9"/>
        <v>0</v>
      </c>
      <c r="V33" s="396" t="str">
        <f t="shared" si="10"/>
        <v/>
      </c>
      <c r="W33" s="53"/>
      <c r="X33" s="408">
        <f>IFERROR(VLOOKUP($C33,'Proposed Rates'!$B:$J,X$11,FALSE),0)</f>
        <v>0</v>
      </c>
      <c r="Y33" s="392">
        <f t="shared" si="32"/>
        <v>5000</v>
      </c>
      <c r="Z33" s="394">
        <f t="shared" si="33"/>
        <v>0</v>
      </c>
      <c r="AA33" s="411"/>
      <c r="AB33" s="395">
        <f t="shared" si="13"/>
        <v>0</v>
      </c>
      <c r="AC33" s="396" t="str">
        <f t="shared" si="14"/>
        <v/>
      </c>
      <c r="AD33" s="53"/>
      <c r="AE33" s="408">
        <f>IFERROR(VLOOKUP($C33,'Proposed Rates'!$B:$J,AE$11,FALSE),0)</f>
        <v>0</v>
      </c>
      <c r="AF33" s="392">
        <f t="shared" si="34"/>
        <v>5000</v>
      </c>
      <c r="AG33" s="394">
        <f t="shared" si="35"/>
        <v>0</v>
      </c>
      <c r="AH33" s="411"/>
      <c r="AI33" s="395">
        <f t="shared" si="17"/>
        <v>0</v>
      </c>
      <c r="AJ33" s="396" t="str">
        <f t="shared" si="18"/>
        <v/>
      </c>
      <c r="AK33" s="53"/>
      <c r="AL33" s="408">
        <f>IFERROR(VLOOKUP($C33,'Proposed Rates'!$B:$J,AL$11,FALSE),0)</f>
        <v>0</v>
      </c>
      <c r="AM33" s="392">
        <f t="shared" si="36"/>
        <v>5000</v>
      </c>
      <c r="AN33" s="394">
        <f t="shared" si="37"/>
        <v>0</v>
      </c>
      <c r="AO33" s="411"/>
      <c r="AP33" s="395">
        <f t="shared" si="21"/>
        <v>0</v>
      </c>
      <c r="AQ33" s="396" t="str">
        <f t="shared" si="22"/>
        <v/>
      </c>
      <c r="AR33" s="397"/>
    </row>
    <row r="34" spans="1:44" ht="12" customHeight="1">
      <c r="A34" s="53"/>
      <c r="B34" s="328" t="s">
        <v>300</v>
      </c>
      <c r="C34" s="389" t="str">
        <f t="shared" si="25"/>
        <v>General Service &lt; 50 kW.Low Voltage Service Charge</v>
      </c>
      <c r="D34" s="390" t="s">
        <v>337</v>
      </c>
      <c r="E34" s="328"/>
      <c r="F34" s="412">
        <f>IFERROR(VLOOKUP($C34,'Proposed Rates'!$B:$J,F$11,FALSE),0)</f>
        <v>5.0000000000000002E-5</v>
      </c>
      <c r="G34" s="413">
        <f>$F$10*(1+F$63)</f>
        <v>5169</v>
      </c>
      <c r="H34" s="394">
        <f t="shared" si="27"/>
        <v>0.25845000000000001</v>
      </c>
      <c r="I34" s="138"/>
      <c r="J34" s="412">
        <f>IFERROR(VLOOKUP($C34,'Proposed Rates'!$B:$J,J$11,FALSE),0)</f>
        <v>6.0000000000000002E-5</v>
      </c>
      <c r="K34" s="413">
        <f>$F$10*(1+J$63)</f>
        <v>5165.9999999999991</v>
      </c>
      <c r="L34" s="394">
        <f t="shared" si="29"/>
        <v>0.30995999999999996</v>
      </c>
      <c r="M34" s="138"/>
      <c r="N34" s="395">
        <f t="shared" si="5"/>
        <v>5.1509999999999945E-2</v>
      </c>
      <c r="O34" s="396">
        <f t="shared" si="6"/>
        <v>0.19930354033662195</v>
      </c>
      <c r="P34" s="53"/>
      <c r="Q34" s="412">
        <f>IFERROR(VLOOKUP($C34,'Proposed Rates'!$B:$J,Q$11,FALSE),0)</f>
        <v>6.0000000000000002E-5</v>
      </c>
      <c r="R34" s="413">
        <f>$F$10*(1+Q$63)</f>
        <v>5165.9999999999991</v>
      </c>
      <c r="S34" s="394">
        <f t="shared" si="31"/>
        <v>0.30995999999999996</v>
      </c>
      <c r="T34" s="138"/>
      <c r="U34" s="395">
        <f t="shared" si="9"/>
        <v>0</v>
      </c>
      <c r="V34" s="396">
        <f t="shared" si="10"/>
        <v>0</v>
      </c>
      <c r="W34" s="53"/>
      <c r="X34" s="412">
        <f>IFERROR(VLOOKUP($C34,'Proposed Rates'!$B:$J,X$11,FALSE),0)</f>
        <v>6.0000000000000002E-5</v>
      </c>
      <c r="Y34" s="413">
        <f>$F$10*(1+X$63)</f>
        <v>5165.9999999999991</v>
      </c>
      <c r="Z34" s="394">
        <f t="shared" si="33"/>
        <v>0.30995999999999996</v>
      </c>
      <c r="AA34" s="138"/>
      <c r="AB34" s="395">
        <f t="shared" si="13"/>
        <v>0</v>
      </c>
      <c r="AC34" s="396">
        <f t="shared" si="14"/>
        <v>0</v>
      </c>
      <c r="AD34" s="53"/>
      <c r="AE34" s="412">
        <f>IFERROR(VLOOKUP($C34,'Proposed Rates'!$B:$J,AE$11,FALSE),0)</f>
        <v>6.0000000000000002E-5</v>
      </c>
      <c r="AF34" s="413">
        <f>$F$10*(1+AE$63)</f>
        <v>5165.9999999999991</v>
      </c>
      <c r="AG34" s="394">
        <f t="shared" si="35"/>
        <v>0.30995999999999996</v>
      </c>
      <c r="AH34" s="138"/>
      <c r="AI34" s="395">
        <f t="shared" si="17"/>
        <v>0</v>
      </c>
      <c r="AJ34" s="396">
        <f t="shared" si="18"/>
        <v>0</v>
      </c>
      <c r="AK34" s="53"/>
      <c r="AL34" s="412">
        <f>IFERROR(VLOOKUP($C34,'Proposed Rates'!$B:$J,AL$11,FALSE),0)</f>
        <v>6.0000000000000002E-5</v>
      </c>
      <c r="AM34" s="413">
        <f>$F$10*(1+AL$63)</f>
        <v>5165.9999999999991</v>
      </c>
      <c r="AN34" s="394">
        <f t="shared" si="37"/>
        <v>0.30995999999999996</v>
      </c>
      <c r="AO34" s="138"/>
      <c r="AP34" s="395">
        <f t="shared" si="21"/>
        <v>0</v>
      </c>
      <c r="AQ34" s="396">
        <f t="shared" si="22"/>
        <v>0</v>
      </c>
      <c r="AR34" s="397"/>
    </row>
    <row r="35" spans="1:44" ht="12" customHeight="1">
      <c r="A35" s="53"/>
      <c r="B35" s="328" t="s">
        <v>341</v>
      </c>
      <c r="C35" s="389" t="str">
        <f t="shared" si="25"/>
        <v>General Service &lt; 50 kW.Line Losses on Cost of Power</v>
      </c>
      <c r="D35" s="390" t="s">
        <v>337</v>
      </c>
      <c r="E35" s="328"/>
      <c r="F35" s="414">
        <f>'Proposed Rates'!$K$256*F$44+'Proposed Rates'!$K$257*F$45+'Proposed Rates'!$K$258*F$46</f>
        <v>0.12752000000000002</v>
      </c>
      <c r="G35" s="501">
        <f>$F$10*(1+F$63)-$F$10</f>
        <v>169</v>
      </c>
      <c r="H35" s="394">
        <f t="shared" si="27"/>
        <v>21.550880000000003</v>
      </c>
      <c r="I35" s="138"/>
      <c r="J35" s="414">
        <f>'Proposed Rates'!$K$256*J$44+'Proposed Rates'!$K$257*J$45+'Proposed Rates'!$K$258*J$46</f>
        <v>0.12752000000000002</v>
      </c>
      <c r="K35" s="501">
        <f>$F$10*(1+J$63)-$F$10</f>
        <v>165.99999999999909</v>
      </c>
      <c r="L35" s="394">
        <f t="shared" si="29"/>
        <v>21.168319999999888</v>
      </c>
      <c r="M35" s="138"/>
      <c r="N35" s="395">
        <f t="shared" si="5"/>
        <v>-0.38256000000011525</v>
      </c>
      <c r="O35" s="396">
        <f t="shared" si="6"/>
        <v>-1.7751479289946175E-2</v>
      </c>
      <c r="P35" s="53"/>
      <c r="Q35" s="414">
        <f>'Proposed Rates'!$K$256*Q$44+'Proposed Rates'!$K$257*Q$45+'Proposed Rates'!$K$258*Q$46</f>
        <v>0.12752000000000002</v>
      </c>
      <c r="R35" s="501">
        <f>$F$10*(1+Q$63)-$F$10</f>
        <v>165.99999999999909</v>
      </c>
      <c r="S35" s="394">
        <f t="shared" si="31"/>
        <v>21.168319999999888</v>
      </c>
      <c r="T35" s="138"/>
      <c r="U35" s="395">
        <f t="shared" si="9"/>
        <v>0</v>
      </c>
      <c r="V35" s="396">
        <f t="shared" si="10"/>
        <v>0</v>
      </c>
      <c r="W35" s="53"/>
      <c r="X35" s="414">
        <f>'Proposed Rates'!$K$256*X$44+'Proposed Rates'!$K$257*X$45+'Proposed Rates'!$K$258*X$46</f>
        <v>0.12752000000000002</v>
      </c>
      <c r="Y35" s="501">
        <f>$F$10*(1+X$63)-$F$10</f>
        <v>165.99999999999909</v>
      </c>
      <c r="Z35" s="394">
        <f t="shared" si="33"/>
        <v>21.168319999999888</v>
      </c>
      <c r="AA35" s="138"/>
      <c r="AB35" s="395">
        <f t="shared" si="13"/>
        <v>0</v>
      </c>
      <c r="AC35" s="396">
        <f t="shared" si="14"/>
        <v>0</v>
      </c>
      <c r="AD35" s="53"/>
      <c r="AE35" s="414">
        <f>'Proposed Rates'!$K$256*AE$44+'Proposed Rates'!$K$257*AE$45+'Proposed Rates'!$K$258*AE$46</f>
        <v>0.12752000000000002</v>
      </c>
      <c r="AF35" s="501">
        <f>$F$10*(1+AE$63)-$F$10</f>
        <v>165.99999999999909</v>
      </c>
      <c r="AG35" s="394">
        <f t="shared" si="35"/>
        <v>21.168319999999888</v>
      </c>
      <c r="AH35" s="138"/>
      <c r="AI35" s="395">
        <f t="shared" si="17"/>
        <v>0</v>
      </c>
      <c r="AJ35" s="396">
        <f t="shared" si="18"/>
        <v>0</v>
      </c>
      <c r="AK35" s="53"/>
      <c r="AL35" s="414">
        <f>'Proposed Rates'!$K$256*AL$44+'Proposed Rates'!$K$257*AL$45+'Proposed Rates'!$K$258*AL$46</f>
        <v>0.12752000000000002</v>
      </c>
      <c r="AM35" s="501">
        <f>$F$10*(1+AL$63)-$F$10</f>
        <v>165.99999999999909</v>
      </c>
      <c r="AN35" s="394">
        <f t="shared" si="37"/>
        <v>21.168319999999888</v>
      </c>
      <c r="AO35" s="138"/>
      <c r="AP35" s="395">
        <f t="shared" si="21"/>
        <v>0</v>
      </c>
      <c r="AQ35" s="396">
        <f t="shared" si="22"/>
        <v>0</v>
      </c>
      <c r="AR35" s="397"/>
    </row>
    <row r="36" spans="1:44" ht="12" customHeight="1">
      <c r="A36" s="53"/>
      <c r="B36" s="328" t="s">
        <v>302</v>
      </c>
      <c r="C36" s="389" t="str">
        <f t="shared" si="25"/>
        <v>General Service &lt; 50 kW.Smart Meter Entity Charge</v>
      </c>
      <c r="D36" s="390" t="s">
        <v>335</v>
      </c>
      <c r="E36" s="328"/>
      <c r="F36" s="391">
        <f>IFERROR(VLOOKUP($C36,'Proposed Rates'!$B:$J,F$11,FALSE),0)</f>
        <v>0.42</v>
      </c>
      <c r="G36" s="392">
        <f>IF($D36="Monthly",1,IF($D36="per KWH",$F$10,0))</f>
        <v>1</v>
      </c>
      <c r="H36" s="394">
        <f t="shared" si="27"/>
        <v>0.42</v>
      </c>
      <c r="I36" s="138"/>
      <c r="J36" s="391">
        <f>IFERROR(VLOOKUP($C36,'Proposed Rates'!$B:$J,J$11,FALSE),0)</f>
        <v>0.42</v>
      </c>
      <c r="K36" s="392">
        <f>IF($D36="Monthly",1,IF($D36="per KWH",$F$10,0))</f>
        <v>1</v>
      </c>
      <c r="L36" s="394">
        <f t="shared" si="29"/>
        <v>0.42</v>
      </c>
      <c r="M36" s="138"/>
      <c r="N36" s="395">
        <f t="shared" si="5"/>
        <v>0</v>
      </c>
      <c r="O36" s="396">
        <f t="shared" si="6"/>
        <v>0</v>
      </c>
      <c r="P36" s="53"/>
      <c r="Q36" s="391">
        <f>IFERROR(VLOOKUP($C36,'Proposed Rates'!$B:$J,Q$11,FALSE),0)</f>
        <v>0.42</v>
      </c>
      <c r="R36" s="392">
        <f>IF($D36="Monthly",1,IF($D36="per KWH",$F$10,0))</f>
        <v>1</v>
      </c>
      <c r="S36" s="394">
        <f t="shared" si="31"/>
        <v>0.42</v>
      </c>
      <c r="T36" s="138"/>
      <c r="U36" s="395">
        <f t="shared" si="9"/>
        <v>0</v>
      </c>
      <c r="V36" s="396">
        <f t="shared" si="10"/>
        <v>0</v>
      </c>
      <c r="W36" s="53"/>
      <c r="X36" s="391">
        <f>IFERROR(VLOOKUP($C36,'Proposed Rates'!$B:$J,X$11,FALSE),0)</f>
        <v>0.43</v>
      </c>
      <c r="Y36" s="392">
        <f>IF($D36="Monthly",1,IF($D36="per KWH",$F$10,0))</f>
        <v>1</v>
      </c>
      <c r="Z36" s="394">
        <f t="shared" si="33"/>
        <v>0.43</v>
      </c>
      <c r="AA36" s="138"/>
      <c r="AB36" s="395">
        <f t="shared" si="13"/>
        <v>1.0000000000000009E-2</v>
      </c>
      <c r="AC36" s="396">
        <f t="shared" si="14"/>
        <v>2.3809523809523832E-2</v>
      </c>
      <c r="AD36" s="53"/>
      <c r="AE36" s="391">
        <f>IFERROR(VLOOKUP($C36,'Proposed Rates'!$B:$J,AE$11,FALSE),0)</f>
        <v>0.44</v>
      </c>
      <c r="AF36" s="392">
        <f>IF($D36="Monthly",1,IF($D36="per KWH",$F$10,0))</f>
        <v>1</v>
      </c>
      <c r="AG36" s="394">
        <f t="shared" si="35"/>
        <v>0.44</v>
      </c>
      <c r="AH36" s="138"/>
      <c r="AI36" s="395">
        <f t="shared" si="17"/>
        <v>1.0000000000000009E-2</v>
      </c>
      <c r="AJ36" s="396">
        <f t="shared" si="18"/>
        <v>2.3255813953488393E-2</v>
      </c>
      <c r="AK36" s="53"/>
      <c r="AL36" s="391">
        <f>IFERROR(VLOOKUP($C36,'Proposed Rates'!$B:$J,AL$11,FALSE),0)</f>
        <v>0.45</v>
      </c>
      <c r="AM36" s="392">
        <f>IF($D36="Monthly",1,IF($D36="per KWH",$F$10,0))</f>
        <v>1</v>
      </c>
      <c r="AN36" s="394">
        <f t="shared" si="37"/>
        <v>0.45</v>
      </c>
      <c r="AO36" s="138"/>
      <c r="AP36" s="395">
        <f t="shared" si="21"/>
        <v>1.0000000000000009E-2</v>
      </c>
      <c r="AQ36" s="396">
        <f t="shared" si="22"/>
        <v>2.2727272727272749E-2</v>
      </c>
      <c r="AR36" s="397"/>
    </row>
    <row r="37" spans="1:44" ht="12" customHeight="1">
      <c r="A37" s="53"/>
      <c r="B37" s="399" t="s">
        <v>342</v>
      </c>
      <c r="C37" s="416"/>
      <c r="D37" s="416"/>
      <c r="E37" s="416"/>
      <c r="F37" s="417"/>
      <c r="G37" s="495"/>
      <c r="H37" s="403">
        <f>SUM(H30:H36)+H29</f>
        <v>202.75933000000001</v>
      </c>
      <c r="I37" s="419"/>
      <c r="J37" s="417"/>
      <c r="K37" s="495"/>
      <c r="L37" s="403">
        <f>SUM(L30:L36)+L29</f>
        <v>221.04827999999989</v>
      </c>
      <c r="M37" s="419"/>
      <c r="N37" s="405">
        <f t="shared" si="5"/>
        <v>18.288949999999886</v>
      </c>
      <c r="O37" s="406">
        <f t="shared" si="6"/>
        <v>9.02002881938892E-2</v>
      </c>
      <c r="P37" s="53"/>
      <c r="Q37" s="417"/>
      <c r="R37" s="495"/>
      <c r="S37" s="403">
        <f>SUM(S30:S36)+S29</f>
        <v>234.80827999999985</v>
      </c>
      <c r="T37" s="419"/>
      <c r="U37" s="405">
        <f t="shared" si="9"/>
        <v>13.759999999999962</v>
      </c>
      <c r="V37" s="406">
        <f t="shared" si="10"/>
        <v>6.2248844460585574E-2</v>
      </c>
      <c r="W37" s="53"/>
      <c r="X37" s="417"/>
      <c r="Y37" s="495"/>
      <c r="Z37" s="403">
        <f>SUM(Z30:Z36)+Z29</f>
        <v>240.70827999999992</v>
      </c>
      <c r="AA37" s="419"/>
      <c r="AB37" s="405">
        <f t="shared" si="13"/>
        <v>5.9000000000000625</v>
      </c>
      <c r="AC37" s="406">
        <f t="shared" si="14"/>
        <v>2.5126882237713536E-2</v>
      </c>
      <c r="AD37" s="53"/>
      <c r="AE37" s="417"/>
      <c r="AF37" s="495"/>
      <c r="AG37" s="403">
        <f>SUM(AG30:AG36)+AG29</f>
        <v>244.18827999999991</v>
      </c>
      <c r="AH37" s="419"/>
      <c r="AI37" s="405">
        <f t="shared" si="17"/>
        <v>3.4799999999999898</v>
      </c>
      <c r="AJ37" s="406">
        <f t="shared" si="18"/>
        <v>1.4457333997816738E-2</v>
      </c>
      <c r="AK37" s="53"/>
      <c r="AL37" s="417"/>
      <c r="AM37" s="495"/>
      <c r="AN37" s="403">
        <f>SUM(AN30:AN36)+AN29</f>
        <v>247.6382799999999</v>
      </c>
      <c r="AO37" s="419"/>
      <c r="AP37" s="405">
        <f t="shared" si="21"/>
        <v>3.4499999999999886</v>
      </c>
      <c r="AQ37" s="406">
        <f t="shared" si="22"/>
        <v>1.412844220042006E-2</v>
      </c>
      <c r="AR37" s="407"/>
    </row>
    <row r="38" spans="1:44" ht="12" customHeight="1">
      <c r="A38" s="53"/>
      <c r="B38" s="138" t="s">
        <v>285</v>
      </c>
      <c r="C38" s="389" t="str">
        <f t="shared" ref="C38:C39" si="38">D$6&amp;"."&amp;B38</f>
        <v>General Service &lt; 50 kW.RTSR - Network</v>
      </c>
      <c r="D38" s="420" t="s">
        <v>337</v>
      </c>
      <c r="E38" s="138"/>
      <c r="F38" s="408">
        <f>IFERROR(VLOOKUP($C38,'Proposed Rates'!$B:$J,F$11,FALSE),0)</f>
        <v>1.18E-2</v>
      </c>
      <c r="G38" s="502">
        <f t="shared" ref="G38:G39" si="39">$F$10*(1+F$63)</f>
        <v>5169</v>
      </c>
      <c r="H38" s="394">
        <f t="shared" ref="H38:H39" si="40">G38*F38</f>
        <v>60.994199999999999</v>
      </c>
      <c r="I38" s="138"/>
      <c r="J38" s="408">
        <f>IFERROR(VLOOKUP($C38,'Proposed Rates'!$B:$J,J$11,FALSE),0)</f>
        <v>1.0699999999999999E-2</v>
      </c>
      <c r="K38" s="502">
        <f t="shared" ref="K38:K39" si="41">$F$10*(1+J$63)</f>
        <v>5165.9999999999991</v>
      </c>
      <c r="L38" s="394">
        <f t="shared" ref="L38:L39" si="42">K38*J38</f>
        <v>55.276199999999989</v>
      </c>
      <c r="M38" s="138"/>
      <c r="N38" s="395">
        <f t="shared" si="5"/>
        <v>-5.7180000000000106</v>
      </c>
      <c r="O38" s="396">
        <f t="shared" si="6"/>
        <v>-9.374661853094246E-2</v>
      </c>
      <c r="P38" s="53"/>
      <c r="Q38" s="408">
        <f>IFERROR(VLOOKUP($C38,'Proposed Rates'!$B:$J,Q$11,FALSE),0)</f>
        <v>1.0699999999999999E-2</v>
      </c>
      <c r="R38" s="502">
        <f t="shared" ref="R38:R39" si="43">$F$10*(1+Q$63)</f>
        <v>5165.9999999999991</v>
      </c>
      <c r="S38" s="394">
        <f t="shared" ref="S38:S39" si="44">R38*Q38</f>
        <v>55.276199999999989</v>
      </c>
      <c r="T38" s="138"/>
      <c r="U38" s="395">
        <f t="shared" si="9"/>
        <v>0</v>
      </c>
      <c r="V38" s="396">
        <f t="shared" si="10"/>
        <v>0</v>
      </c>
      <c r="W38" s="53"/>
      <c r="X38" s="408">
        <f>IFERROR(VLOOKUP($C38,'Proposed Rates'!$B:$J,X$11,FALSE),0)</f>
        <v>1.0699999999999999E-2</v>
      </c>
      <c r="Y38" s="502">
        <f t="shared" ref="Y38:Y39" si="45">$F$10*(1+X$63)</f>
        <v>5165.9999999999991</v>
      </c>
      <c r="Z38" s="394">
        <f t="shared" ref="Z38:Z39" si="46">Y38*X38</f>
        <v>55.276199999999989</v>
      </c>
      <c r="AA38" s="138"/>
      <c r="AB38" s="395">
        <f t="shared" si="13"/>
        <v>0</v>
      </c>
      <c r="AC38" s="396">
        <f t="shared" si="14"/>
        <v>0</v>
      </c>
      <c r="AD38" s="53"/>
      <c r="AE38" s="408">
        <f>IFERROR(VLOOKUP($C38,'Proposed Rates'!$B:$J,AE$11,FALSE),0)</f>
        <v>1.0699999999999999E-2</v>
      </c>
      <c r="AF38" s="502">
        <f t="shared" ref="AF38:AF39" si="47">$F$10*(1+AE$63)</f>
        <v>5165.9999999999991</v>
      </c>
      <c r="AG38" s="394">
        <f t="shared" ref="AG38:AG39" si="48">AF38*AE38</f>
        <v>55.276199999999989</v>
      </c>
      <c r="AH38" s="138"/>
      <c r="AI38" s="395">
        <f t="shared" si="17"/>
        <v>0</v>
      </c>
      <c r="AJ38" s="396">
        <f t="shared" si="18"/>
        <v>0</v>
      </c>
      <c r="AK38" s="53"/>
      <c r="AL38" s="408">
        <f>IFERROR(VLOOKUP($C38,'Proposed Rates'!$B:$J,AL$11,FALSE),0)</f>
        <v>1.0699999999999999E-2</v>
      </c>
      <c r="AM38" s="502">
        <f t="shared" ref="AM38:AM39" si="49">$F$10*(1+AL$63)</f>
        <v>5165.9999999999991</v>
      </c>
      <c r="AN38" s="394">
        <f t="shared" ref="AN38:AN39" si="50">AM38*AL38</f>
        <v>55.276199999999989</v>
      </c>
      <c r="AO38" s="138"/>
      <c r="AP38" s="395">
        <f t="shared" si="21"/>
        <v>0</v>
      </c>
      <c r="AQ38" s="396">
        <f t="shared" si="22"/>
        <v>0</v>
      </c>
      <c r="AR38" s="397"/>
    </row>
    <row r="39" spans="1:44" ht="12" customHeight="1">
      <c r="A39" s="53"/>
      <c r="B39" s="138" t="s">
        <v>288</v>
      </c>
      <c r="C39" s="389" t="str">
        <f t="shared" si="38"/>
        <v>General Service &lt; 50 kW.RTSR - Line and Transformation Connection</v>
      </c>
      <c r="D39" s="420" t="s">
        <v>337</v>
      </c>
      <c r="E39" s="138"/>
      <c r="F39" s="408">
        <f>IFERROR(VLOOKUP($C39,'Proposed Rates'!$B:$J,F$11,FALSE),0)</f>
        <v>7.0000000000000001E-3</v>
      </c>
      <c r="G39" s="502">
        <f t="shared" si="39"/>
        <v>5169</v>
      </c>
      <c r="H39" s="394">
        <f t="shared" si="40"/>
        <v>36.183</v>
      </c>
      <c r="I39" s="138"/>
      <c r="J39" s="408">
        <f>IFERROR(VLOOKUP($C39,'Proposed Rates'!$B:$J,J$11,FALSE),0)</f>
        <v>6.1000000000000004E-3</v>
      </c>
      <c r="K39" s="502">
        <f t="shared" si="41"/>
        <v>5165.9999999999991</v>
      </c>
      <c r="L39" s="394">
        <f t="shared" si="42"/>
        <v>31.512599999999996</v>
      </c>
      <c r="M39" s="138"/>
      <c r="N39" s="395">
        <f t="shared" si="5"/>
        <v>-4.6704000000000043</v>
      </c>
      <c r="O39" s="396">
        <f t="shared" si="6"/>
        <v>-0.12907719094602449</v>
      </c>
      <c r="P39" s="53"/>
      <c r="Q39" s="408">
        <f>IFERROR(VLOOKUP($C39,'Proposed Rates'!$B:$J,Q$11,FALSE),0)</f>
        <v>6.1000000000000004E-3</v>
      </c>
      <c r="R39" s="502">
        <f t="shared" si="43"/>
        <v>5165.9999999999991</v>
      </c>
      <c r="S39" s="394">
        <f t="shared" si="44"/>
        <v>31.512599999999996</v>
      </c>
      <c r="T39" s="138"/>
      <c r="U39" s="395">
        <f t="shared" si="9"/>
        <v>0</v>
      </c>
      <c r="V39" s="396">
        <f t="shared" si="10"/>
        <v>0</v>
      </c>
      <c r="W39" s="53"/>
      <c r="X39" s="408">
        <f>IFERROR(VLOOKUP($C39,'Proposed Rates'!$B:$J,X$11,FALSE),0)</f>
        <v>6.1000000000000004E-3</v>
      </c>
      <c r="Y39" s="502">
        <f t="shared" si="45"/>
        <v>5165.9999999999991</v>
      </c>
      <c r="Z39" s="394">
        <f t="shared" si="46"/>
        <v>31.512599999999996</v>
      </c>
      <c r="AA39" s="138"/>
      <c r="AB39" s="395">
        <f t="shared" si="13"/>
        <v>0</v>
      </c>
      <c r="AC39" s="396">
        <f t="shared" si="14"/>
        <v>0</v>
      </c>
      <c r="AD39" s="53"/>
      <c r="AE39" s="408">
        <f>IFERROR(VLOOKUP($C39,'Proposed Rates'!$B:$J,AE$11,FALSE),0)</f>
        <v>6.1000000000000004E-3</v>
      </c>
      <c r="AF39" s="502">
        <f t="shared" si="47"/>
        <v>5165.9999999999991</v>
      </c>
      <c r="AG39" s="394">
        <f t="shared" si="48"/>
        <v>31.512599999999996</v>
      </c>
      <c r="AH39" s="138"/>
      <c r="AI39" s="395">
        <f t="shared" si="17"/>
        <v>0</v>
      </c>
      <c r="AJ39" s="396">
        <f t="shared" si="18"/>
        <v>0</v>
      </c>
      <c r="AK39" s="53"/>
      <c r="AL39" s="408">
        <f>IFERROR(VLOOKUP($C39,'Proposed Rates'!$B:$J,AL$11,FALSE),0)</f>
        <v>6.1000000000000004E-3</v>
      </c>
      <c r="AM39" s="502">
        <f t="shared" si="49"/>
        <v>5165.9999999999991</v>
      </c>
      <c r="AN39" s="394">
        <f t="shared" si="50"/>
        <v>31.512599999999996</v>
      </c>
      <c r="AO39" s="138"/>
      <c r="AP39" s="395">
        <f t="shared" si="21"/>
        <v>0</v>
      </c>
      <c r="AQ39" s="396">
        <f t="shared" si="22"/>
        <v>0</v>
      </c>
      <c r="AR39" s="397"/>
    </row>
    <row r="40" spans="1:44" ht="12" customHeight="1">
      <c r="A40" s="53"/>
      <c r="B40" s="399" t="s">
        <v>343</v>
      </c>
      <c r="C40" s="421"/>
      <c r="D40" s="421"/>
      <c r="E40" s="421"/>
      <c r="F40" s="422"/>
      <c r="G40" s="495"/>
      <c r="H40" s="403">
        <f>SUM(H37:H39)</f>
        <v>299.93653</v>
      </c>
      <c r="I40" s="404"/>
      <c r="J40" s="422"/>
      <c r="K40" s="495"/>
      <c r="L40" s="403">
        <f>SUM(L37:L39)</f>
        <v>307.8370799999999</v>
      </c>
      <c r="M40" s="404"/>
      <c r="N40" s="405">
        <f t="shared" si="5"/>
        <v>7.900549999999896</v>
      </c>
      <c r="O40" s="406">
        <f t="shared" si="6"/>
        <v>2.6340739489117568E-2</v>
      </c>
      <c r="P40" s="53"/>
      <c r="Q40" s="422"/>
      <c r="R40" s="495"/>
      <c r="S40" s="403">
        <f>SUM(S37:S39)</f>
        <v>321.59707999999989</v>
      </c>
      <c r="T40" s="404"/>
      <c r="U40" s="405">
        <f t="shared" si="9"/>
        <v>13.759999999999991</v>
      </c>
      <c r="V40" s="406">
        <f t="shared" si="10"/>
        <v>4.4698968688242482E-2</v>
      </c>
      <c r="W40" s="53"/>
      <c r="X40" s="422"/>
      <c r="Y40" s="495"/>
      <c r="Z40" s="403">
        <f>SUM(Z37:Z39)</f>
        <v>327.49707999999993</v>
      </c>
      <c r="AA40" s="404"/>
      <c r="AB40" s="405">
        <f t="shared" si="13"/>
        <v>5.9000000000000341</v>
      </c>
      <c r="AC40" s="406">
        <f t="shared" si="14"/>
        <v>1.8345937718091333E-2</v>
      </c>
      <c r="AD40" s="53"/>
      <c r="AE40" s="422"/>
      <c r="AF40" s="495"/>
      <c r="AG40" s="403">
        <f>SUM(AG37:AG39)</f>
        <v>330.97707999999989</v>
      </c>
      <c r="AH40" s="404"/>
      <c r="AI40" s="405">
        <f t="shared" si="17"/>
        <v>3.4799999999999613</v>
      </c>
      <c r="AJ40" s="406">
        <f t="shared" si="18"/>
        <v>1.0626048940649981E-2</v>
      </c>
      <c r="AK40" s="53"/>
      <c r="AL40" s="422"/>
      <c r="AM40" s="495"/>
      <c r="AN40" s="403">
        <f>SUM(AN37:AN39)</f>
        <v>334.42707999999993</v>
      </c>
      <c r="AO40" s="404"/>
      <c r="AP40" s="405">
        <f t="shared" si="21"/>
        <v>3.4500000000000455</v>
      </c>
      <c r="AQ40" s="406">
        <f t="shared" si="22"/>
        <v>1.0423682509979382E-2</v>
      </c>
      <c r="AR40" s="407"/>
    </row>
    <row r="41" spans="1:44" ht="12" customHeight="1">
      <c r="A41" s="53"/>
      <c r="B41" s="328" t="s">
        <v>289</v>
      </c>
      <c r="C41" s="389" t="str">
        <f t="shared" ref="C41:C48" si="51">D$6&amp;"."&amp;B41</f>
        <v>General Service &lt; 50 kW.Wholesale Market Service Charge (WMSC)</v>
      </c>
      <c r="D41" s="390" t="s">
        <v>337</v>
      </c>
      <c r="E41" s="328"/>
      <c r="F41" s="408">
        <f>IFERROR(VLOOKUP($C41,'Proposed Rates'!$B:$J,F$11,FALSE),0)</f>
        <v>4.4999999999999997E-3</v>
      </c>
      <c r="G41" s="502">
        <f t="shared" ref="G41:G42" si="52">$F$10*(1+F$63)</f>
        <v>5169</v>
      </c>
      <c r="H41" s="394">
        <f t="shared" ref="H41:H48" si="53">G41*F41</f>
        <v>23.260499999999997</v>
      </c>
      <c r="I41" s="138"/>
      <c r="J41" s="408">
        <f>IFERROR(VLOOKUP($C41,'Proposed Rates'!$B:$J,J$11,FALSE),0)</f>
        <v>4.7000000000000002E-3</v>
      </c>
      <c r="K41" s="502">
        <f t="shared" ref="K41:K42" si="54">$F$10*(1+J$63)</f>
        <v>5165.9999999999991</v>
      </c>
      <c r="L41" s="394">
        <f t="shared" ref="L41:L48" si="55">K41*J41</f>
        <v>24.280199999999997</v>
      </c>
      <c r="M41" s="138"/>
      <c r="N41" s="395">
        <f t="shared" si="5"/>
        <v>1.0197000000000003</v>
      </c>
      <c r="O41" s="396">
        <f t="shared" si="6"/>
        <v>4.3838266589282276E-2</v>
      </c>
      <c r="P41" s="53"/>
      <c r="Q41" s="408">
        <f>IFERROR(VLOOKUP($C41,'Proposed Rates'!$B:$J,Q$11,FALSE),0)</f>
        <v>4.7000000000000002E-3</v>
      </c>
      <c r="R41" s="502">
        <f t="shared" ref="R41:R42" si="56">$F$10*(1+Q$63)</f>
        <v>5165.9999999999991</v>
      </c>
      <c r="S41" s="394">
        <f t="shared" ref="S41:S48" si="57">R41*Q41</f>
        <v>24.280199999999997</v>
      </c>
      <c r="T41" s="138"/>
      <c r="U41" s="395">
        <f t="shared" si="9"/>
        <v>0</v>
      </c>
      <c r="V41" s="396">
        <f t="shared" si="10"/>
        <v>0</v>
      </c>
      <c r="W41" s="53"/>
      <c r="X41" s="408">
        <f>IFERROR(VLOOKUP($C41,'Proposed Rates'!$B:$J,X$11,FALSE),0)</f>
        <v>4.7000000000000002E-3</v>
      </c>
      <c r="Y41" s="502">
        <f t="shared" ref="Y41:Y42" si="58">$F$10*(1+X$63)</f>
        <v>5165.9999999999991</v>
      </c>
      <c r="Z41" s="394">
        <f t="shared" ref="Z41:Z48" si="59">Y41*X41</f>
        <v>24.280199999999997</v>
      </c>
      <c r="AA41" s="138"/>
      <c r="AB41" s="395">
        <f t="shared" si="13"/>
        <v>0</v>
      </c>
      <c r="AC41" s="396">
        <f t="shared" si="14"/>
        <v>0</v>
      </c>
      <c r="AD41" s="53"/>
      <c r="AE41" s="408">
        <f>IFERROR(VLOOKUP($C41,'Proposed Rates'!$B:$J,AE$11,FALSE),0)</f>
        <v>4.7000000000000002E-3</v>
      </c>
      <c r="AF41" s="502">
        <f t="shared" ref="AF41:AF42" si="60">$F$10*(1+AE$63)</f>
        <v>5165.9999999999991</v>
      </c>
      <c r="AG41" s="394">
        <f t="shared" ref="AG41:AG48" si="61">AF41*AE41</f>
        <v>24.280199999999997</v>
      </c>
      <c r="AH41" s="138"/>
      <c r="AI41" s="395">
        <f t="shared" si="17"/>
        <v>0</v>
      </c>
      <c r="AJ41" s="396">
        <f t="shared" si="18"/>
        <v>0</v>
      </c>
      <c r="AK41" s="53"/>
      <c r="AL41" s="408">
        <f>IFERROR(VLOOKUP($C41,'Proposed Rates'!$B:$J,AL$11,FALSE),0)</f>
        <v>4.7000000000000002E-3</v>
      </c>
      <c r="AM41" s="502">
        <f t="shared" ref="AM41:AM42" si="62">$F$10*(1+AL$63)</f>
        <v>5165.9999999999991</v>
      </c>
      <c r="AN41" s="394">
        <f t="shared" ref="AN41:AN48" si="63">AM41*AL41</f>
        <v>24.280199999999997</v>
      </c>
      <c r="AO41" s="138"/>
      <c r="AP41" s="395">
        <f t="shared" si="21"/>
        <v>0</v>
      </c>
      <c r="AQ41" s="396">
        <f t="shared" si="22"/>
        <v>0</v>
      </c>
      <c r="AR41" s="397"/>
    </row>
    <row r="42" spans="1:44" ht="12" customHeight="1">
      <c r="A42" s="53"/>
      <c r="B42" s="328" t="s">
        <v>290</v>
      </c>
      <c r="C42" s="389" t="str">
        <f t="shared" si="51"/>
        <v>General Service &lt; 50 kW.Rural and Remote Rate Protection (RRRP)</v>
      </c>
      <c r="D42" s="390" t="s">
        <v>337</v>
      </c>
      <c r="E42" s="328"/>
      <c r="F42" s="408">
        <f>IFERROR(VLOOKUP($C42,'Proposed Rates'!$B:$J,F$11,FALSE),0)</f>
        <v>1.5E-3</v>
      </c>
      <c r="G42" s="502">
        <f t="shared" si="52"/>
        <v>5169</v>
      </c>
      <c r="H42" s="394">
        <f t="shared" si="53"/>
        <v>7.7534999999999998</v>
      </c>
      <c r="I42" s="138"/>
      <c r="J42" s="408">
        <f>IFERROR(VLOOKUP($C42,'Proposed Rates'!$B:$J,J$11,FALSE),0)</f>
        <v>5.9999999999999995E-4</v>
      </c>
      <c r="K42" s="502">
        <f t="shared" si="54"/>
        <v>5165.9999999999991</v>
      </c>
      <c r="L42" s="394">
        <f t="shared" si="55"/>
        <v>3.0995999999999992</v>
      </c>
      <c r="M42" s="138"/>
      <c r="N42" s="395">
        <f t="shared" si="5"/>
        <v>-4.6539000000000001</v>
      </c>
      <c r="O42" s="396">
        <f t="shared" si="6"/>
        <v>-0.600232153221126</v>
      </c>
      <c r="P42" s="53"/>
      <c r="Q42" s="408">
        <f>IFERROR(VLOOKUP($C42,'Proposed Rates'!$B:$J,Q$11,FALSE),0)</f>
        <v>5.9999999999999995E-4</v>
      </c>
      <c r="R42" s="502">
        <f t="shared" si="56"/>
        <v>5165.9999999999991</v>
      </c>
      <c r="S42" s="394">
        <f t="shared" si="57"/>
        <v>3.0995999999999992</v>
      </c>
      <c r="T42" s="138"/>
      <c r="U42" s="395">
        <f t="shared" si="9"/>
        <v>0</v>
      </c>
      <c r="V42" s="396">
        <f t="shared" si="10"/>
        <v>0</v>
      </c>
      <c r="W42" s="53"/>
      <c r="X42" s="408">
        <f>IFERROR(VLOOKUP($C42,'Proposed Rates'!$B:$J,X$11,FALSE),0)</f>
        <v>5.9999999999999995E-4</v>
      </c>
      <c r="Y42" s="502">
        <f t="shared" si="58"/>
        <v>5165.9999999999991</v>
      </c>
      <c r="Z42" s="394">
        <f t="shared" si="59"/>
        <v>3.0995999999999992</v>
      </c>
      <c r="AA42" s="138"/>
      <c r="AB42" s="395">
        <f t="shared" si="13"/>
        <v>0</v>
      </c>
      <c r="AC42" s="396">
        <f t="shared" si="14"/>
        <v>0</v>
      </c>
      <c r="AD42" s="53"/>
      <c r="AE42" s="408">
        <f>IFERROR(VLOOKUP($C42,'Proposed Rates'!$B:$J,AE$11,FALSE),0)</f>
        <v>5.9999999999999995E-4</v>
      </c>
      <c r="AF42" s="502">
        <f t="shared" si="60"/>
        <v>5165.9999999999991</v>
      </c>
      <c r="AG42" s="394">
        <f t="shared" si="61"/>
        <v>3.0995999999999992</v>
      </c>
      <c r="AH42" s="138"/>
      <c r="AI42" s="395">
        <f t="shared" si="17"/>
        <v>0</v>
      </c>
      <c r="AJ42" s="396">
        <f t="shared" si="18"/>
        <v>0</v>
      </c>
      <c r="AK42" s="53"/>
      <c r="AL42" s="408">
        <f>IFERROR(VLOOKUP($C42,'Proposed Rates'!$B:$J,AL$11,FALSE),0)</f>
        <v>5.9999999999999995E-4</v>
      </c>
      <c r="AM42" s="502">
        <f t="shared" si="62"/>
        <v>5165.9999999999991</v>
      </c>
      <c r="AN42" s="394">
        <f t="shared" si="63"/>
        <v>3.0995999999999992</v>
      </c>
      <c r="AO42" s="138"/>
      <c r="AP42" s="395">
        <f t="shared" si="21"/>
        <v>0</v>
      </c>
      <c r="AQ42" s="396">
        <f t="shared" si="22"/>
        <v>0</v>
      </c>
      <c r="AR42" s="397"/>
    </row>
    <row r="43" spans="1:44" ht="12" customHeight="1">
      <c r="A43" s="53"/>
      <c r="B43" s="328" t="s">
        <v>291</v>
      </c>
      <c r="C43" s="389" t="str">
        <f t="shared" si="51"/>
        <v>General Service &lt; 50 kW.Standard Supply Service Charge</v>
      </c>
      <c r="D43" s="390" t="s">
        <v>335</v>
      </c>
      <c r="E43" s="328"/>
      <c r="F43" s="391">
        <f>IFERROR(VLOOKUP($C43,'Proposed Rates'!$B:$J,F$11,FALSE),0)</f>
        <v>0.25</v>
      </c>
      <c r="G43" s="392">
        <f>IF($D43="Monthly",1,IF($D43="per KWH",$F$10,0))</f>
        <v>1</v>
      </c>
      <c r="H43" s="394">
        <f t="shared" si="53"/>
        <v>0.25</v>
      </c>
      <c r="I43" s="138"/>
      <c r="J43" s="391">
        <f>IFERROR(VLOOKUP($C43,'Proposed Rates'!$B:$J,J$11,FALSE),0)</f>
        <v>0.25</v>
      </c>
      <c r="K43" s="392">
        <f>IF($D43="Monthly",1,IF($D43="per KWH",$F$10,0))</f>
        <v>1</v>
      </c>
      <c r="L43" s="394">
        <f t="shared" si="55"/>
        <v>0.25</v>
      </c>
      <c r="M43" s="138"/>
      <c r="N43" s="395">
        <f t="shared" si="5"/>
        <v>0</v>
      </c>
      <c r="O43" s="396">
        <f t="shared" si="6"/>
        <v>0</v>
      </c>
      <c r="P43" s="53"/>
      <c r="Q43" s="391">
        <f>IFERROR(VLOOKUP($C43,'Proposed Rates'!$B:$J,Q$11,FALSE),0)</f>
        <v>0.25</v>
      </c>
      <c r="R43" s="392">
        <f>IF($D43="Monthly",1,IF($D43="per KWH",$F$10,0))</f>
        <v>1</v>
      </c>
      <c r="S43" s="394">
        <f t="shared" si="57"/>
        <v>0.25</v>
      </c>
      <c r="T43" s="138"/>
      <c r="U43" s="395">
        <f t="shared" si="9"/>
        <v>0</v>
      </c>
      <c r="V43" s="396">
        <f t="shared" si="10"/>
        <v>0</v>
      </c>
      <c r="W43" s="53"/>
      <c r="X43" s="391">
        <f>IFERROR(VLOOKUP($C43,'Proposed Rates'!$B:$J,X$11,FALSE),0)</f>
        <v>0.25</v>
      </c>
      <c r="Y43" s="392">
        <f>IF($D43="Monthly",1,IF($D43="per KWH",$F$10,0))</f>
        <v>1</v>
      </c>
      <c r="Z43" s="394">
        <f t="shared" si="59"/>
        <v>0.25</v>
      </c>
      <c r="AA43" s="138"/>
      <c r="AB43" s="395">
        <f t="shared" si="13"/>
        <v>0</v>
      </c>
      <c r="AC43" s="396">
        <f t="shared" si="14"/>
        <v>0</v>
      </c>
      <c r="AD43" s="53"/>
      <c r="AE43" s="391">
        <f>IFERROR(VLOOKUP($C43,'Proposed Rates'!$B:$J,AE$11,FALSE),0)</f>
        <v>0.25</v>
      </c>
      <c r="AF43" s="392">
        <f>IF($D43="Monthly",1,IF($D43="per KWH",$F$10,0))</f>
        <v>1</v>
      </c>
      <c r="AG43" s="394">
        <f t="shared" si="61"/>
        <v>0.25</v>
      </c>
      <c r="AH43" s="138"/>
      <c r="AI43" s="395">
        <f t="shared" si="17"/>
        <v>0</v>
      </c>
      <c r="AJ43" s="396">
        <f t="shared" si="18"/>
        <v>0</v>
      </c>
      <c r="AK43" s="53"/>
      <c r="AL43" s="391">
        <f>IFERROR(VLOOKUP($C43,'Proposed Rates'!$B:$J,AL$11,FALSE),0)</f>
        <v>0.25</v>
      </c>
      <c r="AM43" s="392">
        <f>IF($D43="Monthly",1,IF($D43="per KWH",$F$10,0))</f>
        <v>1</v>
      </c>
      <c r="AN43" s="394">
        <f t="shared" si="63"/>
        <v>0.25</v>
      </c>
      <c r="AO43" s="138"/>
      <c r="AP43" s="395">
        <f t="shared" si="21"/>
        <v>0</v>
      </c>
      <c r="AQ43" s="396">
        <f t="shared" si="22"/>
        <v>0</v>
      </c>
      <c r="AR43" s="397"/>
    </row>
    <row r="44" spans="1:44" ht="12" customHeight="1">
      <c r="A44" s="53"/>
      <c r="B44" s="328" t="s">
        <v>293</v>
      </c>
      <c r="C44" s="389" t="str">
        <f t="shared" si="51"/>
        <v>General Service &lt; 50 kW.TOU - Off Peak</v>
      </c>
      <c r="D44" s="390" t="s">
        <v>337</v>
      </c>
      <c r="E44" s="328"/>
      <c r="F44" s="424">
        <f>VLOOKUP($B44,'Proposed Rates'!$D$255:$J$261,+F$11-2,FALSE)</f>
        <v>9.8000000000000004E-2</v>
      </c>
      <c r="G44" s="502">
        <f>'Proposed Rates'!$K$256*$F$10</f>
        <v>3200</v>
      </c>
      <c r="H44" s="394">
        <f t="shared" si="53"/>
        <v>313.60000000000002</v>
      </c>
      <c r="I44" s="138"/>
      <c r="J44" s="424">
        <f>VLOOKUP($B44,'Proposed Rates'!$D$255:$J$261,+J$11-2,FALSE)</f>
        <v>9.8000000000000004E-2</v>
      </c>
      <c r="K44" s="502">
        <f>'Proposed Rates'!$K$256*$F$10</f>
        <v>3200</v>
      </c>
      <c r="L44" s="394">
        <f t="shared" si="55"/>
        <v>313.60000000000002</v>
      </c>
      <c r="M44" s="138"/>
      <c r="N44" s="395">
        <f t="shared" si="5"/>
        <v>0</v>
      </c>
      <c r="O44" s="396">
        <f t="shared" si="6"/>
        <v>0</v>
      </c>
      <c r="P44" s="53"/>
      <c r="Q44" s="424">
        <f>VLOOKUP($B44,'Proposed Rates'!$D$255:$J$261,+Q$11-2,FALSE)</f>
        <v>9.8000000000000004E-2</v>
      </c>
      <c r="R44" s="502">
        <f>'Proposed Rates'!$K$256*$F$10</f>
        <v>3200</v>
      </c>
      <c r="S44" s="394">
        <f t="shared" si="57"/>
        <v>313.60000000000002</v>
      </c>
      <c r="T44" s="138"/>
      <c r="U44" s="395">
        <f t="shared" si="9"/>
        <v>0</v>
      </c>
      <c r="V44" s="396">
        <f t="shared" si="10"/>
        <v>0</v>
      </c>
      <c r="W44" s="53"/>
      <c r="X44" s="424">
        <f>VLOOKUP($B44,'Proposed Rates'!$D$255:$J$261,+X$11-2,FALSE)</f>
        <v>9.8000000000000004E-2</v>
      </c>
      <c r="Y44" s="502">
        <f>'Proposed Rates'!$K$256*$F$10</f>
        <v>3200</v>
      </c>
      <c r="Z44" s="394">
        <f t="shared" si="59"/>
        <v>313.60000000000002</v>
      </c>
      <c r="AA44" s="138"/>
      <c r="AB44" s="395">
        <f t="shared" si="13"/>
        <v>0</v>
      </c>
      <c r="AC44" s="396">
        <f t="shared" si="14"/>
        <v>0</v>
      </c>
      <c r="AD44" s="53"/>
      <c r="AE44" s="424">
        <f>VLOOKUP($B44,'Proposed Rates'!$D$255:$J$261,+AE$11-2,FALSE)</f>
        <v>9.8000000000000004E-2</v>
      </c>
      <c r="AF44" s="502">
        <f>'Proposed Rates'!$K$256*$F$10</f>
        <v>3200</v>
      </c>
      <c r="AG44" s="394">
        <f t="shared" si="61"/>
        <v>313.60000000000002</v>
      </c>
      <c r="AH44" s="138"/>
      <c r="AI44" s="395">
        <f t="shared" si="17"/>
        <v>0</v>
      </c>
      <c r="AJ44" s="396">
        <f t="shared" si="18"/>
        <v>0</v>
      </c>
      <c r="AK44" s="53"/>
      <c r="AL44" s="424">
        <f>VLOOKUP($B44,'Proposed Rates'!$D$255:$J$261,+AL$11-2,FALSE)</f>
        <v>9.8000000000000004E-2</v>
      </c>
      <c r="AM44" s="502">
        <f>'Proposed Rates'!$K$256*$F$10</f>
        <v>3200</v>
      </c>
      <c r="AN44" s="394">
        <f t="shared" si="63"/>
        <v>313.60000000000002</v>
      </c>
      <c r="AO44" s="138"/>
      <c r="AP44" s="395">
        <f t="shared" si="21"/>
        <v>0</v>
      </c>
      <c r="AQ44" s="396">
        <f t="shared" si="22"/>
        <v>0</v>
      </c>
      <c r="AR44" s="397"/>
    </row>
    <row r="45" spans="1:44" ht="12" customHeight="1">
      <c r="A45" s="53"/>
      <c r="B45" s="328" t="s">
        <v>294</v>
      </c>
      <c r="C45" s="389" t="str">
        <f t="shared" si="51"/>
        <v>General Service &lt; 50 kW.TOU - Mid Peak</v>
      </c>
      <c r="D45" s="390" t="s">
        <v>337</v>
      </c>
      <c r="E45" s="328"/>
      <c r="F45" s="424">
        <f>VLOOKUP($B45,'Proposed Rates'!$D$255:$J$261,+F$11-2,FALSE)</f>
        <v>0.157</v>
      </c>
      <c r="G45" s="502">
        <f>'Proposed Rates'!$K$257*$F$10</f>
        <v>900</v>
      </c>
      <c r="H45" s="394">
        <f t="shared" si="53"/>
        <v>141.30000000000001</v>
      </c>
      <c r="I45" s="138"/>
      <c r="J45" s="424">
        <f>VLOOKUP($B45,'Proposed Rates'!$D$255:$J$261,+J$11-2,FALSE)</f>
        <v>0.157</v>
      </c>
      <c r="K45" s="502">
        <f>'Proposed Rates'!$K$257*$F$10</f>
        <v>900</v>
      </c>
      <c r="L45" s="394">
        <f t="shared" si="55"/>
        <v>141.30000000000001</v>
      </c>
      <c r="M45" s="138"/>
      <c r="N45" s="395">
        <f t="shared" si="5"/>
        <v>0</v>
      </c>
      <c r="O45" s="396">
        <f t="shared" si="6"/>
        <v>0</v>
      </c>
      <c r="P45" s="53"/>
      <c r="Q45" s="424">
        <f>VLOOKUP($B45,'Proposed Rates'!$D$255:$J$261,+Q$11-2,FALSE)</f>
        <v>0.157</v>
      </c>
      <c r="R45" s="502">
        <f>'Proposed Rates'!$K$257*$F$10</f>
        <v>900</v>
      </c>
      <c r="S45" s="394">
        <f t="shared" si="57"/>
        <v>141.30000000000001</v>
      </c>
      <c r="T45" s="138"/>
      <c r="U45" s="395">
        <f t="shared" si="9"/>
        <v>0</v>
      </c>
      <c r="V45" s="396">
        <f t="shared" si="10"/>
        <v>0</v>
      </c>
      <c r="W45" s="53"/>
      <c r="X45" s="424">
        <f>VLOOKUP($B45,'Proposed Rates'!$D$255:$J$261,+X$11-2,FALSE)</f>
        <v>0.157</v>
      </c>
      <c r="Y45" s="502">
        <f>'Proposed Rates'!$K$257*$F$10</f>
        <v>900</v>
      </c>
      <c r="Z45" s="394">
        <f t="shared" si="59"/>
        <v>141.30000000000001</v>
      </c>
      <c r="AA45" s="138"/>
      <c r="AB45" s="395">
        <f t="shared" si="13"/>
        <v>0</v>
      </c>
      <c r="AC45" s="396">
        <f t="shared" si="14"/>
        <v>0</v>
      </c>
      <c r="AD45" s="53"/>
      <c r="AE45" s="424">
        <f>VLOOKUP($B45,'Proposed Rates'!$D$255:$J$261,+AE$11-2,FALSE)</f>
        <v>0.157</v>
      </c>
      <c r="AF45" s="502">
        <f>'Proposed Rates'!$K$257*$F$10</f>
        <v>900</v>
      </c>
      <c r="AG45" s="394">
        <f t="shared" si="61"/>
        <v>141.30000000000001</v>
      </c>
      <c r="AH45" s="138"/>
      <c r="AI45" s="395">
        <f t="shared" si="17"/>
        <v>0</v>
      </c>
      <c r="AJ45" s="396">
        <f t="shared" si="18"/>
        <v>0</v>
      </c>
      <c r="AK45" s="53"/>
      <c r="AL45" s="424">
        <f>VLOOKUP($B45,'Proposed Rates'!$D$255:$J$261,+AL$11-2,FALSE)</f>
        <v>0.157</v>
      </c>
      <c r="AM45" s="502">
        <f>'Proposed Rates'!$K$257*$F$10</f>
        <v>900</v>
      </c>
      <c r="AN45" s="394">
        <f t="shared" si="63"/>
        <v>141.30000000000001</v>
      </c>
      <c r="AO45" s="138"/>
      <c r="AP45" s="395">
        <f t="shared" si="21"/>
        <v>0</v>
      </c>
      <c r="AQ45" s="396">
        <f t="shared" si="22"/>
        <v>0</v>
      </c>
      <c r="AR45" s="397"/>
    </row>
    <row r="46" spans="1:44" ht="12" customHeight="1">
      <c r="A46" s="53"/>
      <c r="B46" s="53" t="s">
        <v>295</v>
      </c>
      <c r="C46" s="389" t="str">
        <f t="shared" si="51"/>
        <v>General Service &lt; 50 kW.TOU - On Peak</v>
      </c>
      <c r="D46" s="390" t="s">
        <v>337</v>
      </c>
      <c r="E46" s="328"/>
      <c r="F46" s="424">
        <f>VLOOKUP($B46,'Proposed Rates'!$D$255:$J$261,+F$11-2,FALSE)</f>
        <v>0.20300000000000001</v>
      </c>
      <c r="G46" s="502">
        <f>'Proposed Rates'!$K$258*$F$10</f>
        <v>900</v>
      </c>
      <c r="H46" s="394">
        <f t="shared" si="53"/>
        <v>182.70000000000002</v>
      </c>
      <c r="I46" s="138"/>
      <c r="J46" s="424">
        <f>VLOOKUP($B46,'Proposed Rates'!$D$255:$J$261,+J$11-2,FALSE)</f>
        <v>0.20300000000000001</v>
      </c>
      <c r="K46" s="502">
        <f>'Proposed Rates'!$K$258*$F$10</f>
        <v>900</v>
      </c>
      <c r="L46" s="394">
        <f t="shared" si="55"/>
        <v>182.70000000000002</v>
      </c>
      <c r="M46" s="138"/>
      <c r="N46" s="395">
        <f t="shared" si="5"/>
        <v>0</v>
      </c>
      <c r="O46" s="396">
        <f t="shared" si="6"/>
        <v>0</v>
      </c>
      <c r="P46" s="53"/>
      <c r="Q46" s="424">
        <f>VLOOKUP($B46,'Proposed Rates'!$D$255:$J$261,+Q$11-2,FALSE)</f>
        <v>0.20300000000000001</v>
      </c>
      <c r="R46" s="502">
        <f>'Proposed Rates'!$K$258*$F$10</f>
        <v>900</v>
      </c>
      <c r="S46" s="394">
        <f t="shared" si="57"/>
        <v>182.70000000000002</v>
      </c>
      <c r="T46" s="138"/>
      <c r="U46" s="395">
        <f t="shared" si="9"/>
        <v>0</v>
      </c>
      <c r="V46" s="396">
        <f t="shared" si="10"/>
        <v>0</v>
      </c>
      <c r="W46" s="53"/>
      <c r="X46" s="424">
        <f>VLOOKUP($B46,'Proposed Rates'!$D$255:$J$261,+X$11-2,FALSE)</f>
        <v>0.20300000000000001</v>
      </c>
      <c r="Y46" s="502">
        <f>'Proposed Rates'!$K$258*$F$10</f>
        <v>900</v>
      </c>
      <c r="Z46" s="394">
        <f t="shared" si="59"/>
        <v>182.70000000000002</v>
      </c>
      <c r="AA46" s="138"/>
      <c r="AB46" s="395">
        <f t="shared" si="13"/>
        <v>0</v>
      </c>
      <c r="AC46" s="396">
        <f t="shared" si="14"/>
        <v>0</v>
      </c>
      <c r="AD46" s="53"/>
      <c r="AE46" s="424">
        <f>VLOOKUP($B46,'Proposed Rates'!$D$255:$J$261,+AE$11-2,FALSE)</f>
        <v>0.20300000000000001</v>
      </c>
      <c r="AF46" s="502">
        <f>'Proposed Rates'!$K$258*$F$10</f>
        <v>900</v>
      </c>
      <c r="AG46" s="394">
        <f t="shared" si="61"/>
        <v>182.70000000000002</v>
      </c>
      <c r="AH46" s="138"/>
      <c r="AI46" s="395">
        <f t="shared" si="17"/>
        <v>0</v>
      </c>
      <c r="AJ46" s="396">
        <f t="shared" si="18"/>
        <v>0</v>
      </c>
      <c r="AK46" s="53"/>
      <c r="AL46" s="424">
        <f>VLOOKUP($B46,'Proposed Rates'!$D$255:$J$261,+AL$11-2,FALSE)</f>
        <v>0.20300000000000001</v>
      </c>
      <c r="AM46" s="502">
        <f>'Proposed Rates'!$K$258*$F$10</f>
        <v>900</v>
      </c>
      <c r="AN46" s="394">
        <f t="shared" si="63"/>
        <v>182.70000000000002</v>
      </c>
      <c r="AO46" s="138"/>
      <c r="AP46" s="395">
        <f t="shared" si="21"/>
        <v>0</v>
      </c>
      <c r="AQ46" s="396">
        <f t="shared" si="22"/>
        <v>0</v>
      </c>
      <c r="AR46" s="397"/>
    </row>
    <row r="47" spans="1:44" ht="12" customHeight="1">
      <c r="A47" s="53"/>
      <c r="B47" s="328" t="s">
        <v>296</v>
      </c>
      <c r="C47" s="389" t="str">
        <f t="shared" si="51"/>
        <v>General Service &lt; 50 kW.Energy - RPP - Tier 1</v>
      </c>
      <c r="D47" s="390" t="s">
        <v>337</v>
      </c>
      <c r="E47" s="328"/>
      <c r="F47" s="424">
        <f>VLOOKUP($B47,'Proposed Rates'!$D$255:$J$261,+F$11-2,FALSE)</f>
        <v>0.12</v>
      </c>
      <c r="G47" s="502">
        <f>IF(AND($S$2=1, $F$10&gt;=750), 750, IF(AND($S$2=1, AND($F$10&lt;750, $F$10&gt;=0)), $F$10, IF(AND($S$2=2, $F$10&gt;=1000), 1000, IF(AND($S$2=2, AND($F$10&lt;1000, $F$10&gt;=0)), $F$10))))</f>
        <v>750</v>
      </c>
      <c r="H47" s="394">
        <f t="shared" si="53"/>
        <v>90</v>
      </c>
      <c r="I47" s="138"/>
      <c r="J47" s="424">
        <f>VLOOKUP($B47,'Proposed Rates'!$D$255:$J$261,+J$11-2,FALSE)</f>
        <v>0.12</v>
      </c>
      <c r="K47" s="502">
        <f>IF(AND($S$2=1, $F$10&gt;=750), 750, IF(AND($S$2=1, AND($F$10&lt;750, $F$10&gt;=0)), $F$10, IF(AND($S$2=2, $F$10&gt;=1000), 1000, IF(AND($S$2=2, AND($F$10&lt;1000, $F$10&gt;=0)), $F$10))))</f>
        <v>750</v>
      </c>
      <c r="L47" s="394">
        <f t="shared" si="55"/>
        <v>90</v>
      </c>
      <c r="M47" s="138"/>
      <c r="N47" s="395">
        <f t="shared" si="5"/>
        <v>0</v>
      </c>
      <c r="O47" s="396">
        <f t="shared" si="6"/>
        <v>0</v>
      </c>
      <c r="P47" s="53"/>
      <c r="Q47" s="424">
        <f>VLOOKUP($B47,'Proposed Rates'!$D$255:$J$261,+Q$11-2,FALSE)</f>
        <v>0.12</v>
      </c>
      <c r="R47" s="502">
        <f>IF(AND($S$2=1, $F$10&gt;=750), 750, IF(AND($S$2=1, AND($F$10&lt;750, $F$10&gt;=0)), $F$10, IF(AND($S$2=2, $F$10&gt;=1000), 1000, IF(AND($S$2=2, AND($F$10&lt;1000, $F$10&gt;=0)), $F$10))))</f>
        <v>750</v>
      </c>
      <c r="S47" s="394">
        <f t="shared" si="57"/>
        <v>90</v>
      </c>
      <c r="T47" s="138"/>
      <c r="U47" s="395">
        <f t="shared" si="9"/>
        <v>0</v>
      </c>
      <c r="V47" s="396">
        <f t="shared" si="10"/>
        <v>0</v>
      </c>
      <c r="W47" s="53"/>
      <c r="X47" s="424">
        <f>VLOOKUP($B47,'Proposed Rates'!$D$255:$J$261,+X$11-2,FALSE)</f>
        <v>0.12</v>
      </c>
      <c r="Y47" s="502">
        <f>IF(AND($S$2=1, $F$10&gt;=750), 750, IF(AND($S$2=1, AND($F$10&lt;750, $F$10&gt;=0)), $F$10, IF(AND($S$2=2, $F$10&gt;=1000), 1000, IF(AND($S$2=2, AND($F$10&lt;1000, $F$10&gt;=0)), $F$10))))</f>
        <v>750</v>
      </c>
      <c r="Z47" s="394">
        <f t="shared" si="59"/>
        <v>90</v>
      </c>
      <c r="AA47" s="138"/>
      <c r="AB47" s="395">
        <f t="shared" si="13"/>
        <v>0</v>
      </c>
      <c r="AC47" s="396">
        <f t="shared" si="14"/>
        <v>0</v>
      </c>
      <c r="AD47" s="53"/>
      <c r="AE47" s="424">
        <f>VLOOKUP($B47,'Proposed Rates'!$D$255:$J$261,+AE$11-2,FALSE)</f>
        <v>0.12</v>
      </c>
      <c r="AF47" s="502">
        <f>IF(AND($S$2=1, $F$10&gt;=750), 750, IF(AND($S$2=1, AND($F$10&lt;750, $F$10&gt;=0)), $F$10, IF(AND($S$2=2, $F$10&gt;=1000), 1000, IF(AND($S$2=2, AND($F$10&lt;1000, $F$10&gt;=0)), $F$10))))</f>
        <v>750</v>
      </c>
      <c r="AG47" s="394">
        <f t="shared" si="61"/>
        <v>90</v>
      </c>
      <c r="AH47" s="138"/>
      <c r="AI47" s="395">
        <f t="shared" si="17"/>
        <v>0</v>
      </c>
      <c r="AJ47" s="396">
        <f t="shared" si="18"/>
        <v>0</v>
      </c>
      <c r="AK47" s="53"/>
      <c r="AL47" s="424">
        <f>VLOOKUP($B47,'Proposed Rates'!$D$255:$J$261,+AL$11-2,FALSE)</f>
        <v>0.12</v>
      </c>
      <c r="AM47" s="502">
        <f>IF(AND($S$2=1, $F$10&gt;=750), 750, IF(AND($S$2=1, AND($F$10&lt;750, $F$10&gt;=0)), $F$10, IF(AND($S$2=2, $F$10&gt;=1000), 1000, IF(AND($S$2=2, AND($F$10&lt;1000, $F$10&gt;=0)), $F$10))))</f>
        <v>750</v>
      </c>
      <c r="AN47" s="394">
        <f t="shared" si="63"/>
        <v>90</v>
      </c>
      <c r="AO47" s="138"/>
      <c r="AP47" s="395">
        <f t="shared" si="21"/>
        <v>0</v>
      </c>
      <c r="AQ47" s="396">
        <f t="shared" si="22"/>
        <v>0</v>
      </c>
      <c r="AR47" s="397"/>
    </row>
    <row r="48" spans="1:44" ht="12" customHeight="1">
      <c r="A48" s="53"/>
      <c r="B48" s="328" t="s">
        <v>297</v>
      </c>
      <c r="C48" s="389" t="str">
        <f t="shared" si="51"/>
        <v>General Service &lt; 50 kW.Energy - RPP - Tier 2</v>
      </c>
      <c r="D48" s="390" t="s">
        <v>337</v>
      </c>
      <c r="E48" s="328"/>
      <c r="F48" s="424">
        <f>VLOOKUP($B48,'Proposed Rates'!$D$255:$J$261,+F$11-2,FALSE)</f>
        <v>0.14199999999999999</v>
      </c>
      <c r="G48" s="502">
        <f>IF(AND($S$2=1, $F$10&gt;=750), $F$10-750, IF(AND($S$2=1, AND($F$10&lt;750, $F$10&gt;=0)), 0, IF(AND($S$2=2, $F$10&gt;=1000), $F$10-1000, IF(AND($S$2=2, AND($F$10&lt;1000, $F$10&gt;=0)), 0))))</f>
        <v>4250</v>
      </c>
      <c r="H48" s="394">
        <f t="shared" si="53"/>
        <v>603.5</v>
      </c>
      <c r="I48" s="138"/>
      <c r="J48" s="424">
        <f>VLOOKUP($B48,'Proposed Rates'!$D$255:$J$261,+J$11-2,FALSE)</f>
        <v>0.14199999999999999</v>
      </c>
      <c r="K48" s="502">
        <f>IF(AND($S$2=1, $F$10&gt;=750), $F$10-750, IF(AND($S$2=1, AND($F$10&lt;750, $F$10&gt;=0)), 0, IF(AND($S$2=2, $F$10&gt;=1000), $F$10-1000, IF(AND($S$2=2, AND($F$10&lt;1000, $F$10&gt;=0)), 0))))</f>
        <v>4250</v>
      </c>
      <c r="L48" s="394">
        <f t="shared" si="55"/>
        <v>603.5</v>
      </c>
      <c r="M48" s="138"/>
      <c r="N48" s="395">
        <f t="shared" si="5"/>
        <v>0</v>
      </c>
      <c r="O48" s="396">
        <f t="shared" si="6"/>
        <v>0</v>
      </c>
      <c r="P48" s="53"/>
      <c r="Q48" s="424">
        <f>VLOOKUP($B48,'Proposed Rates'!$D$255:$J$261,+Q$11-2,FALSE)</f>
        <v>0.14199999999999999</v>
      </c>
      <c r="R48" s="502">
        <f>IF(AND($S$2=1, $F$10&gt;=750), $F$10-750, IF(AND($S$2=1, AND($F$10&lt;750, $F$10&gt;=0)), 0, IF(AND($S$2=2, $F$10&gt;=1000), $F$10-1000, IF(AND($S$2=2, AND($F$10&lt;1000, $F$10&gt;=0)), 0))))</f>
        <v>4250</v>
      </c>
      <c r="S48" s="394">
        <f t="shared" si="57"/>
        <v>603.5</v>
      </c>
      <c r="T48" s="138"/>
      <c r="U48" s="395">
        <f t="shared" si="9"/>
        <v>0</v>
      </c>
      <c r="V48" s="396">
        <f t="shared" si="10"/>
        <v>0</v>
      </c>
      <c r="W48" s="53"/>
      <c r="X48" s="424">
        <f>VLOOKUP($B48,'Proposed Rates'!$D$255:$J$261,+X$11-2,FALSE)</f>
        <v>0.14199999999999999</v>
      </c>
      <c r="Y48" s="502">
        <f>IF(AND($S$2=1, $F$10&gt;=750), $F$10-750, IF(AND($S$2=1, AND($F$10&lt;750, $F$10&gt;=0)), 0, IF(AND($S$2=2, $F$10&gt;=1000), $F$10-1000, IF(AND($S$2=2, AND($F$10&lt;1000, $F$10&gt;=0)), 0))))</f>
        <v>4250</v>
      </c>
      <c r="Z48" s="394">
        <f t="shared" si="59"/>
        <v>603.5</v>
      </c>
      <c r="AA48" s="138"/>
      <c r="AB48" s="395">
        <f t="shared" si="13"/>
        <v>0</v>
      </c>
      <c r="AC48" s="396">
        <f t="shared" si="14"/>
        <v>0</v>
      </c>
      <c r="AD48" s="53"/>
      <c r="AE48" s="424">
        <f>VLOOKUP($B48,'Proposed Rates'!$D$255:$J$261,+AE$11-2,FALSE)</f>
        <v>0.14199999999999999</v>
      </c>
      <c r="AF48" s="502">
        <f>IF(AND($S$2=1, $F$10&gt;=750), $F$10-750, IF(AND($S$2=1, AND($F$10&lt;750, $F$10&gt;=0)), 0, IF(AND($S$2=2, $F$10&gt;=1000), $F$10-1000, IF(AND($S$2=2, AND($F$10&lt;1000, $F$10&gt;=0)), 0))))</f>
        <v>4250</v>
      </c>
      <c r="AG48" s="394">
        <f t="shared" si="61"/>
        <v>603.5</v>
      </c>
      <c r="AH48" s="138"/>
      <c r="AI48" s="395">
        <f t="shared" si="17"/>
        <v>0</v>
      </c>
      <c r="AJ48" s="396">
        <f t="shared" si="18"/>
        <v>0</v>
      </c>
      <c r="AK48" s="53"/>
      <c r="AL48" s="424">
        <f>VLOOKUP($B48,'Proposed Rates'!$D$255:$J$261,+AL$11-2,FALSE)</f>
        <v>0.14199999999999999</v>
      </c>
      <c r="AM48" s="502">
        <f>IF(AND($S$2=1, $F$10&gt;=750), $F$10-750, IF(AND($S$2=1, AND($F$10&lt;750, $F$10&gt;=0)), 0, IF(AND($S$2=2, $F$10&gt;=1000), $F$10-1000, IF(AND($S$2=2, AND($F$10&lt;1000, $F$10&gt;=0)), 0))))</f>
        <v>4250</v>
      </c>
      <c r="AN48" s="394">
        <f t="shared" si="63"/>
        <v>603.5</v>
      </c>
      <c r="AO48" s="138"/>
      <c r="AP48" s="395">
        <f t="shared" si="21"/>
        <v>0</v>
      </c>
      <c r="AQ48" s="396">
        <f t="shared" si="22"/>
        <v>0</v>
      </c>
      <c r="AR48" s="397"/>
    </row>
    <row r="49" spans="1:44" ht="12" customHeight="1">
      <c r="A49" s="53"/>
      <c r="B49" s="428"/>
      <c r="C49" s="429"/>
      <c r="D49" s="429"/>
      <c r="E49" s="429"/>
      <c r="F49" s="430"/>
      <c r="G49" s="470"/>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 customHeight="1">
      <c r="A50" s="53"/>
      <c r="B50" s="438" t="s">
        <v>344</v>
      </c>
      <c r="C50" s="328"/>
      <c r="D50" s="328"/>
      <c r="E50" s="328"/>
      <c r="F50" s="439"/>
      <c r="G50" s="483"/>
      <c r="H50" s="441">
        <f>SUM(H41:H46,H40)</f>
        <v>968.80052999999998</v>
      </c>
      <c r="I50" s="476"/>
      <c r="J50" s="439"/>
      <c r="K50" s="440"/>
      <c r="L50" s="442">
        <f>SUM(L41:L46,L40)</f>
        <v>973.06687999999997</v>
      </c>
      <c r="M50" s="443"/>
      <c r="N50" s="442">
        <f t="shared" ref="N50:N54" si="64">L50-H50</f>
        <v>4.2663499999999885</v>
      </c>
      <c r="O50" s="444">
        <f t="shared" ref="O50:O54" si="65">IF((H50)=0,"",(N50/H50))</f>
        <v>4.4037444942355564E-3</v>
      </c>
      <c r="P50" s="53"/>
      <c r="Q50" s="439"/>
      <c r="R50" s="440"/>
      <c r="S50" s="442">
        <f>SUM(S41:S46,S40)</f>
        <v>986.82687999999996</v>
      </c>
      <c r="T50" s="443"/>
      <c r="U50" s="442">
        <f t="shared" ref="U50:U54" si="66">S50-L50</f>
        <v>13.759999999999991</v>
      </c>
      <c r="V50" s="444">
        <f t="shared" ref="V50:V54" si="67">IF((L50)=0,"",(U50/L50))</f>
        <v>1.4140857409513301E-2</v>
      </c>
      <c r="W50" s="53"/>
      <c r="X50" s="439"/>
      <c r="Y50" s="440"/>
      <c r="Z50" s="442">
        <f>SUM(Z41:Z46,Z40)</f>
        <v>992.72687999999994</v>
      </c>
      <c r="AA50" s="443"/>
      <c r="AB50" s="442">
        <f t="shared" ref="AB50:AB54" si="68">Z50-S50</f>
        <v>5.8999999999999773</v>
      </c>
      <c r="AC50" s="444">
        <f t="shared" ref="AC50:AC54" si="69">IF((S50)=0,"",(AB50/S50))</f>
        <v>5.9787589085534207E-3</v>
      </c>
      <c r="AD50" s="53"/>
      <c r="AE50" s="439"/>
      <c r="AF50" s="440"/>
      <c r="AG50" s="442">
        <f>SUM(AG41:AG46,AG40)</f>
        <v>996.20687999999996</v>
      </c>
      <c r="AH50" s="443"/>
      <c r="AI50" s="442">
        <f t="shared" ref="AI50:AI54" si="70">AG50-Z50</f>
        <v>3.4800000000000182</v>
      </c>
      <c r="AJ50" s="444">
        <f t="shared" ref="AJ50:AJ54" si="71">IF((Z50)=0,"",(AI50/Z50))</f>
        <v>3.5054958922841077E-3</v>
      </c>
      <c r="AK50" s="53"/>
      <c r="AL50" s="439"/>
      <c r="AM50" s="440"/>
      <c r="AN50" s="442">
        <f>SUM(AN41:AN46,AN40)</f>
        <v>999.65688</v>
      </c>
      <c r="AO50" s="443"/>
      <c r="AP50" s="442">
        <f t="shared" ref="AP50:AP54" si="72">AN50-AG50</f>
        <v>3.4500000000000455</v>
      </c>
      <c r="AQ50" s="444">
        <f t="shared" ref="AQ50:AQ54" si="73">IF((AG50)=0,"",(AP50/AG50))</f>
        <v>3.463136090768662E-3</v>
      </c>
      <c r="AR50" s="445"/>
    </row>
    <row r="51" spans="1:44" ht="12" customHeight="1">
      <c r="A51" s="53"/>
      <c r="B51" s="446" t="s">
        <v>345</v>
      </c>
      <c r="C51" s="328"/>
      <c r="D51" s="328"/>
      <c r="E51" s="328"/>
      <c r="F51" s="439">
        <v>0.13</v>
      </c>
      <c r="G51" s="138"/>
      <c r="H51" s="484">
        <f>H50*F51</f>
        <v>125.9440689</v>
      </c>
      <c r="I51" s="411"/>
      <c r="J51" s="439">
        <v>0.13</v>
      </c>
      <c r="K51" s="411"/>
      <c r="L51" s="394">
        <f>L50*J51</f>
        <v>126.49869440000001</v>
      </c>
      <c r="M51" s="138"/>
      <c r="N51" s="395">
        <f t="shared" si="64"/>
        <v>0.55462550000000022</v>
      </c>
      <c r="O51" s="396">
        <f t="shared" si="65"/>
        <v>4.4037444942355694E-3</v>
      </c>
      <c r="P51" s="53"/>
      <c r="Q51" s="439">
        <v>0.13</v>
      </c>
      <c r="R51" s="411"/>
      <c r="S51" s="394">
        <f>S50*Q51</f>
        <v>128.28749439999999</v>
      </c>
      <c r="T51" s="138"/>
      <c r="U51" s="395">
        <f t="shared" si="66"/>
        <v>1.7887999999999806</v>
      </c>
      <c r="V51" s="396">
        <f t="shared" si="67"/>
        <v>1.4140857409513157E-2</v>
      </c>
      <c r="W51" s="53"/>
      <c r="X51" s="439">
        <v>0.13</v>
      </c>
      <c r="Y51" s="411"/>
      <c r="Z51" s="394">
        <f>Z50*X51</f>
        <v>129.05449440000001</v>
      </c>
      <c r="AA51" s="138"/>
      <c r="AB51" s="395">
        <f t="shared" si="68"/>
        <v>0.76700000000002433</v>
      </c>
      <c r="AC51" s="396">
        <f t="shared" si="69"/>
        <v>5.9787589085536341E-3</v>
      </c>
      <c r="AD51" s="53"/>
      <c r="AE51" s="439">
        <v>0.13</v>
      </c>
      <c r="AF51" s="411"/>
      <c r="AG51" s="394">
        <f>AG50*AE51</f>
        <v>129.50689439999999</v>
      </c>
      <c r="AH51" s="138"/>
      <c r="AI51" s="395">
        <f t="shared" si="70"/>
        <v>0.45239999999998304</v>
      </c>
      <c r="AJ51" s="396">
        <f t="shared" si="71"/>
        <v>3.5054958922839576E-3</v>
      </c>
      <c r="AK51" s="53"/>
      <c r="AL51" s="439">
        <v>0.13</v>
      </c>
      <c r="AM51" s="411"/>
      <c r="AN51" s="394">
        <f>AN50*AL51</f>
        <v>129.95539440000002</v>
      </c>
      <c r="AO51" s="138"/>
      <c r="AP51" s="395">
        <f t="shared" si="72"/>
        <v>0.4485000000000241</v>
      </c>
      <c r="AQ51" s="396">
        <f t="shared" si="73"/>
        <v>3.4631360907688025E-3</v>
      </c>
      <c r="AR51" s="397"/>
    </row>
    <row r="52" spans="1:44" ht="12" customHeight="1">
      <c r="A52" s="53"/>
      <c r="B52" s="448" t="s">
        <v>398</v>
      </c>
      <c r="C52" s="328"/>
      <c r="D52" s="328"/>
      <c r="E52" s="328"/>
      <c r="F52" s="449"/>
      <c r="G52" s="138"/>
      <c r="H52" s="484">
        <f>H50+H51</f>
        <v>1094.7445989</v>
      </c>
      <c r="I52" s="411"/>
      <c r="J52" s="449"/>
      <c r="K52" s="411"/>
      <c r="L52" s="394">
        <f>L50+L51</f>
        <v>1099.5655744000001</v>
      </c>
      <c r="M52" s="138"/>
      <c r="N52" s="395">
        <f t="shared" si="64"/>
        <v>4.8209755000000314</v>
      </c>
      <c r="O52" s="396">
        <f t="shared" si="65"/>
        <v>4.4037444942355963E-3</v>
      </c>
      <c r="P52" s="53"/>
      <c r="Q52" s="449"/>
      <c r="R52" s="411"/>
      <c r="S52" s="394">
        <f>S50+S51</f>
        <v>1115.1143743999999</v>
      </c>
      <c r="T52" s="138"/>
      <c r="U52" s="395">
        <f t="shared" si="66"/>
        <v>15.548799999999801</v>
      </c>
      <c r="V52" s="396">
        <f t="shared" si="67"/>
        <v>1.414085740951313E-2</v>
      </c>
      <c r="W52" s="53"/>
      <c r="X52" s="449"/>
      <c r="Y52" s="411"/>
      <c r="Z52" s="394">
        <f>Z50+Z51</f>
        <v>1121.7813744</v>
      </c>
      <c r="AA52" s="138"/>
      <c r="AB52" s="395">
        <f t="shared" si="68"/>
        <v>6.6670000000001437</v>
      </c>
      <c r="AC52" s="396">
        <f t="shared" si="69"/>
        <v>5.9787589085535733E-3</v>
      </c>
      <c r="AD52" s="53"/>
      <c r="AE52" s="449"/>
      <c r="AF52" s="411"/>
      <c r="AG52" s="394">
        <f>AG50+AG51</f>
        <v>1125.7137743999999</v>
      </c>
      <c r="AH52" s="138"/>
      <c r="AI52" s="395">
        <f t="shared" si="70"/>
        <v>3.932399999999916</v>
      </c>
      <c r="AJ52" s="396">
        <f t="shared" si="71"/>
        <v>3.5054958922840144E-3</v>
      </c>
      <c r="AK52" s="53"/>
      <c r="AL52" s="449"/>
      <c r="AM52" s="411"/>
      <c r="AN52" s="394">
        <f>AN50+AN51</f>
        <v>1129.6122743999999</v>
      </c>
      <c r="AO52" s="138"/>
      <c r="AP52" s="395">
        <f t="shared" si="72"/>
        <v>3.8985000000000127</v>
      </c>
      <c r="AQ52" s="396">
        <f t="shared" si="73"/>
        <v>3.4631360907686278E-3</v>
      </c>
      <c r="AR52" s="397"/>
    </row>
    <row r="53" spans="1:44" ht="12" customHeight="1">
      <c r="A53" s="53"/>
      <c r="B53" s="626" t="s">
        <v>304</v>
      </c>
      <c r="C53" s="616"/>
      <c r="D53" s="616"/>
      <c r="E53" s="328"/>
      <c r="F53" s="450">
        <f>'Proposed Rates'!E294</f>
        <v>0.23499999999999999</v>
      </c>
      <c r="G53" s="138"/>
      <c r="H53" s="486">
        <f>F53*H50</f>
        <v>227.66812454999999</v>
      </c>
      <c r="I53" s="411"/>
      <c r="J53" s="450">
        <f>'Proposed Rates'!I294</f>
        <v>0.23499999999999999</v>
      </c>
      <c r="K53" s="411"/>
      <c r="L53" s="451">
        <f>J53*L50</f>
        <v>228.67071679999998</v>
      </c>
      <c r="M53" s="138"/>
      <c r="N53" s="451">
        <f t="shared" si="64"/>
        <v>1.0025922499999922</v>
      </c>
      <c r="O53" s="453">
        <f t="shared" si="65"/>
        <v>4.4037444942355338E-3</v>
      </c>
      <c r="P53" s="53"/>
      <c r="Q53" s="450">
        <f>J53</f>
        <v>0.23499999999999999</v>
      </c>
      <c r="R53" s="411"/>
      <c r="S53" s="451">
        <f>Q53*S50</f>
        <v>231.90431679999998</v>
      </c>
      <c r="T53" s="138"/>
      <c r="U53" s="451">
        <f t="shared" si="66"/>
        <v>3.2335999999999956</v>
      </c>
      <c r="V53" s="453">
        <f t="shared" si="67"/>
        <v>1.4140857409513293E-2</v>
      </c>
      <c r="W53" s="53"/>
      <c r="X53" s="450">
        <f>Q53</f>
        <v>0.23499999999999999</v>
      </c>
      <c r="Y53" s="411"/>
      <c r="Z53" s="451">
        <f>X53*Z50</f>
        <v>233.29081679999996</v>
      </c>
      <c r="AA53" s="138"/>
      <c r="AB53" s="451">
        <f t="shared" si="68"/>
        <v>1.3864999999999839</v>
      </c>
      <c r="AC53" s="453">
        <f t="shared" si="69"/>
        <v>5.9787589085533747E-3</v>
      </c>
      <c r="AD53" s="53"/>
      <c r="AE53" s="450">
        <f>X53</f>
        <v>0.23499999999999999</v>
      </c>
      <c r="AF53" s="411"/>
      <c r="AG53" s="451">
        <f>AE53*AG50</f>
        <v>234.10861679999996</v>
      </c>
      <c r="AH53" s="138"/>
      <c r="AI53" s="451">
        <f t="shared" si="70"/>
        <v>0.81780000000000541</v>
      </c>
      <c r="AJ53" s="453">
        <f t="shared" si="71"/>
        <v>3.5054958922841129E-3</v>
      </c>
      <c r="AK53" s="53"/>
      <c r="AL53" s="450">
        <f>AE53</f>
        <v>0.23499999999999999</v>
      </c>
      <c r="AM53" s="411"/>
      <c r="AN53" s="451">
        <f>AL53*AN50</f>
        <v>234.91936679999998</v>
      </c>
      <c r="AO53" s="138"/>
      <c r="AP53" s="451">
        <f t="shared" si="72"/>
        <v>0.81075000000001296</v>
      </c>
      <c r="AQ53" s="453">
        <f t="shared" si="73"/>
        <v>3.463136090768672E-3</v>
      </c>
      <c r="AR53" s="454"/>
    </row>
    <row r="54" spans="1:44" ht="12.75" customHeight="1">
      <c r="A54" s="53"/>
      <c r="B54" s="627" t="s">
        <v>347</v>
      </c>
      <c r="C54" s="608"/>
      <c r="D54" s="600"/>
      <c r="E54" s="455"/>
      <c r="F54" s="456"/>
      <c r="G54" s="487"/>
      <c r="H54" s="488">
        <f>H52-H53</f>
        <v>867.07647435000001</v>
      </c>
      <c r="I54" s="457"/>
      <c r="J54" s="456"/>
      <c r="K54" s="457"/>
      <c r="L54" s="458">
        <f>L52-L53</f>
        <v>870.89485760000002</v>
      </c>
      <c r="M54" s="459"/>
      <c r="N54" s="460">
        <f t="shared" si="64"/>
        <v>3.8183832500000108</v>
      </c>
      <c r="O54" s="461">
        <f t="shared" si="65"/>
        <v>4.4037444942355798E-3</v>
      </c>
      <c r="P54" s="53"/>
      <c r="Q54" s="456"/>
      <c r="R54" s="457"/>
      <c r="S54" s="458">
        <f>S52-S53</f>
        <v>883.21005759999991</v>
      </c>
      <c r="T54" s="459"/>
      <c r="U54" s="460">
        <f t="shared" si="66"/>
        <v>12.315199999999891</v>
      </c>
      <c r="V54" s="461">
        <f t="shared" si="67"/>
        <v>1.4140857409513185E-2</v>
      </c>
      <c r="W54" s="53"/>
      <c r="X54" s="456"/>
      <c r="Y54" s="457"/>
      <c r="Z54" s="458">
        <f>Z52-Z53</f>
        <v>888.4905576000001</v>
      </c>
      <c r="AA54" s="459"/>
      <c r="AB54" s="460">
        <f t="shared" si="68"/>
        <v>5.2805000000001883</v>
      </c>
      <c r="AC54" s="461">
        <f t="shared" si="69"/>
        <v>5.9787589085536575E-3</v>
      </c>
      <c r="AD54" s="53"/>
      <c r="AE54" s="456"/>
      <c r="AF54" s="457"/>
      <c r="AG54" s="458">
        <f>AG52-AG53</f>
        <v>891.60515759999998</v>
      </c>
      <c r="AH54" s="459"/>
      <c r="AI54" s="460">
        <f t="shared" si="70"/>
        <v>3.1145999999998821</v>
      </c>
      <c r="AJ54" s="461">
        <f t="shared" si="71"/>
        <v>3.5054958922839563E-3</v>
      </c>
      <c r="AK54" s="53"/>
      <c r="AL54" s="456"/>
      <c r="AM54" s="457"/>
      <c r="AN54" s="458">
        <f>AN52-AN53</f>
        <v>894.6929075999999</v>
      </c>
      <c r="AO54" s="459"/>
      <c r="AP54" s="460">
        <f t="shared" si="72"/>
        <v>3.0877499999999145</v>
      </c>
      <c r="AQ54" s="461">
        <f t="shared" si="73"/>
        <v>3.4631360907685206E-3</v>
      </c>
      <c r="AR54" s="462"/>
    </row>
    <row r="55" spans="1:44" ht="12"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 customHeight="1">
      <c r="A56" s="53"/>
      <c r="B56" s="438" t="s">
        <v>348</v>
      </c>
      <c r="C56" s="328"/>
      <c r="D56" s="328"/>
      <c r="E56" s="328"/>
      <c r="F56" s="439"/>
      <c r="G56" s="483"/>
      <c r="H56" s="441">
        <f>SUM(H47:H48,H40,H41:H43)</f>
        <v>1024.7005299999998</v>
      </c>
      <c r="I56" s="476"/>
      <c r="J56" s="439"/>
      <c r="K56" s="440"/>
      <c r="L56" s="442">
        <f>SUM(L47:L48,L40,L41:L43)</f>
        <v>1028.9668799999999</v>
      </c>
      <c r="M56" s="443"/>
      <c r="N56" s="442">
        <f t="shared" ref="N56:N60" si="74">L56-H56</f>
        <v>4.2663500000001022</v>
      </c>
      <c r="O56" s="444">
        <f t="shared" ref="O56:O60" si="75">IF((H56)=0,"",(N56/H56))</f>
        <v>4.1635091181226411E-3</v>
      </c>
      <c r="P56" s="53"/>
      <c r="Q56" s="439"/>
      <c r="R56" s="440"/>
      <c r="S56" s="442">
        <f>SUM(S47:S48,S40,S41:S43)</f>
        <v>1042.7268799999999</v>
      </c>
      <c r="T56" s="443"/>
      <c r="U56" s="442">
        <f t="shared" ref="U56:U60" si="76">S56-L56</f>
        <v>13.759999999999991</v>
      </c>
      <c r="V56" s="444">
        <f t="shared" ref="V56:V60" si="77">IF((L56)=0,"",(U56/L56))</f>
        <v>1.3372636444819284E-2</v>
      </c>
      <c r="W56" s="53"/>
      <c r="X56" s="439"/>
      <c r="Y56" s="440"/>
      <c r="Z56" s="442">
        <f>SUM(Z47:Z48,Z40,Z41:Z43)</f>
        <v>1048.6268799999998</v>
      </c>
      <c r="AA56" s="443"/>
      <c r="AB56" s="442">
        <f t="shared" ref="AB56:AB60" si="78">Z56-S56</f>
        <v>5.8999999999998636</v>
      </c>
      <c r="AC56" s="444">
        <f t="shared" ref="AC56:AC60" si="79">IF((S56)=0,"",(AB56/S56))</f>
        <v>5.6582410151351081E-3</v>
      </c>
      <c r="AD56" s="53"/>
      <c r="AE56" s="439"/>
      <c r="AF56" s="440"/>
      <c r="AG56" s="442">
        <f>SUM(AG47:AG48,AG40,AG41:AG43)</f>
        <v>1052.1068799999998</v>
      </c>
      <c r="AH56" s="443"/>
      <c r="AI56" s="442">
        <f t="shared" ref="AI56:AI60" si="80">AG56-Z56</f>
        <v>3.4800000000000182</v>
      </c>
      <c r="AJ56" s="444">
        <f t="shared" ref="AJ56:AJ60" si="81">IF((Z56)=0,"",(AI56/Z56))</f>
        <v>3.318625591592711E-3</v>
      </c>
      <c r="AK56" s="53"/>
      <c r="AL56" s="439"/>
      <c r="AM56" s="440"/>
      <c r="AN56" s="442">
        <f>SUM(AN47:AN48,AN40,AN41:AN43)</f>
        <v>1055.5568799999999</v>
      </c>
      <c r="AO56" s="443"/>
      <c r="AP56" s="442">
        <f t="shared" ref="AP56:AP60" si="82">AN56-AG56</f>
        <v>3.4500000000000455</v>
      </c>
      <c r="AQ56" s="444">
        <f t="shared" ref="AQ56:AQ60" si="83">IF((AG56)=0,"",(AP56/AG56))</f>
        <v>3.2791345305146621E-3</v>
      </c>
      <c r="AR56" s="445"/>
    </row>
    <row r="57" spans="1:44" ht="12" customHeight="1">
      <c r="A57" s="53"/>
      <c r="B57" s="446" t="s">
        <v>345</v>
      </c>
      <c r="C57" s="328"/>
      <c r="D57" s="328"/>
      <c r="E57" s="328"/>
      <c r="F57" s="439">
        <v>0.13</v>
      </c>
      <c r="G57" s="483"/>
      <c r="H57" s="484">
        <f>H56*F57</f>
        <v>133.21106889999999</v>
      </c>
      <c r="I57" s="411"/>
      <c r="J57" s="439">
        <v>0.13</v>
      </c>
      <c r="K57" s="447"/>
      <c r="L57" s="395">
        <f>L56*J57</f>
        <v>133.7656944</v>
      </c>
      <c r="M57" s="138"/>
      <c r="N57" s="395">
        <f t="shared" si="74"/>
        <v>0.55462550000001443</v>
      </c>
      <c r="O57" s="396">
        <f t="shared" si="75"/>
        <v>4.1635091181226489E-3</v>
      </c>
      <c r="P57" s="53"/>
      <c r="Q57" s="439">
        <v>0.13</v>
      </c>
      <c r="R57" s="447"/>
      <c r="S57" s="394">
        <f>S56*Q57</f>
        <v>135.55449440000001</v>
      </c>
      <c r="T57" s="138"/>
      <c r="U57" s="395">
        <f t="shared" si="76"/>
        <v>1.788800000000009</v>
      </c>
      <c r="V57" s="396">
        <f t="shared" si="77"/>
        <v>1.337263644481936E-2</v>
      </c>
      <c r="W57" s="53"/>
      <c r="X57" s="439">
        <v>0.13</v>
      </c>
      <c r="Y57" s="447"/>
      <c r="Z57" s="394">
        <f>Z56*X57</f>
        <v>136.32149439999998</v>
      </c>
      <c r="AA57" s="138"/>
      <c r="AB57" s="395">
        <f t="shared" si="78"/>
        <v>0.76699999999996749</v>
      </c>
      <c r="AC57" s="396">
        <f t="shared" si="79"/>
        <v>5.6582410151349979E-3</v>
      </c>
      <c r="AD57" s="53"/>
      <c r="AE57" s="439">
        <v>0.13</v>
      </c>
      <c r="AF57" s="447"/>
      <c r="AG57" s="395">
        <f>AG56*AE57</f>
        <v>136.77389439999999</v>
      </c>
      <c r="AH57" s="138"/>
      <c r="AI57" s="395">
        <f t="shared" si="80"/>
        <v>0.45240000000001146</v>
      </c>
      <c r="AJ57" s="396">
        <f t="shared" si="81"/>
        <v>3.3186255915927778E-3</v>
      </c>
      <c r="AK57" s="53"/>
      <c r="AL57" s="439">
        <v>0.13</v>
      </c>
      <c r="AM57" s="447"/>
      <c r="AN57" s="394">
        <f>AN56*AL57</f>
        <v>137.22239439999998</v>
      </c>
      <c r="AO57" s="138"/>
      <c r="AP57" s="395">
        <f t="shared" si="82"/>
        <v>0.44849999999999568</v>
      </c>
      <c r="AQ57" s="396">
        <f t="shared" si="83"/>
        <v>3.2791345305145871E-3</v>
      </c>
      <c r="AR57" s="397"/>
    </row>
    <row r="58" spans="1:44" ht="12" customHeight="1">
      <c r="A58" s="53"/>
      <c r="B58" s="448" t="s">
        <v>399</v>
      </c>
      <c r="C58" s="328"/>
      <c r="D58" s="328"/>
      <c r="E58" s="328"/>
      <c r="F58" s="449"/>
      <c r="G58" s="138"/>
      <c r="H58" s="484">
        <f>H56+H57</f>
        <v>1157.9115988999997</v>
      </c>
      <c r="I58" s="411"/>
      <c r="J58" s="449"/>
      <c r="K58" s="411"/>
      <c r="L58" s="394">
        <f>L56+L57</f>
        <v>1162.7325744</v>
      </c>
      <c r="M58" s="138"/>
      <c r="N58" s="395">
        <f t="shared" si="74"/>
        <v>4.8209755000002588</v>
      </c>
      <c r="O58" s="396">
        <f t="shared" si="75"/>
        <v>4.1635091181227652E-3</v>
      </c>
      <c r="P58" s="53"/>
      <c r="Q58" s="449"/>
      <c r="R58" s="411"/>
      <c r="S58" s="394">
        <f>S56+S57</f>
        <v>1178.2813744</v>
      </c>
      <c r="T58" s="138"/>
      <c r="U58" s="395">
        <f t="shared" si="76"/>
        <v>15.548800000000028</v>
      </c>
      <c r="V58" s="396">
        <f t="shared" si="77"/>
        <v>1.3372636444819317E-2</v>
      </c>
      <c r="W58" s="53"/>
      <c r="X58" s="449"/>
      <c r="Y58" s="411"/>
      <c r="Z58" s="394">
        <f>Z56+Z57</f>
        <v>1184.9483743999997</v>
      </c>
      <c r="AA58" s="138"/>
      <c r="AB58" s="395">
        <f t="shared" si="78"/>
        <v>6.666999999999689</v>
      </c>
      <c r="AC58" s="396">
        <f t="shared" si="79"/>
        <v>5.6582410151349745E-3</v>
      </c>
      <c r="AD58" s="53"/>
      <c r="AE58" s="449"/>
      <c r="AF58" s="411"/>
      <c r="AG58" s="394">
        <f>AG56+AG57</f>
        <v>1188.8807743999998</v>
      </c>
      <c r="AH58" s="138"/>
      <c r="AI58" s="395">
        <f t="shared" si="80"/>
        <v>3.9324000000001433</v>
      </c>
      <c r="AJ58" s="396">
        <f t="shared" si="81"/>
        <v>3.3186255915928151E-3</v>
      </c>
      <c r="AK58" s="53"/>
      <c r="AL58" s="449"/>
      <c r="AM58" s="411"/>
      <c r="AN58" s="394">
        <f>AN56+AN57</f>
        <v>1192.7792743999998</v>
      </c>
      <c r="AO58" s="138"/>
      <c r="AP58" s="395">
        <f t="shared" si="82"/>
        <v>3.8985000000000127</v>
      </c>
      <c r="AQ58" s="396">
        <f t="shared" si="83"/>
        <v>3.2791345305146296E-3</v>
      </c>
      <c r="AR58" s="397"/>
    </row>
    <row r="59" spans="1:44" ht="12" customHeight="1">
      <c r="A59" s="53"/>
      <c r="B59" s="626" t="s">
        <v>304</v>
      </c>
      <c r="C59" s="616"/>
      <c r="D59" s="616"/>
      <c r="E59" s="328"/>
      <c r="F59" s="450">
        <f>F53</f>
        <v>0.23499999999999999</v>
      </c>
      <c r="G59" s="138"/>
      <c r="H59" s="486">
        <f>F59*H56</f>
        <v>240.80462454999994</v>
      </c>
      <c r="I59" s="411"/>
      <c r="J59" s="450">
        <f>J53</f>
        <v>0.23499999999999999</v>
      </c>
      <c r="K59" s="411"/>
      <c r="L59" s="451">
        <f>J59*L56</f>
        <v>241.80721679999996</v>
      </c>
      <c r="M59" s="138"/>
      <c r="N59" s="451">
        <f t="shared" si="74"/>
        <v>1.0025922500000206</v>
      </c>
      <c r="O59" s="453">
        <f t="shared" si="75"/>
        <v>4.1635091181226273E-3</v>
      </c>
      <c r="P59" s="53"/>
      <c r="Q59" s="450">
        <f>Q53</f>
        <v>0.23499999999999999</v>
      </c>
      <c r="R59" s="411"/>
      <c r="S59" s="451">
        <f>Q59*S56</f>
        <v>245.04081679999996</v>
      </c>
      <c r="T59" s="138"/>
      <c r="U59" s="451">
        <f t="shared" si="76"/>
        <v>3.2335999999999956</v>
      </c>
      <c r="V59" s="453">
        <f t="shared" si="77"/>
        <v>1.3372636444819277E-2</v>
      </c>
      <c r="W59" s="53"/>
      <c r="X59" s="450">
        <f>X53</f>
        <v>0.23499999999999999</v>
      </c>
      <c r="Y59" s="411"/>
      <c r="Z59" s="451">
        <f>X59*Z56</f>
        <v>246.42731679999994</v>
      </c>
      <c r="AA59" s="138"/>
      <c r="AB59" s="451">
        <f t="shared" si="78"/>
        <v>1.3864999999999839</v>
      </c>
      <c r="AC59" s="453">
        <f t="shared" si="79"/>
        <v>5.6582410151351731E-3</v>
      </c>
      <c r="AD59" s="53"/>
      <c r="AE59" s="450">
        <f>AE53</f>
        <v>0.23499999999999999</v>
      </c>
      <c r="AF59" s="411"/>
      <c r="AG59" s="451">
        <f>AE59*AG56</f>
        <v>247.24511679999995</v>
      </c>
      <c r="AH59" s="138"/>
      <c r="AI59" s="451">
        <f t="shared" si="80"/>
        <v>0.81780000000000541</v>
      </c>
      <c r="AJ59" s="453">
        <f t="shared" si="81"/>
        <v>3.3186255915927157E-3</v>
      </c>
      <c r="AK59" s="53"/>
      <c r="AL59" s="450">
        <f>AL53</f>
        <v>0.23499999999999999</v>
      </c>
      <c r="AM59" s="411"/>
      <c r="AN59" s="451">
        <f>AL59*AN56</f>
        <v>248.05586679999996</v>
      </c>
      <c r="AO59" s="138"/>
      <c r="AP59" s="451">
        <f t="shared" si="82"/>
        <v>0.81075000000001296</v>
      </c>
      <c r="AQ59" s="453">
        <f t="shared" si="83"/>
        <v>3.2791345305146716E-3</v>
      </c>
      <c r="AR59" s="454"/>
    </row>
    <row r="60" spans="1:44" ht="12.75" customHeight="1">
      <c r="A60" s="53"/>
      <c r="B60" s="627" t="s">
        <v>350</v>
      </c>
      <c r="C60" s="608"/>
      <c r="D60" s="600"/>
      <c r="E60" s="455"/>
      <c r="F60" s="463"/>
      <c r="G60" s="489"/>
      <c r="H60" s="490">
        <f>H58-H59</f>
        <v>917.10697434999975</v>
      </c>
      <c r="I60" s="464"/>
      <c r="J60" s="463"/>
      <c r="K60" s="464"/>
      <c r="L60" s="465">
        <f>L58-L59</f>
        <v>920.92535759999998</v>
      </c>
      <c r="M60" s="466"/>
      <c r="N60" s="467">
        <f t="shared" si="74"/>
        <v>3.8183832500002381</v>
      </c>
      <c r="O60" s="468">
        <f t="shared" si="75"/>
        <v>4.1635091181228016E-3</v>
      </c>
      <c r="P60" s="53"/>
      <c r="Q60" s="463"/>
      <c r="R60" s="464"/>
      <c r="S60" s="465">
        <f>S58-S59</f>
        <v>933.2405576000001</v>
      </c>
      <c r="T60" s="466"/>
      <c r="U60" s="467">
        <f t="shared" si="76"/>
        <v>12.315200000000118</v>
      </c>
      <c r="V60" s="468">
        <f t="shared" si="77"/>
        <v>1.3372636444819421E-2</v>
      </c>
      <c r="W60" s="53"/>
      <c r="X60" s="463"/>
      <c r="Y60" s="464"/>
      <c r="Z60" s="465">
        <f>Z58-Z59</f>
        <v>938.52105759999972</v>
      </c>
      <c r="AA60" s="466"/>
      <c r="AB60" s="467">
        <f t="shared" si="78"/>
        <v>5.2804999999996198</v>
      </c>
      <c r="AC60" s="468">
        <f t="shared" si="79"/>
        <v>5.6582410151348305E-3</v>
      </c>
      <c r="AD60" s="53"/>
      <c r="AE60" s="463"/>
      <c r="AF60" s="464"/>
      <c r="AG60" s="465">
        <f>AG58-AG59</f>
        <v>941.63565759999983</v>
      </c>
      <c r="AH60" s="466"/>
      <c r="AI60" s="467">
        <f t="shared" si="80"/>
        <v>3.1146000000001095</v>
      </c>
      <c r="AJ60" s="468">
        <f t="shared" si="81"/>
        <v>3.3186255915928107E-3</v>
      </c>
      <c r="AK60" s="53"/>
      <c r="AL60" s="463"/>
      <c r="AM60" s="464"/>
      <c r="AN60" s="465">
        <f>AN58-AN59</f>
        <v>944.72340759999986</v>
      </c>
      <c r="AO60" s="466"/>
      <c r="AP60" s="467">
        <f t="shared" si="82"/>
        <v>3.0877500000000282</v>
      </c>
      <c r="AQ60" s="468">
        <f t="shared" si="83"/>
        <v>3.2791345305146491E-3</v>
      </c>
      <c r="AR60" s="462"/>
    </row>
    <row r="61" spans="1:44" ht="12"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474"/>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500-000000000000}">
      <formula1>"TOU,non-TOU"</formula1>
    </dataValidation>
    <dataValidation type="list" allowBlank="1" showErrorMessage="1" sqref="E15:E28 E30:E36 E38:E39 E41:E49 E55 E61" xr:uid="{00000000-0002-0000-1500-000001000000}">
      <formula1>#REF!</formula1>
    </dataValidation>
    <dataValidation type="list" allowBlank="1" showInputMessage="1" showErrorMessage="1" prompt="Select Charge Unit - monthly, per kWh, per kW" sqref="D15:D28 D30:D36 D38:D39 D41:D49 D55 D61" xr:uid="{00000000-0002-0000-1500-000002000000}">
      <formula1>"Monthly,per kWh,per kW"</formula1>
    </dataValidation>
  </dataValidations>
  <pageMargins left="0.74803149606299213" right="0.74803149606299213" top="0.98425196850393704" bottom="0.98425196850393704"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140625" customWidth="1"/>
    <col min="4" max="4" width="11.42578125" customWidth="1"/>
    <col min="5" max="5" width="1.42578125" customWidth="1"/>
    <col min="6" max="6" width="10.7109375" customWidth="1"/>
    <col min="7" max="7" width="8.85546875" customWidth="1"/>
    <col min="8" max="8" width="11" customWidth="1"/>
    <col min="9" max="9" width="0.4257812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1"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85546875" customWidth="1"/>
    <col min="40" max="40" width="11"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3"/>
      <c r="B1" s="53"/>
      <c r="C1" s="53"/>
      <c r="D1" s="53"/>
      <c r="E1" s="53"/>
      <c r="F1" s="53"/>
      <c r="G1" s="53"/>
      <c r="H1" s="53"/>
      <c r="I1" s="53"/>
      <c r="J1" s="53"/>
      <c r="K1" s="53"/>
      <c r="Q1" s="53"/>
      <c r="R1" s="53"/>
      <c r="S1" s="628" t="s">
        <v>319</v>
      </c>
      <c r="T1" s="629"/>
      <c r="U1" s="629"/>
      <c r="V1" s="629"/>
      <c r="W1" s="629"/>
      <c r="X1" s="629"/>
      <c r="Y1" s="630"/>
      <c r="Z1" s="53"/>
      <c r="AA1" s="53"/>
      <c r="AB1" s="53"/>
      <c r="AC1" s="53"/>
      <c r="AD1" s="53"/>
      <c r="AE1" s="53"/>
      <c r="AF1" s="53"/>
      <c r="AG1" s="53"/>
      <c r="AH1" s="53"/>
      <c r="AI1" s="53"/>
      <c r="AJ1" s="53"/>
      <c r="AK1" s="53"/>
      <c r="AL1" s="53"/>
      <c r="AM1" s="53"/>
      <c r="AN1" s="53"/>
      <c r="AO1" s="53"/>
      <c r="AP1" s="53"/>
      <c r="AQ1" s="53"/>
      <c r="AR1" s="53"/>
    </row>
    <row r="2" spans="1:45" ht="12"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5"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 customHeight="1">
      <c r="A6" s="53"/>
      <c r="B6" s="327" t="s">
        <v>323</v>
      </c>
      <c r="C6" s="53"/>
      <c r="D6" s="499" t="s">
        <v>248</v>
      </c>
      <c r="E6" s="500"/>
      <c r="F6" s="500"/>
      <c r="G6" s="500"/>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5" ht="12"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 customHeight="1">
      <c r="A10" s="53"/>
      <c r="B10" s="53"/>
      <c r="C10" s="53"/>
      <c r="D10" s="314" t="s">
        <v>326</v>
      </c>
      <c r="E10" s="314"/>
      <c r="F10" s="380">
        <v>10000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5" ht="12"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5" ht="12"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5" ht="12"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5" ht="12" customHeight="1">
      <c r="A15" s="53"/>
      <c r="B15" s="328" t="s">
        <v>246</v>
      </c>
      <c r="C15" s="389" t="str">
        <f t="shared" ref="C15:C28" si="0">D$6&amp;"."&amp;B15</f>
        <v>General Service &lt; 50 kW.Monthly Service Charge</v>
      </c>
      <c r="D15" s="390" t="s">
        <v>335</v>
      </c>
      <c r="E15" s="328"/>
      <c r="F15" s="391">
        <f>IFERROR(VLOOKUP($C15,'Proposed Rates'!$B:$J,F$11,FALSE),0)</f>
        <v>23.53</v>
      </c>
      <c r="G15" s="392">
        <f t="shared" ref="G15:G28" si="1">IF($D15="Monthly",1,IF($D15="per KWH",$F$10,0))</f>
        <v>1</v>
      </c>
      <c r="H15" s="394">
        <f t="shared" ref="H15:H28" si="2">G15*F15</f>
        <v>23.53</v>
      </c>
      <c r="I15" s="138"/>
      <c r="J15" s="391">
        <f>IFERROR(VLOOKUP($C15,'Proposed Rates'!$B:$J,J$11,FALSE),0)</f>
        <v>26.16</v>
      </c>
      <c r="K15" s="392">
        <f t="shared" ref="K15:K28" si="3">IF($D15="Monthly",1,IF($D15="per KWH",$F$10,0))</f>
        <v>1</v>
      </c>
      <c r="L15" s="394">
        <f t="shared" ref="L15:L28" si="4">K15*J15</f>
        <v>26.16</v>
      </c>
      <c r="M15" s="138"/>
      <c r="N15" s="395">
        <f t="shared" ref="N15:N48" si="5">L15-H15</f>
        <v>2.629999999999999</v>
      </c>
      <c r="O15" s="396">
        <f t="shared" ref="O15:O48" si="6">IF((H15)=0,"",(N15/H15))</f>
        <v>0.11177220569485759</v>
      </c>
      <c r="P15" s="53"/>
      <c r="Q15" s="391">
        <f>IFERROR(VLOOKUP($C15,'Proposed Rates'!$B:$J,Q$11,FALSE),0)</f>
        <v>27.42</v>
      </c>
      <c r="R15" s="392">
        <f t="shared" ref="R15:R28" si="7">IF($D15="Monthly",1,IF($D15="per KWH",$F$10,0))</f>
        <v>1</v>
      </c>
      <c r="S15" s="394">
        <f t="shared" ref="S15:S28" si="8">R15*Q15</f>
        <v>27.42</v>
      </c>
      <c r="T15" s="138"/>
      <c r="U15" s="395">
        <f t="shared" ref="U15:U48" si="9">S15-L15</f>
        <v>1.2600000000000016</v>
      </c>
      <c r="V15" s="396">
        <f t="shared" ref="V15:V48" si="10">IF((L15)=0,"",(U15/L15))</f>
        <v>4.8165137614678957E-2</v>
      </c>
      <c r="W15" s="53"/>
      <c r="X15" s="391">
        <f>IFERROR(VLOOKUP($C15,'Proposed Rates'!$B:$J,X$11,FALSE),0)</f>
        <v>29.3</v>
      </c>
      <c r="Y15" s="392">
        <f t="shared" ref="Y15:Y28" si="11">IF($D15="Monthly",1,IF($D15="per KWH",$F$10,0))</f>
        <v>1</v>
      </c>
      <c r="Z15" s="394">
        <f t="shared" ref="Z15:Z28" si="12">Y15*X15</f>
        <v>29.3</v>
      </c>
      <c r="AA15" s="138"/>
      <c r="AB15" s="395">
        <f t="shared" ref="AB15:AB48" si="13">Z15-S15</f>
        <v>1.879999999999999</v>
      </c>
      <c r="AC15" s="396">
        <f t="shared" ref="AC15:AC48" si="14">IF((S15)=0,"",(AB15/S15))</f>
        <v>6.856309263311447E-2</v>
      </c>
      <c r="AD15" s="53"/>
      <c r="AE15" s="391">
        <f>IFERROR(VLOOKUP($C15,'Proposed Rates'!$B:$J,AE$11,FALSE),0)</f>
        <v>29.77</v>
      </c>
      <c r="AF15" s="392">
        <f t="shared" ref="AF15:AF28" si="15">IF($D15="Monthly",1,IF($D15="per KWH",$F$10,0))</f>
        <v>1</v>
      </c>
      <c r="AG15" s="394">
        <f t="shared" ref="AG15:AG28" si="16">AF15*AE15</f>
        <v>29.77</v>
      </c>
      <c r="AH15" s="138"/>
      <c r="AI15" s="395">
        <f t="shared" ref="AI15:AI48" si="17">AG15-Z15</f>
        <v>0.46999999999999886</v>
      </c>
      <c r="AJ15" s="396">
        <f t="shared" ref="AJ15:AJ48" si="18">IF((Z15)=0,"",(AI15/Z15))</f>
        <v>1.6040955631399279E-2</v>
      </c>
      <c r="AK15" s="53"/>
      <c r="AL15" s="391">
        <f>IFERROR(VLOOKUP($C15,'Proposed Rates'!$B:$J,AL$11,FALSE),0)</f>
        <v>30.21</v>
      </c>
      <c r="AM15" s="392">
        <f t="shared" ref="AM15:AM28" si="19">IF($D15="Monthly",1,IF($D15="per KWH",$F$10,0))</f>
        <v>1</v>
      </c>
      <c r="AN15" s="394">
        <f t="shared" ref="AN15:AN16" si="20">AM15*AL15</f>
        <v>30.21</v>
      </c>
      <c r="AO15" s="138"/>
      <c r="AP15" s="395">
        <f t="shared" ref="AP15:AP48" si="21">AN15-AG15</f>
        <v>0.44000000000000128</v>
      </c>
      <c r="AQ15" s="396">
        <f t="shared" ref="AQ15:AQ48" si="22">IF((AG15)=0,"",(AP15/AG15))</f>
        <v>1.4779979845482072E-2</v>
      </c>
      <c r="AR15" s="397"/>
    </row>
    <row r="16" spans="1:45" ht="12" customHeight="1">
      <c r="A16" s="53"/>
      <c r="B16" s="328" t="s">
        <v>336</v>
      </c>
      <c r="C16" s="389" t="str">
        <f t="shared" si="0"/>
        <v>General Service &lt; 50 kW.Smart Meter Rate Adder</v>
      </c>
      <c r="D16" s="390" t="s">
        <v>335</v>
      </c>
      <c r="E16" s="328"/>
      <c r="F16" s="408">
        <f>IFERROR(VLOOKUP($C16,'Proposed Rates'!$B:$J,F$11,FALSE),0)</f>
        <v>0</v>
      </c>
      <c r="G16" s="392">
        <f t="shared" si="1"/>
        <v>1</v>
      </c>
      <c r="H16" s="394">
        <f t="shared" si="2"/>
        <v>0</v>
      </c>
      <c r="I16" s="138"/>
      <c r="J16" s="408">
        <f>IFERROR(VLOOKUP($C16,'Proposed Rates'!$B:$J,J$11,FALSE),0)</f>
        <v>0</v>
      </c>
      <c r="K16" s="392">
        <f t="shared" si="3"/>
        <v>1</v>
      </c>
      <c r="L16" s="394">
        <f t="shared" si="4"/>
        <v>0</v>
      </c>
      <c r="M16" s="138"/>
      <c r="N16" s="395">
        <f t="shared" si="5"/>
        <v>0</v>
      </c>
      <c r="O16" s="396" t="str">
        <f t="shared" si="6"/>
        <v/>
      </c>
      <c r="P16" s="53"/>
      <c r="Q16" s="408">
        <f>IFERROR(VLOOKUP($C16,'Proposed Rates'!$B:$J,Q$11,FALSE),0)</f>
        <v>0</v>
      </c>
      <c r="R16" s="392">
        <f t="shared" si="7"/>
        <v>1</v>
      </c>
      <c r="S16" s="394">
        <f t="shared" si="8"/>
        <v>0</v>
      </c>
      <c r="T16" s="138"/>
      <c r="U16" s="395">
        <f t="shared" si="9"/>
        <v>0</v>
      </c>
      <c r="V16" s="396" t="str">
        <f t="shared" si="10"/>
        <v/>
      </c>
      <c r="W16" s="53"/>
      <c r="X16" s="408">
        <f>IFERROR(VLOOKUP($C16,'Proposed Rates'!$B:$J,X$11,FALSE),0)</f>
        <v>0</v>
      </c>
      <c r="Y16" s="392">
        <f t="shared" si="11"/>
        <v>1</v>
      </c>
      <c r="Z16" s="394">
        <f t="shared" si="12"/>
        <v>0</v>
      </c>
      <c r="AA16" s="138"/>
      <c r="AB16" s="395">
        <f t="shared" si="13"/>
        <v>0</v>
      </c>
      <c r="AC16" s="396" t="str">
        <f t="shared" si="14"/>
        <v/>
      </c>
      <c r="AD16" s="53"/>
      <c r="AE16" s="408">
        <f>IFERROR(VLOOKUP($C16,'Proposed Rates'!$B:$J,AE$11,FALSE),0)</f>
        <v>0</v>
      </c>
      <c r="AF16" s="392">
        <f t="shared" si="15"/>
        <v>1</v>
      </c>
      <c r="AG16" s="394">
        <f t="shared" si="16"/>
        <v>0</v>
      </c>
      <c r="AH16" s="138"/>
      <c r="AI16" s="395">
        <f t="shared" si="17"/>
        <v>0</v>
      </c>
      <c r="AJ16" s="396" t="str">
        <f t="shared" si="18"/>
        <v/>
      </c>
      <c r="AK16" s="53"/>
      <c r="AL16" s="408">
        <f>IFERROR(VLOOKUP($C16,'Proposed Rates'!$B:$J,AL$11,FALSE),0)</f>
        <v>0</v>
      </c>
      <c r="AM16" s="392">
        <f t="shared" si="19"/>
        <v>1</v>
      </c>
      <c r="AN16" s="394">
        <f t="shared" si="20"/>
        <v>0</v>
      </c>
      <c r="AO16" s="138"/>
      <c r="AP16" s="395">
        <f t="shared" si="21"/>
        <v>0</v>
      </c>
      <c r="AQ16" s="396" t="str">
        <f t="shared" si="22"/>
        <v/>
      </c>
      <c r="AR16" s="397"/>
    </row>
    <row r="17" spans="1:44" ht="12" customHeight="1">
      <c r="A17" s="53"/>
      <c r="B17" s="398" t="str">
        <f>'Proposed Rates'!C115</f>
        <v>Rate Rider Calculation for Forgone Revenue - variable</v>
      </c>
      <c r="C17" s="389" t="str">
        <f t="shared" si="0"/>
        <v>General Service &lt; 50 kW.Rate Rider Calculation for Forgone Revenue - variable</v>
      </c>
      <c r="D17" s="390" t="s">
        <v>337</v>
      </c>
      <c r="E17" s="328"/>
      <c r="F17" s="408">
        <f>IFERROR(VLOOKUP($C17,'Proposed Rates'!$B:$J,F$11,FALSE),0)</f>
        <v>0</v>
      </c>
      <c r="G17" s="392">
        <f t="shared" si="1"/>
        <v>10000</v>
      </c>
      <c r="H17" s="394">
        <f t="shared" si="2"/>
        <v>0</v>
      </c>
      <c r="I17" s="138"/>
      <c r="J17" s="408">
        <f>IFERROR(VLOOKUP($C17,'Proposed Rates'!$B:$J,J$11,FALSE),0)</f>
        <v>1.4E-3</v>
      </c>
      <c r="K17" s="392">
        <f t="shared" si="3"/>
        <v>10000</v>
      </c>
      <c r="L17" s="394">
        <f t="shared" si="4"/>
        <v>14</v>
      </c>
      <c r="M17" s="138"/>
      <c r="N17" s="395">
        <f t="shared" si="5"/>
        <v>14</v>
      </c>
      <c r="O17" s="396" t="str">
        <f t="shared" si="6"/>
        <v/>
      </c>
      <c r="P17" s="53"/>
      <c r="Q17" s="408">
        <f>IFERROR(VLOOKUP($C17,'Proposed Rates'!$B:$J,Q$11,FALSE),0)</f>
        <v>1.4E-3</v>
      </c>
      <c r="R17" s="392">
        <f t="shared" si="7"/>
        <v>10000</v>
      </c>
      <c r="S17" s="394">
        <f t="shared" si="8"/>
        <v>14</v>
      </c>
      <c r="T17" s="138"/>
      <c r="U17" s="395">
        <f t="shared" si="9"/>
        <v>0</v>
      </c>
      <c r="V17" s="396">
        <f t="shared" si="10"/>
        <v>0</v>
      </c>
      <c r="W17" s="53"/>
      <c r="X17" s="408">
        <f>IFERROR(VLOOKUP($C17,'Proposed Rates'!$B:$J,X$11,FALSE),0)</f>
        <v>0</v>
      </c>
      <c r="Y17" s="392">
        <f t="shared" si="11"/>
        <v>10000</v>
      </c>
      <c r="Z17" s="394">
        <f t="shared" si="12"/>
        <v>0</v>
      </c>
      <c r="AA17" s="138"/>
      <c r="AB17" s="395">
        <f t="shared" si="13"/>
        <v>-14</v>
      </c>
      <c r="AC17" s="396">
        <f t="shared" si="14"/>
        <v>-1</v>
      </c>
      <c r="AD17" s="53"/>
      <c r="AE17" s="408">
        <f>IFERROR(VLOOKUP($C17,'Proposed Rates'!$B:$J,AE$11,FALSE),0)</f>
        <v>0</v>
      </c>
      <c r="AF17" s="392">
        <f t="shared" si="15"/>
        <v>10000</v>
      </c>
      <c r="AG17" s="394">
        <f t="shared" si="16"/>
        <v>0</v>
      </c>
      <c r="AH17" s="138"/>
      <c r="AI17" s="395">
        <f t="shared" si="17"/>
        <v>0</v>
      </c>
      <c r="AJ17" s="396" t="str">
        <f t="shared" si="18"/>
        <v/>
      </c>
      <c r="AK17" s="53"/>
      <c r="AL17" s="408">
        <f>IFERROR(VLOOKUP($C17,'Proposed Rates'!$B:$J,AL$11,FALSE),0)</f>
        <v>0</v>
      </c>
      <c r="AM17" s="392">
        <f t="shared" si="19"/>
        <v>10000</v>
      </c>
      <c r="AN17" s="394">
        <f t="shared" ref="AN17:AN18" si="23">AL17*AM17</f>
        <v>0</v>
      </c>
      <c r="AO17" s="138"/>
      <c r="AP17" s="395">
        <f t="shared" si="21"/>
        <v>0</v>
      </c>
      <c r="AQ17" s="396" t="str">
        <f t="shared" si="22"/>
        <v/>
      </c>
      <c r="AR17" s="397"/>
    </row>
    <row r="18" spans="1:44" ht="12" customHeight="1">
      <c r="A18" s="53"/>
      <c r="B18" s="398" t="str">
        <f>'Proposed Rates'!C128</f>
        <v>Rate Rider Calculation for Forgone Revenue - fixed</v>
      </c>
      <c r="C18" s="389" t="str">
        <f t="shared" si="0"/>
        <v>General Service &lt; 50 kW.Rate Rider Calculation for Forgone Revenue - fixed</v>
      </c>
      <c r="D18" s="390" t="s">
        <v>335</v>
      </c>
      <c r="E18" s="328"/>
      <c r="F18" s="408">
        <f>IFERROR(VLOOKUP($C18,'Proposed Rates'!$B:$J,F$11,FALSE),0)</f>
        <v>0</v>
      </c>
      <c r="G18" s="392">
        <f t="shared" si="1"/>
        <v>1</v>
      </c>
      <c r="H18" s="394">
        <f t="shared" si="2"/>
        <v>0</v>
      </c>
      <c r="I18" s="138"/>
      <c r="J18" s="408">
        <f>IFERROR(VLOOKUP($C18,'Proposed Rates'!$B:$J,J$11,FALSE),0)</f>
        <v>0.99</v>
      </c>
      <c r="K18" s="392">
        <f t="shared" si="3"/>
        <v>1</v>
      </c>
      <c r="L18" s="394">
        <f t="shared" si="4"/>
        <v>0.99</v>
      </c>
      <c r="M18" s="138"/>
      <c r="N18" s="395">
        <f t="shared" si="5"/>
        <v>0.99</v>
      </c>
      <c r="O18" s="396" t="str">
        <f t="shared" si="6"/>
        <v/>
      </c>
      <c r="P18" s="53"/>
      <c r="Q18" s="408">
        <f>IFERROR(VLOOKUP($C18,'Proposed Rates'!$B:$J,Q$11,FALSE),0)</f>
        <v>0.99</v>
      </c>
      <c r="R18" s="392">
        <f t="shared" si="7"/>
        <v>1</v>
      </c>
      <c r="S18" s="394">
        <f t="shared" si="8"/>
        <v>0.99</v>
      </c>
      <c r="T18" s="138"/>
      <c r="U18" s="395">
        <f t="shared" si="9"/>
        <v>0</v>
      </c>
      <c r="V18" s="396">
        <f t="shared" si="10"/>
        <v>0</v>
      </c>
      <c r="W18" s="53"/>
      <c r="X18" s="408">
        <f>IFERROR(VLOOKUP($C18,'Proposed Rates'!$B:$J,X$11,FALSE),0)</f>
        <v>0</v>
      </c>
      <c r="Y18" s="392">
        <f t="shared" si="11"/>
        <v>1</v>
      </c>
      <c r="Z18" s="394">
        <f t="shared" si="12"/>
        <v>0</v>
      </c>
      <c r="AA18" s="138"/>
      <c r="AB18" s="395">
        <f t="shared" si="13"/>
        <v>-0.99</v>
      </c>
      <c r="AC18" s="396">
        <f t="shared" si="14"/>
        <v>-1</v>
      </c>
      <c r="AD18" s="53"/>
      <c r="AE18" s="408">
        <f>IFERROR(VLOOKUP($C18,'Proposed Rates'!$B:$J,AE$11,FALSE),0)</f>
        <v>0</v>
      </c>
      <c r="AF18" s="392">
        <f t="shared" si="15"/>
        <v>1</v>
      </c>
      <c r="AG18" s="394">
        <f t="shared" si="16"/>
        <v>0</v>
      </c>
      <c r="AH18" s="138"/>
      <c r="AI18" s="395">
        <f t="shared" si="17"/>
        <v>0</v>
      </c>
      <c r="AJ18" s="396" t="str">
        <f t="shared" si="18"/>
        <v/>
      </c>
      <c r="AK18" s="53"/>
      <c r="AL18" s="408">
        <f>IFERROR(VLOOKUP($C18,'Proposed Rates'!$B:$J,AL$11,FALSE),0)</f>
        <v>0</v>
      </c>
      <c r="AM18" s="392">
        <f t="shared" si="19"/>
        <v>1</v>
      </c>
      <c r="AN18" s="394">
        <f t="shared" si="23"/>
        <v>0</v>
      </c>
      <c r="AO18" s="138"/>
      <c r="AP18" s="395">
        <f t="shared" si="21"/>
        <v>0</v>
      </c>
      <c r="AQ18" s="396" t="str">
        <f t="shared" si="22"/>
        <v/>
      </c>
      <c r="AR18" s="397"/>
    </row>
    <row r="19" spans="1:44" ht="12" customHeight="1">
      <c r="A19" s="53"/>
      <c r="B19" s="328" t="s">
        <v>62</v>
      </c>
      <c r="C19" s="389" t="str">
        <f t="shared" si="0"/>
        <v>General Service &lt; 50 kW.Distribution Volumetric Rate</v>
      </c>
      <c r="D19" s="390" t="s">
        <v>337</v>
      </c>
      <c r="E19" s="328"/>
      <c r="F19" s="408">
        <f>IFERROR(VLOOKUP($C19,'Proposed Rates'!$B:$J,F$11,FALSE),0)</f>
        <v>3.0499999999999999E-2</v>
      </c>
      <c r="G19" s="392">
        <f t="shared" si="1"/>
        <v>10000</v>
      </c>
      <c r="H19" s="394">
        <f t="shared" si="2"/>
        <v>305</v>
      </c>
      <c r="I19" s="138"/>
      <c r="J19" s="408">
        <f>IFERROR(VLOOKUP($C19,'Proposed Rates'!$B:$J,J$11,FALSE),0)</f>
        <v>3.39E-2</v>
      </c>
      <c r="K19" s="392">
        <f t="shared" si="3"/>
        <v>10000</v>
      </c>
      <c r="L19" s="394">
        <f t="shared" si="4"/>
        <v>339</v>
      </c>
      <c r="M19" s="138"/>
      <c r="N19" s="395">
        <f t="shared" si="5"/>
        <v>34</v>
      </c>
      <c r="O19" s="396">
        <f t="shared" si="6"/>
        <v>0.11147540983606558</v>
      </c>
      <c r="P19" s="53"/>
      <c r="Q19" s="408">
        <f>IFERROR(VLOOKUP($C19,'Proposed Rates'!$B:$J,Q$11,FALSE),0)</f>
        <v>3.5499999999999997E-2</v>
      </c>
      <c r="R19" s="392">
        <f t="shared" si="7"/>
        <v>10000</v>
      </c>
      <c r="S19" s="394">
        <f t="shared" si="8"/>
        <v>354.99999999999994</v>
      </c>
      <c r="T19" s="138"/>
      <c r="U19" s="395">
        <f t="shared" si="9"/>
        <v>15.999999999999943</v>
      </c>
      <c r="V19" s="396">
        <f t="shared" si="10"/>
        <v>4.7197640117993933E-2</v>
      </c>
      <c r="W19" s="53"/>
      <c r="X19" s="408">
        <f>IFERROR(VLOOKUP($C19,'Proposed Rates'!$B:$J,X$11,FALSE),0)</f>
        <v>3.7900000000000003E-2</v>
      </c>
      <c r="Y19" s="392">
        <f t="shared" si="11"/>
        <v>10000</v>
      </c>
      <c r="Z19" s="394">
        <f t="shared" si="12"/>
        <v>379.00000000000006</v>
      </c>
      <c r="AA19" s="138"/>
      <c r="AB19" s="395">
        <f t="shared" si="13"/>
        <v>24.000000000000114</v>
      </c>
      <c r="AC19" s="396">
        <f t="shared" si="14"/>
        <v>6.7605633802817228E-2</v>
      </c>
      <c r="AD19" s="53"/>
      <c r="AE19" s="408">
        <f>IFERROR(VLOOKUP($C19,'Proposed Rates'!$B:$J,AE$11,FALSE),0)</f>
        <v>3.85E-2</v>
      </c>
      <c r="AF19" s="392">
        <f t="shared" si="15"/>
        <v>10000</v>
      </c>
      <c r="AG19" s="394">
        <f t="shared" si="16"/>
        <v>385</v>
      </c>
      <c r="AH19" s="138"/>
      <c r="AI19" s="395">
        <f t="shared" si="17"/>
        <v>5.9999999999999432</v>
      </c>
      <c r="AJ19" s="396">
        <f t="shared" si="18"/>
        <v>1.5831134564643648E-2</v>
      </c>
      <c r="AK19" s="53"/>
      <c r="AL19" s="408">
        <f>IFERROR(VLOOKUP($C19,'Proposed Rates'!$B:$J,AL$11,FALSE),0)</f>
        <v>3.9100000000000003E-2</v>
      </c>
      <c r="AM19" s="392">
        <f t="shared" si="19"/>
        <v>10000</v>
      </c>
      <c r="AN19" s="394">
        <f t="shared" ref="AN19:AN28" si="24">AM19*AL19</f>
        <v>391</v>
      </c>
      <c r="AO19" s="138"/>
      <c r="AP19" s="395">
        <f t="shared" si="21"/>
        <v>6</v>
      </c>
      <c r="AQ19" s="396">
        <f t="shared" si="22"/>
        <v>1.5584415584415584E-2</v>
      </c>
      <c r="AR19" s="397"/>
    </row>
    <row r="20" spans="1:44" ht="12" customHeight="1">
      <c r="A20" s="53"/>
      <c r="B20" s="328" t="s">
        <v>338</v>
      </c>
      <c r="C20" s="389" t="str">
        <f t="shared" si="0"/>
        <v>General Service &lt; 50 kW.Smart Meter Disposition Rider</v>
      </c>
      <c r="D20" s="390" t="s">
        <v>337</v>
      </c>
      <c r="E20" s="328"/>
      <c r="F20" s="408">
        <f>IFERROR(VLOOKUP($C20,'Proposed Rates'!$B:$J,F$11,FALSE),0)</f>
        <v>0</v>
      </c>
      <c r="G20" s="392">
        <f t="shared" si="1"/>
        <v>10000</v>
      </c>
      <c r="H20" s="394">
        <f t="shared" si="2"/>
        <v>0</v>
      </c>
      <c r="I20" s="138"/>
      <c r="J20" s="408">
        <f>IFERROR(VLOOKUP($C20,'Proposed Rates'!$B:$J,J$11,FALSE),0)</f>
        <v>0</v>
      </c>
      <c r="K20" s="392">
        <f t="shared" si="3"/>
        <v>10000</v>
      </c>
      <c r="L20" s="394">
        <f t="shared" si="4"/>
        <v>0</v>
      </c>
      <c r="M20" s="138"/>
      <c r="N20" s="395">
        <f t="shared" si="5"/>
        <v>0</v>
      </c>
      <c r="O20" s="396" t="str">
        <f t="shared" si="6"/>
        <v/>
      </c>
      <c r="P20" s="53"/>
      <c r="Q20" s="408">
        <f>IFERROR(VLOOKUP($C20,'Proposed Rates'!$B:$J,Q$11,FALSE),0)</f>
        <v>0</v>
      </c>
      <c r="R20" s="392">
        <f t="shared" si="7"/>
        <v>10000</v>
      </c>
      <c r="S20" s="394">
        <f t="shared" si="8"/>
        <v>0</v>
      </c>
      <c r="T20" s="138"/>
      <c r="U20" s="395">
        <f t="shared" si="9"/>
        <v>0</v>
      </c>
      <c r="V20" s="396" t="str">
        <f t="shared" si="10"/>
        <v/>
      </c>
      <c r="W20" s="53"/>
      <c r="X20" s="408">
        <f>IFERROR(VLOOKUP($C20,'Proposed Rates'!$B:$J,X$11,FALSE),0)</f>
        <v>0</v>
      </c>
      <c r="Y20" s="392">
        <f t="shared" si="11"/>
        <v>10000</v>
      </c>
      <c r="Z20" s="394">
        <f t="shared" si="12"/>
        <v>0</v>
      </c>
      <c r="AA20" s="138"/>
      <c r="AB20" s="395">
        <f t="shared" si="13"/>
        <v>0</v>
      </c>
      <c r="AC20" s="396" t="str">
        <f t="shared" si="14"/>
        <v/>
      </c>
      <c r="AD20" s="53"/>
      <c r="AE20" s="408">
        <f>IFERROR(VLOOKUP($C20,'Proposed Rates'!$B:$J,AE$11,FALSE),0)</f>
        <v>0</v>
      </c>
      <c r="AF20" s="392">
        <f t="shared" si="15"/>
        <v>10000</v>
      </c>
      <c r="AG20" s="394">
        <f t="shared" si="16"/>
        <v>0</v>
      </c>
      <c r="AH20" s="138"/>
      <c r="AI20" s="395">
        <f t="shared" si="17"/>
        <v>0</v>
      </c>
      <c r="AJ20" s="396" t="str">
        <f t="shared" si="18"/>
        <v/>
      </c>
      <c r="AK20" s="53"/>
      <c r="AL20" s="408">
        <f>IFERROR(VLOOKUP($C20,'Proposed Rates'!$B:$J,AL$11,FALSE),0)</f>
        <v>0</v>
      </c>
      <c r="AM20" s="392">
        <f t="shared" si="19"/>
        <v>10000</v>
      </c>
      <c r="AN20" s="394">
        <f t="shared" si="24"/>
        <v>0</v>
      </c>
      <c r="AO20" s="138"/>
      <c r="AP20" s="395">
        <f t="shared" si="21"/>
        <v>0</v>
      </c>
      <c r="AQ20" s="396" t="str">
        <f t="shared" si="22"/>
        <v/>
      </c>
      <c r="AR20" s="397"/>
    </row>
    <row r="21" spans="1:44" ht="12" customHeight="1">
      <c r="A21" s="53"/>
      <c r="B21" s="328" t="s">
        <v>269</v>
      </c>
      <c r="C21" s="389" t="str">
        <f t="shared" si="0"/>
        <v>General Service &lt; 50 kW.LRAM Rate Rider</v>
      </c>
      <c r="D21" s="390" t="s">
        <v>337</v>
      </c>
      <c r="E21" s="328"/>
      <c r="F21" s="408">
        <f>'Proposed Rates'!E78+'Proposed Rates'!E91</f>
        <v>6.9999999999999999E-4</v>
      </c>
      <c r="G21" s="392">
        <f t="shared" si="1"/>
        <v>10000</v>
      </c>
      <c r="H21" s="394">
        <f t="shared" si="2"/>
        <v>7</v>
      </c>
      <c r="I21" s="138"/>
      <c r="J21" s="408">
        <f>'Proposed Rates'!F78+'Proposed Rates'!F91</f>
        <v>5.9999999999999995E-4</v>
      </c>
      <c r="K21" s="392">
        <f t="shared" si="3"/>
        <v>10000</v>
      </c>
      <c r="L21" s="394">
        <f t="shared" si="4"/>
        <v>5.9999999999999991</v>
      </c>
      <c r="M21" s="138"/>
      <c r="N21" s="395">
        <f t="shared" si="5"/>
        <v>-1.0000000000000009</v>
      </c>
      <c r="O21" s="396">
        <f t="shared" si="6"/>
        <v>-0.14285714285714299</v>
      </c>
      <c r="P21" s="53"/>
      <c r="Q21" s="408">
        <f>'Proposed Rates'!G78+'Proposed Rates'!G91</f>
        <v>0</v>
      </c>
      <c r="R21" s="392">
        <f t="shared" si="7"/>
        <v>10000</v>
      </c>
      <c r="S21" s="394">
        <f t="shared" si="8"/>
        <v>0</v>
      </c>
      <c r="T21" s="138"/>
      <c r="U21" s="395">
        <f t="shared" si="9"/>
        <v>-5.9999999999999991</v>
      </c>
      <c r="V21" s="396">
        <f t="shared" si="10"/>
        <v>-1</v>
      </c>
      <c r="W21" s="53"/>
      <c r="X21" s="408">
        <f>IFERROR(VLOOKUP($C21,'Proposed Rates'!$B:$J,X$11,FALSE),0)</f>
        <v>0</v>
      </c>
      <c r="Y21" s="392">
        <f t="shared" si="11"/>
        <v>10000</v>
      </c>
      <c r="Z21" s="394">
        <f t="shared" si="12"/>
        <v>0</v>
      </c>
      <c r="AA21" s="138"/>
      <c r="AB21" s="395">
        <f t="shared" si="13"/>
        <v>0</v>
      </c>
      <c r="AC21" s="396" t="str">
        <f t="shared" si="14"/>
        <v/>
      </c>
      <c r="AD21" s="53"/>
      <c r="AE21" s="408">
        <f>IFERROR(VLOOKUP($C21,'Proposed Rates'!$B:$J,AE$11,FALSE),0)</f>
        <v>0</v>
      </c>
      <c r="AF21" s="392">
        <f t="shared" si="15"/>
        <v>10000</v>
      </c>
      <c r="AG21" s="394">
        <f t="shared" si="16"/>
        <v>0</v>
      </c>
      <c r="AH21" s="138"/>
      <c r="AI21" s="395">
        <f t="shared" si="17"/>
        <v>0</v>
      </c>
      <c r="AJ21" s="396" t="str">
        <f t="shared" si="18"/>
        <v/>
      </c>
      <c r="AK21" s="53"/>
      <c r="AL21" s="408">
        <f>IFERROR(VLOOKUP($C21,'Proposed Rates'!$B:$J,AL$11,FALSE),0)</f>
        <v>0</v>
      </c>
      <c r="AM21" s="392">
        <f t="shared" si="19"/>
        <v>10000</v>
      </c>
      <c r="AN21" s="394">
        <f t="shared" si="24"/>
        <v>0</v>
      </c>
      <c r="AO21" s="138"/>
      <c r="AP21" s="395">
        <f t="shared" si="21"/>
        <v>0</v>
      </c>
      <c r="AQ21" s="396" t="str">
        <f t="shared" si="22"/>
        <v/>
      </c>
      <c r="AR21" s="397"/>
    </row>
    <row r="22" spans="1:44" ht="12" customHeight="1">
      <c r="A22" s="53"/>
      <c r="B22" s="398" t="s">
        <v>265</v>
      </c>
      <c r="C22" s="389" t="str">
        <f t="shared" si="0"/>
        <v>General Service &lt; 50 kW.Deferral/Variance Account Disposition Rate Rider Group 2</v>
      </c>
      <c r="D22" s="390" t="s">
        <v>337</v>
      </c>
      <c r="E22" s="328"/>
      <c r="F22" s="408">
        <f>IFERROR(VLOOKUP($C22,'Proposed Rates'!$B:$J,F$11,FALSE),0)</f>
        <v>0</v>
      </c>
      <c r="G22" s="392">
        <f t="shared" si="1"/>
        <v>10000</v>
      </c>
      <c r="H22" s="394">
        <f t="shared" si="2"/>
        <v>0</v>
      </c>
      <c r="I22" s="138"/>
      <c r="J22" s="408">
        <f>IFERROR(VLOOKUP($C22,'Proposed Rates'!$B:$J,J$11,FALSE),0)</f>
        <v>-1.4E-3</v>
      </c>
      <c r="K22" s="392">
        <f t="shared" si="3"/>
        <v>10000</v>
      </c>
      <c r="L22" s="394">
        <f t="shared" si="4"/>
        <v>-14</v>
      </c>
      <c r="M22" s="138"/>
      <c r="N22" s="395">
        <f t="shared" si="5"/>
        <v>-14</v>
      </c>
      <c r="O22" s="396" t="str">
        <f t="shared" si="6"/>
        <v/>
      </c>
      <c r="P22" s="53"/>
      <c r="Q22" s="408">
        <f>IFERROR(VLOOKUP($C22,'Proposed Rates'!$B:$J,Q$11,FALSE),0)</f>
        <v>0</v>
      </c>
      <c r="R22" s="392">
        <f t="shared" si="7"/>
        <v>10000</v>
      </c>
      <c r="S22" s="394">
        <f t="shared" si="8"/>
        <v>0</v>
      </c>
      <c r="T22" s="138"/>
      <c r="U22" s="395">
        <f t="shared" si="9"/>
        <v>14</v>
      </c>
      <c r="V22" s="396">
        <f t="shared" si="10"/>
        <v>-1</v>
      </c>
      <c r="W22" s="53"/>
      <c r="X22" s="408">
        <f>IFERROR(VLOOKUP($C22,'Proposed Rates'!$B:$J,X$11,FALSE),0)</f>
        <v>0</v>
      </c>
      <c r="Y22" s="392">
        <f t="shared" si="11"/>
        <v>10000</v>
      </c>
      <c r="Z22" s="394">
        <f t="shared" si="12"/>
        <v>0</v>
      </c>
      <c r="AA22" s="138"/>
      <c r="AB22" s="395">
        <f t="shared" si="13"/>
        <v>0</v>
      </c>
      <c r="AC22" s="396" t="str">
        <f t="shared" si="14"/>
        <v/>
      </c>
      <c r="AD22" s="53"/>
      <c r="AE22" s="408">
        <f>IFERROR(VLOOKUP($C22,'Proposed Rates'!$B:$J,AE$11,FALSE),0)</f>
        <v>0</v>
      </c>
      <c r="AF22" s="392">
        <f t="shared" si="15"/>
        <v>10000</v>
      </c>
      <c r="AG22" s="394">
        <f t="shared" si="16"/>
        <v>0</v>
      </c>
      <c r="AH22" s="138"/>
      <c r="AI22" s="395">
        <f t="shared" si="17"/>
        <v>0</v>
      </c>
      <c r="AJ22" s="396" t="str">
        <f t="shared" si="18"/>
        <v/>
      </c>
      <c r="AK22" s="53"/>
      <c r="AL22" s="408">
        <f>IFERROR(VLOOKUP($C22,'Proposed Rates'!$B:$J,AL$11,FALSE),0)</f>
        <v>0</v>
      </c>
      <c r="AM22" s="392">
        <f t="shared" si="19"/>
        <v>10000</v>
      </c>
      <c r="AN22" s="394">
        <f t="shared" si="24"/>
        <v>0</v>
      </c>
      <c r="AO22" s="138"/>
      <c r="AP22" s="395">
        <f t="shared" si="21"/>
        <v>0</v>
      </c>
      <c r="AQ22" s="396" t="str">
        <f t="shared" si="22"/>
        <v/>
      </c>
      <c r="AR22" s="397"/>
    </row>
    <row r="23" spans="1:44" ht="12" customHeight="1">
      <c r="A23" s="53"/>
      <c r="B23" s="398"/>
      <c r="C23" s="389" t="str">
        <f t="shared" si="0"/>
        <v>General Service &lt; 50 kW.</v>
      </c>
      <c r="D23" s="390"/>
      <c r="E23" s="328"/>
      <c r="F23" s="408">
        <f>IFERROR(VLOOKUP($C23,'Proposed Rates'!$B:$J,F$11,FALSE),0)</f>
        <v>0</v>
      </c>
      <c r="G23" s="392">
        <f t="shared" si="1"/>
        <v>0</v>
      </c>
      <c r="H23" s="394">
        <f t="shared" si="2"/>
        <v>0</v>
      </c>
      <c r="I23" s="138"/>
      <c r="J23" s="408">
        <f>IFERROR(VLOOKUP($C23,'Proposed Rates'!$B:$J,J$11,FALSE),0)</f>
        <v>0</v>
      </c>
      <c r="K23" s="392">
        <f t="shared" si="3"/>
        <v>0</v>
      </c>
      <c r="L23" s="394">
        <f t="shared" si="4"/>
        <v>0</v>
      </c>
      <c r="M23" s="138"/>
      <c r="N23" s="395">
        <f t="shared" si="5"/>
        <v>0</v>
      </c>
      <c r="O23" s="396" t="str">
        <f t="shared" si="6"/>
        <v/>
      </c>
      <c r="P23" s="53"/>
      <c r="Q23" s="408">
        <f>IFERROR(VLOOKUP($C23,'Proposed Rates'!$B:$J,Q$11,FALSE),0)</f>
        <v>0</v>
      </c>
      <c r="R23" s="392">
        <f t="shared" si="7"/>
        <v>0</v>
      </c>
      <c r="S23" s="394">
        <f t="shared" si="8"/>
        <v>0</v>
      </c>
      <c r="T23" s="138"/>
      <c r="U23" s="395">
        <f t="shared" si="9"/>
        <v>0</v>
      </c>
      <c r="V23" s="396" t="str">
        <f t="shared" si="10"/>
        <v/>
      </c>
      <c r="W23" s="53"/>
      <c r="X23" s="408">
        <f>IFERROR(VLOOKUP($C23,'Proposed Rates'!$B:$J,X$11,FALSE),0)</f>
        <v>0</v>
      </c>
      <c r="Y23" s="392">
        <f t="shared" si="11"/>
        <v>0</v>
      </c>
      <c r="Z23" s="394">
        <f t="shared" si="12"/>
        <v>0</v>
      </c>
      <c r="AA23" s="138"/>
      <c r="AB23" s="395">
        <f t="shared" si="13"/>
        <v>0</v>
      </c>
      <c r="AC23" s="396" t="str">
        <f t="shared" si="14"/>
        <v/>
      </c>
      <c r="AD23" s="53"/>
      <c r="AE23" s="408">
        <f>IFERROR(VLOOKUP($C23,'Proposed Rates'!$B:$J,AE$11,FALSE),0)</f>
        <v>0</v>
      </c>
      <c r="AF23" s="392">
        <f t="shared" si="15"/>
        <v>0</v>
      </c>
      <c r="AG23" s="394">
        <f t="shared" si="16"/>
        <v>0</v>
      </c>
      <c r="AH23" s="138"/>
      <c r="AI23" s="395">
        <f t="shared" si="17"/>
        <v>0</v>
      </c>
      <c r="AJ23" s="396" t="str">
        <f t="shared" si="18"/>
        <v/>
      </c>
      <c r="AK23" s="53"/>
      <c r="AL23" s="408">
        <f>IFERROR(VLOOKUP($C23,'Proposed Rates'!$B:$J,AL$11,FALSE),0)</f>
        <v>0</v>
      </c>
      <c r="AM23" s="392">
        <f t="shared" si="19"/>
        <v>0</v>
      </c>
      <c r="AN23" s="394">
        <f t="shared" si="24"/>
        <v>0</v>
      </c>
      <c r="AO23" s="138"/>
      <c r="AP23" s="395">
        <f t="shared" si="21"/>
        <v>0</v>
      </c>
      <c r="AQ23" s="396" t="str">
        <f t="shared" si="22"/>
        <v/>
      </c>
      <c r="AR23" s="397"/>
    </row>
    <row r="24" spans="1:44" ht="12" customHeight="1">
      <c r="A24" s="53"/>
      <c r="B24" s="398"/>
      <c r="C24" s="389" t="str">
        <f t="shared" si="0"/>
        <v>General Service &lt; 50 kW.</v>
      </c>
      <c r="D24" s="390"/>
      <c r="E24" s="328"/>
      <c r="F24" s="408">
        <f>IFERROR(VLOOKUP($C24,'Proposed Rates'!$B:$J,F$11,FALSE),0)</f>
        <v>0</v>
      </c>
      <c r="G24" s="392">
        <f t="shared" si="1"/>
        <v>0</v>
      </c>
      <c r="H24" s="394">
        <f t="shared" si="2"/>
        <v>0</v>
      </c>
      <c r="I24" s="138"/>
      <c r="J24" s="408">
        <f>IFERROR(VLOOKUP($C24,'Proposed Rates'!$B:$J,J$11,FALSE),0)</f>
        <v>0</v>
      </c>
      <c r="K24" s="392">
        <f t="shared" si="3"/>
        <v>0</v>
      </c>
      <c r="L24" s="394">
        <f t="shared" si="4"/>
        <v>0</v>
      </c>
      <c r="M24" s="138"/>
      <c r="N24" s="395">
        <f t="shared" si="5"/>
        <v>0</v>
      </c>
      <c r="O24" s="396" t="str">
        <f t="shared" si="6"/>
        <v/>
      </c>
      <c r="P24" s="53"/>
      <c r="Q24" s="408">
        <f>IFERROR(VLOOKUP($C24,'Proposed Rates'!$B:$J,Q$11,FALSE),0)</f>
        <v>0</v>
      </c>
      <c r="R24" s="392">
        <f t="shared" si="7"/>
        <v>0</v>
      </c>
      <c r="S24" s="394">
        <f t="shared" si="8"/>
        <v>0</v>
      </c>
      <c r="T24" s="138"/>
      <c r="U24" s="395">
        <f t="shared" si="9"/>
        <v>0</v>
      </c>
      <c r="V24" s="396" t="str">
        <f t="shared" si="10"/>
        <v/>
      </c>
      <c r="W24" s="53"/>
      <c r="X24" s="408">
        <f>IFERROR(VLOOKUP($C24,'Proposed Rates'!$B:$J,X$11,FALSE),0)</f>
        <v>0</v>
      </c>
      <c r="Y24" s="392">
        <f t="shared" si="11"/>
        <v>0</v>
      </c>
      <c r="Z24" s="394">
        <f t="shared" si="12"/>
        <v>0</v>
      </c>
      <c r="AA24" s="138"/>
      <c r="AB24" s="395">
        <f t="shared" si="13"/>
        <v>0</v>
      </c>
      <c r="AC24" s="396" t="str">
        <f t="shared" si="14"/>
        <v/>
      </c>
      <c r="AD24" s="53"/>
      <c r="AE24" s="408">
        <f>IFERROR(VLOOKUP($C24,'Proposed Rates'!$B:$J,AE$11,FALSE),0)</f>
        <v>0</v>
      </c>
      <c r="AF24" s="392">
        <f t="shared" si="15"/>
        <v>0</v>
      </c>
      <c r="AG24" s="394">
        <f t="shared" si="16"/>
        <v>0</v>
      </c>
      <c r="AH24" s="138"/>
      <c r="AI24" s="395">
        <f t="shared" si="17"/>
        <v>0</v>
      </c>
      <c r="AJ24" s="396" t="str">
        <f t="shared" si="18"/>
        <v/>
      </c>
      <c r="AK24" s="53"/>
      <c r="AL24" s="408">
        <f>IFERROR(VLOOKUP($C24,'Proposed Rates'!$B:$J,AL$11,FALSE),0)</f>
        <v>0</v>
      </c>
      <c r="AM24" s="392">
        <f t="shared" si="19"/>
        <v>0</v>
      </c>
      <c r="AN24" s="394">
        <f t="shared" si="24"/>
        <v>0</v>
      </c>
      <c r="AO24" s="138"/>
      <c r="AP24" s="395">
        <f t="shared" si="21"/>
        <v>0</v>
      </c>
      <c r="AQ24" s="396" t="str">
        <f t="shared" si="22"/>
        <v/>
      </c>
      <c r="AR24" s="397"/>
    </row>
    <row r="25" spans="1:44" ht="12" customHeight="1">
      <c r="A25" s="53"/>
      <c r="B25" s="398"/>
      <c r="C25" s="389" t="str">
        <f t="shared" si="0"/>
        <v>General Service &lt; 50 kW.</v>
      </c>
      <c r="D25" s="390"/>
      <c r="E25" s="328"/>
      <c r="F25" s="408">
        <f>IFERROR(VLOOKUP($C25,'Proposed Rates'!$B:$J,F$11,FALSE),0)</f>
        <v>0</v>
      </c>
      <c r="G25" s="392">
        <f t="shared" si="1"/>
        <v>0</v>
      </c>
      <c r="H25" s="394">
        <f t="shared" si="2"/>
        <v>0</v>
      </c>
      <c r="I25" s="138"/>
      <c r="J25" s="408">
        <f>IFERROR(VLOOKUP($C25,'Proposed Rates'!$B:$J,J$11,FALSE),0)</f>
        <v>0</v>
      </c>
      <c r="K25" s="392">
        <f t="shared" si="3"/>
        <v>0</v>
      </c>
      <c r="L25" s="394">
        <f t="shared" si="4"/>
        <v>0</v>
      </c>
      <c r="M25" s="138"/>
      <c r="N25" s="395">
        <f t="shared" si="5"/>
        <v>0</v>
      </c>
      <c r="O25" s="396" t="str">
        <f t="shared" si="6"/>
        <v/>
      </c>
      <c r="P25" s="53"/>
      <c r="Q25" s="408">
        <f>IFERROR(VLOOKUP($C25,'Proposed Rates'!$B:$J,Q$11,FALSE),0)</f>
        <v>0</v>
      </c>
      <c r="R25" s="392">
        <f t="shared" si="7"/>
        <v>0</v>
      </c>
      <c r="S25" s="394">
        <f t="shared" si="8"/>
        <v>0</v>
      </c>
      <c r="T25" s="138"/>
      <c r="U25" s="395">
        <f t="shared" si="9"/>
        <v>0</v>
      </c>
      <c r="V25" s="396" t="str">
        <f t="shared" si="10"/>
        <v/>
      </c>
      <c r="W25" s="53"/>
      <c r="X25" s="408">
        <f>IFERROR(VLOOKUP($C25,'Proposed Rates'!$B:$J,X$11,FALSE),0)</f>
        <v>0</v>
      </c>
      <c r="Y25" s="392">
        <f t="shared" si="11"/>
        <v>0</v>
      </c>
      <c r="Z25" s="394">
        <f t="shared" si="12"/>
        <v>0</v>
      </c>
      <c r="AA25" s="138"/>
      <c r="AB25" s="395">
        <f t="shared" si="13"/>
        <v>0</v>
      </c>
      <c r="AC25" s="396" t="str">
        <f t="shared" si="14"/>
        <v/>
      </c>
      <c r="AD25" s="53"/>
      <c r="AE25" s="408">
        <f>IFERROR(VLOOKUP($C25,'Proposed Rates'!$B:$J,AE$11,FALSE),0)</f>
        <v>0</v>
      </c>
      <c r="AF25" s="392">
        <f t="shared" si="15"/>
        <v>0</v>
      </c>
      <c r="AG25" s="394">
        <f t="shared" si="16"/>
        <v>0</v>
      </c>
      <c r="AH25" s="138"/>
      <c r="AI25" s="395">
        <f t="shared" si="17"/>
        <v>0</v>
      </c>
      <c r="AJ25" s="396" t="str">
        <f t="shared" si="18"/>
        <v/>
      </c>
      <c r="AK25" s="53"/>
      <c r="AL25" s="408">
        <f>IFERROR(VLOOKUP($C25,'Proposed Rates'!$B:$J,AL$11,FALSE),0)</f>
        <v>0</v>
      </c>
      <c r="AM25" s="392">
        <f t="shared" si="19"/>
        <v>0</v>
      </c>
      <c r="AN25" s="394">
        <f t="shared" si="24"/>
        <v>0</v>
      </c>
      <c r="AO25" s="138"/>
      <c r="AP25" s="395">
        <f t="shared" si="21"/>
        <v>0</v>
      </c>
      <c r="AQ25" s="396" t="str">
        <f t="shared" si="22"/>
        <v/>
      </c>
      <c r="AR25" s="397"/>
    </row>
    <row r="26" spans="1:44" ht="12" customHeight="1">
      <c r="A26" s="53"/>
      <c r="B26" s="398"/>
      <c r="C26" s="389" t="str">
        <f t="shared" si="0"/>
        <v>General Service &lt; 50 kW.</v>
      </c>
      <c r="D26" s="390"/>
      <c r="E26" s="328"/>
      <c r="F26" s="408">
        <f>IFERROR(VLOOKUP($C26,'Proposed Rates'!$B:$J,F$11,FALSE),0)</f>
        <v>0</v>
      </c>
      <c r="G26" s="392">
        <f t="shared" si="1"/>
        <v>0</v>
      </c>
      <c r="H26" s="394">
        <f t="shared" si="2"/>
        <v>0</v>
      </c>
      <c r="I26" s="138"/>
      <c r="J26" s="408">
        <f>IFERROR(VLOOKUP($C26,'Proposed Rates'!$B:$J,J$11,FALSE),0)</f>
        <v>0</v>
      </c>
      <c r="K26" s="392">
        <f t="shared" si="3"/>
        <v>0</v>
      </c>
      <c r="L26" s="394">
        <f t="shared" si="4"/>
        <v>0</v>
      </c>
      <c r="M26" s="138"/>
      <c r="N26" s="395">
        <f t="shared" si="5"/>
        <v>0</v>
      </c>
      <c r="O26" s="396" t="str">
        <f t="shared" si="6"/>
        <v/>
      </c>
      <c r="P26" s="53"/>
      <c r="Q26" s="408">
        <f>IFERROR(VLOOKUP($C26,'Proposed Rates'!$B:$J,Q$11,FALSE),0)</f>
        <v>0</v>
      </c>
      <c r="R26" s="392">
        <f t="shared" si="7"/>
        <v>0</v>
      </c>
      <c r="S26" s="394">
        <f t="shared" si="8"/>
        <v>0</v>
      </c>
      <c r="T26" s="138"/>
      <c r="U26" s="395">
        <f t="shared" si="9"/>
        <v>0</v>
      </c>
      <c r="V26" s="396" t="str">
        <f t="shared" si="10"/>
        <v/>
      </c>
      <c r="W26" s="53"/>
      <c r="X26" s="408">
        <f>IFERROR(VLOOKUP($C26,'Proposed Rates'!$B:$J,X$11,FALSE),0)</f>
        <v>0</v>
      </c>
      <c r="Y26" s="392">
        <f t="shared" si="11"/>
        <v>0</v>
      </c>
      <c r="Z26" s="394">
        <f t="shared" si="12"/>
        <v>0</v>
      </c>
      <c r="AA26" s="138"/>
      <c r="AB26" s="395">
        <f t="shared" si="13"/>
        <v>0</v>
      </c>
      <c r="AC26" s="396" t="str">
        <f t="shared" si="14"/>
        <v/>
      </c>
      <c r="AD26" s="53"/>
      <c r="AE26" s="408">
        <f>IFERROR(VLOOKUP($C26,'Proposed Rates'!$B:$J,AE$11,FALSE),0)</f>
        <v>0</v>
      </c>
      <c r="AF26" s="392">
        <f t="shared" si="15"/>
        <v>0</v>
      </c>
      <c r="AG26" s="394">
        <f t="shared" si="16"/>
        <v>0</v>
      </c>
      <c r="AH26" s="138"/>
      <c r="AI26" s="395">
        <f t="shared" si="17"/>
        <v>0</v>
      </c>
      <c r="AJ26" s="396" t="str">
        <f t="shared" si="18"/>
        <v/>
      </c>
      <c r="AK26" s="53"/>
      <c r="AL26" s="408">
        <f>IFERROR(VLOOKUP($C26,'Proposed Rates'!$B:$J,AL$11,FALSE),0)</f>
        <v>0</v>
      </c>
      <c r="AM26" s="392">
        <f t="shared" si="19"/>
        <v>0</v>
      </c>
      <c r="AN26" s="394">
        <f t="shared" si="24"/>
        <v>0</v>
      </c>
      <c r="AO26" s="138"/>
      <c r="AP26" s="395">
        <f t="shared" si="21"/>
        <v>0</v>
      </c>
      <c r="AQ26" s="396" t="str">
        <f t="shared" si="22"/>
        <v/>
      </c>
      <c r="AR26" s="397"/>
    </row>
    <row r="27" spans="1:44" ht="12" customHeight="1">
      <c r="A27" s="53"/>
      <c r="B27" s="398"/>
      <c r="C27" s="389" t="str">
        <f t="shared" si="0"/>
        <v>General Service &lt; 50 kW.</v>
      </c>
      <c r="D27" s="390"/>
      <c r="E27" s="328"/>
      <c r="F27" s="408">
        <f>IFERROR(VLOOKUP($C27,'Proposed Rates'!$B:$J,F$11,FALSE),0)</f>
        <v>0</v>
      </c>
      <c r="G27" s="392">
        <f t="shared" si="1"/>
        <v>0</v>
      </c>
      <c r="H27" s="394">
        <f t="shared" si="2"/>
        <v>0</v>
      </c>
      <c r="I27" s="138"/>
      <c r="J27" s="408">
        <f>IFERROR(VLOOKUP($C27,'Proposed Rates'!$B:$J,J$11,FALSE),0)</f>
        <v>0</v>
      </c>
      <c r="K27" s="392">
        <f t="shared" si="3"/>
        <v>0</v>
      </c>
      <c r="L27" s="394">
        <f t="shared" si="4"/>
        <v>0</v>
      </c>
      <c r="M27" s="138"/>
      <c r="N27" s="395">
        <f t="shared" si="5"/>
        <v>0</v>
      </c>
      <c r="O27" s="396" t="str">
        <f t="shared" si="6"/>
        <v/>
      </c>
      <c r="P27" s="53"/>
      <c r="Q27" s="408">
        <f>IFERROR(VLOOKUP($C27,'Proposed Rates'!$B:$J,Q$11,FALSE),0)</f>
        <v>0</v>
      </c>
      <c r="R27" s="392">
        <f t="shared" si="7"/>
        <v>0</v>
      </c>
      <c r="S27" s="394">
        <f t="shared" si="8"/>
        <v>0</v>
      </c>
      <c r="T27" s="138"/>
      <c r="U27" s="395">
        <f t="shared" si="9"/>
        <v>0</v>
      </c>
      <c r="V27" s="396" t="str">
        <f t="shared" si="10"/>
        <v/>
      </c>
      <c r="W27" s="53"/>
      <c r="X27" s="408">
        <f>IFERROR(VLOOKUP($C27,'Proposed Rates'!$B:$J,X$11,FALSE),0)</f>
        <v>0</v>
      </c>
      <c r="Y27" s="392">
        <f t="shared" si="11"/>
        <v>0</v>
      </c>
      <c r="Z27" s="394">
        <f t="shared" si="12"/>
        <v>0</v>
      </c>
      <c r="AA27" s="138"/>
      <c r="AB27" s="395">
        <f t="shared" si="13"/>
        <v>0</v>
      </c>
      <c r="AC27" s="396" t="str">
        <f t="shared" si="14"/>
        <v/>
      </c>
      <c r="AD27" s="53"/>
      <c r="AE27" s="408">
        <f>IFERROR(VLOOKUP($C27,'Proposed Rates'!$B:$J,AE$11,FALSE),0)</f>
        <v>0</v>
      </c>
      <c r="AF27" s="392">
        <f t="shared" si="15"/>
        <v>0</v>
      </c>
      <c r="AG27" s="394">
        <f t="shared" si="16"/>
        <v>0</v>
      </c>
      <c r="AH27" s="138"/>
      <c r="AI27" s="395">
        <f t="shared" si="17"/>
        <v>0</v>
      </c>
      <c r="AJ27" s="396" t="str">
        <f t="shared" si="18"/>
        <v/>
      </c>
      <c r="AK27" s="53"/>
      <c r="AL27" s="408">
        <f>IFERROR(VLOOKUP($C27,'Proposed Rates'!$B:$J,AL$11,FALSE),0)</f>
        <v>0</v>
      </c>
      <c r="AM27" s="392">
        <f t="shared" si="19"/>
        <v>0</v>
      </c>
      <c r="AN27" s="394">
        <f t="shared" si="24"/>
        <v>0</v>
      </c>
      <c r="AO27" s="138"/>
      <c r="AP27" s="395">
        <f t="shared" si="21"/>
        <v>0</v>
      </c>
      <c r="AQ27" s="396" t="str">
        <f t="shared" si="22"/>
        <v/>
      </c>
      <c r="AR27" s="397"/>
    </row>
    <row r="28" spans="1:44" ht="12" customHeight="1">
      <c r="A28" s="53"/>
      <c r="B28" s="398"/>
      <c r="C28" s="389" t="str">
        <f t="shared" si="0"/>
        <v>General Service &lt; 50 kW.</v>
      </c>
      <c r="D28" s="390"/>
      <c r="E28" s="328"/>
      <c r="F28" s="408">
        <f>IFERROR(VLOOKUP($C28,'Proposed Rates'!$B:$J,F$11,FALSE),0)</f>
        <v>0</v>
      </c>
      <c r="G28" s="392">
        <f t="shared" si="1"/>
        <v>0</v>
      </c>
      <c r="H28" s="394">
        <f t="shared" si="2"/>
        <v>0</v>
      </c>
      <c r="I28" s="138"/>
      <c r="J28" s="408">
        <f>IFERROR(VLOOKUP($C28,'Proposed Rates'!$B:$J,J$11,FALSE),0)</f>
        <v>0</v>
      </c>
      <c r="K28" s="392">
        <f t="shared" si="3"/>
        <v>0</v>
      </c>
      <c r="L28" s="394">
        <f t="shared" si="4"/>
        <v>0</v>
      </c>
      <c r="M28" s="138"/>
      <c r="N28" s="395">
        <f t="shared" si="5"/>
        <v>0</v>
      </c>
      <c r="O28" s="396" t="str">
        <f t="shared" si="6"/>
        <v/>
      </c>
      <c r="P28" s="53"/>
      <c r="Q28" s="408">
        <f>IFERROR(VLOOKUP($C28,'Proposed Rates'!$B:$J,Q$11,FALSE),0)</f>
        <v>0</v>
      </c>
      <c r="R28" s="392">
        <f t="shared" si="7"/>
        <v>0</v>
      </c>
      <c r="S28" s="394">
        <f t="shared" si="8"/>
        <v>0</v>
      </c>
      <c r="T28" s="138"/>
      <c r="U28" s="395">
        <f t="shared" si="9"/>
        <v>0</v>
      </c>
      <c r="V28" s="396" t="str">
        <f t="shared" si="10"/>
        <v/>
      </c>
      <c r="W28" s="53"/>
      <c r="X28" s="408">
        <f>IFERROR(VLOOKUP($C28,'Proposed Rates'!$B:$J,X$11,FALSE),0)</f>
        <v>0</v>
      </c>
      <c r="Y28" s="392">
        <f t="shared" si="11"/>
        <v>0</v>
      </c>
      <c r="Z28" s="394">
        <f t="shared" si="12"/>
        <v>0</v>
      </c>
      <c r="AA28" s="138"/>
      <c r="AB28" s="395">
        <f t="shared" si="13"/>
        <v>0</v>
      </c>
      <c r="AC28" s="396" t="str">
        <f t="shared" si="14"/>
        <v/>
      </c>
      <c r="AD28" s="53"/>
      <c r="AE28" s="408">
        <f>IFERROR(VLOOKUP($C28,'Proposed Rates'!$B:$J,AE$11,FALSE),0)</f>
        <v>0</v>
      </c>
      <c r="AF28" s="392">
        <f t="shared" si="15"/>
        <v>0</v>
      </c>
      <c r="AG28" s="394">
        <f t="shared" si="16"/>
        <v>0</v>
      </c>
      <c r="AH28" s="138"/>
      <c r="AI28" s="395">
        <f t="shared" si="17"/>
        <v>0</v>
      </c>
      <c r="AJ28" s="396" t="str">
        <f t="shared" si="18"/>
        <v/>
      </c>
      <c r="AK28" s="53"/>
      <c r="AL28" s="408">
        <f>IFERROR(VLOOKUP($C28,'Proposed Rates'!$B:$J,AL$11,FALSE),0)</f>
        <v>0</v>
      </c>
      <c r="AM28" s="392">
        <f t="shared" si="19"/>
        <v>0</v>
      </c>
      <c r="AN28" s="394">
        <f t="shared" si="24"/>
        <v>0</v>
      </c>
      <c r="AO28" s="138"/>
      <c r="AP28" s="395">
        <f t="shared" si="21"/>
        <v>0</v>
      </c>
      <c r="AQ28" s="396" t="str">
        <f t="shared" si="22"/>
        <v/>
      </c>
      <c r="AR28" s="397"/>
    </row>
    <row r="29" spans="1:44" ht="12" customHeight="1">
      <c r="A29" s="314"/>
      <c r="B29" s="399" t="s">
        <v>339</v>
      </c>
      <c r="C29" s="400"/>
      <c r="D29" s="400"/>
      <c r="E29" s="400"/>
      <c r="F29" s="401"/>
      <c r="G29" s="494"/>
      <c r="H29" s="403">
        <f>SUM(H15:H28)</f>
        <v>335.53</v>
      </c>
      <c r="I29" s="404"/>
      <c r="J29" s="401"/>
      <c r="K29" s="494"/>
      <c r="L29" s="403">
        <f>SUM(L15:L28)</f>
        <v>372.15</v>
      </c>
      <c r="M29" s="404"/>
      <c r="N29" s="405">
        <f t="shared" si="5"/>
        <v>36.620000000000005</v>
      </c>
      <c r="O29" s="406">
        <f t="shared" si="6"/>
        <v>0.10914076237594256</v>
      </c>
      <c r="P29" s="314"/>
      <c r="Q29" s="401"/>
      <c r="R29" s="494"/>
      <c r="S29" s="403">
        <f>SUM(S15:S28)</f>
        <v>397.40999999999997</v>
      </c>
      <c r="T29" s="404"/>
      <c r="U29" s="405">
        <f t="shared" si="9"/>
        <v>25.259999999999991</v>
      </c>
      <c r="V29" s="406">
        <f t="shared" si="10"/>
        <v>6.7875856509471963E-2</v>
      </c>
      <c r="W29" s="314"/>
      <c r="X29" s="401"/>
      <c r="Y29" s="494"/>
      <c r="Z29" s="403">
        <f>SUM(Z15:Z28)</f>
        <v>408.30000000000007</v>
      </c>
      <c r="AA29" s="404"/>
      <c r="AB29" s="405">
        <f t="shared" si="13"/>
        <v>10.8900000000001</v>
      </c>
      <c r="AC29" s="406">
        <f t="shared" si="14"/>
        <v>2.7402430739035508E-2</v>
      </c>
      <c r="AD29" s="314"/>
      <c r="AE29" s="401"/>
      <c r="AF29" s="494"/>
      <c r="AG29" s="403">
        <f>SUM(AG15:AG28)</f>
        <v>414.77</v>
      </c>
      <c r="AH29" s="404"/>
      <c r="AI29" s="405">
        <f t="shared" si="17"/>
        <v>6.4699999999999136</v>
      </c>
      <c r="AJ29" s="406">
        <f t="shared" si="18"/>
        <v>1.5846191525838629E-2</v>
      </c>
      <c r="AK29" s="314"/>
      <c r="AL29" s="401"/>
      <c r="AM29" s="494"/>
      <c r="AN29" s="403">
        <f>SUM(AN15:AN28)</f>
        <v>421.21</v>
      </c>
      <c r="AO29" s="404"/>
      <c r="AP29" s="405">
        <f t="shared" si="21"/>
        <v>6.4399999999999977</v>
      </c>
      <c r="AQ29" s="406">
        <f t="shared" si="22"/>
        <v>1.5526677435687244E-2</v>
      </c>
      <c r="AR29" s="407"/>
    </row>
    <row r="30" spans="1:44" ht="12" customHeight="1">
      <c r="A30" s="53"/>
      <c r="B30" s="398" t="s">
        <v>262</v>
      </c>
      <c r="C30" s="389" t="str">
        <f t="shared" ref="C30:C36" si="25">D$6&amp;"."&amp;B30</f>
        <v>General Service &lt; 50 kW.DVA Disposition Rate Rider Group 1 -2025</v>
      </c>
      <c r="D30" s="390" t="s">
        <v>337</v>
      </c>
      <c r="E30" s="328"/>
      <c r="F30" s="408">
        <f>IFERROR(VLOOKUP($C30,'Proposed Rates'!$B:$J,F$11,FALSE),0)</f>
        <v>0</v>
      </c>
      <c r="G30" s="392">
        <f t="shared" ref="G30:G33" si="26">IF($D30="Monthly",1,IF($D30="per KWH",$F$10,0))</f>
        <v>10000</v>
      </c>
      <c r="H30" s="394">
        <f t="shared" ref="H30:H36" si="27">G30*F30</f>
        <v>0</v>
      </c>
      <c r="I30" s="138"/>
      <c r="J30" s="408">
        <f>IFERROR(VLOOKUP($C30,'Proposed Rates'!$B:$J,J$11,FALSE),0)</f>
        <v>-8.9999999999999998E-4</v>
      </c>
      <c r="K30" s="392">
        <f t="shared" ref="K30:K33" si="28">IF($D30="Monthly",1,IF($D30="per KWH",$F$10,0))</f>
        <v>10000</v>
      </c>
      <c r="L30" s="394">
        <f t="shared" ref="L30:L36" si="29">K30*J30</f>
        <v>-9</v>
      </c>
      <c r="M30" s="138"/>
      <c r="N30" s="395">
        <f t="shared" si="5"/>
        <v>-9</v>
      </c>
      <c r="O30" s="396" t="str">
        <f t="shared" si="6"/>
        <v/>
      </c>
      <c r="P30" s="53"/>
      <c r="Q30" s="408">
        <f>IFERROR(VLOOKUP($C30,'Proposed Rates'!$B:$J,Q$11,FALSE),0)</f>
        <v>0</v>
      </c>
      <c r="R30" s="392">
        <f t="shared" ref="R30:R33" si="30">IF($D30="Monthly",1,IF($D30="per KWH",$F$10,0))</f>
        <v>10000</v>
      </c>
      <c r="S30" s="394">
        <f t="shared" ref="S30:S36" si="31">R30*Q30</f>
        <v>0</v>
      </c>
      <c r="T30" s="138"/>
      <c r="U30" s="395">
        <f t="shared" si="9"/>
        <v>9</v>
      </c>
      <c r="V30" s="396">
        <f t="shared" si="10"/>
        <v>-1</v>
      </c>
      <c r="W30" s="53"/>
      <c r="X30" s="408">
        <f>IFERROR(VLOOKUP($C30,'Proposed Rates'!$B:$J,X$11,FALSE),0)</f>
        <v>0</v>
      </c>
      <c r="Y30" s="392">
        <f t="shared" ref="Y30:Y33" si="32">IF($D30="Monthly",1,IF($D30="per KWH",$F$10,0))</f>
        <v>10000</v>
      </c>
      <c r="Z30" s="394">
        <f t="shared" ref="Z30:Z36" si="33">Y30*X30</f>
        <v>0</v>
      </c>
      <c r="AA30" s="138"/>
      <c r="AB30" s="395">
        <f t="shared" si="13"/>
        <v>0</v>
      </c>
      <c r="AC30" s="396" t="str">
        <f t="shared" si="14"/>
        <v/>
      </c>
      <c r="AD30" s="53"/>
      <c r="AE30" s="408">
        <f>IFERROR(VLOOKUP($C30,'Proposed Rates'!$B:$J,AE$11,FALSE),0)</f>
        <v>0</v>
      </c>
      <c r="AF30" s="392">
        <f t="shared" ref="AF30:AF33" si="34">IF($D30="Monthly",1,IF($D30="per KWH",$F$10,0))</f>
        <v>10000</v>
      </c>
      <c r="AG30" s="394">
        <f t="shared" ref="AG30:AG36" si="35">AF30*AE30</f>
        <v>0</v>
      </c>
      <c r="AH30" s="138"/>
      <c r="AI30" s="395">
        <f t="shared" si="17"/>
        <v>0</v>
      </c>
      <c r="AJ30" s="396" t="str">
        <f t="shared" si="18"/>
        <v/>
      </c>
      <c r="AK30" s="53"/>
      <c r="AL30" s="408">
        <f>IFERROR(VLOOKUP($C30,'Proposed Rates'!$B:$J,AL$11,FALSE),0)</f>
        <v>0</v>
      </c>
      <c r="AM30" s="392">
        <f t="shared" ref="AM30:AM33" si="36">IF($D30="Monthly",1,IF($D30="per KWH",$F$10,0))</f>
        <v>10000</v>
      </c>
      <c r="AN30" s="394">
        <f t="shared" ref="AN30:AN36" si="37">AM30*AL30</f>
        <v>0</v>
      </c>
      <c r="AO30" s="138"/>
      <c r="AP30" s="395">
        <f t="shared" si="21"/>
        <v>0</v>
      </c>
      <c r="AQ30" s="396" t="str">
        <f t="shared" si="22"/>
        <v/>
      </c>
      <c r="AR30" s="397"/>
    </row>
    <row r="31" spans="1:44" ht="12" customHeight="1">
      <c r="A31" s="53"/>
      <c r="B31" s="398" t="s">
        <v>264</v>
      </c>
      <c r="C31" s="389" t="str">
        <f t="shared" si="25"/>
        <v>General Service &lt; 50 kW.DVA Disposition Rate Rider Group 1 - 2024</v>
      </c>
      <c r="D31" s="390" t="s">
        <v>337</v>
      </c>
      <c r="E31" s="328"/>
      <c r="F31" s="408">
        <f>IFERROR(VLOOKUP($C31,'Proposed Rates'!$B:$J,F$11,FALSE),0)</f>
        <v>0</v>
      </c>
      <c r="G31" s="392">
        <f t="shared" si="26"/>
        <v>10000</v>
      </c>
      <c r="H31" s="394">
        <f t="shared" si="27"/>
        <v>0</v>
      </c>
      <c r="I31" s="479"/>
      <c r="J31" s="408">
        <f>IFERROR(VLOOKUP($C31,'Proposed Rates'!$B:$J,J$11,FALSE),0)</f>
        <v>0</v>
      </c>
      <c r="K31" s="392">
        <f t="shared" si="28"/>
        <v>10000</v>
      </c>
      <c r="L31" s="394">
        <f t="shared" si="29"/>
        <v>0</v>
      </c>
      <c r="M31" s="411"/>
      <c r="N31" s="395">
        <f t="shared" si="5"/>
        <v>0</v>
      </c>
      <c r="O31" s="396" t="str">
        <f t="shared" si="6"/>
        <v/>
      </c>
      <c r="P31" s="53"/>
      <c r="Q31" s="408">
        <f>IFERROR(VLOOKUP($C31,'Proposed Rates'!$B:$J,Q$11,FALSE),0)</f>
        <v>0</v>
      </c>
      <c r="R31" s="392">
        <f t="shared" si="30"/>
        <v>10000</v>
      </c>
      <c r="S31" s="394">
        <f t="shared" si="31"/>
        <v>0</v>
      </c>
      <c r="T31" s="411"/>
      <c r="U31" s="395">
        <f t="shared" si="9"/>
        <v>0</v>
      </c>
      <c r="V31" s="396" t="str">
        <f t="shared" si="10"/>
        <v/>
      </c>
      <c r="W31" s="53"/>
      <c r="X31" s="408">
        <f>IFERROR(VLOOKUP($C31,'Proposed Rates'!$B:$J,X$11,FALSE),0)</f>
        <v>0</v>
      </c>
      <c r="Y31" s="392">
        <f t="shared" si="32"/>
        <v>10000</v>
      </c>
      <c r="Z31" s="394">
        <f t="shared" si="33"/>
        <v>0</v>
      </c>
      <c r="AA31" s="411"/>
      <c r="AB31" s="395">
        <f t="shared" si="13"/>
        <v>0</v>
      </c>
      <c r="AC31" s="396" t="str">
        <f t="shared" si="14"/>
        <v/>
      </c>
      <c r="AD31" s="53"/>
      <c r="AE31" s="408">
        <f>IFERROR(VLOOKUP($C31,'Proposed Rates'!$B:$J,AE$11,FALSE),0)</f>
        <v>0</v>
      </c>
      <c r="AF31" s="392">
        <f t="shared" si="34"/>
        <v>10000</v>
      </c>
      <c r="AG31" s="394">
        <f t="shared" si="35"/>
        <v>0</v>
      </c>
      <c r="AH31" s="411"/>
      <c r="AI31" s="395">
        <f t="shared" si="17"/>
        <v>0</v>
      </c>
      <c r="AJ31" s="396" t="str">
        <f t="shared" si="18"/>
        <v/>
      </c>
      <c r="AK31" s="53"/>
      <c r="AL31" s="408">
        <f>IFERROR(VLOOKUP($C31,'Proposed Rates'!$B:$J,AL$11,FALSE),0)</f>
        <v>0</v>
      </c>
      <c r="AM31" s="392">
        <f t="shared" si="36"/>
        <v>10000</v>
      </c>
      <c r="AN31" s="394">
        <f t="shared" si="37"/>
        <v>0</v>
      </c>
      <c r="AO31" s="411"/>
      <c r="AP31" s="395">
        <f t="shared" si="21"/>
        <v>0</v>
      </c>
      <c r="AQ31" s="396" t="str">
        <f t="shared" si="22"/>
        <v/>
      </c>
      <c r="AR31" s="397"/>
    </row>
    <row r="32" spans="1:44" ht="12" customHeight="1">
      <c r="A32" s="53"/>
      <c r="B32" s="398" t="s">
        <v>272</v>
      </c>
      <c r="C32" s="389" t="str">
        <f t="shared" si="25"/>
        <v>General Service &lt; 50 kW.CBR Class B Rate Riders</v>
      </c>
      <c r="D32" s="390" t="s">
        <v>337</v>
      </c>
      <c r="E32" s="328"/>
      <c r="F32" s="408">
        <f>IFERROR(VLOOKUP($C32,'Proposed Rates'!$B:$J,F$11,FALSE),0)</f>
        <v>2.0000000000000001E-4</v>
      </c>
      <c r="G32" s="392">
        <f t="shared" si="26"/>
        <v>10000</v>
      </c>
      <c r="H32" s="394">
        <f t="shared" si="27"/>
        <v>2</v>
      </c>
      <c r="I32" s="479"/>
      <c r="J32" s="408">
        <f>IFERROR(VLOOKUP($C32,'Proposed Rates'!$B:$J,J$11,FALSE),0)</f>
        <v>8.0000000000000004E-4</v>
      </c>
      <c r="K32" s="392">
        <f t="shared" si="28"/>
        <v>10000</v>
      </c>
      <c r="L32" s="394">
        <f t="shared" si="29"/>
        <v>8</v>
      </c>
      <c r="M32" s="411"/>
      <c r="N32" s="395">
        <f t="shared" si="5"/>
        <v>6</v>
      </c>
      <c r="O32" s="396">
        <f t="shared" si="6"/>
        <v>3</v>
      </c>
      <c r="P32" s="53"/>
      <c r="Q32" s="408">
        <f>IFERROR(VLOOKUP($C32,'Proposed Rates'!$B:$J,Q$11,FALSE),0)</f>
        <v>0</v>
      </c>
      <c r="R32" s="392">
        <f t="shared" si="30"/>
        <v>10000</v>
      </c>
      <c r="S32" s="394">
        <f t="shared" si="31"/>
        <v>0</v>
      </c>
      <c r="T32" s="411"/>
      <c r="U32" s="395">
        <f t="shared" si="9"/>
        <v>-8</v>
      </c>
      <c r="V32" s="396">
        <f t="shared" si="10"/>
        <v>-1</v>
      </c>
      <c r="W32" s="53"/>
      <c r="X32" s="408">
        <f>IFERROR(VLOOKUP($C32,'Proposed Rates'!$B:$J,X$11,FALSE),0)</f>
        <v>0</v>
      </c>
      <c r="Y32" s="392">
        <f t="shared" si="32"/>
        <v>10000</v>
      </c>
      <c r="Z32" s="394">
        <f t="shared" si="33"/>
        <v>0</v>
      </c>
      <c r="AA32" s="411"/>
      <c r="AB32" s="395">
        <f t="shared" si="13"/>
        <v>0</v>
      </c>
      <c r="AC32" s="396" t="str">
        <f t="shared" si="14"/>
        <v/>
      </c>
      <c r="AD32" s="53"/>
      <c r="AE32" s="408">
        <f>IFERROR(VLOOKUP($C32,'Proposed Rates'!$B:$J,AE$11,FALSE),0)</f>
        <v>0</v>
      </c>
      <c r="AF32" s="392">
        <f t="shared" si="34"/>
        <v>10000</v>
      </c>
      <c r="AG32" s="394">
        <f t="shared" si="35"/>
        <v>0</v>
      </c>
      <c r="AH32" s="411"/>
      <c r="AI32" s="395">
        <f t="shared" si="17"/>
        <v>0</v>
      </c>
      <c r="AJ32" s="396" t="str">
        <f t="shared" si="18"/>
        <v/>
      </c>
      <c r="AK32" s="53"/>
      <c r="AL32" s="408">
        <f>IFERROR(VLOOKUP($C32,'Proposed Rates'!$B:$J,AL$11,FALSE),0)</f>
        <v>0</v>
      </c>
      <c r="AM32" s="392">
        <f t="shared" si="36"/>
        <v>10000</v>
      </c>
      <c r="AN32" s="394">
        <f t="shared" si="37"/>
        <v>0</v>
      </c>
      <c r="AO32" s="411"/>
      <c r="AP32" s="395">
        <f t="shared" si="21"/>
        <v>0</v>
      </c>
      <c r="AQ32" s="396" t="str">
        <f t="shared" si="22"/>
        <v/>
      </c>
      <c r="AR32" s="397"/>
    </row>
    <row r="33" spans="1:44" ht="12" customHeight="1">
      <c r="A33" s="53"/>
      <c r="B33" s="398" t="s">
        <v>340</v>
      </c>
      <c r="C33" s="389" t="str">
        <f t="shared" si="25"/>
        <v>General Service &lt; 50 kW.GA Disposition Rate Rider-NonRPP</v>
      </c>
      <c r="D33" s="390" t="s">
        <v>337</v>
      </c>
      <c r="E33" s="328"/>
      <c r="F33" s="408">
        <f>IFERROR(VLOOKUP($C33,'Proposed Rates'!$B:$J,F$11,FALSE),0)</f>
        <v>0</v>
      </c>
      <c r="G33" s="392">
        <f t="shared" si="26"/>
        <v>10000</v>
      </c>
      <c r="H33" s="394">
        <f t="shared" si="27"/>
        <v>0</v>
      </c>
      <c r="I33" s="479"/>
      <c r="J33" s="408">
        <f>IFERROR(VLOOKUP($C33,'Proposed Rates'!$B:$J,J$11,FALSE),0)</f>
        <v>0</v>
      </c>
      <c r="K33" s="392">
        <f t="shared" si="28"/>
        <v>10000</v>
      </c>
      <c r="L33" s="394">
        <f t="shared" si="29"/>
        <v>0</v>
      </c>
      <c r="M33" s="411"/>
      <c r="N33" s="395">
        <f t="shared" si="5"/>
        <v>0</v>
      </c>
      <c r="O33" s="396" t="str">
        <f t="shared" si="6"/>
        <v/>
      </c>
      <c r="P33" s="53"/>
      <c r="Q33" s="408">
        <f>IFERROR(VLOOKUP($C33,'Proposed Rates'!$B:$J,Q$11,FALSE),0)</f>
        <v>0</v>
      </c>
      <c r="R33" s="392">
        <f t="shared" si="30"/>
        <v>10000</v>
      </c>
      <c r="S33" s="394">
        <f t="shared" si="31"/>
        <v>0</v>
      </c>
      <c r="T33" s="411"/>
      <c r="U33" s="395">
        <f t="shared" si="9"/>
        <v>0</v>
      </c>
      <c r="V33" s="396" t="str">
        <f t="shared" si="10"/>
        <v/>
      </c>
      <c r="W33" s="53"/>
      <c r="X33" s="408">
        <f>IFERROR(VLOOKUP($C33,'Proposed Rates'!$B:$J,X$11,FALSE),0)</f>
        <v>0</v>
      </c>
      <c r="Y33" s="392">
        <f t="shared" si="32"/>
        <v>10000</v>
      </c>
      <c r="Z33" s="394">
        <f t="shared" si="33"/>
        <v>0</v>
      </c>
      <c r="AA33" s="411"/>
      <c r="AB33" s="395">
        <f t="shared" si="13"/>
        <v>0</v>
      </c>
      <c r="AC33" s="396" t="str">
        <f t="shared" si="14"/>
        <v/>
      </c>
      <c r="AD33" s="53"/>
      <c r="AE33" s="408">
        <f>IFERROR(VLOOKUP($C33,'Proposed Rates'!$B:$J,AE$11,FALSE),0)</f>
        <v>0</v>
      </c>
      <c r="AF33" s="392">
        <f t="shared" si="34"/>
        <v>10000</v>
      </c>
      <c r="AG33" s="394">
        <f t="shared" si="35"/>
        <v>0</v>
      </c>
      <c r="AH33" s="411"/>
      <c r="AI33" s="395">
        <f t="shared" si="17"/>
        <v>0</v>
      </c>
      <c r="AJ33" s="396" t="str">
        <f t="shared" si="18"/>
        <v/>
      </c>
      <c r="AK33" s="53"/>
      <c r="AL33" s="408">
        <f>IFERROR(VLOOKUP($C33,'Proposed Rates'!$B:$J,AL$11,FALSE),0)</f>
        <v>0</v>
      </c>
      <c r="AM33" s="392">
        <f t="shared" si="36"/>
        <v>10000</v>
      </c>
      <c r="AN33" s="394">
        <f t="shared" si="37"/>
        <v>0</v>
      </c>
      <c r="AO33" s="411"/>
      <c r="AP33" s="395">
        <f t="shared" si="21"/>
        <v>0</v>
      </c>
      <c r="AQ33" s="396" t="str">
        <f t="shared" si="22"/>
        <v/>
      </c>
      <c r="AR33" s="397"/>
    </row>
    <row r="34" spans="1:44" ht="12" customHeight="1">
      <c r="A34" s="53"/>
      <c r="B34" s="328" t="s">
        <v>300</v>
      </c>
      <c r="C34" s="389" t="str">
        <f t="shared" si="25"/>
        <v>General Service &lt; 50 kW.Low Voltage Service Charge</v>
      </c>
      <c r="D34" s="390" t="s">
        <v>337</v>
      </c>
      <c r="E34" s="328"/>
      <c r="F34" s="412">
        <f>IFERROR(VLOOKUP($C34,'Proposed Rates'!$B:$J,F$11,FALSE),0)</f>
        <v>5.0000000000000002E-5</v>
      </c>
      <c r="G34" s="413">
        <f>$F$10*(1+F$63)</f>
        <v>10338</v>
      </c>
      <c r="H34" s="394">
        <f t="shared" si="27"/>
        <v>0.51690000000000003</v>
      </c>
      <c r="I34" s="138"/>
      <c r="J34" s="412">
        <f>IFERROR(VLOOKUP($C34,'Proposed Rates'!$B:$J,J$11,FALSE),0)</f>
        <v>6.0000000000000002E-5</v>
      </c>
      <c r="K34" s="413">
        <f>$F$10*(1+J$63)</f>
        <v>10331.999999999998</v>
      </c>
      <c r="L34" s="394">
        <f t="shared" si="29"/>
        <v>0.61991999999999992</v>
      </c>
      <c r="M34" s="138"/>
      <c r="N34" s="395">
        <f t="shared" si="5"/>
        <v>0.10301999999999989</v>
      </c>
      <c r="O34" s="396">
        <f t="shared" si="6"/>
        <v>0.19930354033662195</v>
      </c>
      <c r="P34" s="53"/>
      <c r="Q34" s="412">
        <f>IFERROR(VLOOKUP($C34,'Proposed Rates'!$B:$J,Q$11,FALSE),0)</f>
        <v>6.0000000000000002E-5</v>
      </c>
      <c r="R34" s="413">
        <f>$F$10*(1+Q$63)</f>
        <v>10331.999999999998</v>
      </c>
      <c r="S34" s="394">
        <f t="shared" si="31"/>
        <v>0.61991999999999992</v>
      </c>
      <c r="T34" s="138"/>
      <c r="U34" s="395">
        <f t="shared" si="9"/>
        <v>0</v>
      </c>
      <c r="V34" s="396">
        <f t="shared" si="10"/>
        <v>0</v>
      </c>
      <c r="W34" s="53"/>
      <c r="X34" s="412">
        <f>IFERROR(VLOOKUP($C34,'Proposed Rates'!$B:$J,X$11,FALSE),0)</f>
        <v>6.0000000000000002E-5</v>
      </c>
      <c r="Y34" s="413">
        <f>$F$10*(1+X$63)</f>
        <v>10331.999999999998</v>
      </c>
      <c r="Z34" s="394">
        <f t="shared" si="33"/>
        <v>0.61991999999999992</v>
      </c>
      <c r="AA34" s="138"/>
      <c r="AB34" s="395">
        <f t="shared" si="13"/>
        <v>0</v>
      </c>
      <c r="AC34" s="396">
        <f t="shared" si="14"/>
        <v>0</v>
      </c>
      <c r="AD34" s="53"/>
      <c r="AE34" s="412">
        <f>IFERROR(VLOOKUP($C34,'Proposed Rates'!$B:$J,AE$11,FALSE),0)</f>
        <v>6.0000000000000002E-5</v>
      </c>
      <c r="AF34" s="413">
        <f>$F$10*(1+AE$63)</f>
        <v>10331.999999999998</v>
      </c>
      <c r="AG34" s="394">
        <f t="shared" si="35"/>
        <v>0.61991999999999992</v>
      </c>
      <c r="AH34" s="138"/>
      <c r="AI34" s="395">
        <f t="shared" si="17"/>
        <v>0</v>
      </c>
      <c r="AJ34" s="396">
        <f t="shared" si="18"/>
        <v>0</v>
      </c>
      <c r="AK34" s="53"/>
      <c r="AL34" s="412">
        <f>IFERROR(VLOOKUP($C34,'Proposed Rates'!$B:$J,AL$11,FALSE),0)</f>
        <v>6.0000000000000002E-5</v>
      </c>
      <c r="AM34" s="413">
        <f>$F$10*(1+AL$63)</f>
        <v>10331.999999999998</v>
      </c>
      <c r="AN34" s="394">
        <f t="shared" si="37"/>
        <v>0.61991999999999992</v>
      </c>
      <c r="AO34" s="138"/>
      <c r="AP34" s="395">
        <f t="shared" si="21"/>
        <v>0</v>
      </c>
      <c r="AQ34" s="396">
        <f t="shared" si="22"/>
        <v>0</v>
      </c>
      <c r="AR34" s="397"/>
    </row>
    <row r="35" spans="1:44" ht="12" customHeight="1">
      <c r="A35" s="53"/>
      <c r="B35" s="328" t="s">
        <v>341</v>
      </c>
      <c r="C35" s="389" t="str">
        <f t="shared" si="25"/>
        <v>General Service &lt; 50 kW.Line Losses on Cost of Power</v>
      </c>
      <c r="D35" s="390" t="s">
        <v>337</v>
      </c>
      <c r="E35" s="328"/>
      <c r="F35" s="414">
        <f>'Proposed Rates'!$K$256*F$44+'Proposed Rates'!$K$257*F$45+'Proposed Rates'!$K$258*F$46</f>
        <v>0.12752000000000002</v>
      </c>
      <c r="G35" s="501">
        <f>$F$10*(1+F$63)-$F$10</f>
        <v>338</v>
      </c>
      <c r="H35" s="394">
        <f t="shared" si="27"/>
        <v>43.101760000000006</v>
      </c>
      <c r="I35" s="138"/>
      <c r="J35" s="414">
        <f>'Proposed Rates'!$K$256*J$44+'Proposed Rates'!$K$257*J$45+'Proposed Rates'!$K$258*J$46</f>
        <v>0.12752000000000002</v>
      </c>
      <c r="K35" s="501">
        <f>$F$10*(1+J$63)-$F$10</f>
        <v>331.99999999999818</v>
      </c>
      <c r="L35" s="394">
        <f t="shared" si="29"/>
        <v>42.336639999999775</v>
      </c>
      <c r="M35" s="138"/>
      <c r="N35" s="395">
        <f t="shared" si="5"/>
        <v>-0.7651200000002305</v>
      </c>
      <c r="O35" s="396">
        <f t="shared" si="6"/>
        <v>-1.7751479289946175E-2</v>
      </c>
      <c r="P35" s="53"/>
      <c r="Q35" s="414">
        <f>'Proposed Rates'!$K$256*Q$44+'Proposed Rates'!$K$257*Q$45+'Proposed Rates'!$K$258*Q$46</f>
        <v>0.12752000000000002</v>
      </c>
      <c r="R35" s="501">
        <f>$F$10*(1+Q$63)-$F$10</f>
        <v>331.99999999999818</v>
      </c>
      <c r="S35" s="394">
        <f t="shared" si="31"/>
        <v>42.336639999999775</v>
      </c>
      <c r="T35" s="138"/>
      <c r="U35" s="395">
        <f t="shared" si="9"/>
        <v>0</v>
      </c>
      <c r="V35" s="396">
        <f t="shared" si="10"/>
        <v>0</v>
      </c>
      <c r="W35" s="53"/>
      <c r="X35" s="414">
        <f>'Proposed Rates'!$K$256*X$44+'Proposed Rates'!$K$257*X$45+'Proposed Rates'!$K$258*X$46</f>
        <v>0.12752000000000002</v>
      </c>
      <c r="Y35" s="501">
        <f>$F$10*(1+X$63)-$F$10</f>
        <v>331.99999999999818</v>
      </c>
      <c r="Z35" s="394">
        <f t="shared" si="33"/>
        <v>42.336639999999775</v>
      </c>
      <c r="AA35" s="138"/>
      <c r="AB35" s="395">
        <f t="shared" si="13"/>
        <v>0</v>
      </c>
      <c r="AC35" s="396">
        <f t="shared" si="14"/>
        <v>0</v>
      </c>
      <c r="AD35" s="53"/>
      <c r="AE35" s="414">
        <f>'Proposed Rates'!$K$256*AE$44+'Proposed Rates'!$K$257*AE$45+'Proposed Rates'!$K$258*AE$46</f>
        <v>0.12752000000000002</v>
      </c>
      <c r="AF35" s="501">
        <f>$F$10*(1+AE$63)-$F$10</f>
        <v>331.99999999999818</v>
      </c>
      <c r="AG35" s="394">
        <f t="shared" si="35"/>
        <v>42.336639999999775</v>
      </c>
      <c r="AH35" s="138"/>
      <c r="AI35" s="395">
        <f t="shared" si="17"/>
        <v>0</v>
      </c>
      <c r="AJ35" s="396">
        <f t="shared" si="18"/>
        <v>0</v>
      </c>
      <c r="AK35" s="53"/>
      <c r="AL35" s="414">
        <f>'Proposed Rates'!$K$256*AL$44+'Proposed Rates'!$K$257*AL$45+'Proposed Rates'!$K$258*AL$46</f>
        <v>0.12752000000000002</v>
      </c>
      <c r="AM35" s="501">
        <f>$F$10*(1+AL$63)-$F$10</f>
        <v>331.99999999999818</v>
      </c>
      <c r="AN35" s="394">
        <f t="shared" si="37"/>
        <v>42.336639999999775</v>
      </c>
      <c r="AO35" s="138"/>
      <c r="AP35" s="395">
        <f t="shared" si="21"/>
        <v>0</v>
      </c>
      <c r="AQ35" s="396">
        <f t="shared" si="22"/>
        <v>0</v>
      </c>
      <c r="AR35" s="397"/>
    </row>
    <row r="36" spans="1:44" ht="12" customHeight="1">
      <c r="A36" s="53"/>
      <c r="B36" s="328" t="s">
        <v>302</v>
      </c>
      <c r="C36" s="389" t="str">
        <f t="shared" si="25"/>
        <v>General Service &lt; 50 kW.Smart Meter Entity Charge</v>
      </c>
      <c r="D36" s="390" t="s">
        <v>335</v>
      </c>
      <c r="E36" s="328"/>
      <c r="F36" s="391">
        <f>IFERROR(VLOOKUP($C36,'Proposed Rates'!$B:$J,F$11,FALSE),0)</f>
        <v>0.42</v>
      </c>
      <c r="G36" s="392">
        <f>IF($D36="Monthly",1,IF($D36="per KWH",$F$10,0))</f>
        <v>1</v>
      </c>
      <c r="H36" s="394">
        <f t="shared" si="27"/>
        <v>0.42</v>
      </c>
      <c r="I36" s="138"/>
      <c r="J36" s="391">
        <f>IFERROR(VLOOKUP($C36,'Proposed Rates'!$B:$J,J$11,FALSE),0)</f>
        <v>0.42</v>
      </c>
      <c r="K36" s="392">
        <f>IF($D36="Monthly",1,IF($D36="per KWH",$F$10,0))</f>
        <v>1</v>
      </c>
      <c r="L36" s="394">
        <f t="shared" si="29"/>
        <v>0.42</v>
      </c>
      <c r="M36" s="138"/>
      <c r="N36" s="395">
        <f t="shared" si="5"/>
        <v>0</v>
      </c>
      <c r="O36" s="396">
        <f t="shared" si="6"/>
        <v>0</v>
      </c>
      <c r="P36" s="53"/>
      <c r="Q36" s="391">
        <f>IFERROR(VLOOKUP($C36,'Proposed Rates'!$B:$J,Q$11,FALSE),0)</f>
        <v>0.42</v>
      </c>
      <c r="R36" s="392">
        <f>IF($D36="Monthly",1,IF($D36="per KWH",$F$10,0))</f>
        <v>1</v>
      </c>
      <c r="S36" s="394">
        <f t="shared" si="31"/>
        <v>0.42</v>
      </c>
      <c r="T36" s="138"/>
      <c r="U36" s="395">
        <f t="shared" si="9"/>
        <v>0</v>
      </c>
      <c r="V36" s="396">
        <f t="shared" si="10"/>
        <v>0</v>
      </c>
      <c r="W36" s="53"/>
      <c r="X36" s="391">
        <f>IFERROR(VLOOKUP($C36,'Proposed Rates'!$B:$J,X$11,FALSE),0)</f>
        <v>0.43</v>
      </c>
      <c r="Y36" s="392">
        <f>IF($D36="Monthly",1,IF($D36="per KWH",$F$10,0))</f>
        <v>1</v>
      </c>
      <c r="Z36" s="394">
        <f t="shared" si="33"/>
        <v>0.43</v>
      </c>
      <c r="AA36" s="138"/>
      <c r="AB36" s="395">
        <f t="shared" si="13"/>
        <v>1.0000000000000009E-2</v>
      </c>
      <c r="AC36" s="396">
        <f t="shared" si="14"/>
        <v>2.3809523809523832E-2</v>
      </c>
      <c r="AD36" s="53"/>
      <c r="AE36" s="391">
        <f>IFERROR(VLOOKUP($C36,'Proposed Rates'!$B:$J,AE$11,FALSE),0)</f>
        <v>0.44</v>
      </c>
      <c r="AF36" s="392">
        <f>IF($D36="Monthly",1,IF($D36="per KWH",$F$10,0))</f>
        <v>1</v>
      </c>
      <c r="AG36" s="394">
        <f t="shared" si="35"/>
        <v>0.44</v>
      </c>
      <c r="AH36" s="138"/>
      <c r="AI36" s="395">
        <f t="shared" si="17"/>
        <v>1.0000000000000009E-2</v>
      </c>
      <c r="AJ36" s="396">
        <f t="shared" si="18"/>
        <v>2.3255813953488393E-2</v>
      </c>
      <c r="AK36" s="53"/>
      <c r="AL36" s="391">
        <f>IFERROR(VLOOKUP($C36,'Proposed Rates'!$B:$J,AL$11,FALSE),0)</f>
        <v>0.45</v>
      </c>
      <c r="AM36" s="392">
        <f>IF($D36="Monthly",1,IF($D36="per KWH",$F$10,0))</f>
        <v>1</v>
      </c>
      <c r="AN36" s="394">
        <f t="shared" si="37"/>
        <v>0.45</v>
      </c>
      <c r="AO36" s="138"/>
      <c r="AP36" s="395">
        <f t="shared" si="21"/>
        <v>1.0000000000000009E-2</v>
      </c>
      <c r="AQ36" s="396">
        <f t="shared" si="22"/>
        <v>2.2727272727272749E-2</v>
      </c>
      <c r="AR36" s="397"/>
    </row>
    <row r="37" spans="1:44" ht="12" customHeight="1">
      <c r="A37" s="53"/>
      <c r="B37" s="399" t="s">
        <v>342</v>
      </c>
      <c r="C37" s="416"/>
      <c r="D37" s="416"/>
      <c r="E37" s="416"/>
      <c r="F37" s="417"/>
      <c r="G37" s="495"/>
      <c r="H37" s="403">
        <f>SUM(H30:H36)+H29</f>
        <v>381.56865999999997</v>
      </c>
      <c r="I37" s="419"/>
      <c r="J37" s="417"/>
      <c r="K37" s="495"/>
      <c r="L37" s="403">
        <f>SUM(L30:L36)+L29</f>
        <v>414.52655999999973</v>
      </c>
      <c r="M37" s="419"/>
      <c r="N37" s="405">
        <f t="shared" si="5"/>
        <v>32.957899999999768</v>
      </c>
      <c r="O37" s="406">
        <f t="shared" si="6"/>
        <v>8.6374756249634782E-2</v>
      </c>
      <c r="P37" s="53"/>
      <c r="Q37" s="417"/>
      <c r="R37" s="495"/>
      <c r="S37" s="403">
        <f>SUM(S30:S36)+S29</f>
        <v>440.78655999999972</v>
      </c>
      <c r="T37" s="419"/>
      <c r="U37" s="405">
        <f t="shared" si="9"/>
        <v>26.259999999999991</v>
      </c>
      <c r="V37" s="406">
        <f t="shared" si="10"/>
        <v>6.334937862606442E-2</v>
      </c>
      <c r="W37" s="53"/>
      <c r="X37" s="417"/>
      <c r="Y37" s="495"/>
      <c r="Z37" s="403">
        <f>SUM(Z30:Z36)+Z29</f>
        <v>451.68655999999987</v>
      </c>
      <c r="AA37" s="419"/>
      <c r="AB37" s="405">
        <f t="shared" si="13"/>
        <v>10.900000000000148</v>
      </c>
      <c r="AC37" s="406">
        <f t="shared" si="14"/>
        <v>2.4728521668174627E-2</v>
      </c>
      <c r="AD37" s="53"/>
      <c r="AE37" s="417"/>
      <c r="AF37" s="495"/>
      <c r="AG37" s="403">
        <f>SUM(AG30:AG36)+AG29</f>
        <v>458.16655999999978</v>
      </c>
      <c r="AH37" s="419"/>
      <c r="AI37" s="405">
        <f t="shared" si="17"/>
        <v>6.4799999999999045</v>
      </c>
      <c r="AJ37" s="406">
        <f t="shared" si="18"/>
        <v>1.4346231599186627E-2</v>
      </c>
      <c r="AK37" s="53"/>
      <c r="AL37" s="417"/>
      <c r="AM37" s="495"/>
      <c r="AN37" s="403">
        <f>SUM(AN30:AN36)+AN29</f>
        <v>464.61655999999977</v>
      </c>
      <c r="AO37" s="419"/>
      <c r="AP37" s="405">
        <f t="shared" si="21"/>
        <v>6.4499999999999886</v>
      </c>
      <c r="AQ37" s="406">
        <f t="shared" si="22"/>
        <v>1.4077849767123974E-2</v>
      </c>
      <c r="AR37" s="407"/>
    </row>
    <row r="38" spans="1:44" ht="12" customHeight="1">
      <c r="A38" s="53"/>
      <c r="B38" s="138" t="s">
        <v>285</v>
      </c>
      <c r="C38" s="389" t="str">
        <f t="shared" ref="C38:C39" si="38">D$6&amp;"."&amp;B38</f>
        <v>General Service &lt; 50 kW.RTSR - Network</v>
      </c>
      <c r="D38" s="420" t="s">
        <v>337</v>
      </c>
      <c r="E38" s="138"/>
      <c r="F38" s="408">
        <f>IFERROR(VLOOKUP($C38,'Proposed Rates'!$B:$J,F$11,FALSE),0)</f>
        <v>1.18E-2</v>
      </c>
      <c r="G38" s="502">
        <f t="shared" ref="G38:G39" si="39">$F$10*(1+F$63)</f>
        <v>10338</v>
      </c>
      <c r="H38" s="394">
        <f t="shared" ref="H38:H39" si="40">G38*F38</f>
        <v>121.9884</v>
      </c>
      <c r="I38" s="138"/>
      <c r="J38" s="408">
        <f>IFERROR(VLOOKUP($C38,'Proposed Rates'!$B:$J,J$11,FALSE),0)</f>
        <v>1.0699999999999999E-2</v>
      </c>
      <c r="K38" s="502">
        <f t="shared" ref="K38:K39" si="41">$F$10*(1+J$63)</f>
        <v>10331.999999999998</v>
      </c>
      <c r="L38" s="394">
        <f t="shared" ref="L38:L39" si="42">K38*J38</f>
        <v>110.55239999999998</v>
      </c>
      <c r="M38" s="138"/>
      <c r="N38" s="395">
        <f t="shared" si="5"/>
        <v>-11.436000000000021</v>
      </c>
      <c r="O38" s="396">
        <f t="shared" si="6"/>
        <v>-9.374661853094246E-2</v>
      </c>
      <c r="P38" s="53"/>
      <c r="Q38" s="408">
        <f>IFERROR(VLOOKUP($C38,'Proposed Rates'!$B:$J,Q$11,FALSE),0)</f>
        <v>1.0699999999999999E-2</v>
      </c>
      <c r="R38" s="502">
        <f t="shared" ref="R38:R39" si="43">$F$10*(1+Q$63)</f>
        <v>10331.999999999998</v>
      </c>
      <c r="S38" s="394">
        <f t="shared" ref="S38:S39" si="44">R38*Q38</f>
        <v>110.55239999999998</v>
      </c>
      <c r="T38" s="138"/>
      <c r="U38" s="395">
        <f t="shared" si="9"/>
        <v>0</v>
      </c>
      <c r="V38" s="396">
        <f t="shared" si="10"/>
        <v>0</v>
      </c>
      <c r="W38" s="53"/>
      <c r="X38" s="408">
        <f>IFERROR(VLOOKUP($C38,'Proposed Rates'!$B:$J,X$11,FALSE),0)</f>
        <v>1.0699999999999999E-2</v>
      </c>
      <c r="Y38" s="502">
        <f t="shared" ref="Y38:Y39" si="45">$F$10*(1+X$63)</f>
        <v>10331.999999999998</v>
      </c>
      <c r="Z38" s="394">
        <f t="shared" ref="Z38:Z39" si="46">Y38*X38</f>
        <v>110.55239999999998</v>
      </c>
      <c r="AA38" s="138"/>
      <c r="AB38" s="395">
        <f t="shared" si="13"/>
        <v>0</v>
      </c>
      <c r="AC38" s="396">
        <f t="shared" si="14"/>
        <v>0</v>
      </c>
      <c r="AD38" s="53"/>
      <c r="AE38" s="408">
        <f>IFERROR(VLOOKUP($C38,'Proposed Rates'!$B:$J,AE$11,FALSE),0)</f>
        <v>1.0699999999999999E-2</v>
      </c>
      <c r="AF38" s="502">
        <f t="shared" ref="AF38:AF39" si="47">$F$10*(1+AE$63)</f>
        <v>10331.999999999998</v>
      </c>
      <c r="AG38" s="394">
        <f t="shared" ref="AG38:AG39" si="48">AF38*AE38</f>
        <v>110.55239999999998</v>
      </c>
      <c r="AH38" s="138"/>
      <c r="AI38" s="395">
        <f t="shared" si="17"/>
        <v>0</v>
      </c>
      <c r="AJ38" s="396">
        <f t="shared" si="18"/>
        <v>0</v>
      </c>
      <c r="AK38" s="53"/>
      <c r="AL38" s="408">
        <f>IFERROR(VLOOKUP($C38,'Proposed Rates'!$B:$J,AL$11,FALSE),0)</f>
        <v>1.0699999999999999E-2</v>
      </c>
      <c r="AM38" s="502">
        <f t="shared" ref="AM38:AM39" si="49">$F$10*(1+AL$63)</f>
        <v>10331.999999999998</v>
      </c>
      <c r="AN38" s="394">
        <f t="shared" ref="AN38:AN39" si="50">AM38*AL38</f>
        <v>110.55239999999998</v>
      </c>
      <c r="AO38" s="138"/>
      <c r="AP38" s="395">
        <f t="shared" si="21"/>
        <v>0</v>
      </c>
      <c r="AQ38" s="396">
        <f t="shared" si="22"/>
        <v>0</v>
      </c>
      <c r="AR38" s="397"/>
    </row>
    <row r="39" spans="1:44" ht="12" customHeight="1">
      <c r="A39" s="53"/>
      <c r="B39" s="138" t="s">
        <v>288</v>
      </c>
      <c r="C39" s="389" t="str">
        <f t="shared" si="38"/>
        <v>General Service &lt; 50 kW.RTSR - Line and Transformation Connection</v>
      </c>
      <c r="D39" s="420" t="s">
        <v>337</v>
      </c>
      <c r="E39" s="138"/>
      <c r="F39" s="408">
        <f>IFERROR(VLOOKUP($C39,'Proposed Rates'!$B:$J,F$11,FALSE),0)</f>
        <v>7.0000000000000001E-3</v>
      </c>
      <c r="G39" s="502">
        <f t="shared" si="39"/>
        <v>10338</v>
      </c>
      <c r="H39" s="394">
        <f t="shared" si="40"/>
        <v>72.366</v>
      </c>
      <c r="I39" s="138"/>
      <c r="J39" s="408">
        <f>IFERROR(VLOOKUP($C39,'Proposed Rates'!$B:$J,J$11,FALSE),0)</f>
        <v>6.1000000000000004E-3</v>
      </c>
      <c r="K39" s="502">
        <f t="shared" si="41"/>
        <v>10331.999999999998</v>
      </c>
      <c r="L39" s="394">
        <f t="shared" si="42"/>
        <v>63.025199999999991</v>
      </c>
      <c r="M39" s="138"/>
      <c r="N39" s="395">
        <f t="shared" si="5"/>
        <v>-9.3408000000000087</v>
      </c>
      <c r="O39" s="396">
        <f t="shared" si="6"/>
        <v>-0.12907719094602449</v>
      </c>
      <c r="P39" s="53"/>
      <c r="Q39" s="408">
        <f>IFERROR(VLOOKUP($C39,'Proposed Rates'!$B:$J,Q$11,FALSE),0)</f>
        <v>6.1000000000000004E-3</v>
      </c>
      <c r="R39" s="502">
        <f t="shared" si="43"/>
        <v>10331.999999999998</v>
      </c>
      <c r="S39" s="394">
        <f t="shared" si="44"/>
        <v>63.025199999999991</v>
      </c>
      <c r="T39" s="138"/>
      <c r="U39" s="395">
        <f t="shared" si="9"/>
        <v>0</v>
      </c>
      <c r="V39" s="396">
        <f t="shared" si="10"/>
        <v>0</v>
      </c>
      <c r="W39" s="53"/>
      <c r="X39" s="408">
        <f>IFERROR(VLOOKUP($C39,'Proposed Rates'!$B:$J,X$11,FALSE),0)</f>
        <v>6.1000000000000004E-3</v>
      </c>
      <c r="Y39" s="502">
        <f t="shared" si="45"/>
        <v>10331.999999999998</v>
      </c>
      <c r="Z39" s="394">
        <f t="shared" si="46"/>
        <v>63.025199999999991</v>
      </c>
      <c r="AA39" s="138"/>
      <c r="AB39" s="395">
        <f t="shared" si="13"/>
        <v>0</v>
      </c>
      <c r="AC39" s="396">
        <f t="shared" si="14"/>
        <v>0</v>
      </c>
      <c r="AD39" s="53"/>
      <c r="AE39" s="408">
        <f>IFERROR(VLOOKUP($C39,'Proposed Rates'!$B:$J,AE$11,FALSE),0)</f>
        <v>6.1000000000000004E-3</v>
      </c>
      <c r="AF39" s="502">
        <f t="shared" si="47"/>
        <v>10331.999999999998</v>
      </c>
      <c r="AG39" s="394">
        <f t="shared" si="48"/>
        <v>63.025199999999991</v>
      </c>
      <c r="AH39" s="138"/>
      <c r="AI39" s="395">
        <f t="shared" si="17"/>
        <v>0</v>
      </c>
      <c r="AJ39" s="396">
        <f t="shared" si="18"/>
        <v>0</v>
      </c>
      <c r="AK39" s="53"/>
      <c r="AL39" s="408">
        <f>IFERROR(VLOOKUP($C39,'Proposed Rates'!$B:$J,AL$11,FALSE),0)</f>
        <v>6.1000000000000004E-3</v>
      </c>
      <c r="AM39" s="502">
        <f t="shared" si="49"/>
        <v>10331.999999999998</v>
      </c>
      <c r="AN39" s="394">
        <f t="shared" si="50"/>
        <v>63.025199999999991</v>
      </c>
      <c r="AO39" s="138"/>
      <c r="AP39" s="395">
        <f t="shared" si="21"/>
        <v>0</v>
      </c>
      <c r="AQ39" s="396">
        <f t="shared" si="22"/>
        <v>0</v>
      </c>
      <c r="AR39" s="397"/>
    </row>
    <row r="40" spans="1:44" ht="12" customHeight="1">
      <c r="A40" s="53"/>
      <c r="B40" s="399" t="s">
        <v>343</v>
      </c>
      <c r="C40" s="421"/>
      <c r="D40" s="421"/>
      <c r="E40" s="421"/>
      <c r="F40" s="422"/>
      <c r="G40" s="495"/>
      <c r="H40" s="403">
        <f>SUM(H37:H39)</f>
        <v>575.92305999999996</v>
      </c>
      <c r="I40" s="404"/>
      <c r="J40" s="422"/>
      <c r="K40" s="495"/>
      <c r="L40" s="403">
        <f>SUM(L37:L39)</f>
        <v>588.10415999999975</v>
      </c>
      <c r="M40" s="404"/>
      <c r="N40" s="405">
        <f t="shared" si="5"/>
        <v>12.181099999999788</v>
      </c>
      <c r="O40" s="406">
        <f t="shared" si="6"/>
        <v>2.1150568272087923E-2</v>
      </c>
      <c r="P40" s="53"/>
      <c r="Q40" s="422"/>
      <c r="R40" s="495"/>
      <c r="S40" s="403">
        <f>SUM(S37:S39)</f>
        <v>614.36415999999974</v>
      </c>
      <c r="T40" s="404"/>
      <c r="U40" s="405">
        <f t="shared" si="9"/>
        <v>26.259999999999991</v>
      </c>
      <c r="V40" s="406">
        <f t="shared" si="10"/>
        <v>4.4651954170839399E-2</v>
      </c>
      <c r="W40" s="53"/>
      <c r="X40" s="422"/>
      <c r="Y40" s="495"/>
      <c r="Z40" s="403">
        <f>SUM(Z37:Z39)</f>
        <v>625.26415999999995</v>
      </c>
      <c r="AA40" s="404"/>
      <c r="AB40" s="405">
        <f t="shared" si="13"/>
        <v>10.900000000000205</v>
      </c>
      <c r="AC40" s="406">
        <f t="shared" si="14"/>
        <v>1.7741920362021459E-2</v>
      </c>
      <c r="AD40" s="53"/>
      <c r="AE40" s="422"/>
      <c r="AF40" s="495"/>
      <c r="AG40" s="403">
        <f>SUM(AG37:AG39)</f>
        <v>631.74415999999974</v>
      </c>
      <c r="AH40" s="404"/>
      <c r="AI40" s="405">
        <f t="shared" si="17"/>
        <v>6.4799999999997908</v>
      </c>
      <c r="AJ40" s="406">
        <f t="shared" si="18"/>
        <v>1.036361975392895E-2</v>
      </c>
      <c r="AK40" s="53"/>
      <c r="AL40" s="422"/>
      <c r="AM40" s="495"/>
      <c r="AN40" s="403">
        <f>SUM(AN37:AN39)</f>
        <v>638.19415999999978</v>
      </c>
      <c r="AO40" s="404"/>
      <c r="AP40" s="405">
        <f t="shared" si="21"/>
        <v>6.4500000000000455</v>
      </c>
      <c r="AQ40" s="406">
        <f t="shared" si="22"/>
        <v>1.0209829244800694E-2</v>
      </c>
      <c r="AR40" s="407"/>
    </row>
    <row r="41" spans="1:44" ht="12" customHeight="1">
      <c r="A41" s="53"/>
      <c r="B41" s="328" t="s">
        <v>289</v>
      </c>
      <c r="C41" s="389" t="str">
        <f t="shared" ref="C41:C48" si="51">D$6&amp;"."&amp;B41</f>
        <v>General Service &lt; 50 kW.Wholesale Market Service Charge (WMSC)</v>
      </c>
      <c r="D41" s="390" t="s">
        <v>337</v>
      </c>
      <c r="E41" s="328"/>
      <c r="F41" s="408">
        <f>IFERROR(VLOOKUP($C41,'Proposed Rates'!$B:$J,F$11,FALSE),0)</f>
        <v>4.4999999999999997E-3</v>
      </c>
      <c r="G41" s="502">
        <f t="shared" ref="G41:G42" si="52">$F$10*(1+F$63)</f>
        <v>10338</v>
      </c>
      <c r="H41" s="394">
        <f t="shared" ref="H41:H48" si="53">G41*F41</f>
        <v>46.520999999999994</v>
      </c>
      <c r="I41" s="138"/>
      <c r="J41" s="408">
        <f>IFERROR(VLOOKUP($C41,'Proposed Rates'!$B:$J,J$11,FALSE),0)</f>
        <v>4.7000000000000002E-3</v>
      </c>
      <c r="K41" s="502">
        <f t="shared" ref="K41:K42" si="54">$F$10*(1+J$63)</f>
        <v>10331.999999999998</v>
      </c>
      <c r="L41" s="394">
        <f t="shared" ref="L41:L48" si="55">K41*J41</f>
        <v>48.560399999999994</v>
      </c>
      <c r="M41" s="138"/>
      <c r="N41" s="395">
        <f t="shared" si="5"/>
        <v>2.0394000000000005</v>
      </c>
      <c r="O41" s="396">
        <f t="shared" si="6"/>
        <v>4.3838266589282276E-2</v>
      </c>
      <c r="P41" s="53"/>
      <c r="Q41" s="408">
        <f>IFERROR(VLOOKUP($C41,'Proposed Rates'!$B:$J,Q$11,FALSE),0)</f>
        <v>4.7000000000000002E-3</v>
      </c>
      <c r="R41" s="502">
        <f t="shared" ref="R41:R42" si="56">$F$10*(1+Q$63)</f>
        <v>10331.999999999998</v>
      </c>
      <c r="S41" s="394">
        <f t="shared" ref="S41:S48" si="57">R41*Q41</f>
        <v>48.560399999999994</v>
      </c>
      <c r="T41" s="138"/>
      <c r="U41" s="395">
        <f t="shared" si="9"/>
        <v>0</v>
      </c>
      <c r="V41" s="396">
        <f t="shared" si="10"/>
        <v>0</v>
      </c>
      <c r="W41" s="53"/>
      <c r="X41" s="408">
        <f>IFERROR(VLOOKUP($C41,'Proposed Rates'!$B:$J,X$11,FALSE),0)</f>
        <v>4.7000000000000002E-3</v>
      </c>
      <c r="Y41" s="502">
        <f t="shared" ref="Y41:Y42" si="58">$F$10*(1+X$63)</f>
        <v>10331.999999999998</v>
      </c>
      <c r="Z41" s="394">
        <f t="shared" ref="Z41:Z48" si="59">Y41*X41</f>
        <v>48.560399999999994</v>
      </c>
      <c r="AA41" s="138"/>
      <c r="AB41" s="395">
        <f t="shared" si="13"/>
        <v>0</v>
      </c>
      <c r="AC41" s="396">
        <f t="shared" si="14"/>
        <v>0</v>
      </c>
      <c r="AD41" s="53"/>
      <c r="AE41" s="408">
        <f>IFERROR(VLOOKUP($C41,'Proposed Rates'!$B:$J,AE$11,FALSE),0)</f>
        <v>4.7000000000000002E-3</v>
      </c>
      <c r="AF41" s="502">
        <f t="shared" ref="AF41:AF42" si="60">$F$10*(1+AE$63)</f>
        <v>10331.999999999998</v>
      </c>
      <c r="AG41" s="394">
        <f t="shared" ref="AG41:AG48" si="61">AF41*AE41</f>
        <v>48.560399999999994</v>
      </c>
      <c r="AH41" s="138"/>
      <c r="AI41" s="395">
        <f t="shared" si="17"/>
        <v>0</v>
      </c>
      <c r="AJ41" s="396">
        <f t="shared" si="18"/>
        <v>0</v>
      </c>
      <c r="AK41" s="53"/>
      <c r="AL41" s="408">
        <f>IFERROR(VLOOKUP($C41,'Proposed Rates'!$B:$J,AL$11,FALSE),0)</f>
        <v>4.7000000000000002E-3</v>
      </c>
      <c r="AM41" s="502">
        <f t="shared" ref="AM41:AM42" si="62">$F$10*(1+AL$63)</f>
        <v>10331.999999999998</v>
      </c>
      <c r="AN41" s="394">
        <f t="shared" ref="AN41:AN48" si="63">AM41*AL41</f>
        <v>48.560399999999994</v>
      </c>
      <c r="AO41" s="138"/>
      <c r="AP41" s="395">
        <f t="shared" si="21"/>
        <v>0</v>
      </c>
      <c r="AQ41" s="396">
        <f t="shared" si="22"/>
        <v>0</v>
      </c>
      <c r="AR41" s="397"/>
    </row>
    <row r="42" spans="1:44" ht="12" customHeight="1">
      <c r="A42" s="53"/>
      <c r="B42" s="328" t="s">
        <v>290</v>
      </c>
      <c r="C42" s="389" t="str">
        <f t="shared" si="51"/>
        <v>General Service &lt; 50 kW.Rural and Remote Rate Protection (RRRP)</v>
      </c>
      <c r="D42" s="390" t="s">
        <v>337</v>
      </c>
      <c r="E42" s="328"/>
      <c r="F42" s="408">
        <f>IFERROR(VLOOKUP($C42,'Proposed Rates'!$B:$J,F$11,FALSE),0)</f>
        <v>1.5E-3</v>
      </c>
      <c r="G42" s="502">
        <f t="shared" si="52"/>
        <v>10338</v>
      </c>
      <c r="H42" s="394">
        <f t="shared" si="53"/>
        <v>15.507</v>
      </c>
      <c r="I42" s="138"/>
      <c r="J42" s="408">
        <f>IFERROR(VLOOKUP($C42,'Proposed Rates'!$B:$J,J$11,FALSE),0)</f>
        <v>5.9999999999999995E-4</v>
      </c>
      <c r="K42" s="502">
        <f t="shared" si="54"/>
        <v>10331.999999999998</v>
      </c>
      <c r="L42" s="394">
        <f t="shared" si="55"/>
        <v>6.1991999999999985</v>
      </c>
      <c r="M42" s="138"/>
      <c r="N42" s="395">
        <f t="shared" si="5"/>
        <v>-9.3078000000000003</v>
      </c>
      <c r="O42" s="396">
        <f t="shared" si="6"/>
        <v>-0.600232153221126</v>
      </c>
      <c r="P42" s="53"/>
      <c r="Q42" s="408">
        <f>IFERROR(VLOOKUP($C42,'Proposed Rates'!$B:$J,Q$11,FALSE),0)</f>
        <v>5.9999999999999995E-4</v>
      </c>
      <c r="R42" s="502">
        <f t="shared" si="56"/>
        <v>10331.999999999998</v>
      </c>
      <c r="S42" s="394">
        <f t="shared" si="57"/>
        <v>6.1991999999999985</v>
      </c>
      <c r="T42" s="138"/>
      <c r="U42" s="395">
        <f t="shared" si="9"/>
        <v>0</v>
      </c>
      <c r="V42" s="396">
        <f t="shared" si="10"/>
        <v>0</v>
      </c>
      <c r="W42" s="53"/>
      <c r="X42" s="408">
        <f>IFERROR(VLOOKUP($C42,'Proposed Rates'!$B:$J,X$11,FALSE),0)</f>
        <v>5.9999999999999995E-4</v>
      </c>
      <c r="Y42" s="502">
        <f t="shared" si="58"/>
        <v>10331.999999999998</v>
      </c>
      <c r="Z42" s="394">
        <f t="shared" si="59"/>
        <v>6.1991999999999985</v>
      </c>
      <c r="AA42" s="138"/>
      <c r="AB42" s="395">
        <f t="shared" si="13"/>
        <v>0</v>
      </c>
      <c r="AC42" s="396">
        <f t="shared" si="14"/>
        <v>0</v>
      </c>
      <c r="AD42" s="53"/>
      <c r="AE42" s="408">
        <f>IFERROR(VLOOKUP($C42,'Proposed Rates'!$B:$J,AE$11,FALSE),0)</f>
        <v>5.9999999999999995E-4</v>
      </c>
      <c r="AF42" s="502">
        <f t="shared" si="60"/>
        <v>10331.999999999998</v>
      </c>
      <c r="AG42" s="394">
        <f t="shared" si="61"/>
        <v>6.1991999999999985</v>
      </c>
      <c r="AH42" s="138"/>
      <c r="AI42" s="395">
        <f t="shared" si="17"/>
        <v>0</v>
      </c>
      <c r="AJ42" s="396">
        <f t="shared" si="18"/>
        <v>0</v>
      </c>
      <c r="AK42" s="53"/>
      <c r="AL42" s="408">
        <f>IFERROR(VLOOKUP($C42,'Proposed Rates'!$B:$J,AL$11,FALSE),0)</f>
        <v>5.9999999999999995E-4</v>
      </c>
      <c r="AM42" s="502">
        <f t="shared" si="62"/>
        <v>10331.999999999998</v>
      </c>
      <c r="AN42" s="394">
        <f t="shared" si="63"/>
        <v>6.1991999999999985</v>
      </c>
      <c r="AO42" s="138"/>
      <c r="AP42" s="395">
        <f t="shared" si="21"/>
        <v>0</v>
      </c>
      <c r="AQ42" s="396">
        <f t="shared" si="22"/>
        <v>0</v>
      </c>
      <c r="AR42" s="397"/>
    </row>
    <row r="43" spans="1:44" ht="12" customHeight="1">
      <c r="A43" s="53"/>
      <c r="B43" s="328" t="s">
        <v>291</v>
      </c>
      <c r="C43" s="389" t="str">
        <f t="shared" si="51"/>
        <v>General Service &lt; 50 kW.Standard Supply Service Charge</v>
      </c>
      <c r="D43" s="390" t="s">
        <v>335</v>
      </c>
      <c r="E43" s="328"/>
      <c r="F43" s="391">
        <f>IFERROR(VLOOKUP($C43,'Proposed Rates'!$B:$J,F$11,FALSE),0)</f>
        <v>0.25</v>
      </c>
      <c r="G43" s="392">
        <f>IF($D43="Monthly",1,IF($D43="per KWH",$F$10,0))</f>
        <v>1</v>
      </c>
      <c r="H43" s="394">
        <f t="shared" si="53"/>
        <v>0.25</v>
      </c>
      <c r="I43" s="138"/>
      <c r="J43" s="391">
        <f>IFERROR(VLOOKUP($C43,'Proposed Rates'!$B:$J,J$11,FALSE),0)</f>
        <v>0.25</v>
      </c>
      <c r="K43" s="392">
        <f>IF($D43="Monthly",1,IF($D43="per KWH",$F$10,0))</f>
        <v>1</v>
      </c>
      <c r="L43" s="394">
        <f t="shared" si="55"/>
        <v>0.25</v>
      </c>
      <c r="M43" s="138"/>
      <c r="N43" s="395">
        <f t="shared" si="5"/>
        <v>0</v>
      </c>
      <c r="O43" s="396">
        <f t="shared" si="6"/>
        <v>0</v>
      </c>
      <c r="P43" s="53"/>
      <c r="Q43" s="391">
        <f>IFERROR(VLOOKUP($C43,'Proposed Rates'!$B:$J,Q$11,FALSE),0)</f>
        <v>0.25</v>
      </c>
      <c r="R43" s="392">
        <f>IF($D43="Monthly",1,IF($D43="per KWH",$F$10,0))</f>
        <v>1</v>
      </c>
      <c r="S43" s="394">
        <f t="shared" si="57"/>
        <v>0.25</v>
      </c>
      <c r="T43" s="138"/>
      <c r="U43" s="395">
        <f t="shared" si="9"/>
        <v>0</v>
      </c>
      <c r="V43" s="396">
        <f t="shared" si="10"/>
        <v>0</v>
      </c>
      <c r="W43" s="53"/>
      <c r="X43" s="391">
        <f>IFERROR(VLOOKUP($C43,'Proposed Rates'!$B:$J,X$11,FALSE),0)</f>
        <v>0.25</v>
      </c>
      <c r="Y43" s="392">
        <f>IF($D43="Monthly",1,IF($D43="per KWH",$F$10,0))</f>
        <v>1</v>
      </c>
      <c r="Z43" s="394">
        <f t="shared" si="59"/>
        <v>0.25</v>
      </c>
      <c r="AA43" s="138"/>
      <c r="AB43" s="395">
        <f t="shared" si="13"/>
        <v>0</v>
      </c>
      <c r="AC43" s="396">
        <f t="shared" si="14"/>
        <v>0</v>
      </c>
      <c r="AD43" s="53"/>
      <c r="AE43" s="391">
        <f>IFERROR(VLOOKUP($C43,'Proposed Rates'!$B:$J,AE$11,FALSE),0)</f>
        <v>0.25</v>
      </c>
      <c r="AF43" s="392">
        <f>IF($D43="Monthly",1,IF($D43="per KWH",$F$10,0))</f>
        <v>1</v>
      </c>
      <c r="AG43" s="394">
        <f t="shared" si="61"/>
        <v>0.25</v>
      </c>
      <c r="AH43" s="138"/>
      <c r="AI43" s="395">
        <f t="shared" si="17"/>
        <v>0</v>
      </c>
      <c r="AJ43" s="396">
        <f t="shared" si="18"/>
        <v>0</v>
      </c>
      <c r="AK43" s="53"/>
      <c r="AL43" s="391">
        <f>IFERROR(VLOOKUP($C43,'Proposed Rates'!$B:$J,AL$11,FALSE),0)</f>
        <v>0.25</v>
      </c>
      <c r="AM43" s="392">
        <f>IF($D43="Monthly",1,IF($D43="per KWH",$F$10,0))</f>
        <v>1</v>
      </c>
      <c r="AN43" s="394">
        <f t="shared" si="63"/>
        <v>0.25</v>
      </c>
      <c r="AO43" s="138"/>
      <c r="AP43" s="395">
        <f t="shared" si="21"/>
        <v>0</v>
      </c>
      <c r="AQ43" s="396">
        <f t="shared" si="22"/>
        <v>0</v>
      </c>
      <c r="AR43" s="397"/>
    </row>
    <row r="44" spans="1:44" ht="12" customHeight="1">
      <c r="A44" s="53"/>
      <c r="B44" s="328" t="s">
        <v>293</v>
      </c>
      <c r="C44" s="389" t="str">
        <f t="shared" si="51"/>
        <v>General Service &lt; 50 kW.TOU - Off Peak</v>
      </c>
      <c r="D44" s="390" t="s">
        <v>337</v>
      </c>
      <c r="E44" s="328"/>
      <c r="F44" s="424">
        <f>VLOOKUP($B44,'Proposed Rates'!$D$255:$J$261,+F$11-2,FALSE)</f>
        <v>9.8000000000000004E-2</v>
      </c>
      <c r="G44" s="502">
        <f>'Proposed Rates'!$K$256*$F$10</f>
        <v>6400</v>
      </c>
      <c r="H44" s="394">
        <f t="shared" si="53"/>
        <v>627.20000000000005</v>
      </c>
      <c r="I44" s="138"/>
      <c r="J44" s="424">
        <f>VLOOKUP($B44,'Proposed Rates'!$D$255:$J$261,+J$11-2,FALSE)</f>
        <v>9.8000000000000004E-2</v>
      </c>
      <c r="K44" s="502">
        <f>'Proposed Rates'!$K$256*$F$10</f>
        <v>6400</v>
      </c>
      <c r="L44" s="394">
        <f t="shared" si="55"/>
        <v>627.20000000000005</v>
      </c>
      <c r="M44" s="138"/>
      <c r="N44" s="395">
        <f t="shared" si="5"/>
        <v>0</v>
      </c>
      <c r="O44" s="396">
        <f t="shared" si="6"/>
        <v>0</v>
      </c>
      <c r="P44" s="53"/>
      <c r="Q44" s="424">
        <f>VLOOKUP($B44,'Proposed Rates'!$D$255:$J$261,+Q$11-2,FALSE)</f>
        <v>9.8000000000000004E-2</v>
      </c>
      <c r="R44" s="502">
        <f>'Proposed Rates'!$K$256*$F$10</f>
        <v>6400</v>
      </c>
      <c r="S44" s="394">
        <f t="shared" si="57"/>
        <v>627.20000000000005</v>
      </c>
      <c r="T44" s="138"/>
      <c r="U44" s="395">
        <f t="shared" si="9"/>
        <v>0</v>
      </c>
      <c r="V44" s="396">
        <f t="shared" si="10"/>
        <v>0</v>
      </c>
      <c r="W44" s="53"/>
      <c r="X44" s="424">
        <f>VLOOKUP($B44,'Proposed Rates'!$D$255:$J$261,+X$11-2,FALSE)</f>
        <v>9.8000000000000004E-2</v>
      </c>
      <c r="Y44" s="502">
        <f>'Proposed Rates'!$K$256*$F$10</f>
        <v>6400</v>
      </c>
      <c r="Z44" s="394">
        <f t="shared" si="59"/>
        <v>627.20000000000005</v>
      </c>
      <c r="AA44" s="138"/>
      <c r="AB44" s="395">
        <f t="shared" si="13"/>
        <v>0</v>
      </c>
      <c r="AC44" s="396">
        <f t="shared" si="14"/>
        <v>0</v>
      </c>
      <c r="AD44" s="53"/>
      <c r="AE44" s="424">
        <f>VLOOKUP($B44,'Proposed Rates'!$D$255:$J$261,+AE$11-2,FALSE)</f>
        <v>9.8000000000000004E-2</v>
      </c>
      <c r="AF44" s="502">
        <f>'Proposed Rates'!$K$256*$F$10</f>
        <v>6400</v>
      </c>
      <c r="AG44" s="394">
        <f t="shared" si="61"/>
        <v>627.20000000000005</v>
      </c>
      <c r="AH44" s="138"/>
      <c r="AI44" s="395">
        <f t="shared" si="17"/>
        <v>0</v>
      </c>
      <c r="AJ44" s="396">
        <f t="shared" si="18"/>
        <v>0</v>
      </c>
      <c r="AK44" s="53"/>
      <c r="AL44" s="424">
        <f>VLOOKUP($B44,'Proposed Rates'!$D$255:$J$261,+AL$11-2,FALSE)</f>
        <v>9.8000000000000004E-2</v>
      </c>
      <c r="AM44" s="502">
        <f>'Proposed Rates'!$K$256*$F$10</f>
        <v>6400</v>
      </c>
      <c r="AN44" s="394">
        <f t="shared" si="63"/>
        <v>627.20000000000005</v>
      </c>
      <c r="AO44" s="138"/>
      <c r="AP44" s="395">
        <f t="shared" si="21"/>
        <v>0</v>
      </c>
      <c r="AQ44" s="396">
        <f t="shared" si="22"/>
        <v>0</v>
      </c>
      <c r="AR44" s="397"/>
    </row>
    <row r="45" spans="1:44" ht="12" customHeight="1">
      <c r="A45" s="53"/>
      <c r="B45" s="328" t="s">
        <v>294</v>
      </c>
      <c r="C45" s="389" t="str">
        <f t="shared" si="51"/>
        <v>General Service &lt; 50 kW.TOU - Mid Peak</v>
      </c>
      <c r="D45" s="390" t="s">
        <v>337</v>
      </c>
      <c r="E45" s="328"/>
      <c r="F45" s="424">
        <f>VLOOKUP($B45,'Proposed Rates'!$D$255:$J$261,+F$11-2,FALSE)</f>
        <v>0.157</v>
      </c>
      <c r="G45" s="502">
        <f>'Proposed Rates'!$K$257*$F$10</f>
        <v>1800</v>
      </c>
      <c r="H45" s="394">
        <f t="shared" si="53"/>
        <v>282.60000000000002</v>
      </c>
      <c r="I45" s="138"/>
      <c r="J45" s="424">
        <f>VLOOKUP($B45,'Proposed Rates'!$D$255:$J$261,+J$11-2,FALSE)</f>
        <v>0.157</v>
      </c>
      <c r="K45" s="502">
        <f>'Proposed Rates'!$K$257*$F$10</f>
        <v>1800</v>
      </c>
      <c r="L45" s="394">
        <f t="shared" si="55"/>
        <v>282.60000000000002</v>
      </c>
      <c r="M45" s="138"/>
      <c r="N45" s="395">
        <f t="shared" si="5"/>
        <v>0</v>
      </c>
      <c r="O45" s="396">
        <f t="shared" si="6"/>
        <v>0</v>
      </c>
      <c r="P45" s="53"/>
      <c r="Q45" s="424">
        <f>VLOOKUP($B45,'Proposed Rates'!$D$255:$J$261,+Q$11-2,FALSE)</f>
        <v>0.157</v>
      </c>
      <c r="R45" s="502">
        <f>'Proposed Rates'!$K$257*$F$10</f>
        <v>1800</v>
      </c>
      <c r="S45" s="394">
        <f t="shared" si="57"/>
        <v>282.60000000000002</v>
      </c>
      <c r="T45" s="138"/>
      <c r="U45" s="395">
        <f t="shared" si="9"/>
        <v>0</v>
      </c>
      <c r="V45" s="396">
        <f t="shared" si="10"/>
        <v>0</v>
      </c>
      <c r="W45" s="53"/>
      <c r="X45" s="424">
        <f>VLOOKUP($B45,'Proposed Rates'!$D$255:$J$261,+X$11-2,FALSE)</f>
        <v>0.157</v>
      </c>
      <c r="Y45" s="502">
        <f>'Proposed Rates'!$K$257*$F$10</f>
        <v>1800</v>
      </c>
      <c r="Z45" s="394">
        <f t="shared" si="59"/>
        <v>282.60000000000002</v>
      </c>
      <c r="AA45" s="138"/>
      <c r="AB45" s="395">
        <f t="shared" si="13"/>
        <v>0</v>
      </c>
      <c r="AC45" s="396">
        <f t="shared" si="14"/>
        <v>0</v>
      </c>
      <c r="AD45" s="53"/>
      <c r="AE45" s="424">
        <f>VLOOKUP($B45,'Proposed Rates'!$D$255:$J$261,+AE$11-2,FALSE)</f>
        <v>0.157</v>
      </c>
      <c r="AF45" s="502">
        <f>'Proposed Rates'!$K$257*$F$10</f>
        <v>1800</v>
      </c>
      <c r="AG45" s="394">
        <f t="shared" si="61"/>
        <v>282.60000000000002</v>
      </c>
      <c r="AH45" s="138"/>
      <c r="AI45" s="395">
        <f t="shared" si="17"/>
        <v>0</v>
      </c>
      <c r="AJ45" s="396">
        <f t="shared" si="18"/>
        <v>0</v>
      </c>
      <c r="AK45" s="53"/>
      <c r="AL45" s="424">
        <f>VLOOKUP($B45,'Proposed Rates'!$D$255:$J$261,+AL$11-2,FALSE)</f>
        <v>0.157</v>
      </c>
      <c r="AM45" s="502">
        <f>'Proposed Rates'!$K$257*$F$10</f>
        <v>1800</v>
      </c>
      <c r="AN45" s="394">
        <f t="shared" si="63"/>
        <v>282.60000000000002</v>
      </c>
      <c r="AO45" s="138"/>
      <c r="AP45" s="395">
        <f t="shared" si="21"/>
        <v>0</v>
      </c>
      <c r="AQ45" s="396">
        <f t="shared" si="22"/>
        <v>0</v>
      </c>
      <c r="AR45" s="397"/>
    </row>
    <row r="46" spans="1:44" ht="12" customHeight="1">
      <c r="A46" s="53"/>
      <c r="B46" s="53" t="s">
        <v>295</v>
      </c>
      <c r="C46" s="389" t="str">
        <f t="shared" si="51"/>
        <v>General Service &lt; 50 kW.TOU - On Peak</v>
      </c>
      <c r="D46" s="390" t="s">
        <v>337</v>
      </c>
      <c r="E46" s="328"/>
      <c r="F46" s="424">
        <f>VLOOKUP($B46,'Proposed Rates'!$D$255:$J$261,+F$11-2,FALSE)</f>
        <v>0.20300000000000001</v>
      </c>
      <c r="G46" s="502">
        <f>'Proposed Rates'!$K$258*$F$10</f>
        <v>1800</v>
      </c>
      <c r="H46" s="394">
        <f t="shared" si="53"/>
        <v>365.40000000000003</v>
      </c>
      <c r="I46" s="138"/>
      <c r="J46" s="424">
        <f>VLOOKUP($B46,'Proposed Rates'!$D$255:$J$261,+J$11-2,FALSE)</f>
        <v>0.20300000000000001</v>
      </c>
      <c r="K46" s="502">
        <f>'Proposed Rates'!$K$258*$F$10</f>
        <v>1800</v>
      </c>
      <c r="L46" s="394">
        <f t="shared" si="55"/>
        <v>365.40000000000003</v>
      </c>
      <c r="M46" s="138"/>
      <c r="N46" s="395">
        <f t="shared" si="5"/>
        <v>0</v>
      </c>
      <c r="O46" s="396">
        <f t="shared" si="6"/>
        <v>0</v>
      </c>
      <c r="P46" s="53"/>
      <c r="Q46" s="424">
        <f>VLOOKUP($B46,'Proposed Rates'!$D$255:$J$261,+Q$11-2,FALSE)</f>
        <v>0.20300000000000001</v>
      </c>
      <c r="R46" s="502">
        <f>'Proposed Rates'!$K$258*$F$10</f>
        <v>1800</v>
      </c>
      <c r="S46" s="394">
        <f t="shared" si="57"/>
        <v>365.40000000000003</v>
      </c>
      <c r="T46" s="138"/>
      <c r="U46" s="395">
        <f t="shared" si="9"/>
        <v>0</v>
      </c>
      <c r="V46" s="396">
        <f t="shared" si="10"/>
        <v>0</v>
      </c>
      <c r="W46" s="53"/>
      <c r="X46" s="424">
        <f>VLOOKUP($B46,'Proposed Rates'!$D$255:$J$261,+X$11-2,FALSE)</f>
        <v>0.20300000000000001</v>
      </c>
      <c r="Y46" s="502">
        <f>'Proposed Rates'!$K$258*$F$10</f>
        <v>1800</v>
      </c>
      <c r="Z46" s="394">
        <f t="shared" si="59"/>
        <v>365.40000000000003</v>
      </c>
      <c r="AA46" s="138"/>
      <c r="AB46" s="395">
        <f t="shared" si="13"/>
        <v>0</v>
      </c>
      <c r="AC46" s="396">
        <f t="shared" si="14"/>
        <v>0</v>
      </c>
      <c r="AD46" s="53"/>
      <c r="AE46" s="424">
        <f>VLOOKUP($B46,'Proposed Rates'!$D$255:$J$261,+AE$11-2,FALSE)</f>
        <v>0.20300000000000001</v>
      </c>
      <c r="AF46" s="502">
        <f>'Proposed Rates'!$K$258*$F$10</f>
        <v>1800</v>
      </c>
      <c r="AG46" s="394">
        <f t="shared" si="61"/>
        <v>365.40000000000003</v>
      </c>
      <c r="AH46" s="138"/>
      <c r="AI46" s="395">
        <f t="shared" si="17"/>
        <v>0</v>
      </c>
      <c r="AJ46" s="396">
        <f t="shared" si="18"/>
        <v>0</v>
      </c>
      <c r="AK46" s="53"/>
      <c r="AL46" s="424">
        <f>VLOOKUP($B46,'Proposed Rates'!$D$255:$J$261,+AL$11-2,FALSE)</f>
        <v>0.20300000000000001</v>
      </c>
      <c r="AM46" s="502">
        <f>'Proposed Rates'!$K$258*$F$10</f>
        <v>1800</v>
      </c>
      <c r="AN46" s="394">
        <f t="shared" si="63"/>
        <v>365.40000000000003</v>
      </c>
      <c r="AO46" s="138"/>
      <c r="AP46" s="395">
        <f t="shared" si="21"/>
        <v>0</v>
      </c>
      <c r="AQ46" s="396">
        <f t="shared" si="22"/>
        <v>0</v>
      </c>
      <c r="AR46" s="397"/>
    </row>
    <row r="47" spans="1:44" ht="12" customHeight="1">
      <c r="A47" s="53"/>
      <c r="B47" s="328" t="s">
        <v>296</v>
      </c>
      <c r="C47" s="389" t="str">
        <f t="shared" si="51"/>
        <v>General Service &lt; 50 kW.Energy - RPP - Tier 1</v>
      </c>
      <c r="D47" s="390" t="s">
        <v>337</v>
      </c>
      <c r="E47" s="328"/>
      <c r="F47" s="424">
        <f>VLOOKUP($B47,'Proposed Rates'!$D$255:$J$261,+F$11-2,FALSE)</f>
        <v>0.12</v>
      </c>
      <c r="G47" s="502">
        <f>IF(AND($S$2=1, $F$10&gt;=750), 750, IF(AND($S$2=1, AND($F$10&lt;750, $F$10&gt;=0)), $F$10, IF(AND($S$2=2, $F$10&gt;=1000), 1000, IF(AND($S$2=2, AND($F$10&lt;1000, $F$10&gt;=0)), $F$10))))</f>
        <v>750</v>
      </c>
      <c r="H47" s="394">
        <f t="shared" si="53"/>
        <v>90</v>
      </c>
      <c r="I47" s="138"/>
      <c r="J47" s="424">
        <f>VLOOKUP($B47,'Proposed Rates'!$D$255:$J$261,+J$11-2,FALSE)</f>
        <v>0.12</v>
      </c>
      <c r="K47" s="502">
        <f>IF(AND($S$2=1, $F$10&gt;=750), 750, IF(AND($S$2=1, AND($F$10&lt;750, $F$10&gt;=0)), $F$10, IF(AND($S$2=2, $F$10&gt;=1000), 1000, IF(AND($S$2=2, AND($F$10&lt;1000, $F$10&gt;=0)), $F$10))))</f>
        <v>750</v>
      </c>
      <c r="L47" s="394">
        <f t="shared" si="55"/>
        <v>90</v>
      </c>
      <c r="M47" s="138"/>
      <c r="N47" s="395">
        <f t="shared" si="5"/>
        <v>0</v>
      </c>
      <c r="O47" s="396">
        <f t="shared" si="6"/>
        <v>0</v>
      </c>
      <c r="P47" s="53"/>
      <c r="Q47" s="424">
        <f>VLOOKUP($B47,'Proposed Rates'!$D$255:$J$261,+Q$11-2,FALSE)</f>
        <v>0.12</v>
      </c>
      <c r="R47" s="502">
        <f>IF(AND($S$2=1, $F$10&gt;=750), 750, IF(AND($S$2=1, AND($F$10&lt;750, $F$10&gt;=0)), $F$10, IF(AND($S$2=2, $F$10&gt;=1000), 1000, IF(AND($S$2=2, AND($F$10&lt;1000, $F$10&gt;=0)), $F$10))))</f>
        <v>750</v>
      </c>
      <c r="S47" s="394">
        <f t="shared" si="57"/>
        <v>90</v>
      </c>
      <c r="T47" s="138"/>
      <c r="U47" s="395">
        <f t="shared" si="9"/>
        <v>0</v>
      </c>
      <c r="V47" s="396">
        <f t="shared" si="10"/>
        <v>0</v>
      </c>
      <c r="W47" s="53"/>
      <c r="X47" s="424">
        <f>VLOOKUP($B47,'Proposed Rates'!$D$255:$J$261,+X$11-2,FALSE)</f>
        <v>0.12</v>
      </c>
      <c r="Y47" s="502">
        <f>IF(AND($S$2=1, $F$10&gt;=750), 750, IF(AND($S$2=1, AND($F$10&lt;750, $F$10&gt;=0)), $F$10, IF(AND($S$2=2, $F$10&gt;=1000), 1000, IF(AND($S$2=2, AND($F$10&lt;1000, $F$10&gt;=0)), $F$10))))</f>
        <v>750</v>
      </c>
      <c r="Z47" s="394">
        <f t="shared" si="59"/>
        <v>90</v>
      </c>
      <c r="AA47" s="138"/>
      <c r="AB47" s="395">
        <f t="shared" si="13"/>
        <v>0</v>
      </c>
      <c r="AC47" s="396">
        <f t="shared" si="14"/>
        <v>0</v>
      </c>
      <c r="AD47" s="53"/>
      <c r="AE47" s="424">
        <f>VLOOKUP($B47,'Proposed Rates'!$D$255:$J$261,+AE$11-2,FALSE)</f>
        <v>0.12</v>
      </c>
      <c r="AF47" s="502">
        <f>IF(AND($S$2=1, $F$10&gt;=750), 750, IF(AND($S$2=1, AND($F$10&lt;750, $F$10&gt;=0)), $F$10, IF(AND($S$2=2, $F$10&gt;=1000), 1000, IF(AND($S$2=2, AND($F$10&lt;1000, $F$10&gt;=0)), $F$10))))</f>
        <v>750</v>
      </c>
      <c r="AG47" s="394">
        <f t="shared" si="61"/>
        <v>90</v>
      </c>
      <c r="AH47" s="138"/>
      <c r="AI47" s="395">
        <f t="shared" si="17"/>
        <v>0</v>
      </c>
      <c r="AJ47" s="396">
        <f t="shared" si="18"/>
        <v>0</v>
      </c>
      <c r="AK47" s="53"/>
      <c r="AL47" s="424">
        <f>VLOOKUP($B47,'Proposed Rates'!$D$255:$J$261,+AL$11-2,FALSE)</f>
        <v>0.12</v>
      </c>
      <c r="AM47" s="502">
        <f>IF(AND($S$2=1, $F$10&gt;=750), 750, IF(AND($S$2=1, AND($F$10&lt;750, $F$10&gt;=0)), $F$10, IF(AND($S$2=2, $F$10&gt;=1000), 1000, IF(AND($S$2=2, AND($F$10&lt;1000, $F$10&gt;=0)), $F$10))))</f>
        <v>750</v>
      </c>
      <c r="AN47" s="394">
        <f t="shared" si="63"/>
        <v>90</v>
      </c>
      <c r="AO47" s="138"/>
      <c r="AP47" s="395">
        <f t="shared" si="21"/>
        <v>0</v>
      </c>
      <c r="AQ47" s="396">
        <f t="shared" si="22"/>
        <v>0</v>
      </c>
      <c r="AR47" s="397"/>
    </row>
    <row r="48" spans="1:44" ht="12" customHeight="1">
      <c r="A48" s="53"/>
      <c r="B48" s="328" t="s">
        <v>297</v>
      </c>
      <c r="C48" s="389" t="str">
        <f t="shared" si="51"/>
        <v>General Service &lt; 50 kW.Energy - RPP - Tier 2</v>
      </c>
      <c r="D48" s="390" t="s">
        <v>337</v>
      </c>
      <c r="E48" s="328"/>
      <c r="F48" s="424">
        <f>VLOOKUP($B48,'Proposed Rates'!$D$255:$J$261,+F$11-2,FALSE)</f>
        <v>0.14199999999999999</v>
      </c>
      <c r="G48" s="502">
        <f>IF(AND($S$2=1, $F$10&gt;=750), $F$10-750, IF(AND($S$2=1, AND($F$10&lt;750, $F$10&gt;=0)), 0, IF(AND($S$2=2, $F$10&gt;=1000), $F$10-1000, IF(AND($S$2=2, AND($F$10&lt;1000, $F$10&gt;=0)), 0))))</f>
        <v>9250</v>
      </c>
      <c r="H48" s="394">
        <f t="shared" si="53"/>
        <v>1313.4999999999998</v>
      </c>
      <c r="I48" s="138"/>
      <c r="J48" s="424">
        <f>VLOOKUP($B48,'Proposed Rates'!$D$255:$J$261,+J$11-2,FALSE)</f>
        <v>0.14199999999999999</v>
      </c>
      <c r="K48" s="502">
        <f>IF(AND($S$2=1, $F$10&gt;=750), $F$10-750, IF(AND($S$2=1, AND($F$10&lt;750, $F$10&gt;=0)), 0, IF(AND($S$2=2, $F$10&gt;=1000), $F$10-1000, IF(AND($S$2=2, AND($F$10&lt;1000, $F$10&gt;=0)), 0))))</f>
        <v>9250</v>
      </c>
      <c r="L48" s="394">
        <f t="shared" si="55"/>
        <v>1313.4999999999998</v>
      </c>
      <c r="M48" s="138"/>
      <c r="N48" s="395">
        <f t="shared" si="5"/>
        <v>0</v>
      </c>
      <c r="O48" s="396">
        <f t="shared" si="6"/>
        <v>0</v>
      </c>
      <c r="P48" s="53"/>
      <c r="Q48" s="424">
        <f>VLOOKUP($B48,'Proposed Rates'!$D$255:$J$261,+Q$11-2,FALSE)</f>
        <v>0.14199999999999999</v>
      </c>
      <c r="R48" s="502">
        <f>IF(AND($S$2=1, $F$10&gt;=750), $F$10-750, IF(AND($S$2=1, AND($F$10&lt;750, $F$10&gt;=0)), 0, IF(AND($S$2=2, $F$10&gt;=1000), $F$10-1000, IF(AND($S$2=2, AND($F$10&lt;1000, $F$10&gt;=0)), 0))))</f>
        <v>9250</v>
      </c>
      <c r="S48" s="394">
        <f t="shared" si="57"/>
        <v>1313.4999999999998</v>
      </c>
      <c r="T48" s="138"/>
      <c r="U48" s="395">
        <f t="shared" si="9"/>
        <v>0</v>
      </c>
      <c r="V48" s="396">
        <f t="shared" si="10"/>
        <v>0</v>
      </c>
      <c r="W48" s="53"/>
      <c r="X48" s="424">
        <f>VLOOKUP($B48,'Proposed Rates'!$D$255:$J$261,+X$11-2,FALSE)</f>
        <v>0.14199999999999999</v>
      </c>
      <c r="Y48" s="502">
        <f>IF(AND($S$2=1, $F$10&gt;=750), $F$10-750, IF(AND($S$2=1, AND($F$10&lt;750, $F$10&gt;=0)), 0, IF(AND($S$2=2, $F$10&gt;=1000), $F$10-1000, IF(AND($S$2=2, AND($F$10&lt;1000, $F$10&gt;=0)), 0))))</f>
        <v>9250</v>
      </c>
      <c r="Z48" s="394">
        <f t="shared" si="59"/>
        <v>1313.4999999999998</v>
      </c>
      <c r="AA48" s="138"/>
      <c r="AB48" s="395">
        <f t="shared" si="13"/>
        <v>0</v>
      </c>
      <c r="AC48" s="396">
        <f t="shared" si="14"/>
        <v>0</v>
      </c>
      <c r="AD48" s="53"/>
      <c r="AE48" s="424">
        <f>VLOOKUP($B48,'Proposed Rates'!$D$255:$J$261,+AE$11-2,FALSE)</f>
        <v>0.14199999999999999</v>
      </c>
      <c r="AF48" s="502">
        <f>IF(AND($S$2=1, $F$10&gt;=750), $F$10-750, IF(AND($S$2=1, AND($F$10&lt;750, $F$10&gt;=0)), 0, IF(AND($S$2=2, $F$10&gt;=1000), $F$10-1000, IF(AND($S$2=2, AND($F$10&lt;1000, $F$10&gt;=0)), 0))))</f>
        <v>9250</v>
      </c>
      <c r="AG48" s="394">
        <f t="shared" si="61"/>
        <v>1313.4999999999998</v>
      </c>
      <c r="AH48" s="138"/>
      <c r="AI48" s="395">
        <f t="shared" si="17"/>
        <v>0</v>
      </c>
      <c r="AJ48" s="396">
        <f t="shared" si="18"/>
        <v>0</v>
      </c>
      <c r="AK48" s="53"/>
      <c r="AL48" s="424">
        <f>VLOOKUP($B48,'Proposed Rates'!$D$255:$J$261,+AL$11-2,FALSE)</f>
        <v>0.14199999999999999</v>
      </c>
      <c r="AM48" s="502">
        <f>IF(AND($S$2=1, $F$10&gt;=750), $F$10-750, IF(AND($S$2=1, AND($F$10&lt;750, $F$10&gt;=0)), 0, IF(AND($S$2=2, $F$10&gt;=1000), $F$10-1000, IF(AND($S$2=2, AND($F$10&lt;1000, $F$10&gt;=0)), 0))))</f>
        <v>9250</v>
      </c>
      <c r="AN48" s="394">
        <f t="shared" si="63"/>
        <v>1313.4999999999998</v>
      </c>
      <c r="AO48" s="138"/>
      <c r="AP48" s="395">
        <f t="shared" si="21"/>
        <v>0</v>
      </c>
      <c r="AQ48" s="396">
        <f t="shared" si="22"/>
        <v>0</v>
      </c>
      <c r="AR48" s="397"/>
    </row>
    <row r="49" spans="1:44" ht="12" customHeight="1">
      <c r="A49" s="53"/>
      <c r="B49" s="428"/>
      <c r="C49" s="429"/>
      <c r="D49" s="429"/>
      <c r="E49" s="429"/>
      <c r="F49" s="430"/>
      <c r="G49" s="470"/>
      <c r="H49" s="432"/>
      <c r="I49" s="434"/>
      <c r="J49" s="430"/>
      <c r="K49" s="431"/>
      <c r="L49" s="432"/>
      <c r="M49" s="434"/>
      <c r="N49" s="435"/>
      <c r="O49" s="436"/>
      <c r="P49" s="53"/>
      <c r="Q49" s="430"/>
      <c r="R49" s="430"/>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 customHeight="1">
      <c r="A50" s="53"/>
      <c r="B50" s="438" t="s">
        <v>344</v>
      </c>
      <c r="C50" s="328"/>
      <c r="D50" s="328"/>
      <c r="E50" s="328"/>
      <c r="F50" s="439"/>
      <c r="G50" s="483"/>
      <c r="H50" s="441">
        <f>SUM(H41:H46,H40)</f>
        <v>1913.4010600000001</v>
      </c>
      <c r="I50" s="476"/>
      <c r="J50" s="439"/>
      <c r="K50" s="440"/>
      <c r="L50" s="442">
        <f>SUM(L41:L46,L40)</f>
        <v>1918.31376</v>
      </c>
      <c r="M50" s="443"/>
      <c r="N50" s="442">
        <f t="shared" ref="N50:N54" si="64">L50-H50</f>
        <v>4.9126999999998588</v>
      </c>
      <c r="O50" s="444">
        <f t="shared" ref="O50:O54" si="65">IF((H50)=0,"",(N50/H50))</f>
        <v>2.5675223572834533E-3</v>
      </c>
      <c r="P50" s="53"/>
      <c r="Q50" s="439"/>
      <c r="R50" s="440"/>
      <c r="S50" s="442">
        <f>SUM(S41:S46,S40)</f>
        <v>1944.5737599999998</v>
      </c>
      <c r="T50" s="443"/>
      <c r="U50" s="442">
        <f t="shared" ref="U50:U54" si="66">S50-L50</f>
        <v>26.259999999999764</v>
      </c>
      <c r="V50" s="444">
        <f t="shared" ref="V50:V54" si="67">IF((L50)=0,"",(U50/L50))</f>
        <v>1.368910579049371E-2</v>
      </c>
      <c r="W50" s="53"/>
      <c r="X50" s="439"/>
      <c r="Y50" s="440"/>
      <c r="Z50" s="442">
        <f>SUM(Z41:Z46,Z40)</f>
        <v>1955.4737600000001</v>
      </c>
      <c r="AA50" s="443"/>
      <c r="AB50" s="442">
        <f t="shared" ref="AB50:AB54" si="68">Z50-S50</f>
        <v>10.900000000000318</v>
      </c>
      <c r="AC50" s="444">
        <f t="shared" ref="AC50:AC54" si="69">IF((S50)=0,"",(AB50/S50))</f>
        <v>5.605341501677118E-3</v>
      </c>
      <c r="AD50" s="53"/>
      <c r="AE50" s="439"/>
      <c r="AF50" s="440"/>
      <c r="AG50" s="442">
        <f>SUM(AG41:AG46,AG40)</f>
        <v>1961.9537599999999</v>
      </c>
      <c r="AH50" s="443"/>
      <c r="AI50" s="442">
        <f t="shared" ref="AI50:AI54" si="70">AG50-Z50</f>
        <v>6.4799999999997908</v>
      </c>
      <c r="AJ50" s="444">
        <f t="shared" ref="AJ50:AJ54" si="71">IF((Z50)=0,"",(AI50/Z50))</f>
        <v>3.3137749698056752E-3</v>
      </c>
      <c r="AK50" s="53"/>
      <c r="AL50" s="439"/>
      <c r="AM50" s="440"/>
      <c r="AN50" s="442">
        <f>SUM(AN41:AN46,AN40)</f>
        <v>1968.4037599999999</v>
      </c>
      <c r="AO50" s="443"/>
      <c r="AP50" s="442">
        <f t="shared" ref="AP50:AP54" si="72">AN50-AG50</f>
        <v>6.4500000000000455</v>
      </c>
      <c r="AQ50" s="444">
        <f t="shared" ref="AQ50:AQ54" si="73">IF((AG50)=0,"",(AP50/AG50))</f>
        <v>3.2875392537284089E-3</v>
      </c>
      <c r="AR50" s="445"/>
    </row>
    <row r="51" spans="1:44" ht="12" customHeight="1">
      <c r="A51" s="53"/>
      <c r="B51" s="446" t="s">
        <v>345</v>
      </c>
      <c r="C51" s="328"/>
      <c r="D51" s="328"/>
      <c r="E51" s="328"/>
      <c r="F51" s="439">
        <v>0.13</v>
      </c>
      <c r="G51" s="138"/>
      <c r="H51" s="484">
        <f>H50*F51</f>
        <v>248.74213780000002</v>
      </c>
      <c r="I51" s="411"/>
      <c r="J51" s="439">
        <v>0.13</v>
      </c>
      <c r="K51" s="411"/>
      <c r="L51" s="394">
        <f>L50*J51</f>
        <v>249.3807888</v>
      </c>
      <c r="M51" s="138"/>
      <c r="N51" s="395">
        <f t="shared" si="64"/>
        <v>0.63865099999998165</v>
      </c>
      <c r="O51" s="396">
        <f t="shared" si="65"/>
        <v>2.5675223572834533E-3</v>
      </c>
      <c r="P51" s="53"/>
      <c r="Q51" s="439">
        <v>0.13</v>
      </c>
      <c r="R51" s="411"/>
      <c r="S51" s="394">
        <f>S50*Q51</f>
        <v>252.79458879999999</v>
      </c>
      <c r="T51" s="138"/>
      <c r="U51" s="395">
        <f t="shared" si="66"/>
        <v>3.4137999999999806</v>
      </c>
      <c r="V51" s="396">
        <f t="shared" si="67"/>
        <v>1.3689105790493757E-2</v>
      </c>
      <c r="W51" s="53"/>
      <c r="X51" s="439">
        <v>0.13</v>
      </c>
      <c r="Y51" s="411"/>
      <c r="Z51" s="394">
        <f>Z50*X51</f>
        <v>254.21158880000002</v>
      </c>
      <c r="AA51" s="138"/>
      <c r="AB51" s="395">
        <f t="shared" si="68"/>
        <v>1.41700000000003</v>
      </c>
      <c r="AC51" s="396">
        <f t="shared" si="69"/>
        <v>5.6053415016770729E-3</v>
      </c>
      <c r="AD51" s="53"/>
      <c r="AE51" s="439">
        <v>0.13</v>
      </c>
      <c r="AF51" s="411"/>
      <c r="AG51" s="394">
        <f>AG50*AE51</f>
        <v>255.05398879999998</v>
      </c>
      <c r="AH51" s="138"/>
      <c r="AI51" s="395">
        <f t="shared" si="70"/>
        <v>0.8423999999999694</v>
      </c>
      <c r="AJ51" s="396">
        <f t="shared" si="71"/>
        <v>3.3137749698056618E-3</v>
      </c>
      <c r="AK51" s="53"/>
      <c r="AL51" s="439">
        <v>0.13</v>
      </c>
      <c r="AM51" s="411"/>
      <c r="AN51" s="394">
        <f>AN50*AL51</f>
        <v>255.8924888</v>
      </c>
      <c r="AO51" s="138"/>
      <c r="AP51" s="395">
        <f t="shared" si="72"/>
        <v>0.83850000000001046</v>
      </c>
      <c r="AQ51" s="396">
        <f t="shared" si="73"/>
        <v>3.2875392537284266E-3</v>
      </c>
      <c r="AR51" s="397"/>
    </row>
    <row r="52" spans="1:44" ht="12" customHeight="1">
      <c r="A52" s="53"/>
      <c r="B52" s="448" t="s">
        <v>400</v>
      </c>
      <c r="C52" s="328"/>
      <c r="D52" s="328"/>
      <c r="E52" s="328"/>
      <c r="F52" s="449"/>
      <c r="G52" s="138"/>
      <c r="H52" s="484">
        <f>H50+H51</f>
        <v>2162.1431978000001</v>
      </c>
      <c r="I52" s="411"/>
      <c r="J52" s="449"/>
      <c r="K52" s="411"/>
      <c r="L52" s="394">
        <f>L50+L51</f>
        <v>2167.6945488000001</v>
      </c>
      <c r="M52" s="138"/>
      <c r="N52" s="395">
        <f t="shared" si="64"/>
        <v>5.5513510000000679</v>
      </c>
      <c r="O52" s="396">
        <f t="shared" si="65"/>
        <v>2.5675223572835587E-3</v>
      </c>
      <c r="P52" s="53"/>
      <c r="Q52" s="449"/>
      <c r="R52" s="411"/>
      <c r="S52" s="394">
        <f>S50+S51</f>
        <v>2197.3683487999997</v>
      </c>
      <c r="T52" s="138"/>
      <c r="U52" s="395">
        <f t="shared" si="66"/>
        <v>29.673799999999574</v>
      </c>
      <c r="V52" s="396">
        <f t="shared" si="67"/>
        <v>1.3689105790493638E-2</v>
      </c>
      <c r="W52" s="53"/>
      <c r="X52" s="449"/>
      <c r="Y52" s="411"/>
      <c r="Z52" s="394">
        <f>Z50+Z51</f>
        <v>2209.6853488000002</v>
      </c>
      <c r="AA52" s="138"/>
      <c r="AB52" s="395">
        <f t="shared" si="68"/>
        <v>12.317000000000462</v>
      </c>
      <c r="AC52" s="396">
        <f t="shared" si="69"/>
        <v>5.6053415016771649E-3</v>
      </c>
      <c r="AD52" s="53"/>
      <c r="AE52" s="449"/>
      <c r="AF52" s="411"/>
      <c r="AG52" s="394">
        <f>AG50+AG51</f>
        <v>2217.0077487999997</v>
      </c>
      <c r="AH52" s="138"/>
      <c r="AI52" s="395">
        <f t="shared" si="70"/>
        <v>7.3223999999995613</v>
      </c>
      <c r="AJ52" s="396">
        <f t="shared" si="71"/>
        <v>3.3137749698055837E-3</v>
      </c>
      <c r="AK52" s="53"/>
      <c r="AL52" s="449"/>
      <c r="AM52" s="411"/>
      <c r="AN52" s="394">
        <f>AN50+AN51</f>
        <v>2224.2962487999998</v>
      </c>
      <c r="AO52" s="138"/>
      <c r="AP52" s="395">
        <f t="shared" si="72"/>
        <v>7.2885000000001128</v>
      </c>
      <c r="AQ52" s="396">
        <f t="shared" si="73"/>
        <v>3.2875392537284366E-3</v>
      </c>
      <c r="AR52" s="397"/>
    </row>
    <row r="53" spans="1:44" ht="12" customHeight="1">
      <c r="A53" s="53"/>
      <c r="B53" s="626" t="s">
        <v>304</v>
      </c>
      <c r="C53" s="616"/>
      <c r="D53" s="616"/>
      <c r="E53" s="328"/>
      <c r="F53" s="450">
        <f>'Proposed Rates'!E294</f>
        <v>0.23499999999999999</v>
      </c>
      <c r="G53" s="138"/>
      <c r="H53" s="486">
        <f>F53*H50</f>
        <v>449.64924910000002</v>
      </c>
      <c r="I53" s="411"/>
      <c r="J53" s="450">
        <f>'Proposed Rates'!I294</f>
        <v>0.23499999999999999</v>
      </c>
      <c r="K53" s="411"/>
      <c r="L53" s="451">
        <f>J53*L50</f>
        <v>450.80373359999999</v>
      </c>
      <c r="M53" s="138"/>
      <c r="N53" s="451">
        <f t="shared" si="64"/>
        <v>1.1544844999999668</v>
      </c>
      <c r="O53" s="453">
        <f t="shared" si="65"/>
        <v>2.5675223572834533E-3</v>
      </c>
      <c r="P53" s="53"/>
      <c r="Q53" s="450">
        <f>J53</f>
        <v>0.23499999999999999</v>
      </c>
      <c r="R53" s="411"/>
      <c r="S53" s="451">
        <f>Q53*S50</f>
        <v>456.9748335999999</v>
      </c>
      <c r="T53" s="138"/>
      <c r="U53" s="451">
        <f t="shared" si="66"/>
        <v>6.1710999999999103</v>
      </c>
      <c r="V53" s="453">
        <f t="shared" si="67"/>
        <v>1.3689105790493636E-2</v>
      </c>
      <c r="W53" s="53"/>
      <c r="X53" s="450">
        <f>Q53</f>
        <v>0.23499999999999999</v>
      </c>
      <c r="Y53" s="411"/>
      <c r="Z53" s="451">
        <f>X53*Z50</f>
        <v>459.53633359999998</v>
      </c>
      <c r="AA53" s="138"/>
      <c r="AB53" s="451">
        <f t="shared" si="68"/>
        <v>2.5615000000000805</v>
      </c>
      <c r="AC53" s="453">
        <f t="shared" si="69"/>
        <v>5.6053415016771311E-3</v>
      </c>
      <c r="AD53" s="53"/>
      <c r="AE53" s="450">
        <f>X53</f>
        <v>0.23499999999999999</v>
      </c>
      <c r="AF53" s="411"/>
      <c r="AG53" s="451">
        <f>AE53*AG50</f>
        <v>461.05913359999994</v>
      </c>
      <c r="AH53" s="138"/>
      <c r="AI53" s="451">
        <f t="shared" si="70"/>
        <v>1.5227999999999611</v>
      </c>
      <c r="AJ53" s="453">
        <f t="shared" si="71"/>
        <v>3.3137749698056978E-3</v>
      </c>
      <c r="AK53" s="53"/>
      <c r="AL53" s="450">
        <f>AE53</f>
        <v>0.23499999999999999</v>
      </c>
      <c r="AM53" s="411"/>
      <c r="AN53" s="451">
        <f>AL53*AN50</f>
        <v>462.57488359999996</v>
      </c>
      <c r="AO53" s="138"/>
      <c r="AP53" s="451">
        <f t="shared" si="72"/>
        <v>1.5157500000000255</v>
      </c>
      <c r="AQ53" s="453">
        <f t="shared" si="73"/>
        <v>3.2875392537284414E-3</v>
      </c>
      <c r="AR53" s="454"/>
    </row>
    <row r="54" spans="1:44" ht="12.75" customHeight="1">
      <c r="A54" s="53"/>
      <c r="B54" s="627" t="s">
        <v>347</v>
      </c>
      <c r="C54" s="608"/>
      <c r="D54" s="600"/>
      <c r="E54" s="455"/>
      <c r="F54" s="456"/>
      <c r="G54" s="487"/>
      <c r="H54" s="488">
        <f>H52-H53</f>
        <v>1712.4939487000001</v>
      </c>
      <c r="I54" s="457"/>
      <c r="J54" s="456"/>
      <c r="K54" s="457"/>
      <c r="L54" s="458">
        <f>L52-L53</f>
        <v>1716.8908152000001</v>
      </c>
      <c r="M54" s="459"/>
      <c r="N54" s="460">
        <f t="shared" si="64"/>
        <v>4.3968664999999874</v>
      </c>
      <c r="O54" s="461">
        <f t="shared" si="65"/>
        <v>2.5675223572835196E-3</v>
      </c>
      <c r="P54" s="53"/>
      <c r="Q54" s="456"/>
      <c r="R54" s="457"/>
      <c r="S54" s="458">
        <f>S52-S53</f>
        <v>1740.3935151999999</v>
      </c>
      <c r="T54" s="459"/>
      <c r="U54" s="460">
        <f t="shared" si="66"/>
        <v>23.502699999999777</v>
      </c>
      <c r="V54" s="461">
        <f t="shared" si="67"/>
        <v>1.3689105790493704E-2</v>
      </c>
      <c r="W54" s="53"/>
      <c r="X54" s="456"/>
      <c r="Y54" s="457"/>
      <c r="Z54" s="458">
        <f>Z52-Z53</f>
        <v>1750.1490152000001</v>
      </c>
      <c r="AA54" s="459"/>
      <c r="AB54" s="460">
        <f t="shared" si="68"/>
        <v>9.755500000000211</v>
      </c>
      <c r="AC54" s="461">
        <f t="shared" si="69"/>
        <v>5.6053415016770755E-3</v>
      </c>
      <c r="AD54" s="53"/>
      <c r="AE54" s="456"/>
      <c r="AF54" s="457"/>
      <c r="AG54" s="458">
        <f>AG52-AG53</f>
        <v>1755.9486151999997</v>
      </c>
      <c r="AH54" s="459"/>
      <c r="AI54" s="460">
        <f t="shared" si="70"/>
        <v>5.7995999999996002</v>
      </c>
      <c r="AJ54" s="461">
        <f t="shared" si="71"/>
        <v>3.3137749698055538E-3</v>
      </c>
      <c r="AK54" s="53"/>
      <c r="AL54" s="456"/>
      <c r="AM54" s="457"/>
      <c r="AN54" s="458">
        <f>AN52-AN53</f>
        <v>1761.7213651999998</v>
      </c>
      <c r="AO54" s="459"/>
      <c r="AP54" s="460">
        <f t="shared" si="72"/>
        <v>5.7727500000000873</v>
      </c>
      <c r="AQ54" s="461">
        <f t="shared" si="73"/>
        <v>3.2875392537284357E-3</v>
      </c>
      <c r="AR54" s="462"/>
    </row>
    <row r="55" spans="1:44" ht="12"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 customHeight="1">
      <c r="A56" s="53"/>
      <c r="B56" s="438" t="s">
        <v>348</v>
      </c>
      <c r="C56" s="328"/>
      <c r="D56" s="328"/>
      <c r="E56" s="328"/>
      <c r="F56" s="439"/>
      <c r="G56" s="483"/>
      <c r="H56" s="441">
        <f>SUM(H47:H48,H40,H41:H43)</f>
        <v>2041.7010599999996</v>
      </c>
      <c r="I56" s="476"/>
      <c r="J56" s="439"/>
      <c r="K56" s="440"/>
      <c r="L56" s="442">
        <f>SUM(L47:L48,L40,L41:L43)</f>
        <v>2046.6137599999995</v>
      </c>
      <c r="M56" s="443"/>
      <c r="N56" s="442">
        <f t="shared" ref="N56:N60" si="74">L56-H56</f>
        <v>4.9126999999998588</v>
      </c>
      <c r="O56" s="444">
        <f t="shared" ref="O56:O60" si="75">IF((H56)=0,"",(N56/H56))</f>
        <v>2.4061798743445135E-3</v>
      </c>
      <c r="P56" s="53"/>
      <c r="Q56" s="439"/>
      <c r="R56" s="440"/>
      <c r="S56" s="442">
        <f>SUM(S47:S48,S40,S41:S43)</f>
        <v>2072.8737599999995</v>
      </c>
      <c r="T56" s="443"/>
      <c r="U56" s="442">
        <f t="shared" ref="U56:U60" si="76">S56-L56</f>
        <v>26.259999999999991</v>
      </c>
      <c r="V56" s="444">
        <f t="shared" ref="V56:V60" si="77">IF((L56)=0,"",(U56/L56))</f>
        <v>1.2830950574670229E-2</v>
      </c>
      <c r="W56" s="53"/>
      <c r="X56" s="439"/>
      <c r="Y56" s="440"/>
      <c r="Z56" s="442">
        <f>SUM(Z47:Z48,Z40,Z41:Z43)</f>
        <v>2083.7737599999996</v>
      </c>
      <c r="AA56" s="443"/>
      <c r="AB56" s="442">
        <f t="shared" ref="AB56:AB60" si="78">Z56-S56</f>
        <v>10.900000000000091</v>
      </c>
      <c r="AC56" s="444">
        <f t="shared" ref="AC56:AC60" si="79">IF((S56)=0,"",(AB56/S56))</f>
        <v>5.2584002993024013E-3</v>
      </c>
      <c r="AD56" s="53"/>
      <c r="AE56" s="439"/>
      <c r="AF56" s="440"/>
      <c r="AG56" s="442">
        <f>SUM(AG47:AG48,AG40,AG41:AG43)</f>
        <v>2090.2537599999996</v>
      </c>
      <c r="AH56" s="443"/>
      <c r="AI56" s="442">
        <f t="shared" ref="AI56:AI60" si="80">AG56-Z56</f>
        <v>6.4800000000000182</v>
      </c>
      <c r="AJ56" s="444">
        <f t="shared" ref="AJ56:AJ60" si="81">IF((Z56)=0,"",(AI56/Z56))</f>
        <v>3.1097425854906724E-3</v>
      </c>
      <c r="AK56" s="53"/>
      <c r="AL56" s="439"/>
      <c r="AM56" s="440"/>
      <c r="AN56" s="442">
        <f>SUM(AN47:AN48,AN40,AN41:AN43)</f>
        <v>2096.7037599999994</v>
      </c>
      <c r="AO56" s="443"/>
      <c r="AP56" s="442">
        <f t="shared" ref="AP56:AP60" si="82">AN56-AG56</f>
        <v>6.4499999999998181</v>
      </c>
      <c r="AQ56" s="444">
        <f t="shared" ref="AQ56:AQ60" si="83">IF((AG56)=0,"",(AP56/AG56))</f>
        <v>3.0857497416963476E-3</v>
      </c>
      <c r="AR56" s="445"/>
    </row>
    <row r="57" spans="1:44" ht="12" customHeight="1">
      <c r="A57" s="53"/>
      <c r="B57" s="446" t="s">
        <v>345</v>
      </c>
      <c r="C57" s="328"/>
      <c r="D57" s="328"/>
      <c r="E57" s="328"/>
      <c r="F57" s="439">
        <v>0.13</v>
      </c>
      <c r="G57" s="483"/>
      <c r="H57" s="484">
        <f>H56*F57</f>
        <v>265.42113779999994</v>
      </c>
      <c r="I57" s="411"/>
      <c r="J57" s="439">
        <v>0.13</v>
      </c>
      <c r="K57" s="447"/>
      <c r="L57" s="395">
        <f>L56*J57</f>
        <v>266.05978879999992</v>
      </c>
      <c r="M57" s="138"/>
      <c r="N57" s="395">
        <f t="shared" si="74"/>
        <v>0.63865099999998165</v>
      </c>
      <c r="O57" s="396">
        <f t="shared" si="75"/>
        <v>2.4061798743445135E-3</v>
      </c>
      <c r="P57" s="53"/>
      <c r="Q57" s="439">
        <v>0.13</v>
      </c>
      <c r="R57" s="447"/>
      <c r="S57" s="394">
        <f>S56*Q57</f>
        <v>269.47358879999996</v>
      </c>
      <c r="T57" s="138"/>
      <c r="U57" s="395">
        <f t="shared" si="76"/>
        <v>3.4138000000000375</v>
      </c>
      <c r="V57" s="396">
        <f t="shared" si="77"/>
        <v>1.2830950574670374E-2</v>
      </c>
      <c r="W57" s="53"/>
      <c r="X57" s="439">
        <v>0.13</v>
      </c>
      <c r="Y57" s="447"/>
      <c r="Z57" s="394">
        <f>Z56*X57</f>
        <v>270.89058879999993</v>
      </c>
      <c r="AA57" s="138"/>
      <c r="AB57" s="395">
        <f t="shared" si="78"/>
        <v>1.4169999999999732</v>
      </c>
      <c r="AC57" s="396">
        <f t="shared" si="79"/>
        <v>5.2584002993022573E-3</v>
      </c>
      <c r="AD57" s="53"/>
      <c r="AE57" s="439">
        <v>0.13</v>
      </c>
      <c r="AF57" s="447"/>
      <c r="AG57" s="395">
        <f>AG56*AE57</f>
        <v>271.73298879999993</v>
      </c>
      <c r="AH57" s="138"/>
      <c r="AI57" s="395">
        <f t="shared" si="80"/>
        <v>0.84239999999999782</v>
      </c>
      <c r="AJ57" s="396">
        <f t="shared" si="81"/>
        <v>3.1097425854906555E-3</v>
      </c>
      <c r="AK57" s="53"/>
      <c r="AL57" s="439">
        <v>0.13</v>
      </c>
      <c r="AM57" s="447"/>
      <c r="AN57" s="394">
        <f>AN56*AL57</f>
        <v>272.57148879999994</v>
      </c>
      <c r="AO57" s="138"/>
      <c r="AP57" s="395">
        <f t="shared" si="82"/>
        <v>0.83850000000001046</v>
      </c>
      <c r="AQ57" s="396">
        <f t="shared" si="83"/>
        <v>3.0857497416964734E-3</v>
      </c>
      <c r="AR57" s="397"/>
    </row>
    <row r="58" spans="1:44" ht="12" customHeight="1">
      <c r="A58" s="53"/>
      <c r="B58" s="448" t="s">
        <v>401</v>
      </c>
      <c r="C58" s="328"/>
      <c r="D58" s="328"/>
      <c r="E58" s="328"/>
      <c r="F58" s="449"/>
      <c r="G58" s="138"/>
      <c r="H58" s="484">
        <f>H56+H57</f>
        <v>2307.1221977999994</v>
      </c>
      <c r="I58" s="411"/>
      <c r="J58" s="449"/>
      <c r="K58" s="411"/>
      <c r="L58" s="394">
        <f>L56+L57</f>
        <v>2312.6735487999995</v>
      </c>
      <c r="M58" s="138"/>
      <c r="N58" s="395">
        <f t="shared" si="74"/>
        <v>5.5513510000000679</v>
      </c>
      <c r="O58" s="396">
        <f t="shared" si="75"/>
        <v>2.4061798743446119E-3</v>
      </c>
      <c r="P58" s="53"/>
      <c r="Q58" s="449"/>
      <c r="R58" s="411"/>
      <c r="S58" s="394">
        <f>S56+S57</f>
        <v>2342.3473487999995</v>
      </c>
      <c r="T58" s="138"/>
      <c r="U58" s="395">
        <f t="shared" si="76"/>
        <v>29.673800000000028</v>
      </c>
      <c r="V58" s="396">
        <f t="shared" si="77"/>
        <v>1.2830950574670244E-2</v>
      </c>
      <c r="W58" s="53"/>
      <c r="X58" s="449"/>
      <c r="Y58" s="411"/>
      <c r="Z58" s="394">
        <f>Z56+Z57</f>
        <v>2354.6643487999995</v>
      </c>
      <c r="AA58" s="138"/>
      <c r="AB58" s="395">
        <f t="shared" si="78"/>
        <v>12.317000000000007</v>
      </c>
      <c r="AC58" s="396">
        <f t="shared" si="79"/>
        <v>5.2584002993023606E-3</v>
      </c>
      <c r="AD58" s="53"/>
      <c r="AE58" s="449"/>
      <c r="AF58" s="411"/>
      <c r="AG58" s="394">
        <f>AG56+AG57</f>
        <v>2361.9867487999995</v>
      </c>
      <c r="AH58" s="138"/>
      <c r="AI58" s="395">
        <f t="shared" si="80"/>
        <v>7.322400000000016</v>
      </c>
      <c r="AJ58" s="396">
        <f t="shared" si="81"/>
        <v>3.1097425854906702E-3</v>
      </c>
      <c r="AK58" s="53"/>
      <c r="AL58" s="449"/>
      <c r="AM58" s="411"/>
      <c r="AN58" s="394">
        <f>AN56+AN57</f>
        <v>2369.2752487999992</v>
      </c>
      <c r="AO58" s="138"/>
      <c r="AP58" s="395">
        <f t="shared" si="82"/>
        <v>7.288499999999658</v>
      </c>
      <c r="AQ58" s="396">
        <f t="shared" si="83"/>
        <v>3.0857497416962899E-3</v>
      </c>
      <c r="AR58" s="397"/>
    </row>
    <row r="59" spans="1:44" ht="12" customHeight="1">
      <c r="A59" s="53"/>
      <c r="B59" s="626" t="s">
        <v>304</v>
      </c>
      <c r="C59" s="616"/>
      <c r="D59" s="616"/>
      <c r="E59" s="328"/>
      <c r="F59" s="450">
        <f>F53</f>
        <v>0.23499999999999999</v>
      </c>
      <c r="G59" s="138"/>
      <c r="H59" s="486">
        <f>F59*H56</f>
        <v>479.79974909999987</v>
      </c>
      <c r="I59" s="411"/>
      <c r="J59" s="450">
        <f>J53</f>
        <v>0.23499999999999999</v>
      </c>
      <c r="K59" s="411"/>
      <c r="L59" s="451">
        <f>J59*L56</f>
        <v>480.95423359999984</v>
      </c>
      <c r="M59" s="138"/>
      <c r="N59" s="451">
        <f t="shared" si="74"/>
        <v>1.1544844999999668</v>
      </c>
      <c r="O59" s="453">
        <f t="shared" si="75"/>
        <v>2.4061798743445135E-3</v>
      </c>
      <c r="P59" s="53"/>
      <c r="Q59" s="450">
        <f>Q53</f>
        <v>0.23499999999999999</v>
      </c>
      <c r="R59" s="411"/>
      <c r="S59" s="451">
        <f>Q59*S56</f>
        <v>487.12533359999986</v>
      </c>
      <c r="T59" s="138"/>
      <c r="U59" s="451">
        <f t="shared" si="76"/>
        <v>6.171100000000024</v>
      </c>
      <c r="V59" s="453">
        <f t="shared" si="77"/>
        <v>1.2830950574670284E-2</v>
      </c>
      <c r="W59" s="53"/>
      <c r="X59" s="450">
        <f>X53</f>
        <v>0.23499999999999999</v>
      </c>
      <c r="Y59" s="411"/>
      <c r="Z59" s="451">
        <f>X59*Z56</f>
        <v>489.68683359999989</v>
      </c>
      <c r="AA59" s="138"/>
      <c r="AB59" s="451">
        <f t="shared" si="78"/>
        <v>2.5615000000000236</v>
      </c>
      <c r="AC59" s="453">
        <f t="shared" si="79"/>
        <v>5.2584002993024057E-3</v>
      </c>
      <c r="AD59" s="53"/>
      <c r="AE59" s="450">
        <f>AE53</f>
        <v>0.23499999999999999</v>
      </c>
      <c r="AF59" s="411"/>
      <c r="AG59" s="451">
        <f>AE59*AG56</f>
        <v>491.2096335999999</v>
      </c>
      <c r="AH59" s="138"/>
      <c r="AI59" s="451">
        <f t="shared" si="80"/>
        <v>1.5228000000000179</v>
      </c>
      <c r="AJ59" s="453">
        <f t="shared" si="81"/>
        <v>3.1097425854907002E-3</v>
      </c>
      <c r="AK59" s="53"/>
      <c r="AL59" s="450">
        <f>AL53</f>
        <v>0.23499999999999999</v>
      </c>
      <c r="AM59" s="411"/>
      <c r="AN59" s="451">
        <f>AL59*AN56</f>
        <v>492.72538359999982</v>
      </c>
      <c r="AO59" s="138"/>
      <c r="AP59" s="451">
        <f t="shared" si="82"/>
        <v>1.5157499999999118</v>
      </c>
      <c r="AQ59" s="453">
        <f t="shared" si="83"/>
        <v>3.0857497416962552E-3</v>
      </c>
      <c r="AR59" s="454"/>
    </row>
    <row r="60" spans="1:44" ht="12.75" customHeight="1">
      <c r="A60" s="53"/>
      <c r="B60" s="627" t="s">
        <v>350</v>
      </c>
      <c r="C60" s="608"/>
      <c r="D60" s="600"/>
      <c r="E60" s="455"/>
      <c r="F60" s="463"/>
      <c r="G60" s="489"/>
      <c r="H60" s="490">
        <f>H58-H59</f>
        <v>1827.3224486999995</v>
      </c>
      <c r="I60" s="464"/>
      <c r="J60" s="463"/>
      <c r="K60" s="464"/>
      <c r="L60" s="465">
        <f>L58-L59</f>
        <v>1831.7193151999995</v>
      </c>
      <c r="M60" s="466"/>
      <c r="N60" s="467">
        <f t="shared" si="74"/>
        <v>4.3968664999999874</v>
      </c>
      <c r="O60" s="468">
        <f t="shared" si="75"/>
        <v>2.406179874344576E-3</v>
      </c>
      <c r="P60" s="53"/>
      <c r="Q60" s="463"/>
      <c r="R60" s="464"/>
      <c r="S60" s="465">
        <f>S58-S59</f>
        <v>1855.2220151999995</v>
      </c>
      <c r="T60" s="466"/>
      <c r="U60" s="467">
        <f t="shared" si="76"/>
        <v>23.502700000000004</v>
      </c>
      <c r="V60" s="468">
        <f t="shared" si="77"/>
        <v>1.2830950574670236E-2</v>
      </c>
      <c r="W60" s="53"/>
      <c r="X60" s="463"/>
      <c r="Y60" s="464"/>
      <c r="Z60" s="465">
        <f>Z58-Z59</f>
        <v>1864.9775151999997</v>
      </c>
      <c r="AA60" s="466"/>
      <c r="AB60" s="467">
        <f t="shared" si="78"/>
        <v>9.755500000000211</v>
      </c>
      <c r="AC60" s="468">
        <f t="shared" si="79"/>
        <v>5.2584002993024707E-3</v>
      </c>
      <c r="AD60" s="53"/>
      <c r="AE60" s="463"/>
      <c r="AF60" s="464"/>
      <c r="AG60" s="465">
        <f>AG58-AG59</f>
        <v>1870.7771151999996</v>
      </c>
      <c r="AH60" s="466"/>
      <c r="AI60" s="467">
        <f t="shared" si="80"/>
        <v>5.7995999999998276</v>
      </c>
      <c r="AJ60" s="468">
        <f t="shared" si="81"/>
        <v>3.1097425854905709E-3</v>
      </c>
      <c r="AK60" s="53"/>
      <c r="AL60" s="463"/>
      <c r="AM60" s="464"/>
      <c r="AN60" s="465">
        <f>AN58-AN59</f>
        <v>1876.5498651999994</v>
      </c>
      <c r="AO60" s="466"/>
      <c r="AP60" s="467">
        <f t="shared" si="82"/>
        <v>5.7727499999998599</v>
      </c>
      <c r="AQ60" s="468">
        <f t="shared" si="83"/>
        <v>3.0857497416963598E-3</v>
      </c>
      <c r="AR60" s="462"/>
    </row>
    <row r="61" spans="1:44" ht="12"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474"/>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600-000000000000}">
      <formula1>"TOU,non-TOU"</formula1>
    </dataValidation>
    <dataValidation type="list" allowBlank="1" showErrorMessage="1" sqref="E15:E28 E30:E36 E38:E39 E41:E49 E55 E61" xr:uid="{00000000-0002-0000-1600-000001000000}">
      <formula1>#REF!</formula1>
    </dataValidation>
    <dataValidation type="list" allowBlank="1" showInputMessage="1" showErrorMessage="1" prompt="Select Charge Unit - monthly, per kWh, per kW" sqref="D15:D28 D30:D36 D38:D39 D41:D49 D55 D61" xr:uid="{00000000-0002-0000-1600-000002000000}">
      <formula1>"Monthly,per kWh,per kW"</formula1>
    </dataValidation>
  </dataValidations>
  <pageMargins left="0.74803149606299213" right="0.74803149606299213" top="0.98425196850393704" bottom="0.98425196850393704"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10.42578125" customWidth="1"/>
    <col min="7" max="7" width="8.85546875" customWidth="1"/>
    <col min="8" max="8" width="11" customWidth="1"/>
    <col min="9" max="9" width="0.4257812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1"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0.425781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42578125" customWidth="1"/>
    <col min="38" max="38" width="10.42578125" customWidth="1"/>
    <col min="39" max="39" width="8.85546875" customWidth="1"/>
    <col min="40" max="40" width="11" customWidth="1"/>
    <col min="41" max="41" width="0.42578125" customWidth="1"/>
    <col min="42" max="42" width="9.42578125" customWidth="1"/>
    <col min="43" max="43" width="10" customWidth="1"/>
    <col min="44" max="44" width="0.7109375" customWidth="1"/>
    <col min="45" max="45" width="12.42578125" customWidth="1"/>
  </cols>
  <sheetData>
    <row r="1" spans="1:45" ht="12" customHeight="1">
      <c r="A1" s="53"/>
      <c r="B1" s="53"/>
      <c r="C1" s="53"/>
      <c r="D1" s="53"/>
      <c r="E1" s="53"/>
      <c r="F1" s="53"/>
      <c r="G1" s="53"/>
      <c r="H1" s="53"/>
      <c r="I1" s="53"/>
      <c r="J1" s="53"/>
      <c r="K1" s="53"/>
      <c r="Q1" s="53"/>
      <c r="R1" s="53"/>
      <c r="S1" s="628" t="s">
        <v>319</v>
      </c>
      <c r="T1" s="629"/>
      <c r="U1" s="629"/>
      <c r="V1" s="629"/>
      <c r="W1" s="629"/>
      <c r="X1" s="629"/>
      <c r="Y1" s="630"/>
      <c r="Z1" s="53"/>
      <c r="AA1" s="53"/>
      <c r="AB1" s="53"/>
      <c r="AC1" s="53"/>
      <c r="AD1" s="53"/>
      <c r="AE1" s="53"/>
      <c r="AF1" s="53"/>
      <c r="AG1" s="53"/>
      <c r="AH1" s="53"/>
      <c r="AI1" s="53"/>
      <c r="AJ1" s="53"/>
      <c r="AK1" s="53"/>
      <c r="AL1" s="53"/>
      <c r="AM1" s="53"/>
      <c r="AN1" s="53"/>
      <c r="AO1" s="53"/>
      <c r="AP1" s="53"/>
      <c r="AQ1" s="53"/>
      <c r="AR1" s="53"/>
    </row>
    <row r="2" spans="1:45" ht="12"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5"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5"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5"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5" ht="12" customHeight="1">
      <c r="A6" s="53"/>
      <c r="B6" s="327" t="s">
        <v>323</v>
      </c>
      <c r="C6" s="53"/>
      <c r="D6" s="499" t="s">
        <v>248</v>
      </c>
      <c r="E6" s="500"/>
      <c r="F6" s="500"/>
      <c r="G6" s="500"/>
      <c r="H6" s="53"/>
      <c r="I6" s="53"/>
      <c r="J6" s="53"/>
      <c r="K6" s="53"/>
      <c r="L6" s="53"/>
      <c r="M6" s="53"/>
      <c r="N6" s="53"/>
      <c r="O6" s="53"/>
      <c r="P6" s="500"/>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row>
    <row r="7" spans="1:45"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5" ht="12"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5" ht="12" customHeight="1">
      <c r="A9" s="53"/>
      <c r="B9" s="377"/>
      <c r="C9" s="53"/>
      <c r="D9" s="378"/>
      <c r="E9" s="378"/>
      <c r="F9" s="378"/>
      <c r="G9" s="378"/>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5" ht="12" customHeight="1">
      <c r="A10" s="53"/>
      <c r="B10" s="53"/>
      <c r="C10" s="53"/>
      <c r="D10" s="314" t="s">
        <v>326</v>
      </c>
      <c r="E10" s="314"/>
      <c r="F10" s="380">
        <v>15000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5" ht="12" customHeight="1">
      <c r="A11" s="53"/>
      <c r="B11" s="53"/>
      <c r="C11" s="53"/>
      <c r="D11" s="53"/>
      <c r="E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5" ht="12"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5" ht="12"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5" ht="12"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5" ht="12" customHeight="1">
      <c r="A15" s="53"/>
      <c r="B15" s="328" t="s">
        <v>246</v>
      </c>
      <c r="C15" s="389" t="str">
        <f t="shared" ref="C15:C28" si="0">D$6&amp;"."&amp;B15</f>
        <v>General Service &lt; 50 kW.Monthly Service Charge</v>
      </c>
      <c r="D15" s="390" t="s">
        <v>335</v>
      </c>
      <c r="E15" s="328"/>
      <c r="F15" s="391">
        <f>IFERROR(VLOOKUP($C15,'Proposed Rates'!$B:$J,F$11,FALSE),0)</f>
        <v>23.53</v>
      </c>
      <c r="G15" s="392">
        <f t="shared" ref="G15:G28" si="1">IF($D15="Monthly",1,IF($D15="per KWH",$F$10,0))</f>
        <v>1</v>
      </c>
      <c r="H15" s="394">
        <f t="shared" ref="H15:H28" si="2">G15*F15</f>
        <v>23.53</v>
      </c>
      <c r="I15" s="138"/>
      <c r="J15" s="391">
        <f>IFERROR(VLOOKUP($C15,'Proposed Rates'!$B:$J,J$11,FALSE),0)</f>
        <v>26.16</v>
      </c>
      <c r="K15" s="392">
        <f t="shared" ref="K15:K28" si="3">IF($D15="Monthly",1,IF($D15="per KWH",$F$10,0))</f>
        <v>1</v>
      </c>
      <c r="L15" s="394">
        <f t="shared" ref="L15:L28" si="4">K15*J15</f>
        <v>26.16</v>
      </c>
      <c r="M15" s="138"/>
      <c r="N15" s="395">
        <f t="shared" ref="N15:N48" si="5">L15-H15</f>
        <v>2.629999999999999</v>
      </c>
      <c r="O15" s="396">
        <f t="shared" ref="O15:O48" si="6">IF((H15)=0,"",(N15/H15))</f>
        <v>0.11177220569485759</v>
      </c>
      <c r="P15" s="53"/>
      <c r="Q15" s="391">
        <f>IFERROR(VLOOKUP($C15,'Proposed Rates'!$B:$J,Q$11,FALSE),0)</f>
        <v>27.42</v>
      </c>
      <c r="R15" s="392">
        <f t="shared" ref="R15:R28" si="7">IF($D15="Monthly",1,IF($D15="per KWH",$F$10,0))</f>
        <v>1</v>
      </c>
      <c r="S15" s="394">
        <f t="shared" ref="S15:S28" si="8">R15*Q15</f>
        <v>27.42</v>
      </c>
      <c r="T15" s="138"/>
      <c r="U15" s="395">
        <f t="shared" ref="U15:U48" si="9">S15-L15</f>
        <v>1.2600000000000016</v>
      </c>
      <c r="V15" s="396">
        <f t="shared" ref="V15:V48" si="10">IF((L15)=0,"",(U15/L15))</f>
        <v>4.8165137614678957E-2</v>
      </c>
      <c r="W15" s="53"/>
      <c r="X15" s="391">
        <f>IFERROR(VLOOKUP($C15,'Proposed Rates'!$B:$J,X$11,FALSE),0)</f>
        <v>29.3</v>
      </c>
      <c r="Y15" s="392">
        <f t="shared" ref="Y15:Y28" si="11">IF($D15="Monthly",1,IF($D15="per KWH",$F$10,0))</f>
        <v>1</v>
      </c>
      <c r="Z15" s="394">
        <f t="shared" ref="Z15:Z28" si="12">Y15*X15</f>
        <v>29.3</v>
      </c>
      <c r="AA15" s="138"/>
      <c r="AB15" s="395">
        <f t="shared" ref="AB15:AB48" si="13">Z15-S15</f>
        <v>1.879999999999999</v>
      </c>
      <c r="AC15" s="396">
        <f t="shared" ref="AC15:AC48" si="14">IF((S15)=0,"",(AB15/S15))</f>
        <v>6.856309263311447E-2</v>
      </c>
      <c r="AD15" s="53"/>
      <c r="AE15" s="391">
        <f>IFERROR(VLOOKUP($C15,'Proposed Rates'!$B:$J,AE$11,FALSE),0)</f>
        <v>29.77</v>
      </c>
      <c r="AF15" s="392">
        <f t="shared" ref="AF15:AF28" si="15">IF($D15="Monthly",1,IF($D15="per KWH",$F$10,0))</f>
        <v>1</v>
      </c>
      <c r="AG15" s="394">
        <f t="shared" ref="AG15:AG28" si="16">AF15*AE15</f>
        <v>29.77</v>
      </c>
      <c r="AH15" s="138"/>
      <c r="AI15" s="395">
        <f t="shared" ref="AI15:AI48" si="17">AG15-Z15</f>
        <v>0.46999999999999886</v>
      </c>
      <c r="AJ15" s="396">
        <f t="shared" ref="AJ15:AJ48" si="18">IF((Z15)=0,"",(AI15/Z15))</f>
        <v>1.6040955631399279E-2</v>
      </c>
      <c r="AK15" s="53"/>
      <c r="AL15" s="391">
        <f>IFERROR(VLOOKUP($C15,'Proposed Rates'!$B:$J,AL$11,FALSE),0)</f>
        <v>30.21</v>
      </c>
      <c r="AM15" s="392">
        <f t="shared" ref="AM15:AM28" si="19">IF($D15="Monthly",1,IF($D15="per KWH",$F$10,0))</f>
        <v>1</v>
      </c>
      <c r="AN15" s="394">
        <f t="shared" ref="AN15:AN28" si="20">AM15*AL15</f>
        <v>30.21</v>
      </c>
      <c r="AO15" s="138"/>
      <c r="AP15" s="395">
        <f t="shared" ref="AP15:AP48" si="21">AN15-AG15</f>
        <v>0.44000000000000128</v>
      </c>
      <c r="AQ15" s="396">
        <f t="shared" ref="AQ15:AQ48" si="22">IF((AG15)=0,"",(AP15/AG15))</f>
        <v>1.4779979845482072E-2</v>
      </c>
      <c r="AR15" s="397"/>
    </row>
    <row r="16" spans="1:45" ht="12" customHeight="1">
      <c r="A16" s="53"/>
      <c r="B16" s="328" t="s">
        <v>336</v>
      </c>
      <c r="C16" s="389" t="str">
        <f t="shared" si="0"/>
        <v>General Service &lt; 50 kW.Smart Meter Rate Adder</v>
      </c>
      <c r="D16" s="390" t="s">
        <v>335</v>
      </c>
      <c r="E16" s="328"/>
      <c r="F16" s="408">
        <f>IFERROR(VLOOKUP($C16,'Proposed Rates'!$B:$J,F$11,FALSE),0)</f>
        <v>0</v>
      </c>
      <c r="G16" s="392">
        <f t="shared" si="1"/>
        <v>1</v>
      </c>
      <c r="H16" s="394">
        <f t="shared" si="2"/>
        <v>0</v>
      </c>
      <c r="I16" s="138"/>
      <c r="J16" s="408">
        <f>IFERROR(VLOOKUP($C16,'Proposed Rates'!$B:$J,J$11,FALSE),0)</f>
        <v>0</v>
      </c>
      <c r="K16" s="392">
        <f t="shared" si="3"/>
        <v>1</v>
      </c>
      <c r="L16" s="394">
        <f t="shared" si="4"/>
        <v>0</v>
      </c>
      <c r="M16" s="138"/>
      <c r="N16" s="395">
        <f t="shared" si="5"/>
        <v>0</v>
      </c>
      <c r="O16" s="396" t="str">
        <f t="shared" si="6"/>
        <v/>
      </c>
      <c r="P16" s="53"/>
      <c r="Q16" s="408">
        <f>IFERROR(VLOOKUP($C16,'Proposed Rates'!$B:$J,Q$11,FALSE),0)</f>
        <v>0</v>
      </c>
      <c r="R16" s="392">
        <f t="shared" si="7"/>
        <v>1</v>
      </c>
      <c r="S16" s="394">
        <f t="shared" si="8"/>
        <v>0</v>
      </c>
      <c r="T16" s="138"/>
      <c r="U16" s="395">
        <f t="shared" si="9"/>
        <v>0</v>
      </c>
      <c r="V16" s="396" t="str">
        <f t="shared" si="10"/>
        <v/>
      </c>
      <c r="W16" s="53"/>
      <c r="X16" s="408">
        <f>IFERROR(VLOOKUP($C16,'Proposed Rates'!$B:$J,X$11,FALSE),0)</f>
        <v>0</v>
      </c>
      <c r="Y16" s="392">
        <f t="shared" si="11"/>
        <v>1</v>
      </c>
      <c r="Z16" s="394">
        <f t="shared" si="12"/>
        <v>0</v>
      </c>
      <c r="AA16" s="138"/>
      <c r="AB16" s="395">
        <f t="shared" si="13"/>
        <v>0</v>
      </c>
      <c r="AC16" s="396" t="str">
        <f t="shared" si="14"/>
        <v/>
      </c>
      <c r="AD16" s="53"/>
      <c r="AE16" s="408">
        <f>IFERROR(VLOOKUP($C16,'Proposed Rates'!$B:$J,AE$11,FALSE),0)</f>
        <v>0</v>
      </c>
      <c r="AF16" s="392">
        <f t="shared" si="15"/>
        <v>1</v>
      </c>
      <c r="AG16" s="394">
        <f t="shared" si="16"/>
        <v>0</v>
      </c>
      <c r="AH16" s="138"/>
      <c r="AI16" s="395">
        <f t="shared" si="17"/>
        <v>0</v>
      </c>
      <c r="AJ16" s="396" t="str">
        <f t="shared" si="18"/>
        <v/>
      </c>
      <c r="AK16" s="53"/>
      <c r="AL16" s="408">
        <f>IFERROR(VLOOKUP($C16,'Proposed Rates'!$B:$J,AL$11,FALSE),0)</f>
        <v>0</v>
      </c>
      <c r="AM16" s="392">
        <f t="shared" si="19"/>
        <v>1</v>
      </c>
      <c r="AN16" s="394">
        <f t="shared" si="20"/>
        <v>0</v>
      </c>
      <c r="AO16" s="138"/>
      <c r="AP16" s="395">
        <f t="shared" si="21"/>
        <v>0</v>
      </c>
      <c r="AQ16" s="396" t="str">
        <f t="shared" si="22"/>
        <v/>
      </c>
      <c r="AR16" s="397"/>
    </row>
    <row r="17" spans="1:44" ht="12" customHeight="1">
      <c r="A17" s="53"/>
      <c r="B17" s="398" t="str">
        <f>'Proposed Rates'!C115</f>
        <v>Rate Rider Calculation for Forgone Revenue - variable</v>
      </c>
      <c r="C17" s="389" t="str">
        <f t="shared" si="0"/>
        <v>General Service &lt; 50 kW.Rate Rider Calculation for Forgone Revenue - variable</v>
      </c>
      <c r="D17" s="390" t="s">
        <v>337</v>
      </c>
      <c r="E17" s="328"/>
      <c r="F17" s="408">
        <f>IFERROR(VLOOKUP($C17,'Proposed Rates'!$B:$J,F$11,FALSE),0)</f>
        <v>0</v>
      </c>
      <c r="G17" s="392">
        <f t="shared" si="1"/>
        <v>15000</v>
      </c>
      <c r="H17" s="394">
        <f t="shared" si="2"/>
        <v>0</v>
      </c>
      <c r="I17" s="138"/>
      <c r="J17" s="408">
        <f>IFERROR(VLOOKUP($C17,'Proposed Rates'!$B:$J,J$11,FALSE),0)</f>
        <v>1.4E-3</v>
      </c>
      <c r="K17" s="392">
        <f t="shared" si="3"/>
        <v>15000</v>
      </c>
      <c r="L17" s="394">
        <f t="shared" si="4"/>
        <v>21</v>
      </c>
      <c r="M17" s="138"/>
      <c r="N17" s="395">
        <f t="shared" si="5"/>
        <v>21</v>
      </c>
      <c r="O17" s="396" t="str">
        <f t="shared" si="6"/>
        <v/>
      </c>
      <c r="P17" s="53"/>
      <c r="Q17" s="408">
        <f>IFERROR(VLOOKUP($C17,'Proposed Rates'!$B:$J,Q$11,FALSE),0)</f>
        <v>1.4E-3</v>
      </c>
      <c r="R17" s="392">
        <f t="shared" si="7"/>
        <v>15000</v>
      </c>
      <c r="S17" s="394">
        <f t="shared" si="8"/>
        <v>21</v>
      </c>
      <c r="T17" s="138"/>
      <c r="U17" s="395">
        <f t="shared" si="9"/>
        <v>0</v>
      </c>
      <c r="V17" s="396">
        <f t="shared" si="10"/>
        <v>0</v>
      </c>
      <c r="W17" s="53"/>
      <c r="X17" s="408">
        <f>IFERROR(VLOOKUP($C17,'Proposed Rates'!$B:$J,X$11,FALSE),0)</f>
        <v>0</v>
      </c>
      <c r="Y17" s="392">
        <f t="shared" si="11"/>
        <v>15000</v>
      </c>
      <c r="Z17" s="394">
        <f t="shared" si="12"/>
        <v>0</v>
      </c>
      <c r="AA17" s="138"/>
      <c r="AB17" s="395">
        <f t="shared" si="13"/>
        <v>-21</v>
      </c>
      <c r="AC17" s="396">
        <f t="shared" si="14"/>
        <v>-1</v>
      </c>
      <c r="AD17" s="53"/>
      <c r="AE17" s="408">
        <f>IFERROR(VLOOKUP($C17,'Proposed Rates'!$B:$J,AE$11,FALSE),0)</f>
        <v>0</v>
      </c>
      <c r="AF17" s="392">
        <f t="shared" si="15"/>
        <v>15000</v>
      </c>
      <c r="AG17" s="394">
        <f t="shared" si="16"/>
        <v>0</v>
      </c>
      <c r="AH17" s="138"/>
      <c r="AI17" s="395">
        <f t="shared" si="17"/>
        <v>0</v>
      </c>
      <c r="AJ17" s="396" t="str">
        <f t="shared" si="18"/>
        <v/>
      </c>
      <c r="AK17" s="53"/>
      <c r="AL17" s="408">
        <f>IFERROR(VLOOKUP($C17,'Proposed Rates'!$B:$J,AL$11,FALSE),0)</f>
        <v>0</v>
      </c>
      <c r="AM17" s="392">
        <f t="shared" si="19"/>
        <v>15000</v>
      </c>
      <c r="AN17" s="394">
        <f t="shared" si="20"/>
        <v>0</v>
      </c>
      <c r="AO17" s="138"/>
      <c r="AP17" s="395">
        <f t="shared" si="21"/>
        <v>0</v>
      </c>
      <c r="AQ17" s="396" t="str">
        <f t="shared" si="22"/>
        <v/>
      </c>
      <c r="AR17" s="397"/>
    </row>
    <row r="18" spans="1:44" ht="12" customHeight="1">
      <c r="A18" s="53"/>
      <c r="B18" s="398" t="str">
        <f>'Proposed Rates'!C128</f>
        <v>Rate Rider Calculation for Forgone Revenue - fixed</v>
      </c>
      <c r="C18" s="389" t="str">
        <f t="shared" si="0"/>
        <v>General Service &lt; 50 kW.Rate Rider Calculation for Forgone Revenue - fixed</v>
      </c>
      <c r="D18" s="390" t="s">
        <v>335</v>
      </c>
      <c r="E18" s="328"/>
      <c r="F18" s="408">
        <f>IFERROR(VLOOKUP($C18,'Proposed Rates'!$B:$J,F$11,FALSE),0)</f>
        <v>0</v>
      </c>
      <c r="G18" s="392">
        <f t="shared" si="1"/>
        <v>1</v>
      </c>
      <c r="H18" s="394">
        <f t="shared" si="2"/>
        <v>0</v>
      </c>
      <c r="I18" s="138"/>
      <c r="J18" s="408">
        <f>IFERROR(VLOOKUP($C18,'Proposed Rates'!$B:$J,J$11,FALSE),0)</f>
        <v>0.99</v>
      </c>
      <c r="K18" s="392">
        <f t="shared" si="3"/>
        <v>1</v>
      </c>
      <c r="L18" s="394">
        <f t="shared" si="4"/>
        <v>0.99</v>
      </c>
      <c r="M18" s="138"/>
      <c r="N18" s="395">
        <f t="shared" si="5"/>
        <v>0.99</v>
      </c>
      <c r="O18" s="396" t="str">
        <f t="shared" si="6"/>
        <v/>
      </c>
      <c r="P18" s="53"/>
      <c r="Q18" s="408">
        <f>IFERROR(VLOOKUP($C18,'Proposed Rates'!$B:$J,Q$11,FALSE),0)</f>
        <v>0.99</v>
      </c>
      <c r="R18" s="392">
        <f t="shared" si="7"/>
        <v>1</v>
      </c>
      <c r="S18" s="394">
        <f t="shared" si="8"/>
        <v>0.99</v>
      </c>
      <c r="T18" s="138"/>
      <c r="U18" s="395">
        <f t="shared" si="9"/>
        <v>0</v>
      </c>
      <c r="V18" s="396">
        <f t="shared" si="10"/>
        <v>0</v>
      </c>
      <c r="W18" s="53"/>
      <c r="X18" s="408">
        <f>IFERROR(VLOOKUP($C18,'Proposed Rates'!$B:$J,X$11,FALSE),0)</f>
        <v>0</v>
      </c>
      <c r="Y18" s="392">
        <f t="shared" si="11"/>
        <v>1</v>
      </c>
      <c r="Z18" s="394">
        <f t="shared" si="12"/>
        <v>0</v>
      </c>
      <c r="AA18" s="138"/>
      <c r="AB18" s="395">
        <f t="shared" si="13"/>
        <v>-0.99</v>
      </c>
      <c r="AC18" s="396">
        <f t="shared" si="14"/>
        <v>-1</v>
      </c>
      <c r="AD18" s="53"/>
      <c r="AE18" s="408">
        <f>IFERROR(VLOOKUP($C18,'Proposed Rates'!$B:$J,AE$11,FALSE),0)</f>
        <v>0</v>
      </c>
      <c r="AF18" s="392">
        <f t="shared" si="15"/>
        <v>1</v>
      </c>
      <c r="AG18" s="394">
        <f t="shared" si="16"/>
        <v>0</v>
      </c>
      <c r="AH18" s="138"/>
      <c r="AI18" s="395">
        <f t="shared" si="17"/>
        <v>0</v>
      </c>
      <c r="AJ18" s="396" t="str">
        <f t="shared" si="18"/>
        <v/>
      </c>
      <c r="AK18" s="53"/>
      <c r="AL18" s="408">
        <f>IFERROR(VLOOKUP($C18,'Proposed Rates'!$B:$J,AL$11,FALSE),0)</f>
        <v>0</v>
      </c>
      <c r="AM18" s="392">
        <f t="shared" si="19"/>
        <v>1</v>
      </c>
      <c r="AN18" s="394">
        <f t="shared" si="20"/>
        <v>0</v>
      </c>
      <c r="AO18" s="138"/>
      <c r="AP18" s="395">
        <f t="shared" si="21"/>
        <v>0</v>
      </c>
      <c r="AQ18" s="396" t="str">
        <f t="shared" si="22"/>
        <v/>
      </c>
      <c r="AR18" s="397"/>
    </row>
    <row r="19" spans="1:44" ht="12" customHeight="1">
      <c r="A19" s="53"/>
      <c r="B19" s="328" t="s">
        <v>62</v>
      </c>
      <c r="C19" s="389" t="str">
        <f t="shared" si="0"/>
        <v>General Service &lt; 50 kW.Distribution Volumetric Rate</v>
      </c>
      <c r="D19" s="390" t="s">
        <v>337</v>
      </c>
      <c r="E19" s="328"/>
      <c r="F19" s="408">
        <f>IFERROR(VLOOKUP($C19,'Proposed Rates'!$B:$J,F$11,FALSE),0)</f>
        <v>3.0499999999999999E-2</v>
      </c>
      <c r="G19" s="392">
        <f t="shared" si="1"/>
        <v>15000</v>
      </c>
      <c r="H19" s="394">
        <f t="shared" si="2"/>
        <v>457.5</v>
      </c>
      <c r="I19" s="138"/>
      <c r="J19" s="408">
        <f>IFERROR(VLOOKUP($C19,'Proposed Rates'!$B:$J,J$11,FALSE),0)</f>
        <v>3.39E-2</v>
      </c>
      <c r="K19" s="392">
        <f t="shared" si="3"/>
        <v>15000</v>
      </c>
      <c r="L19" s="394">
        <f t="shared" si="4"/>
        <v>508.5</v>
      </c>
      <c r="M19" s="138"/>
      <c r="N19" s="395">
        <f t="shared" si="5"/>
        <v>51</v>
      </c>
      <c r="O19" s="396">
        <f t="shared" si="6"/>
        <v>0.11147540983606558</v>
      </c>
      <c r="P19" s="53"/>
      <c r="Q19" s="408">
        <f>IFERROR(VLOOKUP($C19,'Proposed Rates'!$B:$J,Q$11,FALSE),0)</f>
        <v>3.5499999999999997E-2</v>
      </c>
      <c r="R19" s="392">
        <f t="shared" si="7"/>
        <v>15000</v>
      </c>
      <c r="S19" s="394">
        <f t="shared" si="8"/>
        <v>532.5</v>
      </c>
      <c r="T19" s="138"/>
      <c r="U19" s="395">
        <f t="shared" si="9"/>
        <v>24</v>
      </c>
      <c r="V19" s="396">
        <f t="shared" si="10"/>
        <v>4.71976401179941E-2</v>
      </c>
      <c r="W19" s="53"/>
      <c r="X19" s="408">
        <f>IFERROR(VLOOKUP($C19,'Proposed Rates'!$B:$J,X$11,FALSE),0)</f>
        <v>3.7900000000000003E-2</v>
      </c>
      <c r="Y19" s="392">
        <f t="shared" si="11"/>
        <v>15000</v>
      </c>
      <c r="Z19" s="394">
        <f t="shared" si="12"/>
        <v>568.5</v>
      </c>
      <c r="AA19" s="138"/>
      <c r="AB19" s="395">
        <f t="shared" si="13"/>
        <v>36</v>
      </c>
      <c r="AC19" s="396">
        <f t="shared" si="14"/>
        <v>6.7605633802816895E-2</v>
      </c>
      <c r="AD19" s="53"/>
      <c r="AE19" s="408">
        <f>IFERROR(VLOOKUP($C19,'Proposed Rates'!$B:$J,AE$11,FALSE),0)</f>
        <v>3.85E-2</v>
      </c>
      <c r="AF19" s="392">
        <f t="shared" si="15"/>
        <v>15000</v>
      </c>
      <c r="AG19" s="394">
        <f t="shared" si="16"/>
        <v>577.5</v>
      </c>
      <c r="AH19" s="138"/>
      <c r="AI19" s="395">
        <f t="shared" si="17"/>
        <v>9</v>
      </c>
      <c r="AJ19" s="396">
        <f t="shared" si="18"/>
        <v>1.5831134564643801E-2</v>
      </c>
      <c r="AK19" s="53"/>
      <c r="AL19" s="408">
        <f>IFERROR(VLOOKUP($C19,'Proposed Rates'!$B:$J,AL$11,FALSE),0)</f>
        <v>3.9100000000000003E-2</v>
      </c>
      <c r="AM19" s="392">
        <f t="shared" si="19"/>
        <v>15000</v>
      </c>
      <c r="AN19" s="394">
        <f t="shared" si="20"/>
        <v>586.5</v>
      </c>
      <c r="AO19" s="138"/>
      <c r="AP19" s="395">
        <f t="shared" si="21"/>
        <v>9</v>
      </c>
      <c r="AQ19" s="396">
        <f t="shared" si="22"/>
        <v>1.5584415584415584E-2</v>
      </c>
      <c r="AR19" s="397"/>
    </row>
    <row r="20" spans="1:44" ht="12" customHeight="1">
      <c r="A20" s="53"/>
      <c r="B20" s="328" t="s">
        <v>338</v>
      </c>
      <c r="C20" s="389" t="str">
        <f t="shared" si="0"/>
        <v>General Service &lt; 50 kW.Smart Meter Disposition Rider</v>
      </c>
      <c r="D20" s="390" t="s">
        <v>337</v>
      </c>
      <c r="E20" s="328"/>
      <c r="F20" s="408">
        <f>IFERROR(VLOOKUP($C20,'Proposed Rates'!$B:$J,F$11,FALSE),0)</f>
        <v>0</v>
      </c>
      <c r="G20" s="392">
        <f t="shared" si="1"/>
        <v>15000</v>
      </c>
      <c r="H20" s="394">
        <f t="shared" si="2"/>
        <v>0</v>
      </c>
      <c r="I20" s="138"/>
      <c r="J20" s="408">
        <f>IFERROR(VLOOKUP($C20,'Proposed Rates'!$B:$J,J$11,FALSE),0)</f>
        <v>0</v>
      </c>
      <c r="K20" s="392">
        <f t="shared" si="3"/>
        <v>15000</v>
      </c>
      <c r="L20" s="394">
        <f t="shared" si="4"/>
        <v>0</v>
      </c>
      <c r="M20" s="138"/>
      <c r="N20" s="395">
        <f t="shared" si="5"/>
        <v>0</v>
      </c>
      <c r="O20" s="396" t="str">
        <f t="shared" si="6"/>
        <v/>
      </c>
      <c r="P20" s="53"/>
      <c r="Q20" s="408">
        <f>IFERROR(VLOOKUP($C20,'Proposed Rates'!$B:$J,Q$11,FALSE),0)</f>
        <v>0</v>
      </c>
      <c r="R20" s="392">
        <f t="shared" si="7"/>
        <v>15000</v>
      </c>
      <c r="S20" s="394">
        <f t="shared" si="8"/>
        <v>0</v>
      </c>
      <c r="T20" s="138"/>
      <c r="U20" s="395">
        <f t="shared" si="9"/>
        <v>0</v>
      </c>
      <c r="V20" s="396" t="str">
        <f t="shared" si="10"/>
        <v/>
      </c>
      <c r="W20" s="53"/>
      <c r="X20" s="408">
        <f>IFERROR(VLOOKUP($C20,'Proposed Rates'!$B:$J,X$11,FALSE),0)</f>
        <v>0</v>
      </c>
      <c r="Y20" s="392">
        <f t="shared" si="11"/>
        <v>15000</v>
      </c>
      <c r="Z20" s="394">
        <f t="shared" si="12"/>
        <v>0</v>
      </c>
      <c r="AA20" s="138"/>
      <c r="AB20" s="395">
        <f t="shared" si="13"/>
        <v>0</v>
      </c>
      <c r="AC20" s="396" t="str">
        <f t="shared" si="14"/>
        <v/>
      </c>
      <c r="AD20" s="53"/>
      <c r="AE20" s="408">
        <f>IFERROR(VLOOKUP($C20,'Proposed Rates'!$B:$J,AE$11,FALSE),0)</f>
        <v>0</v>
      </c>
      <c r="AF20" s="392">
        <f t="shared" si="15"/>
        <v>15000</v>
      </c>
      <c r="AG20" s="394">
        <f t="shared" si="16"/>
        <v>0</v>
      </c>
      <c r="AH20" s="138"/>
      <c r="AI20" s="395">
        <f t="shared" si="17"/>
        <v>0</v>
      </c>
      <c r="AJ20" s="396" t="str">
        <f t="shared" si="18"/>
        <v/>
      </c>
      <c r="AK20" s="53"/>
      <c r="AL20" s="408">
        <f>IFERROR(VLOOKUP($C20,'Proposed Rates'!$B:$J,AL$11,FALSE),0)</f>
        <v>0</v>
      </c>
      <c r="AM20" s="392">
        <f t="shared" si="19"/>
        <v>15000</v>
      </c>
      <c r="AN20" s="394">
        <f t="shared" si="20"/>
        <v>0</v>
      </c>
      <c r="AO20" s="138"/>
      <c r="AP20" s="395">
        <f t="shared" si="21"/>
        <v>0</v>
      </c>
      <c r="AQ20" s="396" t="str">
        <f t="shared" si="22"/>
        <v/>
      </c>
      <c r="AR20" s="397"/>
    </row>
    <row r="21" spans="1:44" ht="12" customHeight="1">
      <c r="A21" s="53"/>
      <c r="B21" s="328" t="s">
        <v>269</v>
      </c>
      <c r="C21" s="389" t="str">
        <f t="shared" si="0"/>
        <v>General Service &lt; 50 kW.LRAM Rate Rider</v>
      </c>
      <c r="D21" s="390" t="s">
        <v>337</v>
      </c>
      <c r="E21" s="328"/>
      <c r="F21" s="408">
        <f>'Proposed Rates'!E78+'Proposed Rates'!E91</f>
        <v>6.9999999999999999E-4</v>
      </c>
      <c r="G21" s="392">
        <f t="shared" si="1"/>
        <v>15000</v>
      </c>
      <c r="H21" s="394">
        <f t="shared" si="2"/>
        <v>10.5</v>
      </c>
      <c r="I21" s="138"/>
      <c r="J21" s="408">
        <f>'Proposed Rates'!F78+'Proposed Rates'!F91</f>
        <v>5.9999999999999995E-4</v>
      </c>
      <c r="K21" s="392">
        <f t="shared" si="3"/>
        <v>15000</v>
      </c>
      <c r="L21" s="394">
        <f t="shared" si="4"/>
        <v>9</v>
      </c>
      <c r="M21" s="138"/>
      <c r="N21" s="395">
        <f t="shared" si="5"/>
        <v>-1.5</v>
      </c>
      <c r="O21" s="396">
        <f t="shared" si="6"/>
        <v>-0.14285714285714285</v>
      </c>
      <c r="P21" s="53"/>
      <c r="Q21" s="408">
        <f>'Proposed Rates'!G78+'Proposed Rates'!G91</f>
        <v>0</v>
      </c>
      <c r="R21" s="392">
        <f t="shared" si="7"/>
        <v>15000</v>
      </c>
      <c r="S21" s="394">
        <f t="shared" si="8"/>
        <v>0</v>
      </c>
      <c r="T21" s="138"/>
      <c r="U21" s="395">
        <f t="shared" si="9"/>
        <v>-9</v>
      </c>
      <c r="V21" s="396">
        <f t="shared" si="10"/>
        <v>-1</v>
      </c>
      <c r="W21" s="53"/>
      <c r="X21" s="408">
        <f>IFERROR(VLOOKUP($C21,'Proposed Rates'!$B:$J,X$11,FALSE),0)</f>
        <v>0</v>
      </c>
      <c r="Y21" s="392">
        <f t="shared" si="11"/>
        <v>15000</v>
      </c>
      <c r="Z21" s="394">
        <f t="shared" si="12"/>
        <v>0</v>
      </c>
      <c r="AA21" s="138"/>
      <c r="AB21" s="395">
        <f t="shared" si="13"/>
        <v>0</v>
      </c>
      <c r="AC21" s="396" t="str">
        <f t="shared" si="14"/>
        <v/>
      </c>
      <c r="AD21" s="53"/>
      <c r="AE21" s="408">
        <f>IFERROR(VLOOKUP($C21,'Proposed Rates'!$B:$J,AE$11,FALSE),0)</f>
        <v>0</v>
      </c>
      <c r="AF21" s="392">
        <f t="shared" si="15"/>
        <v>15000</v>
      </c>
      <c r="AG21" s="394">
        <f t="shared" si="16"/>
        <v>0</v>
      </c>
      <c r="AH21" s="138"/>
      <c r="AI21" s="395">
        <f t="shared" si="17"/>
        <v>0</v>
      </c>
      <c r="AJ21" s="396" t="str">
        <f t="shared" si="18"/>
        <v/>
      </c>
      <c r="AK21" s="53"/>
      <c r="AL21" s="408">
        <f>IFERROR(VLOOKUP($C21,'Proposed Rates'!$B:$J,AL$11,FALSE),0)</f>
        <v>0</v>
      </c>
      <c r="AM21" s="392">
        <f t="shared" si="19"/>
        <v>15000</v>
      </c>
      <c r="AN21" s="394">
        <f t="shared" si="20"/>
        <v>0</v>
      </c>
      <c r="AO21" s="138"/>
      <c r="AP21" s="395">
        <f t="shared" si="21"/>
        <v>0</v>
      </c>
      <c r="AQ21" s="396" t="str">
        <f t="shared" si="22"/>
        <v/>
      </c>
      <c r="AR21" s="397"/>
    </row>
    <row r="22" spans="1:44" ht="12" customHeight="1">
      <c r="A22" s="53"/>
      <c r="B22" s="398" t="s">
        <v>265</v>
      </c>
      <c r="C22" s="389" t="str">
        <f t="shared" si="0"/>
        <v>General Service &lt; 50 kW.Deferral/Variance Account Disposition Rate Rider Group 2</v>
      </c>
      <c r="D22" s="390" t="s">
        <v>337</v>
      </c>
      <c r="E22" s="328"/>
      <c r="F22" s="408">
        <f>IFERROR(VLOOKUP($C22,'Proposed Rates'!$B:$J,F$11,FALSE),0)</f>
        <v>0</v>
      </c>
      <c r="G22" s="392">
        <f t="shared" si="1"/>
        <v>15000</v>
      </c>
      <c r="H22" s="394">
        <f t="shared" si="2"/>
        <v>0</v>
      </c>
      <c r="I22" s="138"/>
      <c r="J22" s="408">
        <f>IFERROR(VLOOKUP($C22,'Proposed Rates'!$B:$J,J$11,FALSE),0)</f>
        <v>-1.4E-3</v>
      </c>
      <c r="K22" s="392">
        <f t="shared" si="3"/>
        <v>15000</v>
      </c>
      <c r="L22" s="394">
        <f t="shared" si="4"/>
        <v>-21</v>
      </c>
      <c r="M22" s="138"/>
      <c r="N22" s="395">
        <f t="shared" si="5"/>
        <v>-21</v>
      </c>
      <c r="O22" s="396" t="str">
        <f t="shared" si="6"/>
        <v/>
      </c>
      <c r="P22" s="53"/>
      <c r="Q22" s="408">
        <f>IFERROR(VLOOKUP($C22,'Proposed Rates'!$B:$J,Q$11,FALSE),0)</f>
        <v>0</v>
      </c>
      <c r="R22" s="392">
        <f t="shared" si="7"/>
        <v>15000</v>
      </c>
      <c r="S22" s="394">
        <f t="shared" si="8"/>
        <v>0</v>
      </c>
      <c r="T22" s="138"/>
      <c r="U22" s="395">
        <f t="shared" si="9"/>
        <v>21</v>
      </c>
      <c r="V22" s="396">
        <f t="shared" si="10"/>
        <v>-1</v>
      </c>
      <c r="W22" s="53"/>
      <c r="X22" s="408">
        <f>IFERROR(VLOOKUP($C22,'Proposed Rates'!$B:$J,X$11,FALSE),0)</f>
        <v>0</v>
      </c>
      <c r="Y22" s="392">
        <f t="shared" si="11"/>
        <v>15000</v>
      </c>
      <c r="Z22" s="394">
        <f t="shared" si="12"/>
        <v>0</v>
      </c>
      <c r="AA22" s="138"/>
      <c r="AB22" s="395">
        <f t="shared" si="13"/>
        <v>0</v>
      </c>
      <c r="AC22" s="396" t="str">
        <f t="shared" si="14"/>
        <v/>
      </c>
      <c r="AD22" s="53"/>
      <c r="AE22" s="408">
        <f>IFERROR(VLOOKUP($C22,'Proposed Rates'!$B:$J,AE$11,FALSE),0)</f>
        <v>0</v>
      </c>
      <c r="AF22" s="392">
        <f t="shared" si="15"/>
        <v>15000</v>
      </c>
      <c r="AG22" s="394">
        <f t="shared" si="16"/>
        <v>0</v>
      </c>
      <c r="AH22" s="138"/>
      <c r="AI22" s="395">
        <f t="shared" si="17"/>
        <v>0</v>
      </c>
      <c r="AJ22" s="396" t="str">
        <f t="shared" si="18"/>
        <v/>
      </c>
      <c r="AK22" s="53"/>
      <c r="AL22" s="408">
        <f>IFERROR(VLOOKUP($C22,'Proposed Rates'!$B:$J,AL$11,FALSE),0)</f>
        <v>0</v>
      </c>
      <c r="AM22" s="392">
        <f t="shared" si="19"/>
        <v>15000</v>
      </c>
      <c r="AN22" s="394">
        <f t="shared" si="20"/>
        <v>0</v>
      </c>
      <c r="AO22" s="138"/>
      <c r="AP22" s="395">
        <f t="shared" si="21"/>
        <v>0</v>
      </c>
      <c r="AQ22" s="396" t="str">
        <f t="shared" si="22"/>
        <v/>
      </c>
      <c r="AR22" s="397"/>
    </row>
    <row r="23" spans="1:44" ht="12" customHeight="1">
      <c r="A23" s="53"/>
      <c r="B23" s="398"/>
      <c r="C23" s="389" t="str">
        <f t="shared" si="0"/>
        <v>General Service &lt; 50 kW.</v>
      </c>
      <c r="D23" s="390"/>
      <c r="E23" s="328"/>
      <c r="F23" s="408">
        <f>IFERROR(VLOOKUP($C23,'Proposed Rates'!$B:$J,F$11,FALSE),0)</f>
        <v>0</v>
      </c>
      <c r="G23" s="392">
        <f t="shared" si="1"/>
        <v>0</v>
      </c>
      <c r="H23" s="394">
        <f t="shared" si="2"/>
        <v>0</v>
      </c>
      <c r="I23" s="138"/>
      <c r="J23" s="408">
        <f>IFERROR(VLOOKUP($C23,'Proposed Rates'!$B:$J,J$11,FALSE),0)</f>
        <v>0</v>
      </c>
      <c r="K23" s="392">
        <f t="shared" si="3"/>
        <v>0</v>
      </c>
      <c r="L23" s="394">
        <f t="shared" si="4"/>
        <v>0</v>
      </c>
      <c r="M23" s="138"/>
      <c r="N23" s="395">
        <f t="shared" si="5"/>
        <v>0</v>
      </c>
      <c r="O23" s="396" t="str">
        <f t="shared" si="6"/>
        <v/>
      </c>
      <c r="P23" s="53"/>
      <c r="Q23" s="408">
        <f>IFERROR(VLOOKUP($C23,'Proposed Rates'!$B:$J,Q$11,FALSE),0)</f>
        <v>0</v>
      </c>
      <c r="R23" s="392">
        <f t="shared" si="7"/>
        <v>0</v>
      </c>
      <c r="S23" s="394">
        <f t="shared" si="8"/>
        <v>0</v>
      </c>
      <c r="T23" s="138"/>
      <c r="U23" s="395">
        <f t="shared" si="9"/>
        <v>0</v>
      </c>
      <c r="V23" s="396" t="str">
        <f t="shared" si="10"/>
        <v/>
      </c>
      <c r="W23" s="53"/>
      <c r="X23" s="408">
        <f>IFERROR(VLOOKUP($C23,'Proposed Rates'!$B:$J,X$11,FALSE),0)</f>
        <v>0</v>
      </c>
      <c r="Y23" s="392">
        <f t="shared" si="11"/>
        <v>0</v>
      </c>
      <c r="Z23" s="394">
        <f t="shared" si="12"/>
        <v>0</v>
      </c>
      <c r="AA23" s="138"/>
      <c r="AB23" s="395">
        <f t="shared" si="13"/>
        <v>0</v>
      </c>
      <c r="AC23" s="396" t="str">
        <f t="shared" si="14"/>
        <v/>
      </c>
      <c r="AD23" s="53"/>
      <c r="AE23" s="408">
        <f>IFERROR(VLOOKUP($C23,'Proposed Rates'!$B:$J,AE$11,FALSE),0)</f>
        <v>0</v>
      </c>
      <c r="AF23" s="392">
        <f t="shared" si="15"/>
        <v>0</v>
      </c>
      <c r="AG23" s="394">
        <f t="shared" si="16"/>
        <v>0</v>
      </c>
      <c r="AH23" s="138"/>
      <c r="AI23" s="395">
        <f t="shared" si="17"/>
        <v>0</v>
      </c>
      <c r="AJ23" s="396" t="str">
        <f t="shared" si="18"/>
        <v/>
      </c>
      <c r="AK23" s="53"/>
      <c r="AL23" s="408">
        <f>IFERROR(VLOOKUP($C23,'Proposed Rates'!$B:$J,AL$11,FALSE),0)</f>
        <v>0</v>
      </c>
      <c r="AM23" s="392">
        <f t="shared" si="19"/>
        <v>0</v>
      </c>
      <c r="AN23" s="394">
        <f t="shared" si="20"/>
        <v>0</v>
      </c>
      <c r="AO23" s="138"/>
      <c r="AP23" s="395">
        <f t="shared" si="21"/>
        <v>0</v>
      </c>
      <c r="AQ23" s="396" t="str">
        <f t="shared" si="22"/>
        <v/>
      </c>
      <c r="AR23" s="397"/>
    </row>
    <row r="24" spans="1:44" ht="12" customHeight="1">
      <c r="A24" s="53"/>
      <c r="B24" s="398"/>
      <c r="C24" s="389" t="str">
        <f t="shared" si="0"/>
        <v>General Service &lt; 50 kW.</v>
      </c>
      <c r="D24" s="390"/>
      <c r="E24" s="328"/>
      <c r="F24" s="408">
        <f>IFERROR(VLOOKUP($C24,'Proposed Rates'!$B:$J,F$11,FALSE),0)</f>
        <v>0</v>
      </c>
      <c r="G24" s="392">
        <f t="shared" si="1"/>
        <v>0</v>
      </c>
      <c r="H24" s="394">
        <f t="shared" si="2"/>
        <v>0</v>
      </c>
      <c r="I24" s="138"/>
      <c r="J24" s="408">
        <f>IFERROR(VLOOKUP($C24,'Proposed Rates'!$B:$J,J$11,FALSE),0)</f>
        <v>0</v>
      </c>
      <c r="K24" s="392">
        <f t="shared" si="3"/>
        <v>0</v>
      </c>
      <c r="L24" s="394">
        <f t="shared" si="4"/>
        <v>0</v>
      </c>
      <c r="M24" s="138"/>
      <c r="N24" s="395">
        <f t="shared" si="5"/>
        <v>0</v>
      </c>
      <c r="O24" s="396" t="str">
        <f t="shared" si="6"/>
        <v/>
      </c>
      <c r="P24" s="53"/>
      <c r="Q24" s="408">
        <f>IFERROR(VLOOKUP($C24,'Proposed Rates'!$B:$J,Q$11,FALSE),0)</f>
        <v>0</v>
      </c>
      <c r="R24" s="392">
        <f t="shared" si="7"/>
        <v>0</v>
      </c>
      <c r="S24" s="394">
        <f t="shared" si="8"/>
        <v>0</v>
      </c>
      <c r="T24" s="138"/>
      <c r="U24" s="395">
        <f t="shared" si="9"/>
        <v>0</v>
      </c>
      <c r="V24" s="396" t="str">
        <f t="shared" si="10"/>
        <v/>
      </c>
      <c r="W24" s="53"/>
      <c r="X24" s="408">
        <f>IFERROR(VLOOKUP($C24,'Proposed Rates'!$B:$J,X$11,FALSE),0)</f>
        <v>0</v>
      </c>
      <c r="Y24" s="392">
        <f t="shared" si="11"/>
        <v>0</v>
      </c>
      <c r="Z24" s="394">
        <f t="shared" si="12"/>
        <v>0</v>
      </c>
      <c r="AA24" s="138"/>
      <c r="AB24" s="395">
        <f t="shared" si="13"/>
        <v>0</v>
      </c>
      <c r="AC24" s="396" t="str">
        <f t="shared" si="14"/>
        <v/>
      </c>
      <c r="AD24" s="53"/>
      <c r="AE24" s="408">
        <f>IFERROR(VLOOKUP($C24,'Proposed Rates'!$B:$J,AE$11,FALSE),0)</f>
        <v>0</v>
      </c>
      <c r="AF24" s="392">
        <f t="shared" si="15"/>
        <v>0</v>
      </c>
      <c r="AG24" s="394">
        <f t="shared" si="16"/>
        <v>0</v>
      </c>
      <c r="AH24" s="138"/>
      <c r="AI24" s="395">
        <f t="shared" si="17"/>
        <v>0</v>
      </c>
      <c r="AJ24" s="396" t="str">
        <f t="shared" si="18"/>
        <v/>
      </c>
      <c r="AK24" s="53"/>
      <c r="AL24" s="408">
        <f>IFERROR(VLOOKUP($C24,'Proposed Rates'!$B:$J,AL$11,FALSE),0)</f>
        <v>0</v>
      </c>
      <c r="AM24" s="392">
        <f t="shared" si="19"/>
        <v>0</v>
      </c>
      <c r="AN24" s="394">
        <f t="shared" si="20"/>
        <v>0</v>
      </c>
      <c r="AO24" s="138"/>
      <c r="AP24" s="395">
        <f t="shared" si="21"/>
        <v>0</v>
      </c>
      <c r="AQ24" s="396" t="str">
        <f t="shared" si="22"/>
        <v/>
      </c>
      <c r="AR24" s="397"/>
    </row>
    <row r="25" spans="1:44" ht="12" customHeight="1">
      <c r="A25" s="53"/>
      <c r="B25" s="398"/>
      <c r="C25" s="389" t="str">
        <f t="shared" si="0"/>
        <v>General Service &lt; 50 kW.</v>
      </c>
      <c r="D25" s="390"/>
      <c r="E25" s="328"/>
      <c r="F25" s="408">
        <f>IFERROR(VLOOKUP($C25,'Proposed Rates'!$B:$J,F$11,FALSE),0)</f>
        <v>0</v>
      </c>
      <c r="G25" s="392">
        <f t="shared" si="1"/>
        <v>0</v>
      </c>
      <c r="H25" s="394">
        <f t="shared" si="2"/>
        <v>0</v>
      </c>
      <c r="I25" s="138"/>
      <c r="J25" s="408">
        <f>IFERROR(VLOOKUP($C25,'Proposed Rates'!$B:$J,J$11,FALSE),0)</f>
        <v>0</v>
      </c>
      <c r="K25" s="392">
        <f t="shared" si="3"/>
        <v>0</v>
      </c>
      <c r="L25" s="394">
        <f t="shared" si="4"/>
        <v>0</v>
      </c>
      <c r="M25" s="138"/>
      <c r="N25" s="395">
        <f t="shared" si="5"/>
        <v>0</v>
      </c>
      <c r="O25" s="396" t="str">
        <f t="shared" si="6"/>
        <v/>
      </c>
      <c r="P25" s="53"/>
      <c r="Q25" s="408">
        <f>IFERROR(VLOOKUP($C25,'Proposed Rates'!$B:$J,Q$11,FALSE),0)</f>
        <v>0</v>
      </c>
      <c r="R25" s="392">
        <f t="shared" si="7"/>
        <v>0</v>
      </c>
      <c r="S25" s="394">
        <f t="shared" si="8"/>
        <v>0</v>
      </c>
      <c r="T25" s="138"/>
      <c r="U25" s="395">
        <f t="shared" si="9"/>
        <v>0</v>
      </c>
      <c r="V25" s="396" t="str">
        <f t="shared" si="10"/>
        <v/>
      </c>
      <c r="W25" s="53"/>
      <c r="X25" s="408">
        <f>IFERROR(VLOOKUP($C25,'Proposed Rates'!$B:$J,X$11,FALSE),0)</f>
        <v>0</v>
      </c>
      <c r="Y25" s="392">
        <f t="shared" si="11"/>
        <v>0</v>
      </c>
      <c r="Z25" s="394">
        <f t="shared" si="12"/>
        <v>0</v>
      </c>
      <c r="AA25" s="138"/>
      <c r="AB25" s="395">
        <f t="shared" si="13"/>
        <v>0</v>
      </c>
      <c r="AC25" s="396" t="str">
        <f t="shared" si="14"/>
        <v/>
      </c>
      <c r="AD25" s="53"/>
      <c r="AE25" s="408">
        <f>IFERROR(VLOOKUP($C25,'Proposed Rates'!$B:$J,AE$11,FALSE),0)</f>
        <v>0</v>
      </c>
      <c r="AF25" s="392">
        <f t="shared" si="15"/>
        <v>0</v>
      </c>
      <c r="AG25" s="394">
        <f t="shared" si="16"/>
        <v>0</v>
      </c>
      <c r="AH25" s="138"/>
      <c r="AI25" s="395">
        <f t="shared" si="17"/>
        <v>0</v>
      </c>
      <c r="AJ25" s="396" t="str">
        <f t="shared" si="18"/>
        <v/>
      </c>
      <c r="AK25" s="53"/>
      <c r="AL25" s="408">
        <f>IFERROR(VLOOKUP($C25,'Proposed Rates'!$B:$J,AL$11,FALSE),0)</f>
        <v>0</v>
      </c>
      <c r="AM25" s="392">
        <f t="shared" si="19"/>
        <v>0</v>
      </c>
      <c r="AN25" s="394">
        <f t="shared" si="20"/>
        <v>0</v>
      </c>
      <c r="AO25" s="138"/>
      <c r="AP25" s="395">
        <f t="shared" si="21"/>
        <v>0</v>
      </c>
      <c r="AQ25" s="396" t="str">
        <f t="shared" si="22"/>
        <v/>
      </c>
      <c r="AR25" s="397"/>
    </row>
    <row r="26" spans="1:44" ht="12" customHeight="1">
      <c r="A26" s="53"/>
      <c r="B26" s="398"/>
      <c r="C26" s="389" t="str">
        <f t="shared" si="0"/>
        <v>General Service &lt; 50 kW.</v>
      </c>
      <c r="D26" s="390"/>
      <c r="E26" s="328"/>
      <c r="F26" s="408">
        <f>IFERROR(VLOOKUP($C26,'Proposed Rates'!$B:$J,F$11,FALSE),0)</f>
        <v>0</v>
      </c>
      <c r="G26" s="392">
        <f t="shared" si="1"/>
        <v>0</v>
      </c>
      <c r="H26" s="394">
        <f t="shared" si="2"/>
        <v>0</v>
      </c>
      <c r="I26" s="138"/>
      <c r="J26" s="408">
        <f>IFERROR(VLOOKUP($C26,'Proposed Rates'!$B:$J,J$11,FALSE),0)</f>
        <v>0</v>
      </c>
      <c r="K26" s="392">
        <f t="shared" si="3"/>
        <v>0</v>
      </c>
      <c r="L26" s="394">
        <f t="shared" si="4"/>
        <v>0</v>
      </c>
      <c r="M26" s="138"/>
      <c r="N26" s="395">
        <f t="shared" si="5"/>
        <v>0</v>
      </c>
      <c r="O26" s="396" t="str">
        <f t="shared" si="6"/>
        <v/>
      </c>
      <c r="P26" s="53"/>
      <c r="Q26" s="408">
        <f>IFERROR(VLOOKUP($C26,'Proposed Rates'!$B:$J,Q$11,FALSE),0)</f>
        <v>0</v>
      </c>
      <c r="R26" s="392">
        <f t="shared" si="7"/>
        <v>0</v>
      </c>
      <c r="S26" s="394">
        <f t="shared" si="8"/>
        <v>0</v>
      </c>
      <c r="T26" s="138"/>
      <c r="U26" s="395">
        <f t="shared" si="9"/>
        <v>0</v>
      </c>
      <c r="V26" s="396" t="str">
        <f t="shared" si="10"/>
        <v/>
      </c>
      <c r="W26" s="53"/>
      <c r="X26" s="408">
        <f>IFERROR(VLOOKUP($C26,'Proposed Rates'!$B:$J,X$11,FALSE),0)</f>
        <v>0</v>
      </c>
      <c r="Y26" s="392">
        <f t="shared" si="11"/>
        <v>0</v>
      </c>
      <c r="Z26" s="394">
        <f t="shared" si="12"/>
        <v>0</v>
      </c>
      <c r="AA26" s="138"/>
      <c r="AB26" s="395">
        <f t="shared" si="13"/>
        <v>0</v>
      </c>
      <c r="AC26" s="396" t="str">
        <f t="shared" si="14"/>
        <v/>
      </c>
      <c r="AD26" s="53"/>
      <c r="AE26" s="408">
        <f>IFERROR(VLOOKUP($C26,'Proposed Rates'!$B:$J,AE$11,FALSE),0)</f>
        <v>0</v>
      </c>
      <c r="AF26" s="392">
        <f t="shared" si="15"/>
        <v>0</v>
      </c>
      <c r="AG26" s="394">
        <f t="shared" si="16"/>
        <v>0</v>
      </c>
      <c r="AH26" s="138"/>
      <c r="AI26" s="395">
        <f t="shared" si="17"/>
        <v>0</v>
      </c>
      <c r="AJ26" s="396" t="str">
        <f t="shared" si="18"/>
        <v/>
      </c>
      <c r="AK26" s="53"/>
      <c r="AL26" s="408">
        <f>IFERROR(VLOOKUP($C26,'Proposed Rates'!$B:$J,AL$11,FALSE),0)</f>
        <v>0</v>
      </c>
      <c r="AM26" s="392">
        <f t="shared" si="19"/>
        <v>0</v>
      </c>
      <c r="AN26" s="394">
        <f t="shared" si="20"/>
        <v>0</v>
      </c>
      <c r="AO26" s="138"/>
      <c r="AP26" s="395">
        <f t="shared" si="21"/>
        <v>0</v>
      </c>
      <c r="AQ26" s="396" t="str">
        <f t="shared" si="22"/>
        <v/>
      </c>
      <c r="AR26" s="397"/>
    </row>
    <row r="27" spans="1:44" ht="12" customHeight="1">
      <c r="A27" s="53"/>
      <c r="B27" s="398"/>
      <c r="C27" s="389" t="str">
        <f t="shared" si="0"/>
        <v>General Service &lt; 50 kW.</v>
      </c>
      <c r="D27" s="390"/>
      <c r="E27" s="328"/>
      <c r="F27" s="408">
        <f>IFERROR(VLOOKUP($C27,'Proposed Rates'!$B:$J,F$11,FALSE),0)</f>
        <v>0</v>
      </c>
      <c r="G27" s="392">
        <f t="shared" si="1"/>
        <v>0</v>
      </c>
      <c r="H27" s="394">
        <f t="shared" si="2"/>
        <v>0</v>
      </c>
      <c r="I27" s="138"/>
      <c r="J27" s="408">
        <f>IFERROR(VLOOKUP($C27,'Proposed Rates'!$B:$J,J$11,FALSE),0)</f>
        <v>0</v>
      </c>
      <c r="K27" s="392">
        <f t="shared" si="3"/>
        <v>0</v>
      </c>
      <c r="L27" s="394">
        <f t="shared" si="4"/>
        <v>0</v>
      </c>
      <c r="M27" s="138"/>
      <c r="N27" s="395">
        <f t="shared" si="5"/>
        <v>0</v>
      </c>
      <c r="O27" s="396" t="str">
        <f t="shared" si="6"/>
        <v/>
      </c>
      <c r="P27" s="53"/>
      <c r="Q27" s="408">
        <f>IFERROR(VLOOKUP($C27,'Proposed Rates'!$B:$J,Q$11,FALSE),0)</f>
        <v>0</v>
      </c>
      <c r="R27" s="392">
        <f t="shared" si="7"/>
        <v>0</v>
      </c>
      <c r="S27" s="394">
        <f t="shared" si="8"/>
        <v>0</v>
      </c>
      <c r="T27" s="138"/>
      <c r="U27" s="395">
        <f t="shared" si="9"/>
        <v>0</v>
      </c>
      <c r="V27" s="396" t="str">
        <f t="shared" si="10"/>
        <v/>
      </c>
      <c r="W27" s="53"/>
      <c r="X27" s="408">
        <f>IFERROR(VLOOKUP($C27,'Proposed Rates'!$B:$J,X$11,FALSE),0)</f>
        <v>0</v>
      </c>
      <c r="Y27" s="392">
        <f t="shared" si="11"/>
        <v>0</v>
      </c>
      <c r="Z27" s="394">
        <f t="shared" si="12"/>
        <v>0</v>
      </c>
      <c r="AA27" s="138"/>
      <c r="AB27" s="395">
        <f t="shared" si="13"/>
        <v>0</v>
      </c>
      <c r="AC27" s="396" t="str">
        <f t="shared" si="14"/>
        <v/>
      </c>
      <c r="AD27" s="53"/>
      <c r="AE27" s="408">
        <f>IFERROR(VLOOKUP($C27,'Proposed Rates'!$B:$J,AE$11,FALSE),0)</f>
        <v>0</v>
      </c>
      <c r="AF27" s="392">
        <f t="shared" si="15"/>
        <v>0</v>
      </c>
      <c r="AG27" s="394">
        <f t="shared" si="16"/>
        <v>0</v>
      </c>
      <c r="AH27" s="138"/>
      <c r="AI27" s="395">
        <f t="shared" si="17"/>
        <v>0</v>
      </c>
      <c r="AJ27" s="396" t="str">
        <f t="shared" si="18"/>
        <v/>
      </c>
      <c r="AK27" s="53"/>
      <c r="AL27" s="408">
        <f>IFERROR(VLOOKUP($C27,'Proposed Rates'!$B:$J,AL$11,FALSE),0)</f>
        <v>0</v>
      </c>
      <c r="AM27" s="392">
        <f t="shared" si="19"/>
        <v>0</v>
      </c>
      <c r="AN27" s="394">
        <f t="shared" si="20"/>
        <v>0</v>
      </c>
      <c r="AO27" s="138"/>
      <c r="AP27" s="395">
        <f t="shared" si="21"/>
        <v>0</v>
      </c>
      <c r="AQ27" s="396" t="str">
        <f t="shared" si="22"/>
        <v/>
      </c>
      <c r="AR27" s="397"/>
    </row>
    <row r="28" spans="1:44" ht="12" customHeight="1">
      <c r="A28" s="53"/>
      <c r="B28" s="398"/>
      <c r="C28" s="389" t="str">
        <f t="shared" si="0"/>
        <v>General Service &lt; 50 kW.</v>
      </c>
      <c r="D28" s="390"/>
      <c r="E28" s="328"/>
      <c r="F28" s="408">
        <f>IFERROR(VLOOKUP($C28,'Proposed Rates'!$B:$J,F$11,FALSE),0)</f>
        <v>0</v>
      </c>
      <c r="G28" s="392">
        <f t="shared" si="1"/>
        <v>0</v>
      </c>
      <c r="H28" s="394">
        <f t="shared" si="2"/>
        <v>0</v>
      </c>
      <c r="I28" s="138"/>
      <c r="J28" s="408">
        <f>IFERROR(VLOOKUP($C28,'Proposed Rates'!$B:$J,J$11,FALSE),0)</f>
        <v>0</v>
      </c>
      <c r="K28" s="392">
        <f t="shared" si="3"/>
        <v>0</v>
      </c>
      <c r="L28" s="394">
        <f t="shared" si="4"/>
        <v>0</v>
      </c>
      <c r="M28" s="138"/>
      <c r="N28" s="395">
        <f t="shared" si="5"/>
        <v>0</v>
      </c>
      <c r="O28" s="396" t="str">
        <f t="shared" si="6"/>
        <v/>
      </c>
      <c r="P28" s="53"/>
      <c r="Q28" s="408">
        <f>IFERROR(VLOOKUP($C28,'Proposed Rates'!$B:$J,Q$11,FALSE),0)</f>
        <v>0</v>
      </c>
      <c r="R28" s="392">
        <f t="shared" si="7"/>
        <v>0</v>
      </c>
      <c r="S28" s="394">
        <f t="shared" si="8"/>
        <v>0</v>
      </c>
      <c r="T28" s="138"/>
      <c r="U28" s="395">
        <f t="shared" si="9"/>
        <v>0</v>
      </c>
      <c r="V28" s="396" t="str">
        <f t="shared" si="10"/>
        <v/>
      </c>
      <c r="W28" s="53"/>
      <c r="X28" s="408">
        <f>IFERROR(VLOOKUP($C28,'Proposed Rates'!$B:$J,X$11,FALSE),0)</f>
        <v>0</v>
      </c>
      <c r="Y28" s="392">
        <f t="shared" si="11"/>
        <v>0</v>
      </c>
      <c r="Z28" s="394">
        <f t="shared" si="12"/>
        <v>0</v>
      </c>
      <c r="AA28" s="138"/>
      <c r="AB28" s="395">
        <f t="shared" si="13"/>
        <v>0</v>
      </c>
      <c r="AC28" s="396" t="str">
        <f t="shared" si="14"/>
        <v/>
      </c>
      <c r="AD28" s="53"/>
      <c r="AE28" s="408">
        <f>IFERROR(VLOOKUP($C28,'Proposed Rates'!$B:$J,AE$11,FALSE),0)</f>
        <v>0</v>
      </c>
      <c r="AF28" s="392">
        <f t="shared" si="15"/>
        <v>0</v>
      </c>
      <c r="AG28" s="394">
        <f t="shared" si="16"/>
        <v>0</v>
      </c>
      <c r="AH28" s="138"/>
      <c r="AI28" s="395">
        <f t="shared" si="17"/>
        <v>0</v>
      </c>
      <c r="AJ28" s="396" t="str">
        <f t="shared" si="18"/>
        <v/>
      </c>
      <c r="AK28" s="53"/>
      <c r="AL28" s="408">
        <f>IFERROR(VLOOKUP($C28,'Proposed Rates'!$B:$J,AL$11,FALSE),0)</f>
        <v>0</v>
      </c>
      <c r="AM28" s="392">
        <f t="shared" si="19"/>
        <v>0</v>
      </c>
      <c r="AN28" s="394">
        <f t="shared" si="20"/>
        <v>0</v>
      </c>
      <c r="AO28" s="138"/>
      <c r="AP28" s="395">
        <f t="shared" si="21"/>
        <v>0</v>
      </c>
      <c r="AQ28" s="396" t="str">
        <f t="shared" si="22"/>
        <v/>
      </c>
      <c r="AR28" s="397"/>
    </row>
    <row r="29" spans="1:44" ht="12" customHeight="1">
      <c r="A29" s="314"/>
      <c r="B29" s="399" t="s">
        <v>339</v>
      </c>
      <c r="C29" s="400"/>
      <c r="D29" s="400"/>
      <c r="E29" s="400"/>
      <c r="F29" s="401"/>
      <c r="G29" s="494"/>
      <c r="H29" s="403">
        <f>SUM(H15:H28)</f>
        <v>491.53</v>
      </c>
      <c r="I29" s="404"/>
      <c r="J29" s="401"/>
      <c r="K29" s="494"/>
      <c r="L29" s="403">
        <f>SUM(L15:L28)</f>
        <v>544.65</v>
      </c>
      <c r="M29" s="404"/>
      <c r="N29" s="405">
        <f t="shared" si="5"/>
        <v>53.120000000000005</v>
      </c>
      <c r="O29" s="406">
        <f t="shared" si="6"/>
        <v>0.10807071796228106</v>
      </c>
      <c r="P29" s="314"/>
      <c r="Q29" s="401"/>
      <c r="R29" s="494"/>
      <c r="S29" s="403">
        <f>SUM(S15:S28)</f>
        <v>581.91</v>
      </c>
      <c r="T29" s="404"/>
      <c r="U29" s="405">
        <f t="shared" si="9"/>
        <v>37.259999999999991</v>
      </c>
      <c r="V29" s="406">
        <f t="shared" si="10"/>
        <v>6.8410906086477541E-2</v>
      </c>
      <c r="W29" s="314"/>
      <c r="X29" s="401"/>
      <c r="Y29" s="494"/>
      <c r="Z29" s="403">
        <f>SUM(Z15:Z28)</f>
        <v>597.79999999999995</v>
      </c>
      <c r="AA29" s="404"/>
      <c r="AB29" s="405">
        <f t="shared" si="13"/>
        <v>15.889999999999986</v>
      </c>
      <c r="AC29" s="406">
        <f t="shared" si="14"/>
        <v>2.7306628172741466E-2</v>
      </c>
      <c r="AD29" s="314"/>
      <c r="AE29" s="401"/>
      <c r="AF29" s="494"/>
      <c r="AG29" s="403">
        <f>SUM(AG15:AG28)</f>
        <v>607.27</v>
      </c>
      <c r="AH29" s="404"/>
      <c r="AI29" s="405">
        <f t="shared" si="17"/>
        <v>9.4700000000000273</v>
      </c>
      <c r="AJ29" s="406">
        <f t="shared" si="18"/>
        <v>1.5841418534627012E-2</v>
      </c>
      <c r="AK29" s="314"/>
      <c r="AL29" s="401"/>
      <c r="AM29" s="494"/>
      <c r="AN29" s="403">
        <f>SUM(AN15:AN28)</f>
        <v>616.71</v>
      </c>
      <c r="AO29" s="404"/>
      <c r="AP29" s="405">
        <f t="shared" si="21"/>
        <v>9.4400000000000546</v>
      </c>
      <c r="AQ29" s="406">
        <f t="shared" si="22"/>
        <v>1.5544979992425207E-2</v>
      </c>
      <c r="AR29" s="407"/>
    </row>
    <row r="30" spans="1:44" ht="12" customHeight="1">
      <c r="A30" s="53"/>
      <c r="B30" s="398" t="s">
        <v>262</v>
      </c>
      <c r="C30" s="389" t="str">
        <f t="shared" ref="C30:C36" si="23">D$6&amp;"."&amp;B30</f>
        <v>General Service &lt; 50 kW.DVA Disposition Rate Rider Group 1 -2025</v>
      </c>
      <c r="D30" s="390" t="s">
        <v>337</v>
      </c>
      <c r="E30" s="328"/>
      <c r="F30" s="408">
        <f>IFERROR(VLOOKUP($C30,'Proposed Rates'!$B:$J,F$11,FALSE),0)</f>
        <v>0</v>
      </c>
      <c r="G30" s="392">
        <f t="shared" ref="G30:G33" si="24">IF($D30="Monthly",1,IF($D30="per KWH",$F$10,0))</f>
        <v>15000</v>
      </c>
      <c r="H30" s="394">
        <f t="shared" ref="H30:H36" si="25">G30*F30</f>
        <v>0</v>
      </c>
      <c r="I30" s="138"/>
      <c r="J30" s="408">
        <f>IFERROR(VLOOKUP($C30,'Proposed Rates'!$B:$J,J$11,FALSE),0)</f>
        <v>-8.9999999999999998E-4</v>
      </c>
      <c r="K30" s="392">
        <f t="shared" ref="K30:K33" si="26">IF($D30="Monthly",1,IF($D30="per KWH",$F$10,0))</f>
        <v>15000</v>
      </c>
      <c r="L30" s="394">
        <f t="shared" ref="L30:L36" si="27">K30*J30</f>
        <v>-13.5</v>
      </c>
      <c r="M30" s="138"/>
      <c r="N30" s="395">
        <f t="shared" si="5"/>
        <v>-13.5</v>
      </c>
      <c r="O30" s="396" t="str">
        <f t="shared" si="6"/>
        <v/>
      </c>
      <c r="P30" s="53"/>
      <c r="Q30" s="408">
        <f>IFERROR(VLOOKUP($C30,'Proposed Rates'!$B:$J,Q$11,FALSE),0)</f>
        <v>0</v>
      </c>
      <c r="R30" s="392">
        <f t="shared" ref="R30:R33" si="28">IF($D30="Monthly",1,IF($D30="per KWH",$F$10,0))</f>
        <v>15000</v>
      </c>
      <c r="S30" s="394">
        <f t="shared" ref="S30:S36" si="29">R30*Q30</f>
        <v>0</v>
      </c>
      <c r="T30" s="138"/>
      <c r="U30" s="395">
        <f t="shared" si="9"/>
        <v>13.5</v>
      </c>
      <c r="V30" s="396">
        <f t="shared" si="10"/>
        <v>-1</v>
      </c>
      <c r="W30" s="53"/>
      <c r="X30" s="408">
        <f>IFERROR(VLOOKUP($C30,'Proposed Rates'!$B:$J,X$11,FALSE),0)</f>
        <v>0</v>
      </c>
      <c r="Y30" s="392">
        <f t="shared" ref="Y30:Y33" si="30">IF($D30="Monthly",1,IF($D30="per KWH",$F$10,0))</f>
        <v>15000</v>
      </c>
      <c r="Z30" s="394">
        <f t="shared" ref="Z30:Z36" si="31">Y30*X30</f>
        <v>0</v>
      </c>
      <c r="AA30" s="138"/>
      <c r="AB30" s="395">
        <f t="shared" si="13"/>
        <v>0</v>
      </c>
      <c r="AC30" s="396" t="str">
        <f t="shared" si="14"/>
        <v/>
      </c>
      <c r="AD30" s="53"/>
      <c r="AE30" s="408">
        <f>IFERROR(VLOOKUP($C30,'Proposed Rates'!$B:$J,AE$11,FALSE),0)</f>
        <v>0</v>
      </c>
      <c r="AF30" s="392">
        <f t="shared" ref="AF30:AF33" si="32">IF($D30="Monthly",1,IF($D30="per KWH",$F$10,0))</f>
        <v>15000</v>
      </c>
      <c r="AG30" s="394">
        <f t="shared" ref="AG30:AG36" si="33">AF30*AE30</f>
        <v>0</v>
      </c>
      <c r="AH30" s="138"/>
      <c r="AI30" s="395">
        <f t="shared" si="17"/>
        <v>0</v>
      </c>
      <c r="AJ30" s="396" t="str">
        <f t="shared" si="18"/>
        <v/>
      </c>
      <c r="AK30" s="53"/>
      <c r="AL30" s="408">
        <f>IFERROR(VLOOKUP($C30,'Proposed Rates'!$B:$J,AL$11,FALSE),0)</f>
        <v>0</v>
      </c>
      <c r="AM30" s="392">
        <f t="shared" ref="AM30:AM33" si="34">IF($D30="Monthly",1,IF($D30="per KWH",$F$10,0))</f>
        <v>15000</v>
      </c>
      <c r="AN30" s="394">
        <f t="shared" ref="AN30:AN36" si="35">AM30*AL30</f>
        <v>0</v>
      </c>
      <c r="AO30" s="138"/>
      <c r="AP30" s="395">
        <f t="shared" si="21"/>
        <v>0</v>
      </c>
      <c r="AQ30" s="396" t="str">
        <f t="shared" si="22"/>
        <v/>
      </c>
      <c r="AR30" s="397"/>
    </row>
    <row r="31" spans="1:44" ht="12" customHeight="1">
      <c r="A31" s="53"/>
      <c r="B31" s="398" t="s">
        <v>264</v>
      </c>
      <c r="C31" s="389" t="str">
        <f t="shared" si="23"/>
        <v>General Service &lt; 50 kW.DVA Disposition Rate Rider Group 1 - 2024</v>
      </c>
      <c r="D31" s="390" t="s">
        <v>337</v>
      </c>
      <c r="E31" s="328"/>
      <c r="F31" s="408">
        <f>IFERROR(VLOOKUP($C31,'Proposed Rates'!$B:$J,F$11,FALSE),0)</f>
        <v>0</v>
      </c>
      <c r="G31" s="392">
        <f t="shared" si="24"/>
        <v>15000</v>
      </c>
      <c r="H31" s="394">
        <f t="shared" si="25"/>
        <v>0</v>
      </c>
      <c r="I31" s="479"/>
      <c r="J31" s="408">
        <f>IFERROR(VLOOKUP($C31,'Proposed Rates'!$B:$J,J$11,FALSE),0)</f>
        <v>0</v>
      </c>
      <c r="K31" s="392">
        <f t="shared" si="26"/>
        <v>15000</v>
      </c>
      <c r="L31" s="394">
        <f t="shared" si="27"/>
        <v>0</v>
      </c>
      <c r="M31" s="411"/>
      <c r="N31" s="395">
        <f t="shared" si="5"/>
        <v>0</v>
      </c>
      <c r="O31" s="396" t="str">
        <f t="shared" si="6"/>
        <v/>
      </c>
      <c r="P31" s="53"/>
      <c r="Q31" s="408">
        <f>IFERROR(VLOOKUP($C31,'Proposed Rates'!$B:$J,Q$11,FALSE),0)</f>
        <v>0</v>
      </c>
      <c r="R31" s="392">
        <f t="shared" si="28"/>
        <v>15000</v>
      </c>
      <c r="S31" s="394">
        <f t="shared" si="29"/>
        <v>0</v>
      </c>
      <c r="T31" s="411"/>
      <c r="U31" s="395">
        <f t="shared" si="9"/>
        <v>0</v>
      </c>
      <c r="V31" s="396" t="str">
        <f t="shared" si="10"/>
        <v/>
      </c>
      <c r="W31" s="53"/>
      <c r="X31" s="408">
        <f>IFERROR(VLOOKUP($C31,'Proposed Rates'!$B:$J,X$11,FALSE),0)</f>
        <v>0</v>
      </c>
      <c r="Y31" s="392">
        <f t="shared" si="30"/>
        <v>15000</v>
      </c>
      <c r="Z31" s="394">
        <f t="shared" si="31"/>
        <v>0</v>
      </c>
      <c r="AA31" s="411"/>
      <c r="AB31" s="395">
        <f t="shared" si="13"/>
        <v>0</v>
      </c>
      <c r="AC31" s="396" t="str">
        <f t="shared" si="14"/>
        <v/>
      </c>
      <c r="AD31" s="53"/>
      <c r="AE31" s="408">
        <f>IFERROR(VLOOKUP($C31,'Proposed Rates'!$B:$J,AE$11,FALSE),0)</f>
        <v>0</v>
      </c>
      <c r="AF31" s="392">
        <f t="shared" si="32"/>
        <v>15000</v>
      </c>
      <c r="AG31" s="394">
        <f t="shared" si="33"/>
        <v>0</v>
      </c>
      <c r="AH31" s="411"/>
      <c r="AI31" s="395">
        <f t="shared" si="17"/>
        <v>0</v>
      </c>
      <c r="AJ31" s="396" t="str">
        <f t="shared" si="18"/>
        <v/>
      </c>
      <c r="AK31" s="53"/>
      <c r="AL31" s="408">
        <f>IFERROR(VLOOKUP($C31,'Proposed Rates'!$B:$J,AL$11,FALSE),0)</f>
        <v>0</v>
      </c>
      <c r="AM31" s="392">
        <f t="shared" si="34"/>
        <v>15000</v>
      </c>
      <c r="AN31" s="394">
        <f t="shared" si="35"/>
        <v>0</v>
      </c>
      <c r="AO31" s="411"/>
      <c r="AP31" s="395">
        <f t="shared" si="21"/>
        <v>0</v>
      </c>
      <c r="AQ31" s="396" t="str">
        <f t="shared" si="22"/>
        <v/>
      </c>
      <c r="AR31" s="397"/>
    </row>
    <row r="32" spans="1:44" ht="12" customHeight="1">
      <c r="A32" s="53"/>
      <c r="B32" s="398" t="s">
        <v>272</v>
      </c>
      <c r="C32" s="389" t="str">
        <f t="shared" si="23"/>
        <v>General Service &lt; 50 kW.CBR Class B Rate Riders</v>
      </c>
      <c r="D32" s="390" t="s">
        <v>337</v>
      </c>
      <c r="E32" s="328"/>
      <c r="F32" s="408">
        <f>IFERROR(VLOOKUP($C32,'Proposed Rates'!$B:$J,F$11,FALSE),0)</f>
        <v>2.0000000000000001E-4</v>
      </c>
      <c r="G32" s="392">
        <f t="shared" si="24"/>
        <v>15000</v>
      </c>
      <c r="H32" s="394">
        <f t="shared" si="25"/>
        <v>3</v>
      </c>
      <c r="I32" s="479"/>
      <c r="J32" s="408">
        <f>IFERROR(VLOOKUP($C32,'Proposed Rates'!$B:$J,J$11,FALSE),0)</f>
        <v>8.0000000000000004E-4</v>
      </c>
      <c r="K32" s="392">
        <f t="shared" si="26"/>
        <v>15000</v>
      </c>
      <c r="L32" s="394">
        <f t="shared" si="27"/>
        <v>12</v>
      </c>
      <c r="M32" s="411"/>
      <c r="N32" s="395">
        <f t="shared" si="5"/>
        <v>9</v>
      </c>
      <c r="O32" s="396">
        <f t="shared" si="6"/>
        <v>3</v>
      </c>
      <c r="P32" s="53"/>
      <c r="Q32" s="408">
        <f>IFERROR(VLOOKUP($C32,'Proposed Rates'!$B:$J,Q$11,FALSE),0)</f>
        <v>0</v>
      </c>
      <c r="R32" s="392">
        <f t="shared" si="28"/>
        <v>15000</v>
      </c>
      <c r="S32" s="394">
        <f t="shared" si="29"/>
        <v>0</v>
      </c>
      <c r="T32" s="411"/>
      <c r="U32" s="395">
        <f t="shared" si="9"/>
        <v>-12</v>
      </c>
      <c r="V32" s="396">
        <f t="shared" si="10"/>
        <v>-1</v>
      </c>
      <c r="W32" s="53"/>
      <c r="X32" s="408">
        <f>IFERROR(VLOOKUP($C32,'Proposed Rates'!$B:$J,X$11,FALSE),0)</f>
        <v>0</v>
      </c>
      <c r="Y32" s="392">
        <f t="shared" si="30"/>
        <v>15000</v>
      </c>
      <c r="Z32" s="394">
        <f t="shared" si="31"/>
        <v>0</v>
      </c>
      <c r="AA32" s="411"/>
      <c r="AB32" s="395">
        <f t="shared" si="13"/>
        <v>0</v>
      </c>
      <c r="AC32" s="396" t="str">
        <f t="shared" si="14"/>
        <v/>
      </c>
      <c r="AD32" s="53"/>
      <c r="AE32" s="408">
        <f>IFERROR(VLOOKUP($C32,'Proposed Rates'!$B:$J,AE$11,FALSE),0)</f>
        <v>0</v>
      </c>
      <c r="AF32" s="392">
        <f t="shared" si="32"/>
        <v>15000</v>
      </c>
      <c r="AG32" s="394">
        <f t="shared" si="33"/>
        <v>0</v>
      </c>
      <c r="AH32" s="411"/>
      <c r="AI32" s="395">
        <f t="shared" si="17"/>
        <v>0</v>
      </c>
      <c r="AJ32" s="396" t="str">
        <f t="shared" si="18"/>
        <v/>
      </c>
      <c r="AK32" s="53"/>
      <c r="AL32" s="408">
        <f>IFERROR(VLOOKUP($C32,'Proposed Rates'!$B:$J,AL$11,FALSE),0)</f>
        <v>0</v>
      </c>
      <c r="AM32" s="392">
        <f t="shared" si="34"/>
        <v>15000</v>
      </c>
      <c r="AN32" s="394">
        <f t="shared" si="35"/>
        <v>0</v>
      </c>
      <c r="AO32" s="411"/>
      <c r="AP32" s="395">
        <f t="shared" si="21"/>
        <v>0</v>
      </c>
      <c r="AQ32" s="396" t="str">
        <f t="shared" si="22"/>
        <v/>
      </c>
      <c r="AR32" s="397"/>
    </row>
    <row r="33" spans="1:44" ht="12" customHeight="1">
      <c r="A33" s="53"/>
      <c r="B33" s="398" t="s">
        <v>340</v>
      </c>
      <c r="C33" s="389" t="str">
        <f t="shared" si="23"/>
        <v>General Service &lt; 50 kW.GA Disposition Rate Rider-NonRPP</v>
      </c>
      <c r="D33" s="390" t="s">
        <v>337</v>
      </c>
      <c r="E33" s="328"/>
      <c r="F33" s="408">
        <f>IFERROR(VLOOKUP($C33,'Proposed Rates'!$B:$J,F$11,FALSE),0)</f>
        <v>0</v>
      </c>
      <c r="G33" s="392">
        <f t="shared" si="24"/>
        <v>15000</v>
      </c>
      <c r="H33" s="394">
        <f t="shared" si="25"/>
        <v>0</v>
      </c>
      <c r="I33" s="479"/>
      <c r="J33" s="408">
        <f>IFERROR(VLOOKUP($C33,'Proposed Rates'!$B:$J,J$11,FALSE),0)</f>
        <v>0</v>
      </c>
      <c r="K33" s="392">
        <f t="shared" si="26"/>
        <v>15000</v>
      </c>
      <c r="L33" s="394">
        <f t="shared" si="27"/>
        <v>0</v>
      </c>
      <c r="M33" s="411"/>
      <c r="N33" s="395">
        <f t="shared" si="5"/>
        <v>0</v>
      </c>
      <c r="O33" s="396" t="str">
        <f t="shared" si="6"/>
        <v/>
      </c>
      <c r="P33" s="53"/>
      <c r="Q33" s="408">
        <f>IFERROR(VLOOKUP($C33,'Proposed Rates'!$B:$J,Q$11,FALSE),0)</f>
        <v>0</v>
      </c>
      <c r="R33" s="392">
        <f t="shared" si="28"/>
        <v>15000</v>
      </c>
      <c r="S33" s="394">
        <f t="shared" si="29"/>
        <v>0</v>
      </c>
      <c r="T33" s="411"/>
      <c r="U33" s="395">
        <f t="shared" si="9"/>
        <v>0</v>
      </c>
      <c r="V33" s="396" t="str">
        <f t="shared" si="10"/>
        <v/>
      </c>
      <c r="W33" s="53"/>
      <c r="X33" s="408">
        <f>IFERROR(VLOOKUP($C33,'Proposed Rates'!$B:$J,X$11,FALSE),0)</f>
        <v>0</v>
      </c>
      <c r="Y33" s="392">
        <f t="shared" si="30"/>
        <v>15000</v>
      </c>
      <c r="Z33" s="394">
        <f t="shared" si="31"/>
        <v>0</v>
      </c>
      <c r="AA33" s="411"/>
      <c r="AB33" s="395">
        <f t="shared" si="13"/>
        <v>0</v>
      </c>
      <c r="AC33" s="396" t="str">
        <f t="shared" si="14"/>
        <v/>
      </c>
      <c r="AD33" s="53"/>
      <c r="AE33" s="408">
        <f>IFERROR(VLOOKUP($C33,'Proposed Rates'!$B:$J,AE$11,FALSE),0)</f>
        <v>0</v>
      </c>
      <c r="AF33" s="392">
        <f t="shared" si="32"/>
        <v>15000</v>
      </c>
      <c r="AG33" s="394">
        <f t="shared" si="33"/>
        <v>0</v>
      </c>
      <c r="AH33" s="411"/>
      <c r="AI33" s="395">
        <f t="shared" si="17"/>
        <v>0</v>
      </c>
      <c r="AJ33" s="396" t="str">
        <f t="shared" si="18"/>
        <v/>
      </c>
      <c r="AK33" s="53"/>
      <c r="AL33" s="408">
        <f>IFERROR(VLOOKUP($C33,'Proposed Rates'!$B:$J,AL$11,FALSE),0)</f>
        <v>0</v>
      </c>
      <c r="AM33" s="392">
        <f t="shared" si="34"/>
        <v>15000</v>
      </c>
      <c r="AN33" s="394">
        <f t="shared" si="35"/>
        <v>0</v>
      </c>
      <c r="AO33" s="411"/>
      <c r="AP33" s="395">
        <f t="shared" si="21"/>
        <v>0</v>
      </c>
      <c r="AQ33" s="396" t="str">
        <f t="shared" si="22"/>
        <v/>
      </c>
      <c r="AR33" s="397"/>
    </row>
    <row r="34" spans="1:44" ht="12" customHeight="1">
      <c r="A34" s="53"/>
      <c r="B34" s="328" t="s">
        <v>300</v>
      </c>
      <c r="C34" s="389" t="str">
        <f t="shared" si="23"/>
        <v>General Service &lt; 50 kW.Low Voltage Service Charge</v>
      </c>
      <c r="D34" s="390" t="s">
        <v>337</v>
      </c>
      <c r="E34" s="328"/>
      <c r="F34" s="412">
        <f>IFERROR(VLOOKUP($C34,'Proposed Rates'!$B:$J,F$11,FALSE),0)</f>
        <v>5.0000000000000002E-5</v>
      </c>
      <c r="G34" s="413">
        <f>$F$10*(1+F$63)</f>
        <v>15507</v>
      </c>
      <c r="H34" s="394">
        <f t="shared" si="25"/>
        <v>0.77534999999999998</v>
      </c>
      <c r="I34" s="138"/>
      <c r="J34" s="412">
        <f>IFERROR(VLOOKUP($C34,'Proposed Rates'!$B:$J,J$11,FALSE),0)</f>
        <v>6.0000000000000002E-5</v>
      </c>
      <c r="K34" s="413">
        <f>$F$10*(1+J$63)</f>
        <v>15497.999999999998</v>
      </c>
      <c r="L34" s="394">
        <f t="shared" si="27"/>
        <v>0.92987999999999993</v>
      </c>
      <c r="M34" s="138"/>
      <c r="N34" s="395">
        <f t="shared" si="5"/>
        <v>0.15452999999999995</v>
      </c>
      <c r="O34" s="396">
        <f t="shared" si="6"/>
        <v>0.19930354033662209</v>
      </c>
      <c r="P34" s="53"/>
      <c r="Q34" s="412">
        <f>IFERROR(VLOOKUP($C34,'Proposed Rates'!$B:$J,Q$11,FALSE),0)</f>
        <v>6.0000000000000002E-5</v>
      </c>
      <c r="R34" s="413">
        <f>$F$10*(1+Q$63)</f>
        <v>15497.999999999998</v>
      </c>
      <c r="S34" s="394">
        <f t="shared" si="29"/>
        <v>0.92987999999999993</v>
      </c>
      <c r="T34" s="138"/>
      <c r="U34" s="395">
        <f t="shared" si="9"/>
        <v>0</v>
      </c>
      <c r="V34" s="396">
        <f t="shared" si="10"/>
        <v>0</v>
      </c>
      <c r="W34" s="53"/>
      <c r="X34" s="412">
        <f>IFERROR(VLOOKUP($C34,'Proposed Rates'!$B:$J,X$11,FALSE),0)</f>
        <v>6.0000000000000002E-5</v>
      </c>
      <c r="Y34" s="413">
        <f>$F$10*(1+X$63)</f>
        <v>15497.999999999998</v>
      </c>
      <c r="Z34" s="394">
        <f t="shared" si="31"/>
        <v>0.92987999999999993</v>
      </c>
      <c r="AA34" s="138"/>
      <c r="AB34" s="395">
        <f t="shared" si="13"/>
        <v>0</v>
      </c>
      <c r="AC34" s="396">
        <f t="shared" si="14"/>
        <v>0</v>
      </c>
      <c r="AD34" s="53"/>
      <c r="AE34" s="412">
        <f>IFERROR(VLOOKUP($C34,'Proposed Rates'!$B:$J,AE$11,FALSE),0)</f>
        <v>6.0000000000000002E-5</v>
      </c>
      <c r="AF34" s="413">
        <f>$F$10*(1+AE$63)</f>
        <v>15497.999999999998</v>
      </c>
      <c r="AG34" s="394">
        <f t="shared" si="33"/>
        <v>0.92987999999999993</v>
      </c>
      <c r="AH34" s="138"/>
      <c r="AI34" s="395">
        <f t="shared" si="17"/>
        <v>0</v>
      </c>
      <c r="AJ34" s="396">
        <f t="shared" si="18"/>
        <v>0</v>
      </c>
      <c r="AK34" s="53"/>
      <c r="AL34" s="412">
        <f>IFERROR(VLOOKUP($C34,'Proposed Rates'!$B:$J,AL$11,FALSE),0)</f>
        <v>6.0000000000000002E-5</v>
      </c>
      <c r="AM34" s="413">
        <f>$F$10*(1+AL$63)</f>
        <v>15497.999999999998</v>
      </c>
      <c r="AN34" s="394">
        <f t="shared" si="35"/>
        <v>0.92987999999999993</v>
      </c>
      <c r="AO34" s="138"/>
      <c r="AP34" s="395">
        <f t="shared" si="21"/>
        <v>0</v>
      </c>
      <c r="AQ34" s="396">
        <f t="shared" si="22"/>
        <v>0</v>
      </c>
      <c r="AR34" s="397"/>
    </row>
    <row r="35" spans="1:44" ht="12" customHeight="1">
      <c r="A35" s="53"/>
      <c r="B35" s="328" t="s">
        <v>341</v>
      </c>
      <c r="C35" s="389" t="str">
        <f t="shared" si="23"/>
        <v>General Service &lt; 50 kW.Line Losses on Cost of Power</v>
      </c>
      <c r="D35" s="390" t="s">
        <v>337</v>
      </c>
      <c r="E35" s="328"/>
      <c r="F35" s="414">
        <f>'Proposed Rates'!$K$256*F$44+'Proposed Rates'!$K$257*F$45+'Proposed Rates'!$K$258*F$46</f>
        <v>0.12752000000000002</v>
      </c>
      <c r="G35" s="501">
        <f>$F$10*(1+F$63)-$F$10</f>
        <v>507</v>
      </c>
      <c r="H35" s="394">
        <f t="shared" si="25"/>
        <v>64.652640000000005</v>
      </c>
      <c r="I35" s="138"/>
      <c r="J35" s="414">
        <f>'Proposed Rates'!$K$256*J$44+'Proposed Rates'!$K$257*J$45+'Proposed Rates'!$K$258*J$46</f>
        <v>0.12752000000000002</v>
      </c>
      <c r="K35" s="501">
        <f>$F$10*(1+J$63)-$F$10</f>
        <v>497.99999999999818</v>
      </c>
      <c r="L35" s="394">
        <f t="shared" si="27"/>
        <v>63.504959999999777</v>
      </c>
      <c r="M35" s="138"/>
      <c r="N35" s="395">
        <f t="shared" si="5"/>
        <v>-1.1476800000002285</v>
      </c>
      <c r="O35" s="396">
        <f t="shared" si="6"/>
        <v>-1.7751479289944361E-2</v>
      </c>
      <c r="P35" s="53"/>
      <c r="Q35" s="414">
        <f>'Proposed Rates'!$K$256*Q$44+'Proposed Rates'!$K$257*Q$45+'Proposed Rates'!$K$258*Q$46</f>
        <v>0.12752000000000002</v>
      </c>
      <c r="R35" s="501">
        <f>$F$10*(1+Q$63)-$F$10</f>
        <v>497.99999999999818</v>
      </c>
      <c r="S35" s="394">
        <f t="shared" si="29"/>
        <v>63.504959999999777</v>
      </c>
      <c r="T35" s="138"/>
      <c r="U35" s="395">
        <f t="shared" si="9"/>
        <v>0</v>
      </c>
      <c r="V35" s="396">
        <f t="shared" si="10"/>
        <v>0</v>
      </c>
      <c r="W35" s="53"/>
      <c r="X35" s="414">
        <f>'Proposed Rates'!$K$256*X$44+'Proposed Rates'!$K$257*X$45+'Proposed Rates'!$K$258*X$46</f>
        <v>0.12752000000000002</v>
      </c>
      <c r="Y35" s="501">
        <f>$F$10*(1+X$63)-$F$10</f>
        <v>497.99999999999818</v>
      </c>
      <c r="Z35" s="394">
        <f t="shared" si="31"/>
        <v>63.504959999999777</v>
      </c>
      <c r="AA35" s="138"/>
      <c r="AB35" s="395">
        <f t="shared" si="13"/>
        <v>0</v>
      </c>
      <c r="AC35" s="396">
        <f t="shared" si="14"/>
        <v>0</v>
      </c>
      <c r="AD35" s="53"/>
      <c r="AE35" s="414">
        <f>'Proposed Rates'!$K$256*AE$44+'Proposed Rates'!$K$257*AE$45+'Proposed Rates'!$K$258*AE$46</f>
        <v>0.12752000000000002</v>
      </c>
      <c r="AF35" s="501">
        <f>$F$10*(1+AE$63)-$F$10</f>
        <v>497.99999999999818</v>
      </c>
      <c r="AG35" s="394">
        <f t="shared" si="33"/>
        <v>63.504959999999777</v>
      </c>
      <c r="AH35" s="138"/>
      <c r="AI35" s="395">
        <f t="shared" si="17"/>
        <v>0</v>
      </c>
      <c r="AJ35" s="396">
        <f t="shared" si="18"/>
        <v>0</v>
      </c>
      <c r="AK35" s="53"/>
      <c r="AL35" s="414">
        <f>'Proposed Rates'!$K$256*AL$44+'Proposed Rates'!$K$257*AL$45+'Proposed Rates'!$K$258*AL$46</f>
        <v>0.12752000000000002</v>
      </c>
      <c r="AM35" s="501">
        <f>$F$10*(1+AL$63)-$F$10</f>
        <v>497.99999999999818</v>
      </c>
      <c r="AN35" s="394">
        <f t="shared" si="35"/>
        <v>63.504959999999777</v>
      </c>
      <c r="AO35" s="138"/>
      <c r="AP35" s="395">
        <f t="shared" si="21"/>
        <v>0</v>
      </c>
      <c r="AQ35" s="396">
        <f t="shared" si="22"/>
        <v>0</v>
      </c>
      <c r="AR35" s="397"/>
    </row>
    <row r="36" spans="1:44" ht="12" customHeight="1">
      <c r="A36" s="53"/>
      <c r="B36" s="328" t="s">
        <v>302</v>
      </c>
      <c r="C36" s="389" t="str">
        <f t="shared" si="23"/>
        <v>General Service &lt; 50 kW.Smart Meter Entity Charge</v>
      </c>
      <c r="D36" s="390" t="s">
        <v>335</v>
      </c>
      <c r="E36" s="328"/>
      <c r="F36" s="391">
        <f>IFERROR(VLOOKUP($C36,'Proposed Rates'!$B:$J,F$11,FALSE),0)</f>
        <v>0.42</v>
      </c>
      <c r="G36" s="392">
        <f>IF($D36="Monthly",1,IF($D36="per KWH",$F$10,0))</f>
        <v>1</v>
      </c>
      <c r="H36" s="394">
        <f t="shared" si="25"/>
        <v>0.42</v>
      </c>
      <c r="I36" s="138"/>
      <c r="J36" s="391">
        <f>IFERROR(VLOOKUP($C36,'Proposed Rates'!$B:$J,J$11,FALSE),0)</f>
        <v>0.42</v>
      </c>
      <c r="K36" s="392">
        <f>IF($D36="Monthly",1,IF($D36="per KWH",$F$10,0))</f>
        <v>1</v>
      </c>
      <c r="L36" s="394">
        <f t="shared" si="27"/>
        <v>0.42</v>
      </c>
      <c r="M36" s="138"/>
      <c r="N36" s="395">
        <f t="shared" si="5"/>
        <v>0</v>
      </c>
      <c r="O36" s="396">
        <f t="shared" si="6"/>
        <v>0</v>
      </c>
      <c r="P36" s="53"/>
      <c r="Q36" s="391">
        <f>IFERROR(VLOOKUP($C36,'Proposed Rates'!$B:$J,Q$11,FALSE),0)</f>
        <v>0.42</v>
      </c>
      <c r="R36" s="392">
        <f>IF($D36="Monthly",1,IF($D36="per KWH",$F$10,0))</f>
        <v>1</v>
      </c>
      <c r="S36" s="394">
        <f t="shared" si="29"/>
        <v>0.42</v>
      </c>
      <c r="T36" s="138"/>
      <c r="U36" s="395">
        <f t="shared" si="9"/>
        <v>0</v>
      </c>
      <c r="V36" s="396">
        <f t="shared" si="10"/>
        <v>0</v>
      </c>
      <c r="W36" s="53"/>
      <c r="X36" s="391">
        <f>IFERROR(VLOOKUP($C36,'Proposed Rates'!$B:$J,X$11,FALSE),0)</f>
        <v>0.43</v>
      </c>
      <c r="Y36" s="392">
        <f>IF($D36="Monthly",1,IF($D36="per KWH",$F$10,0))</f>
        <v>1</v>
      </c>
      <c r="Z36" s="394">
        <f t="shared" si="31"/>
        <v>0.43</v>
      </c>
      <c r="AA36" s="138"/>
      <c r="AB36" s="395">
        <f t="shared" si="13"/>
        <v>1.0000000000000009E-2</v>
      </c>
      <c r="AC36" s="396">
        <f t="shared" si="14"/>
        <v>2.3809523809523832E-2</v>
      </c>
      <c r="AD36" s="53"/>
      <c r="AE36" s="391">
        <f>IFERROR(VLOOKUP($C36,'Proposed Rates'!$B:$J,AE$11,FALSE),0)</f>
        <v>0.44</v>
      </c>
      <c r="AF36" s="392">
        <f>IF($D36="Monthly",1,IF($D36="per KWH",$F$10,0))</f>
        <v>1</v>
      </c>
      <c r="AG36" s="394">
        <f t="shared" si="33"/>
        <v>0.44</v>
      </c>
      <c r="AH36" s="138"/>
      <c r="AI36" s="395">
        <f t="shared" si="17"/>
        <v>1.0000000000000009E-2</v>
      </c>
      <c r="AJ36" s="396">
        <f t="shared" si="18"/>
        <v>2.3255813953488393E-2</v>
      </c>
      <c r="AK36" s="53"/>
      <c r="AL36" s="391">
        <f>IFERROR(VLOOKUP($C36,'Proposed Rates'!$B:$J,AL$11,FALSE),0)</f>
        <v>0.45</v>
      </c>
      <c r="AM36" s="392">
        <f>IF($D36="Monthly",1,IF($D36="per KWH",$F$10,0))</f>
        <v>1</v>
      </c>
      <c r="AN36" s="394">
        <f t="shared" si="35"/>
        <v>0.45</v>
      </c>
      <c r="AO36" s="138"/>
      <c r="AP36" s="395">
        <f t="shared" si="21"/>
        <v>1.0000000000000009E-2</v>
      </c>
      <c r="AQ36" s="396">
        <f t="shared" si="22"/>
        <v>2.2727272727272749E-2</v>
      </c>
      <c r="AR36" s="397"/>
    </row>
    <row r="37" spans="1:44" ht="12" customHeight="1">
      <c r="A37" s="53"/>
      <c r="B37" s="399" t="s">
        <v>342</v>
      </c>
      <c r="C37" s="416"/>
      <c r="D37" s="416"/>
      <c r="E37" s="416"/>
      <c r="F37" s="417"/>
      <c r="G37" s="495"/>
      <c r="H37" s="403">
        <f>SUM(H30:H36)+H29</f>
        <v>560.37798999999995</v>
      </c>
      <c r="I37" s="419"/>
      <c r="J37" s="417"/>
      <c r="K37" s="495"/>
      <c r="L37" s="403">
        <f>SUM(L30:L36)+L29</f>
        <v>608.00483999999972</v>
      </c>
      <c r="M37" s="419"/>
      <c r="N37" s="405">
        <f t="shared" si="5"/>
        <v>47.626849999999763</v>
      </c>
      <c r="O37" s="406">
        <f t="shared" si="6"/>
        <v>8.4990579305228894E-2</v>
      </c>
      <c r="P37" s="53"/>
      <c r="Q37" s="417"/>
      <c r="R37" s="495"/>
      <c r="S37" s="403">
        <f>SUM(S30:S36)+S29</f>
        <v>646.76483999999971</v>
      </c>
      <c r="T37" s="419"/>
      <c r="U37" s="405">
        <f t="shared" si="9"/>
        <v>38.759999999999991</v>
      </c>
      <c r="V37" s="406">
        <f t="shared" si="10"/>
        <v>6.3749492520487186E-2</v>
      </c>
      <c r="W37" s="53"/>
      <c r="X37" s="417"/>
      <c r="Y37" s="495"/>
      <c r="Z37" s="403">
        <f>SUM(Z30:Z36)+Z29</f>
        <v>662.66483999999969</v>
      </c>
      <c r="AA37" s="419"/>
      <c r="AB37" s="405">
        <f t="shared" si="13"/>
        <v>15.899999999999977</v>
      </c>
      <c r="AC37" s="406">
        <f t="shared" si="14"/>
        <v>2.4583896675644867E-2</v>
      </c>
      <c r="AD37" s="53"/>
      <c r="AE37" s="417"/>
      <c r="AF37" s="495"/>
      <c r="AG37" s="403">
        <f>SUM(AG30:AG36)+AG29</f>
        <v>672.1448399999997</v>
      </c>
      <c r="AH37" s="419"/>
      <c r="AI37" s="405">
        <f t="shared" si="17"/>
        <v>9.4800000000000182</v>
      </c>
      <c r="AJ37" s="406">
        <f t="shared" si="18"/>
        <v>1.43058744447646E-2</v>
      </c>
      <c r="AK37" s="53"/>
      <c r="AL37" s="417"/>
      <c r="AM37" s="495"/>
      <c r="AN37" s="403">
        <f>SUM(AN30:AN36)+AN29</f>
        <v>681.59483999999986</v>
      </c>
      <c r="AO37" s="419"/>
      <c r="AP37" s="405">
        <f t="shared" si="21"/>
        <v>9.4500000000001592</v>
      </c>
      <c r="AQ37" s="406">
        <f t="shared" si="22"/>
        <v>1.405946968215982E-2</v>
      </c>
      <c r="AR37" s="407"/>
    </row>
    <row r="38" spans="1:44" ht="12" customHeight="1">
      <c r="A38" s="53"/>
      <c r="B38" s="138" t="s">
        <v>285</v>
      </c>
      <c r="C38" s="389" t="str">
        <f t="shared" ref="C38:C39" si="36">D$6&amp;"."&amp;B38</f>
        <v>General Service &lt; 50 kW.RTSR - Network</v>
      </c>
      <c r="D38" s="420" t="s">
        <v>337</v>
      </c>
      <c r="E38" s="138"/>
      <c r="F38" s="408">
        <f>IFERROR(VLOOKUP($C38,'Proposed Rates'!$B:$J,F$11,FALSE),0)</f>
        <v>1.18E-2</v>
      </c>
      <c r="G38" s="502">
        <f t="shared" ref="G38:G39" si="37">$F$10*(1+F$63)</f>
        <v>15507</v>
      </c>
      <c r="H38" s="394">
        <f t="shared" ref="H38:H39" si="38">G38*F38</f>
        <v>182.98259999999999</v>
      </c>
      <c r="I38" s="138"/>
      <c r="J38" s="408">
        <f>IFERROR(VLOOKUP($C38,'Proposed Rates'!$B:$J,J$11,FALSE),0)</f>
        <v>1.0699999999999999E-2</v>
      </c>
      <c r="K38" s="502">
        <f t="shared" ref="K38:K39" si="39">$F$10*(1+J$63)</f>
        <v>15497.999999999998</v>
      </c>
      <c r="L38" s="394">
        <f t="shared" ref="L38:L39" si="40">K38*J38</f>
        <v>165.82859999999997</v>
      </c>
      <c r="M38" s="138"/>
      <c r="N38" s="395">
        <f t="shared" si="5"/>
        <v>-17.154000000000025</v>
      </c>
      <c r="O38" s="396">
        <f t="shared" si="6"/>
        <v>-9.3746618530942433E-2</v>
      </c>
      <c r="P38" s="53"/>
      <c r="Q38" s="408">
        <f>IFERROR(VLOOKUP($C38,'Proposed Rates'!$B:$J,Q$11,FALSE),0)</f>
        <v>1.0699999999999999E-2</v>
      </c>
      <c r="R38" s="502">
        <f t="shared" ref="R38:R39" si="41">$F$10*(1+Q$63)</f>
        <v>15497.999999999998</v>
      </c>
      <c r="S38" s="394">
        <f t="shared" ref="S38:S39" si="42">R38*Q38</f>
        <v>165.82859999999997</v>
      </c>
      <c r="T38" s="138"/>
      <c r="U38" s="395">
        <f t="shared" si="9"/>
        <v>0</v>
      </c>
      <c r="V38" s="396">
        <f t="shared" si="10"/>
        <v>0</v>
      </c>
      <c r="W38" s="53"/>
      <c r="X38" s="408">
        <f>IFERROR(VLOOKUP($C38,'Proposed Rates'!$B:$J,X$11,FALSE),0)</f>
        <v>1.0699999999999999E-2</v>
      </c>
      <c r="Y38" s="502">
        <f t="shared" ref="Y38:Y39" si="43">$F$10*(1+X$63)</f>
        <v>15497.999999999998</v>
      </c>
      <c r="Z38" s="394">
        <f t="shared" ref="Z38:Z39" si="44">Y38*X38</f>
        <v>165.82859999999997</v>
      </c>
      <c r="AA38" s="138"/>
      <c r="AB38" s="395">
        <f t="shared" si="13"/>
        <v>0</v>
      </c>
      <c r="AC38" s="396">
        <f t="shared" si="14"/>
        <v>0</v>
      </c>
      <c r="AD38" s="53"/>
      <c r="AE38" s="408">
        <f>IFERROR(VLOOKUP($C38,'Proposed Rates'!$B:$J,AE$11,FALSE),0)</f>
        <v>1.0699999999999999E-2</v>
      </c>
      <c r="AF38" s="502">
        <f t="shared" ref="AF38:AF39" si="45">$F$10*(1+AE$63)</f>
        <v>15497.999999999998</v>
      </c>
      <c r="AG38" s="394">
        <f t="shared" ref="AG38:AG39" si="46">AF38*AE38</f>
        <v>165.82859999999997</v>
      </c>
      <c r="AH38" s="138"/>
      <c r="AI38" s="395">
        <f t="shared" si="17"/>
        <v>0</v>
      </c>
      <c r="AJ38" s="396">
        <f t="shared" si="18"/>
        <v>0</v>
      </c>
      <c r="AK38" s="53"/>
      <c r="AL38" s="408">
        <f>IFERROR(VLOOKUP($C38,'Proposed Rates'!$B:$J,AL$11,FALSE),0)</f>
        <v>1.0699999999999999E-2</v>
      </c>
      <c r="AM38" s="502">
        <f t="shared" ref="AM38:AM39" si="47">$F$10*(1+AL$63)</f>
        <v>15497.999999999998</v>
      </c>
      <c r="AN38" s="394">
        <f t="shared" ref="AN38:AN39" si="48">AM38*AL38</f>
        <v>165.82859999999997</v>
      </c>
      <c r="AO38" s="138"/>
      <c r="AP38" s="395">
        <f t="shared" si="21"/>
        <v>0</v>
      </c>
      <c r="AQ38" s="396">
        <f t="shared" si="22"/>
        <v>0</v>
      </c>
      <c r="AR38" s="397"/>
    </row>
    <row r="39" spans="1:44" ht="12" customHeight="1">
      <c r="A39" s="53"/>
      <c r="B39" s="138" t="s">
        <v>288</v>
      </c>
      <c r="C39" s="389" t="str">
        <f t="shared" si="36"/>
        <v>General Service &lt; 50 kW.RTSR - Line and Transformation Connection</v>
      </c>
      <c r="D39" s="420" t="s">
        <v>337</v>
      </c>
      <c r="E39" s="138"/>
      <c r="F39" s="408">
        <f>IFERROR(VLOOKUP($C39,'Proposed Rates'!$B:$J,F$11,FALSE),0)</f>
        <v>7.0000000000000001E-3</v>
      </c>
      <c r="G39" s="502">
        <f t="shared" si="37"/>
        <v>15507</v>
      </c>
      <c r="H39" s="394">
        <f t="shared" si="38"/>
        <v>108.54900000000001</v>
      </c>
      <c r="I39" s="138"/>
      <c r="J39" s="408">
        <f>IFERROR(VLOOKUP($C39,'Proposed Rates'!$B:$J,J$11,FALSE),0)</f>
        <v>6.1000000000000004E-3</v>
      </c>
      <c r="K39" s="502">
        <f t="shared" si="39"/>
        <v>15497.999999999998</v>
      </c>
      <c r="L39" s="394">
        <f t="shared" si="40"/>
        <v>94.53779999999999</v>
      </c>
      <c r="M39" s="138"/>
      <c r="N39" s="395">
        <f t="shared" si="5"/>
        <v>-14.011200000000017</v>
      </c>
      <c r="O39" s="396">
        <f t="shared" si="6"/>
        <v>-0.12907719094602452</v>
      </c>
      <c r="P39" s="53"/>
      <c r="Q39" s="408">
        <f>IFERROR(VLOOKUP($C39,'Proposed Rates'!$B:$J,Q$11,FALSE),0)</f>
        <v>6.1000000000000004E-3</v>
      </c>
      <c r="R39" s="502">
        <f t="shared" si="41"/>
        <v>15497.999999999998</v>
      </c>
      <c r="S39" s="394">
        <f t="shared" si="42"/>
        <v>94.53779999999999</v>
      </c>
      <c r="T39" s="138"/>
      <c r="U39" s="395">
        <f t="shared" si="9"/>
        <v>0</v>
      </c>
      <c r="V39" s="396">
        <f t="shared" si="10"/>
        <v>0</v>
      </c>
      <c r="W39" s="53"/>
      <c r="X39" s="408">
        <f>IFERROR(VLOOKUP($C39,'Proposed Rates'!$B:$J,X$11,FALSE),0)</f>
        <v>6.1000000000000004E-3</v>
      </c>
      <c r="Y39" s="502">
        <f t="shared" si="43"/>
        <v>15497.999999999998</v>
      </c>
      <c r="Z39" s="394">
        <f t="shared" si="44"/>
        <v>94.53779999999999</v>
      </c>
      <c r="AA39" s="138"/>
      <c r="AB39" s="395">
        <f t="shared" si="13"/>
        <v>0</v>
      </c>
      <c r="AC39" s="396">
        <f t="shared" si="14"/>
        <v>0</v>
      </c>
      <c r="AD39" s="53"/>
      <c r="AE39" s="408">
        <f>IFERROR(VLOOKUP($C39,'Proposed Rates'!$B:$J,AE$11,FALSE),0)</f>
        <v>6.1000000000000004E-3</v>
      </c>
      <c r="AF39" s="502">
        <f t="shared" si="45"/>
        <v>15497.999999999998</v>
      </c>
      <c r="AG39" s="394">
        <f t="shared" si="46"/>
        <v>94.53779999999999</v>
      </c>
      <c r="AH39" s="138"/>
      <c r="AI39" s="395">
        <f t="shared" si="17"/>
        <v>0</v>
      </c>
      <c r="AJ39" s="396">
        <f t="shared" si="18"/>
        <v>0</v>
      </c>
      <c r="AK39" s="53"/>
      <c r="AL39" s="408">
        <f>IFERROR(VLOOKUP($C39,'Proposed Rates'!$B:$J,AL$11,FALSE),0)</f>
        <v>6.1000000000000004E-3</v>
      </c>
      <c r="AM39" s="502">
        <f t="shared" si="47"/>
        <v>15497.999999999998</v>
      </c>
      <c r="AN39" s="394">
        <f t="shared" si="48"/>
        <v>94.53779999999999</v>
      </c>
      <c r="AO39" s="138"/>
      <c r="AP39" s="395">
        <f t="shared" si="21"/>
        <v>0</v>
      </c>
      <c r="AQ39" s="396">
        <f t="shared" si="22"/>
        <v>0</v>
      </c>
      <c r="AR39" s="397"/>
    </row>
    <row r="40" spans="1:44" ht="12" customHeight="1">
      <c r="A40" s="53"/>
      <c r="B40" s="399" t="s">
        <v>343</v>
      </c>
      <c r="C40" s="421"/>
      <c r="D40" s="421"/>
      <c r="E40" s="421"/>
      <c r="F40" s="422"/>
      <c r="G40" s="495"/>
      <c r="H40" s="403">
        <f>SUM(H37:H39)</f>
        <v>851.90958999999998</v>
      </c>
      <c r="I40" s="404"/>
      <c r="J40" s="422"/>
      <c r="K40" s="495"/>
      <c r="L40" s="403">
        <f>SUM(L37:L39)</f>
        <v>868.3712399999996</v>
      </c>
      <c r="M40" s="404"/>
      <c r="N40" s="405">
        <f t="shared" si="5"/>
        <v>16.461649999999622</v>
      </c>
      <c r="O40" s="406">
        <f t="shared" si="6"/>
        <v>1.932323593164343E-2</v>
      </c>
      <c r="P40" s="53"/>
      <c r="Q40" s="422"/>
      <c r="R40" s="495"/>
      <c r="S40" s="403">
        <f>SUM(S37:S39)</f>
        <v>907.13123999999959</v>
      </c>
      <c r="T40" s="404"/>
      <c r="U40" s="405">
        <f t="shared" si="9"/>
        <v>38.759999999999991</v>
      </c>
      <c r="V40" s="406">
        <f t="shared" si="10"/>
        <v>4.4635287552821312E-2</v>
      </c>
      <c r="W40" s="53"/>
      <c r="X40" s="422"/>
      <c r="Y40" s="495"/>
      <c r="Z40" s="403">
        <f>SUM(Z37:Z39)</f>
        <v>923.03123999999957</v>
      </c>
      <c r="AA40" s="404"/>
      <c r="AB40" s="405">
        <f t="shared" si="13"/>
        <v>15.899999999999977</v>
      </c>
      <c r="AC40" s="406">
        <f t="shared" si="14"/>
        <v>1.7527783521158399E-2</v>
      </c>
      <c r="AD40" s="53"/>
      <c r="AE40" s="422"/>
      <c r="AF40" s="495"/>
      <c r="AG40" s="403">
        <f>SUM(AG37:AG39)</f>
        <v>932.51123999999959</v>
      </c>
      <c r="AH40" s="404"/>
      <c r="AI40" s="405">
        <f t="shared" si="17"/>
        <v>9.4800000000000182</v>
      </c>
      <c r="AJ40" s="406">
        <f t="shared" si="18"/>
        <v>1.027050828745517E-2</v>
      </c>
      <c r="AK40" s="53"/>
      <c r="AL40" s="422"/>
      <c r="AM40" s="495"/>
      <c r="AN40" s="403">
        <f>SUM(AN37:AN39)</f>
        <v>941.96123999999975</v>
      </c>
      <c r="AO40" s="404"/>
      <c r="AP40" s="405">
        <f t="shared" si="21"/>
        <v>9.4500000000001592</v>
      </c>
      <c r="AQ40" s="406">
        <f t="shared" si="22"/>
        <v>1.0133926106885493E-2</v>
      </c>
      <c r="AR40" s="407"/>
    </row>
    <row r="41" spans="1:44" ht="12" customHeight="1">
      <c r="A41" s="53"/>
      <c r="B41" s="328" t="s">
        <v>289</v>
      </c>
      <c r="C41" s="389" t="str">
        <f t="shared" ref="C41:C48" si="49">D$6&amp;"."&amp;B41</f>
        <v>General Service &lt; 50 kW.Wholesale Market Service Charge (WMSC)</v>
      </c>
      <c r="D41" s="390" t="s">
        <v>337</v>
      </c>
      <c r="E41" s="328"/>
      <c r="F41" s="408">
        <f>IFERROR(VLOOKUP($C41,'Proposed Rates'!$B:$J,F$11,FALSE),0)</f>
        <v>4.4999999999999997E-3</v>
      </c>
      <c r="G41" s="502">
        <f t="shared" ref="G41:G42" si="50">$F$10*(1+F$63)</f>
        <v>15507</v>
      </c>
      <c r="H41" s="394">
        <f t="shared" ref="H41:H48" si="51">G41*F41</f>
        <v>69.781499999999994</v>
      </c>
      <c r="I41" s="138"/>
      <c r="J41" s="408">
        <f>IFERROR(VLOOKUP($C41,'Proposed Rates'!$B:$J,J$11,FALSE),0)</f>
        <v>4.7000000000000002E-3</v>
      </c>
      <c r="K41" s="502">
        <f t="shared" ref="K41:K42" si="52">$F$10*(1+J$63)</f>
        <v>15497.999999999998</v>
      </c>
      <c r="L41" s="394">
        <f t="shared" ref="L41:L48" si="53">K41*J41</f>
        <v>72.840599999999995</v>
      </c>
      <c r="M41" s="138"/>
      <c r="N41" s="395">
        <f t="shared" si="5"/>
        <v>3.0591000000000008</v>
      </c>
      <c r="O41" s="396">
        <f t="shared" si="6"/>
        <v>4.3838266589282276E-2</v>
      </c>
      <c r="P41" s="53"/>
      <c r="Q41" s="408">
        <f>IFERROR(VLOOKUP($C41,'Proposed Rates'!$B:$J,Q$11,FALSE),0)</f>
        <v>4.7000000000000002E-3</v>
      </c>
      <c r="R41" s="502">
        <f t="shared" ref="R41:R42" si="54">$F$10*(1+Q$63)</f>
        <v>15497.999999999998</v>
      </c>
      <c r="S41" s="394">
        <f t="shared" ref="S41:S48" si="55">R41*Q41</f>
        <v>72.840599999999995</v>
      </c>
      <c r="T41" s="138"/>
      <c r="U41" s="395">
        <f t="shared" si="9"/>
        <v>0</v>
      </c>
      <c r="V41" s="396">
        <f t="shared" si="10"/>
        <v>0</v>
      </c>
      <c r="W41" s="53"/>
      <c r="X41" s="408">
        <f>IFERROR(VLOOKUP($C41,'Proposed Rates'!$B:$J,X$11,FALSE),0)</f>
        <v>4.7000000000000002E-3</v>
      </c>
      <c r="Y41" s="502">
        <f t="shared" ref="Y41:Y42" si="56">$F$10*(1+X$63)</f>
        <v>15497.999999999998</v>
      </c>
      <c r="Z41" s="394">
        <f t="shared" ref="Z41:Z48" si="57">Y41*X41</f>
        <v>72.840599999999995</v>
      </c>
      <c r="AA41" s="138"/>
      <c r="AB41" s="395">
        <f t="shared" si="13"/>
        <v>0</v>
      </c>
      <c r="AC41" s="396">
        <f t="shared" si="14"/>
        <v>0</v>
      </c>
      <c r="AD41" s="53"/>
      <c r="AE41" s="408">
        <f>IFERROR(VLOOKUP($C41,'Proposed Rates'!$B:$J,AE$11,FALSE),0)</f>
        <v>4.7000000000000002E-3</v>
      </c>
      <c r="AF41" s="502">
        <f t="shared" ref="AF41:AF42" si="58">$F$10*(1+AE$63)</f>
        <v>15497.999999999998</v>
      </c>
      <c r="AG41" s="394">
        <f t="shared" ref="AG41:AG48" si="59">AF41*AE41</f>
        <v>72.840599999999995</v>
      </c>
      <c r="AH41" s="138"/>
      <c r="AI41" s="395">
        <f t="shared" si="17"/>
        <v>0</v>
      </c>
      <c r="AJ41" s="396">
        <f t="shared" si="18"/>
        <v>0</v>
      </c>
      <c r="AK41" s="53"/>
      <c r="AL41" s="408">
        <f>IFERROR(VLOOKUP($C41,'Proposed Rates'!$B:$J,AL$11,FALSE),0)</f>
        <v>4.7000000000000002E-3</v>
      </c>
      <c r="AM41" s="502">
        <f t="shared" ref="AM41:AM42" si="60">$F$10*(1+AL$63)</f>
        <v>15497.999999999998</v>
      </c>
      <c r="AN41" s="394">
        <f t="shared" ref="AN41:AN48" si="61">AM41*AL41</f>
        <v>72.840599999999995</v>
      </c>
      <c r="AO41" s="138"/>
      <c r="AP41" s="395">
        <f t="shared" si="21"/>
        <v>0</v>
      </c>
      <c r="AQ41" s="396">
        <f t="shared" si="22"/>
        <v>0</v>
      </c>
      <c r="AR41" s="397"/>
    </row>
    <row r="42" spans="1:44" ht="12" customHeight="1">
      <c r="A42" s="53"/>
      <c r="B42" s="328" t="s">
        <v>290</v>
      </c>
      <c r="C42" s="389" t="str">
        <f t="shared" si="49"/>
        <v>General Service &lt; 50 kW.Rural and Remote Rate Protection (RRRP)</v>
      </c>
      <c r="D42" s="390" t="s">
        <v>337</v>
      </c>
      <c r="E42" s="328"/>
      <c r="F42" s="408">
        <f>IFERROR(VLOOKUP($C42,'Proposed Rates'!$B:$J,F$11,FALSE),0)</f>
        <v>1.5E-3</v>
      </c>
      <c r="G42" s="502">
        <f t="shared" si="50"/>
        <v>15507</v>
      </c>
      <c r="H42" s="394">
        <f t="shared" si="51"/>
        <v>23.2605</v>
      </c>
      <c r="I42" s="138"/>
      <c r="J42" s="408">
        <f>IFERROR(VLOOKUP($C42,'Proposed Rates'!$B:$J,J$11,FALSE),0)</f>
        <v>5.9999999999999995E-4</v>
      </c>
      <c r="K42" s="502">
        <f t="shared" si="52"/>
        <v>15497.999999999998</v>
      </c>
      <c r="L42" s="394">
        <f t="shared" si="53"/>
        <v>9.2987999999999982</v>
      </c>
      <c r="M42" s="138"/>
      <c r="N42" s="395">
        <f t="shared" si="5"/>
        <v>-13.961700000000002</v>
      </c>
      <c r="O42" s="396">
        <f t="shared" si="6"/>
        <v>-0.600232153221126</v>
      </c>
      <c r="P42" s="53"/>
      <c r="Q42" s="408">
        <f>IFERROR(VLOOKUP($C42,'Proposed Rates'!$B:$J,Q$11,FALSE),0)</f>
        <v>5.9999999999999995E-4</v>
      </c>
      <c r="R42" s="502">
        <f t="shared" si="54"/>
        <v>15497.999999999998</v>
      </c>
      <c r="S42" s="394">
        <f t="shared" si="55"/>
        <v>9.2987999999999982</v>
      </c>
      <c r="T42" s="138"/>
      <c r="U42" s="395">
        <f t="shared" si="9"/>
        <v>0</v>
      </c>
      <c r="V42" s="396">
        <f t="shared" si="10"/>
        <v>0</v>
      </c>
      <c r="W42" s="53"/>
      <c r="X42" s="408">
        <f>IFERROR(VLOOKUP($C42,'Proposed Rates'!$B:$J,X$11,FALSE),0)</f>
        <v>5.9999999999999995E-4</v>
      </c>
      <c r="Y42" s="502">
        <f t="shared" si="56"/>
        <v>15497.999999999998</v>
      </c>
      <c r="Z42" s="394">
        <f t="shared" si="57"/>
        <v>9.2987999999999982</v>
      </c>
      <c r="AA42" s="138"/>
      <c r="AB42" s="395">
        <f t="shared" si="13"/>
        <v>0</v>
      </c>
      <c r="AC42" s="396">
        <f t="shared" si="14"/>
        <v>0</v>
      </c>
      <c r="AD42" s="53"/>
      <c r="AE42" s="408">
        <f>IFERROR(VLOOKUP($C42,'Proposed Rates'!$B:$J,AE$11,FALSE),0)</f>
        <v>5.9999999999999995E-4</v>
      </c>
      <c r="AF42" s="502">
        <f t="shared" si="58"/>
        <v>15497.999999999998</v>
      </c>
      <c r="AG42" s="394">
        <f t="shared" si="59"/>
        <v>9.2987999999999982</v>
      </c>
      <c r="AH42" s="138"/>
      <c r="AI42" s="395">
        <f t="shared" si="17"/>
        <v>0</v>
      </c>
      <c r="AJ42" s="396">
        <f t="shared" si="18"/>
        <v>0</v>
      </c>
      <c r="AK42" s="53"/>
      <c r="AL42" s="408">
        <f>IFERROR(VLOOKUP($C42,'Proposed Rates'!$B:$J,AL$11,FALSE),0)</f>
        <v>5.9999999999999995E-4</v>
      </c>
      <c r="AM42" s="502">
        <f t="shared" si="60"/>
        <v>15497.999999999998</v>
      </c>
      <c r="AN42" s="394">
        <f t="shared" si="61"/>
        <v>9.2987999999999982</v>
      </c>
      <c r="AO42" s="138"/>
      <c r="AP42" s="395">
        <f t="shared" si="21"/>
        <v>0</v>
      </c>
      <c r="AQ42" s="396">
        <f t="shared" si="22"/>
        <v>0</v>
      </c>
      <c r="AR42" s="397"/>
    </row>
    <row r="43" spans="1:44" ht="12" customHeight="1">
      <c r="A43" s="53"/>
      <c r="B43" s="328" t="s">
        <v>291</v>
      </c>
      <c r="C43" s="389" t="str">
        <f t="shared" si="49"/>
        <v>General Service &lt; 50 kW.Standard Supply Service Charge</v>
      </c>
      <c r="D43" s="390" t="s">
        <v>335</v>
      </c>
      <c r="E43" s="328"/>
      <c r="F43" s="391">
        <f>IFERROR(VLOOKUP($C43,'Proposed Rates'!$B:$J,F$11,FALSE),0)</f>
        <v>0.25</v>
      </c>
      <c r="G43" s="392">
        <f>IF($D43="Monthly",1,IF($D43="per KWH",$F$10,0))</f>
        <v>1</v>
      </c>
      <c r="H43" s="394">
        <f t="shared" si="51"/>
        <v>0.25</v>
      </c>
      <c r="I43" s="138"/>
      <c r="J43" s="391">
        <f>IFERROR(VLOOKUP($C43,'Proposed Rates'!$B:$J,J$11,FALSE),0)</f>
        <v>0.25</v>
      </c>
      <c r="K43" s="392">
        <f>IF($D43="Monthly",1,IF($D43="per KWH",$F$10,0))</f>
        <v>1</v>
      </c>
      <c r="L43" s="394">
        <f t="shared" si="53"/>
        <v>0.25</v>
      </c>
      <c r="M43" s="138"/>
      <c r="N43" s="395">
        <f t="shared" si="5"/>
        <v>0</v>
      </c>
      <c r="O43" s="396">
        <f t="shared" si="6"/>
        <v>0</v>
      </c>
      <c r="P43" s="53"/>
      <c r="Q43" s="391">
        <f>IFERROR(VLOOKUP($C43,'Proposed Rates'!$B:$J,Q$11,FALSE),0)</f>
        <v>0.25</v>
      </c>
      <c r="R43" s="392">
        <f>IF($D43="Monthly",1,IF($D43="per KWH",$F$10,0))</f>
        <v>1</v>
      </c>
      <c r="S43" s="394">
        <f t="shared" si="55"/>
        <v>0.25</v>
      </c>
      <c r="T43" s="138"/>
      <c r="U43" s="395">
        <f t="shared" si="9"/>
        <v>0</v>
      </c>
      <c r="V43" s="396">
        <f t="shared" si="10"/>
        <v>0</v>
      </c>
      <c r="W43" s="53"/>
      <c r="X43" s="391">
        <f>IFERROR(VLOOKUP($C43,'Proposed Rates'!$B:$J,X$11,FALSE),0)</f>
        <v>0.25</v>
      </c>
      <c r="Y43" s="392">
        <f>IF($D43="Monthly",1,IF($D43="per KWH",$F$10,0))</f>
        <v>1</v>
      </c>
      <c r="Z43" s="394">
        <f t="shared" si="57"/>
        <v>0.25</v>
      </c>
      <c r="AA43" s="138"/>
      <c r="AB43" s="395">
        <f t="shared" si="13"/>
        <v>0</v>
      </c>
      <c r="AC43" s="396">
        <f t="shared" si="14"/>
        <v>0</v>
      </c>
      <c r="AD43" s="53"/>
      <c r="AE43" s="391">
        <f>IFERROR(VLOOKUP($C43,'Proposed Rates'!$B:$J,AE$11,FALSE),0)</f>
        <v>0.25</v>
      </c>
      <c r="AF43" s="392">
        <f>IF($D43="Monthly",1,IF($D43="per KWH",$F$10,0))</f>
        <v>1</v>
      </c>
      <c r="AG43" s="394">
        <f t="shared" si="59"/>
        <v>0.25</v>
      </c>
      <c r="AH43" s="138"/>
      <c r="AI43" s="395">
        <f t="shared" si="17"/>
        <v>0</v>
      </c>
      <c r="AJ43" s="396">
        <f t="shared" si="18"/>
        <v>0</v>
      </c>
      <c r="AK43" s="53"/>
      <c r="AL43" s="391">
        <f>IFERROR(VLOOKUP($C43,'Proposed Rates'!$B:$J,AL$11,FALSE),0)</f>
        <v>0.25</v>
      </c>
      <c r="AM43" s="392">
        <f>IF($D43="Monthly",1,IF($D43="per KWH",$F$10,0))</f>
        <v>1</v>
      </c>
      <c r="AN43" s="394">
        <f t="shared" si="61"/>
        <v>0.25</v>
      </c>
      <c r="AO43" s="138"/>
      <c r="AP43" s="395">
        <f t="shared" si="21"/>
        <v>0</v>
      </c>
      <c r="AQ43" s="396">
        <f t="shared" si="22"/>
        <v>0</v>
      </c>
      <c r="AR43" s="397"/>
    </row>
    <row r="44" spans="1:44" ht="12" customHeight="1">
      <c r="A44" s="53"/>
      <c r="B44" s="328" t="s">
        <v>293</v>
      </c>
      <c r="C44" s="389" t="str">
        <f t="shared" si="49"/>
        <v>General Service &lt; 50 kW.TOU - Off Peak</v>
      </c>
      <c r="D44" s="390" t="s">
        <v>337</v>
      </c>
      <c r="E44" s="328"/>
      <c r="F44" s="424">
        <f>VLOOKUP($B44,'Proposed Rates'!$D$255:$J$261,+F$11-2,FALSE)</f>
        <v>9.8000000000000004E-2</v>
      </c>
      <c r="G44" s="502">
        <f>'Proposed Rates'!$K$256*$F$10</f>
        <v>9600</v>
      </c>
      <c r="H44" s="394">
        <f t="shared" si="51"/>
        <v>940.80000000000007</v>
      </c>
      <c r="I44" s="138"/>
      <c r="J44" s="424">
        <f>VLOOKUP($B44,'Proposed Rates'!$D$255:$J$261,+J$11-2,FALSE)</f>
        <v>9.8000000000000004E-2</v>
      </c>
      <c r="K44" s="502">
        <f>'Proposed Rates'!$K$256*$F$10</f>
        <v>9600</v>
      </c>
      <c r="L44" s="394">
        <f t="shared" si="53"/>
        <v>940.80000000000007</v>
      </c>
      <c r="M44" s="138"/>
      <c r="N44" s="395">
        <f t="shared" si="5"/>
        <v>0</v>
      </c>
      <c r="O44" s="396">
        <f t="shared" si="6"/>
        <v>0</v>
      </c>
      <c r="P44" s="53"/>
      <c r="Q44" s="424">
        <f>VLOOKUP($B44,'Proposed Rates'!$D$255:$J$261,+Q$11-2,FALSE)</f>
        <v>9.8000000000000004E-2</v>
      </c>
      <c r="R44" s="502">
        <f>'Proposed Rates'!$K$256*$F$10</f>
        <v>9600</v>
      </c>
      <c r="S44" s="394">
        <f t="shared" si="55"/>
        <v>940.80000000000007</v>
      </c>
      <c r="T44" s="138"/>
      <c r="U44" s="395">
        <f t="shared" si="9"/>
        <v>0</v>
      </c>
      <c r="V44" s="396">
        <f t="shared" si="10"/>
        <v>0</v>
      </c>
      <c r="W44" s="53"/>
      <c r="X44" s="424">
        <f>VLOOKUP($B44,'Proposed Rates'!$D$255:$J$261,+X$11-2,FALSE)</f>
        <v>9.8000000000000004E-2</v>
      </c>
      <c r="Y44" s="502">
        <f>'Proposed Rates'!$K$256*$F$10</f>
        <v>9600</v>
      </c>
      <c r="Z44" s="394">
        <f t="shared" si="57"/>
        <v>940.80000000000007</v>
      </c>
      <c r="AA44" s="138"/>
      <c r="AB44" s="395">
        <f t="shared" si="13"/>
        <v>0</v>
      </c>
      <c r="AC44" s="396">
        <f t="shared" si="14"/>
        <v>0</v>
      </c>
      <c r="AD44" s="53"/>
      <c r="AE44" s="424">
        <f>VLOOKUP($B44,'Proposed Rates'!$D$255:$J$261,+AE$11-2,FALSE)</f>
        <v>9.8000000000000004E-2</v>
      </c>
      <c r="AF44" s="502">
        <f>'Proposed Rates'!$K$256*$F$10</f>
        <v>9600</v>
      </c>
      <c r="AG44" s="394">
        <f t="shared" si="59"/>
        <v>940.80000000000007</v>
      </c>
      <c r="AH44" s="138"/>
      <c r="AI44" s="395">
        <f t="shared" si="17"/>
        <v>0</v>
      </c>
      <c r="AJ44" s="396">
        <f t="shared" si="18"/>
        <v>0</v>
      </c>
      <c r="AK44" s="53"/>
      <c r="AL44" s="424">
        <f>VLOOKUP($B44,'Proposed Rates'!$D$255:$J$261,+AL$11-2,FALSE)</f>
        <v>9.8000000000000004E-2</v>
      </c>
      <c r="AM44" s="502">
        <f>'Proposed Rates'!$K$256*$F$10</f>
        <v>9600</v>
      </c>
      <c r="AN44" s="394">
        <f t="shared" si="61"/>
        <v>940.80000000000007</v>
      </c>
      <c r="AO44" s="138"/>
      <c r="AP44" s="395">
        <f t="shared" si="21"/>
        <v>0</v>
      </c>
      <c r="AQ44" s="396">
        <f t="shared" si="22"/>
        <v>0</v>
      </c>
      <c r="AR44" s="397"/>
    </row>
    <row r="45" spans="1:44" ht="12" customHeight="1">
      <c r="A45" s="53"/>
      <c r="B45" s="328" t="s">
        <v>294</v>
      </c>
      <c r="C45" s="389" t="str">
        <f t="shared" si="49"/>
        <v>General Service &lt; 50 kW.TOU - Mid Peak</v>
      </c>
      <c r="D45" s="390" t="s">
        <v>337</v>
      </c>
      <c r="E45" s="328"/>
      <c r="F45" s="424">
        <f>VLOOKUP($B45,'Proposed Rates'!$D$255:$J$261,+F$11-2,FALSE)</f>
        <v>0.157</v>
      </c>
      <c r="G45" s="502">
        <f>'Proposed Rates'!$K$257*$F$10</f>
        <v>2700</v>
      </c>
      <c r="H45" s="394">
        <f t="shared" si="51"/>
        <v>423.9</v>
      </c>
      <c r="I45" s="138"/>
      <c r="J45" s="424">
        <f>VLOOKUP($B45,'Proposed Rates'!$D$255:$J$261,+J$11-2,FALSE)</f>
        <v>0.157</v>
      </c>
      <c r="K45" s="502">
        <f>'Proposed Rates'!$K$257*$F$10</f>
        <v>2700</v>
      </c>
      <c r="L45" s="394">
        <f t="shared" si="53"/>
        <v>423.9</v>
      </c>
      <c r="M45" s="138"/>
      <c r="N45" s="395">
        <f t="shared" si="5"/>
        <v>0</v>
      </c>
      <c r="O45" s="396">
        <f t="shared" si="6"/>
        <v>0</v>
      </c>
      <c r="P45" s="53"/>
      <c r="Q45" s="424">
        <f>VLOOKUP($B45,'Proposed Rates'!$D$255:$J$261,+Q$11-2,FALSE)</f>
        <v>0.157</v>
      </c>
      <c r="R45" s="502">
        <f>'Proposed Rates'!$K$257*$F$10</f>
        <v>2700</v>
      </c>
      <c r="S45" s="394">
        <f t="shared" si="55"/>
        <v>423.9</v>
      </c>
      <c r="T45" s="138"/>
      <c r="U45" s="395">
        <f t="shared" si="9"/>
        <v>0</v>
      </c>
      <c r="V45" s="396">
        <f t="shared" si="10"/>
        <v>0</v>
      </c>
      <c r="W45" s="53"/>
      <c r="X45" s="424">
        <f>VLOOKUP($B45,'Proposed Rates'!$D$255:$J$261,+X$11-2,FALSE)</f>
        <v>0.157</v>
      </c>
      <c r="Y45" s="502">
        <f>'Proposed Rates'!$K$257*$F$10</f>
        <v>2700</v>
      </c>
      <c r="Z45" s="394">
        <f t="shared" si="57"/>
        <v>423.9</v>
      </c>
      <c r="AA45" s="138"/>
      <c r="AB45" s="395">
        <f t="shared" si="13"/>
        <v>0</v>
      </c>
      <c r="AC45" s="396">
        <f t="shared" si="14"/>
        <v>0</v>
      </c>
      <c r="AD45" s="53"/>
      <c r="AE45" s="424">
        <f>VLOOKUP($B45,'Proposed Rates'!$D$255:$J$261,+AE$11-2,FALSE)</f>
        <v>0.157</v>
      </c>
      <c r="AF45" s="502">
        <f>'Proposed Rates'!$K$257*$F$10</f>
        <v>2700</v>
      </c>
      <c r="AG45" s="394">
        <f t="shared" si="59"/>
        <v>423.9</v>
      </c>
      <c r="AH45" s="138"/>
      <c r="AI45" s="395">
        <f t="shared" si="17"/>
        <v>0</v>
      </c>
      <c r="AJ45" s="396">
        <f t="shared" si="18"/>
        <v>0</v>
      </c>
      <c r="AK45" s="53"/>
      <c r="AL45" s="424">
        <f>VLOOKUP($B45,'Proposed Rates'!$D$255:$J$261,+AL$11-2,FALSE)</f>
        <v>0.157</v>
      </c>
      <c r="AM45" s="502">
        <f>'Proposed Rates'!$K$257*$F$10</f>
        <v>2700</v>
      </c>
      <c r="AN45" s="394">
        <f t="shared" si="61"/>
        <v>423.9</v>
      </c>
      <c r="AO45" s="138"/>
      <c r="AP45" s="395">
        <f t="shared" si="21"/>
        <v>0</v>
      </c>
      <c r="AQ45" s="396">
        <f t="shared" si="22"/>
        <v>0</v>
      </c>
      <c r="AR45" s="397"/>
    </row>
    <row r="46" spans="1:44" ht="12" customHeight="1">
      <c r="A46" s="53"/>
      <c r="B46" s="53" t="s">
        <v>295</v>
      </c>
      <c r="C46" s="389" t="str">
        <f t="shared" si="49"/>
        <v>General Service &lt; 50 kW.TOU - On Peak</v>
      </c>
      <c r="D46" s="390" t="s">
        <v>337</v>
      </c>
      <c r="E46" s="328"/>
      <c r="F46" s="424">
        <f>VLOOKUP($B46,'Proposed Rates'!$D$255:$J$261,+F$11-2,FALSE)</f>
        <v>0.20300000000000001</v>
      </c>
      <c r="G46" s="502">
        <f>'Proposed Rates'!$K$258*$F$10</f>
        <v>2700</v>
      </c>
      <c r="H46" s="394">
        <f t="shared" si="51"/>
        <v>548.1</v>
      </c>
      <c r="I46" s="138"/>
      <c r="J46" s="424">
        <f>VLOOKUP($B46,'Proposed Rates'!$D$255:$J$261,+J$11-2,FALSE)</f>
        <v>0.20300000000000001</v>
      </c>
      <c r="K46" s="502">
        <f>'Proposed Rates'!$K$258*$F$10</f>
        <v>2700</v>
      </c>
      <c r="L46" s="394">
        <f t="shared" si="53"/>
        <v>548.1</v>
      </c>
      <c r="M46" s="138"/>
      <c r="N46" s="395">
        <f t="shared" si="5"/>
        <v>0</v>
      </c>
      <c r="O46" s="396">
        <f t="shared" si="6"/>
        <v>0</v>
      </c>
      <c r="P46" s="53"/>
      <c r="Q46" s="424">
        <f>VLOOKUP($B46,'Proposed Rates'!$D$255:$J$261,+Q$11-2,FALSE)</f>
        <v>0.20300000000000001</v>
      </c>
      <c r="R46" s="502">
        <f>'Proposed Rates'!$K$258*$F$10</f>
        <v>2700</v>
      </c>
      <c r="S46" s="394">
        <f t="shared" si="55"/>
        <v>548.1</v>
      </c>
      <c r="T46" s="138"/>
      <c r="U46" s="395">
        <f t="shared" si="9"/>
        <v>0</v>
      </c>
      <c r="V46" s="396">
        <f t="shared" si="10"/>
        <v>0</v>
      </c>
      <c r="W46" s="53"/>
      <c r="X46" s="424">
        <f>VLOOKUP($B46,'Proposed Rates'!$D$255:$J$261,+X$11-2,FALSE)</f>
        <v>0.20300000000000001</v>
      </c>
      <c r="Y46" s="502">
        <f>'Proposed Rates'!$K$258*$F$10</f>
        <v>2700</v>
      </c>
      <c r="Z46" s="394">
        <f t="shared" si="57"/>
        <v>548.1</v>
      </c>
      <c r="AA46" s="138"/>
      <c r="AB46" s="395">
        <f t="shared" si="13"/>
        <v>0</v>
      </c>
      <c r="AC46" s="396">
        <f t="shared" si="14"/>
        <v>0</v>
      </c>
      <c r="AD46" s="53"/>
      <c r="AE46" s="424">
        <f>VLOOKUP($B46,'Proposed Rates'!$D$255:$J$261,+AE$11-2,FALSE)</f>
        <v>0.20300000000000001</v>
      </c>
      <c r="AF46" s="502">
        <f>'Proposed Rates'!$K$258*$F$10</f>
        <v>2700</v>
      </c>
      <c r="AG46" s="394">
        <f t="shared" si="59"/>
        <v>548.1</v>
      </c>
      <c r="AH46" s="138"/>
      <c r="AI46" s="395">
        <f t="shared" si="17"/>
        <v>0</v>
      </c>
      <c r="AJ46" s="396">
        <f t="shared" si="18"/>
        <v>0</v>
      </c>
      <c r="AK46" s="53"/>
      <c r="AL46" s="424">
        <f>VLOOKUP($B46,'Proposed Rates'!$D$255:$J$261,+AL$11-2,FALSE)</f>
        <v>0.20300000000000001</v>
      </c>
      <c r="AM46" s="502">
        <f>'Proposed Rates'!$K$258*$F$10</f>
        <v>2700</v>
      </c>
      <c r="AN46" s="394">
        <f t="shared" si="61"/>
        <v>548.1</v>
      </c>
      <c r="AO46" s="138"/>
      <c r="AP46" s="395">
        <f t="shared" si="21"/>
        <v>0</v>
      </c>
      <c r="AQ46" s="396">
        <f t="shared" si="22"/>
        <v>0</v>
      </c>
      <c r="AR46" s="397"/>
    </row>
    <row r="47" spans="1:44" ht="12" customHeight="1">
      <c r="A47" s="53"/>
      <c r="B47" s="328" t="s">
        <v>296</v>
      </c>
      <c r="C47" s="389" t="str">
        <f t="shared" si="49"/>
        <v>General Service &lt; 50 kW.Energy - RPP - Tier 1</v>
      </c>
      <c r="D47" s="390" t="s">
        <v>337</v>
      </c>
      <c r="E47" s="328"/>
      <c r="F47" s="424">
        <f>VLOOKUP($B47,'Proposed Rates'!$D$255:$J$261,+F$11-2,FALSE)</f>
        <v>0.12</v>
      </c>
      <c r="G47" s="502">
        <f>IF(AND($S$2=1, $F$10&gt;=750), 750, IF(AND($S$2=1, AND($F$10&lt;750, $F$10&gt;=0)), $F$10, IF(AND($S$2=2, $F$10&gt;=1000), 1000, IF(AND($S$2=2, AND($F$10&lt;1000, $F$10&gt;=0)), $F$10))))</f>
        <v>750</v>
      </c>
      <c r="H47" s="394">
        <f t="shared" si="51"/>
        <v>90</v>
      </c>
      <c r="I47" s="138"/>
      <c r="J47" s="424">
        <f>VLOOKUP($B47,'Proposed Rates'!$D$255:$J$261,+J$11-2,FALSE)</f>
        <v>0.12</v>
      </c>
      <c r="K47" s="502">
        <f>IF(AND($S$2=1, $F$10&gt;=750), 750, IF(AND($S$2=1, AND($F$10&lt;750, $F$10&gt;=0)), $F$10, IF(AND($S$2=2, $F$10&gt;=1000), 1000, IF(AND($S$2=2, AND($F$10&lt;1000, $F$10&gt;=0)), $F$10))))</f>
        <v>750</v>
      </c>
      <c r="L47" s="394">
        <f t="shared" si="53"/>
        <v>90</v>
      </c>
      <c r="M47" s="138"/>
      <c r="N47" s="395">
        <f t="shared" si="5"/>
        <v>0</v>
      </c>
      <c r="O47" s="396">
        <f t="shared" si="6"/>
        <v>0</v>
      </c>
      <c r="P47" s="53"/>
      <c r="Q47" s="424">
        <f>VLOOKUP($B47,'Proposed Rates'!$D$255:$J$261,+Q$11-2,FALSE)</f>
        <v>0.12</v>
      </c>
      <c r="R47" s="502">
        <f>IF(AND($S$2=1, $F$10&gt;=750), 750, IF(AND($S$2=1, AND($F$10&lt;750, $F$10&gt;=0)), $F$10, IF(AND($S$2=2, $F$10&gt;=1000), 1000, IF(AND($S$2=2, AND($F$10&lt;1000, $F$10&gt;=0)), $F$10))))</f>
        <v>750</v>
      </c>
      <c r="S47" s="394">
        <f t="shared" si="55"/>
        <v>90</v>
      </c>
      <c r="T47" s="138"/>
      <c r="U47" s="395">
        <f t="shared" si="9"/>
        <v>0</v>
      </c>
      <c r="V47" s="396">
        <f t="shared" si="10"/>
        <v>0</v>
      </c>
      <c r="W47" s="53"/>
      <c r="X47" s="424">
        <f>VLOOKUP($B47,'Proposed Rates'!$D$255:$J$261,+X$11-2,FALSE)</f>
        <v>0.12</v>
      </c>
      <c r="Y47" s="502">
        <f>IF(AND($S$2=1, $F$10&gt;=750), 750, IF(AND($S$2=1, AND($F$10&lt;750, $F$10&gt;=0)), $F$10, IF(AND($S$2=2, $F$10&gt;=1000), 1000, IF(AND($S$2=2, AND($F$10&lt;1000, $F$10&gt;=0)), $F$10))))</f>
        <v>750</v>
      </c>
      <c r="Z47" s="394">
        <f t="shared" si="57"/>
        <v>90</v>
      </c>
      <c r="AA47" s="138"/>
      <c r="AB47" s="395">
        <f t="shared" si="13"/>
        <v>0</v>
      </c>
      <c r="AC47" s="396">
        <f t="shared" si="14"/>
        <v>0</v>
      </c>
      <c r="AD47" s="53"/>
      <c r="AE47" s="424">
        <f>VLOOKUP($B47,'Proposed Rates'!$D$255:$J$261,+AE$11-2,FALSE)</f>
        <v>0.12</v>
      </c>
      <c r="AF47" s="502">
        <f>IF(AND($S$2=1, $F$10&gt;=750), 750, IF(AND($S$2=1, AND($F$10&lt;750, $F$10&gt;=0)), $F$10, IF(AND($S$2=2, $F$10&gt;=1000), 1000, IF(AND($S$2=2, AND($F$10&lt;1000, $F$10&gt;=0)), $F$10))))</f>
        <v>750</v>
      </c>
      <c r="AG47" s="394">
        <f t="shared" si="59"/>
        <v>90</v>
      </c>
      <c r="AH47" s="138"/>
      <c r="AI47" s="395">
        <f t="shared" si="17"/>
        <v>0</v>
      </c>
      <c r="AJ47" s="396">
        <f t="shared" si="18"/>
        <v>0</v>
      </c>
      <c r="AK47" s="53"/>
      <c r="AL47" s="424">
        <f>VLOOKUP($B47,'Proposed Rates'!$D$255:$J$261,+AL$11-2,FALSE)</f>
        <v>0.12</v>
      </c>
      <c r="AM47" s="502">
        <f>IF(AND($S$2=1, $F$10&gt;=750), 750, IF(AND($S$2=1, AND($F$10&lt;750, $F$10&gt;=0)), $F$10, IF(AND($S$2=2, $F$10&gt;=1000), 1000, IF(AND($S$2=2, AND($F$10&lt;1000, $F$10&gt;=0)), $F$10))))</f>
        <v>750</v>
      </c>
      <c r="AN47" s="394">
        <f t="shared" si="61"/>
        <v>90</v>
      </c>
      <c r="AO47" s="138"/>
      <c r="AP47" s="395">
        <f t="shared" si="21"/>
        <v>0</v>
      </c>
      <c r="AQ47" s="396">
        <f t="shared" si="22"/>
        <v>0</v>
      </c>
      <c r="AR47" s="397"/>
    </row>
    <row r="48" spans="1:44" ht="12" customHeight="1">
      <c r="A48" s="53"/>
      <c r="B48" s="328" t="s">
        <v>297</v>
      </c>
      <c r="C48" s="389" t="str">
        <f t="shared" si="49"/>
        <v>General Service &lt; 50 kW.Energy - RPP - Tier 2</v>
      </c>
      <c r="D48" s="390" t="s">
        <v>337</v>
      </c>
      <c r="E48" s="328"/>
      <c r="F48" s="424">
        <f>VLOOKUP($B48,'Proposed Rates'!$D$255:$J$261,+F$11-2,FALSE)</f>
        <v>0.14199999999999999</v>
      </c>
      <c r="G48" s="502">
        <f>IF(AND($S$2=1, $F$10&gt;=750), $F$10-750, IF(AND($S$2=1, AND($F$10&lt;750, $F$10&gt;=0)), 0, IF(AND($S$2=2, $F$10&gt;=1000), $F$10-1000, IF(AND($S$2=2, AND($F$10&lt;1000, $F$10&gt;=0)), 0))))</f>
        <v>14250</v>
      </c>
      <c r="H48" s="394">
        <f t="shared" si="51"/>
        <v>2023.4999999999998</v>
      </c>
      <c r="I48" s="138"/>
      <c r="J48" s="424">
        <f>VLOOKUP($B48,'Proposed Rates'!$D$255:$J$261,+J$11-2,FALSE)</f>
        <v>0.14199999999999999</v>
      </c>
      <c r="K48" s="502">
        <f>IF(AND($S$2=1, $F$10&gt;=750), $F$10-750, IF(AND($S$2=1, AND($F$10&lt;750, $F$10&gt;=0)), 0, IF(AND($S$2=2, $F$10&gt;=1000), $F$10-1000, IF(AND($S$2=2, AND($F$10&lt;1000, $F$10&gt;=0)), 0))))</f>
        <v>14250</v>
      </c>
      <c r="L48" s="394">
        <f t="shared" si="53"/>
        <v>2023.4999999999998</v>
      </c>
      <c r="M48" s="138"/>
      <c r="N48" s="395">
        <f t="shared" si="5"/>
        <v>0</v>
      </c>
      <c r="O48" s="396">
        <f t="shared" si="6"/>
        <v>0</v>
      </c>
      <c r="P48" s="53"/>
      <c r="Q48" s="424">
        <f>VLOOKUP($B48,'Proposed Rates'!$D$255:$J$261,+Q$11-2,FALSE)</f>
        <v>0.14199999999999999</v>
      </c>
      <c r="R48" s="502">
        <f>IF(AND($S$2=1, $F$10&gt;=750), $F$10-750, IF(AND($S$2=1, AND($F$10&lt;750, $F$10&gt;=0)), 0, IF(AND($S$2=2, $F$10&gt;=1000), $F$10-1000, IF(AND($S$2=2, AND($F$10&lt;1000, $F$10&gt;=0)), 0))))</f>
        <v>14250</v>
      </c>
      <c r="S48" s="394">
        <f t="shared" si="55"/>
        <v>2023.4999999999998</v>
      </c>
      <c r="T48" s="138"/>
      <c r="U48" s="395">
        <f t="shared" si="9"/>
        <v>0</v>
      </c>
      <c r="V48" s="396">
        <f t="shared" si="10"/>
        <v>0</v>
      </c>
      <c r="W48" s="53"/>
      <c r="X48" s="424">
        <f>VLOOKUP($B48,'Proposed Rates'!$D$255:$J$261,+X$11-2,FALSE)</f>
        <v>0.14199999999999999</v>
      </c>
      <c r="Y48" s="502">
        <f>IF(AND($S$2=1, $F$10&gt;=750), $F$10-750, IF(AND($S$2=1, AND($F$10&lt;750, $F$10&gt;=0)), 0, IF(AND($S$2=2, $F$10&gt;=1000), $F$10-1000, IF(AND($S$2=2, AND($F$10&lt;1000, $F$10&gt;=0)), 0))))</f>
        <v>14250</v>
      </c>
      <c r="Z48" s="394">
        <f t="shared" si="57"/>
        <v>2023.4999999999998</v>
      </c>
      <c r="AA48" s="138"/>
      <c r="AB48" s="395">
        <f t="shared" si="13"/>
        <v>0</v>
      </c>
      <c r="AC48" s="396">
        <f t="shared" si="14"/>
        <v>0</v>
      </c>
      <c r="AD48" s="53"/>
      <c r="AE48" s="424">
        <f>VLOOKUP($B48,'Proposed Rates'!$D$255:$J$261,+AE$11-2,FALSE)</f>
        <v>0.14199999999999999</v>
      </c>
      <c r="AF48" s="502">
        <f>IF(AND($S$2=1, $F$10&gt;=750), $F$10-750, IF(AND($S$2=1, AND($F$10&lt;750, $F$10&gt;=0)), 0, IF(AND($S$2=2, $F$10&gt;=1000), $F$10-1000, IF(AND($S$2=2, AND($F$10&lt;1000, $F$10&gt;=0)), 0))))</f>
        <v>14250</v>
      </c>
      <c r="AG48" s="394">
        <f t="shared" si="59"/>
        <v>2023.4999999999998</v>
      </c>
      <c r="AH48" s="138"/>
      <c r="AI48" s="395">
        <f t="shared" si="17"/>
        <v>0</v>
      </c>
      <c r="AJ48" s="396">
        <f t="shared" si="18"/>
        <v>0</v>
      </c>
      <c r="AK48" s="53"/>
      <c r="AL48" s="424">
        <f>VLOOKUP($B48,'Proposed Rates'!$D$255:$J$261,+AL$11-2,FALSE)</f>
        <v>0.14199999999999999</v>
      </c>
      <c r="AM48" s="502">
        <f>IF(AND($S$2=1, $F$10&gt;=750), $F$10-750, IF(AND($S$2=1, AND($F$10&lt;750, $F$10&gt;=0)), 0, IF(AND($S$2=2, $F$10&gt;=1000), $F$10-1000, IF(AND($S$2=2, AND($F$10&lt;1000, $F$10&gt;=0)), 0))))</f>
        <v>14250</v>
      </c>
      <c r="AN48" s="394">
        <f t="shared" si="61"/>
        <v>2023.4999999999998</v>
      </c>
      <c r="AO48" s="138"/>
      <c r="AP48" s="395">
        <f t="shared" si="21"/>
        <v>0</v>
      </c>
      <c r="AQ48" s="396">
        <f t="shared" si="22"/>
        <v>0</v>
      </c>
      <c r="AR48" s="397"/>
    </row>
    <row r="49" spans="1:44" ht="12" customHeight="1">
      <c r="A49" s="53"/>
      <c r="B49" s="428"/>
      <c r="C49" s="429"/>
      <c r="D49" s="429"/>
      <c r="E49" s="429"/>
      <c r="F49" s="430"/>
      <c r="G49" s="431"/>
      <c r="H49" s="432"/>
      <c r="I49" s="434"/>
      <c r="J49" s="430"/>
      <c r="K49" s="431"/>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53"/>
      <c r="AL49" s="430"/>
      <c r="AM49" s="431"/>
      <c r="AN49" s="432"/>
      <c r="AO49" s="434"/>
      <c r="AP49" s="435"/>
      <c r="AQ49" s="436"/>
      <c r="AR49" s="437"/>
    </row>
    <row r="50" spans="1:44" ht="12" customHeight="1">
      <c r="A50" s="53"/>
      <c r="B50" s="438" t="s">
        <v>344</v>
      </c>
      <c r="C50" s="328"/>
      <c r="D50" s="328"/>
      <c r="E50" s="328"/>
      <c r="F50" s="439"/>
      <c r="G50" s="483"/>
      <c r="H50" s="441">
        <f>SUM(H41:H46,H40)</f>
        <v>2858.0015899999999</v>
      </c>
      <c r="I50" s="476"/>
      <c r="J50" s="439"/>
      <c r="K50" s="440"/>
      <c r="L50" s="442">
        <f>SUM(L41:L46,L40)</f>
        <v>2863.5606399999997</v>
      </c>
      <c r="M50" s="443"/>
      <c r="N50" s="442">
        <f t="shared" ref="N50:N54" si="62">L50-H50</f>
        <v>5.5590499999998428</v>
      </c>
      <c r="O50" s="444">
        <f t="shared" ref="O50:O54" si="63">IF((H50)=0,"",(N50/H50))</f>
        <v>1.9450828926935073E-3</v>
      </c>
      <c r="P50" s="53"/>
      <c r="Q50" s="439"/>
      <c r="R50" s="440"/>
      <c r="S50" s="442">
        <f>SUM(S41:S46,S40)</f>
        <v>2902.3206399999999</v>
      </c>
      <c r="T50" s="443"/>
      <c r="U50" s="442">
        <f t="shared" ref="U50:U54" si="64">S50-L50</f>
        <v>38.760000000000218</v>
      </c>
      <c r="V50" s="444">
        <f t="shared" ref="V50:V54" si="65">IF((L50)=0,"",(U50/L50))</f>
        <v>1.3535596019367071E-2</v>
      </c>
      <c r="W50" s="53"/>
      <c r="X50" s="439"/>
      <c r="Y50" s="440"/>
      <c r="Z50" s="442">
        <f>SUM(Z41:Z46,Z40)</f>
        <v>2918.2206399999995</v>
      </c>
      <c r="AA50" s="443"/>
      <c r="AB50" s="442">
        <f t="shared" ref="AB50:AB54" si="66">Z50-S50</f>
        <v>15.899999999999636</v>
      </c>
      <c r="AC50" s="444">
        <f t="shared" ref="AC50:AC54" si="67">IF((S50)=0,"",(AB50/S50))</f>
        <v>5.4783747118993843E-3</v>
      </c>
      <c r="AD50" s="53"/>
      <c r="AE50" s="439"/>
      <c r="AF50" s="440"/>
      <c r="AG50" s="442">
        <f>SUM(AG41:AG46,AG40)</f>
        <v>2927.70064</v>
      </c>
      <c r="AH50" s="443"/>
      <c r="AI50" s="442">
        <f t="shared" ref="AI50:AI54" si="68">AG50-Z50</f>
        <v>9.4800000000004729</v>
      </c>
      <c r="AJ50" s="444">
        <f t="shared" ref="AJ50:AJ54" si="69">IF((Z50)=0,"",(AI50/Z50))</f>
        <v>3.2485549139288092E-3</v>
      </c>
      <c r="AK50" s="53"/>
      <c r="AL50" s="439"/>
      <c r="AM50" s="440"/>
      <c r="AN50" s="442">
        <f>SUM(AN41:AN46,AN40)</f>
        <v>2937.1506399999998</v>
      </c>
      <c r="AO50" s="443"/>
      <c r="AP50" s="442">
        <f t="shared" ref="AP50:AP54" si="70">AN50-AG50</f>
        <v>9.4499999999998181</v>
      </c>
      <c r="AQ50" s="444">
        <f t="shared" ref="AQ50:AQ54" si="71">IF((AG50)=0,"",(AP50/AG50))</f>
        <v>3.2277890269545514E-3</v>
      </c>
      <c r="AR50" s="445"/>
    </row>
    <row r="51" spans="1:44" ht="12" customHeight="1">
      <c r="A51" s="53"/>
      <c r="B51" s="446" t="s">
        <v>345</v>
      </c>
      <c r="C51" s="328"/>
      <c r="D51" s="328"/>
      <c r="E51" s="328"/>
      <c r="F51" s="439">
        <v>0.13</v>
      </c>
      <c r="G51" s="138"/>
      <c r="H51" s="484">
        <f>H50*F51</f>
        <v>371.5402067</v>
      </c>
      <c r="I51" s="411"/>
      <c r="J51" s="439">
        <v>0.13</v>
      </c>
      <c r="K51" s="411"/>
      <c r="L51" s="394">
        <f>L50*J51</f>
        <v>372.26288319999998</v>
      </c>
      <c r="M51" s="138"/>
      <c r="N51" s="395">
        <f t="shared" si="62"/>
        <v>0.7226764999999773</v>
      </c>
      <c r="O51" s="396">
        <f t="shared" si="63"/>
        <v>1.945082892693501E-3</v>
      </c>
      <c r="P51" s="53"/>
      <c r="Q51" s="439">
        <v>0.13</v>
      </c>
      <c r="R51" s="411"/>
      <c r="S51" s="394">
        <f>S50*Q51</f>
        <v>377.30168320000001</v>
      </c>
      <c r="T51" s="138"/>
      <c r="U51" s="395">
        <f t="shared" si="64"/>
        <v>5.0388000000000375</v>
      </c>
      <c r="V51" s="396">
        <f t="shared" si="65"/>
        <v>1.3535596019367095E-2</v>
      </c>
      <c r="W51" s="53"/>
      <c r="X51" s="439">
        <v>0.13</v>
      </c>
      <c r="Y51" s="411"/>
      <c r="Z51" s="394">
        <f>Z50*X51</f>
        <v>379.36868319999996</v>
      </c>
      <c r="AA51" s="138"/>
      <c r="AB51" s="395">
        <f t="shared" si="66"/>
        <v>2.0669999999999504</v>
      </c>
      <c r="AC51" s="396">
        <f t="shared" si="67"/>
        <v>5.4783747118993783E-3</v>
      </c>
      <c r="AD51" s="53"/>
      <c r="AE51" s="439">
        <v>0.13</v>
      </c>
      <c r="AF51" s="411"/>
      <c r="AG51" s="394">
        <f>AG50*AE51</f>
        <v>380.60108320000001</v>
      </c>
      <c r="AH51" s="138"/>
      <c r="AI51" s="395">
        <f t="shared" si="68"/>
        <v>1.232400000000041</v>
      </c>
      <c r="AJ51" s="396">
        <f t="shared" si="69"/>
        <v>3.248554913928755E-3</v>
      </c>
      <c r="AK51" s="53"/>
      <c r="AL51" s="439">
        <v>0.13</v>
      </c>
      <c r="AM51" s="411"/>
      <c r="AN51" s="394">
        <f>AN50*AL51</f>
        <v>381.8295832</v>
      </c>
      <c r="AO51" s="138"/>
      <c r="AP51" s="395">
        <f t="shared" si="70"/>
        <v>1.2284999999999968</v>
      </c>
      <c r="AQ51" s="396">
        <f t="shared" si="71"/>
        <v>3.2277890269546052E-3</v>
      </c>
      <c r="AR51" s="397"/>
    </row>
    <row r="52" spans="1:44" ht="12" customHeight="1">
      <c r="A52" s="53"/>
      <c r="B52" s="448" t="s">
        <v>402</v>
      </c>
      <c r="C52" s="328"/>
      <c r="D52" s="328"/>
      <c r="E52" s="328"/>
      <c r="F52" s="449"/>
      <c r="G52" s="138"/>
      <c r="H52" s="484">
        <f>H50+H51</f>
        <v>3229.5417966999998</v>
      </c>
      <c r="I52" s="411"/>
      <c r="J52" s="449"/>
      <c r="K52" s="411"/>
      <c r="L52" s="394">
        <f>L50+L51</f>
        <v>3235.8235231999997</v>
      </c>
      <c r="M52" s="138"/>
      <c r="N52" s="395">
        <f t="shared" si="62"/>
        <v>6.281726499999877</v>
      </c>
      <c r="O52" s="396">
        <f t="shared" si="63"/>
        <v>1.9450828926935242E-3</v>
      </c>
      <c r="P52" s="53"/>
      <c r="Q52" s="449"/>
      <c r="R52" s="411"/>
      <c r="S52" s="394">
        <f>S50+S51</f>
        <v>3279.6223231999998</v>
      </c>
      <c r="T52" s="138"/>
      <c r="U52" s="395">
        <f t="shared" si="64"/>
        <v>43.798800000000028</v>
      </c>
      <c r="V52" s="396">
        <f t="shared" si="65"/>
        <v>1.3535596019367003E-2</v>
      </c>
      <c r="W52" s="53"/>
      <c r="X52" s="449"/>
      <c r="Y52" s="411"/>
      <c r="Z52" s="394">
        <f>Z50+Z51</f>
        <v>3297.5893231999994</v>
      </c>
      <c r="AA52" s="138"/>
      <c r="AB52" s="395">
        <f t="shared" si="66"/>
        <v>17.966999999999643</v>
      </c>
      <c r="AC52" s="396">
        <f t="shared" si="67"/>
        <v>5.4783747118994008E-3</v>
      </c>
      <c r="AD52" s="53"/>
      <c r="AE52" s="449"/>
      <c r="AF52" s="411"/>
      <c r="AG52" s="394">
        <f>AG50+AG51</f>
        <v>3308.3017232000002</v>
      </c>
      <c r="AH52" s="138"/>
      <c r="AI52" s="395">
        <f t="shared" si="68"/>
        <v>10.712400000000798</v>
      </c>
      <c r="AJ52" s="396">
        <f t="shared" si="69"/>
        <v>3.2485549139288895E-3</v>
      </c>
      <c r="AK52" s="53"/>
      <c r="AL52" s="449"/>
      <c r="AM52" s="411"/>
      <c r="AN52" s="394">
        <f>AN50+AN51</f>
        <v>3318.9802231999997</v>
      </c>
      <c r="AO52" s="138"/>
      <c r="AP52" s="395">
        <f t="shared" si="70"/>
        <v>10.678499999999531</v>
      </c>
      <c r="AQ52" s="396">
        <f t="shared" si="71"/>
        <v>3.2277890269544716E-3</v>
      </c>
      <c r="AR52" s="397"/>
    </row>
    <row r="53" spans="1:44" ht="12" customHeight="1">
      <c r="A53" s="53"/>
      <c r="B53" s="626" t="s">
        <v>304</v>
      </c>
      <c r="C53" s="616"/>
      <c r="D53" s="616"/>
      <c r="E53" s="328"/>
      <c r="F53" s="450">
        <f>'Proposed Rates'!E294</f>
        <v>0.23499999999999999</v>
      </c>
      <c r="G53" s="138"/>
      <c r="H53" s="486">
        <f>F53*H50</f>
        <v>671.63037364999991</v>
      </c>
      <c r="I53" s="411"/>
      <c r="J53" s="450">
        <f>'Proposed Rates'!I294</f>
        <v>0.23499999999999999</v>
      </c>
      <c r="K53" s="411"/>
      <c r="L53" s="451">
        <f>J53*L50</f>
        <v>672.93675039999994</v>
      </c>
      <c r="M53" s="138"/>
      <c r="N53" s="451">
        <f t="shared" si="62"/>
        <v>1.3063767500000267</v>
      </c>
      <c r="O53" s="453">
        <f t="shared" si="63"/>
        <v>1.9450828926936023E-3</v>
      </c>
      <c r="P53" s="53"/>
      <c r="Q53" s="450">
        <f>J53</f>
        <v>0.23499999999999999</v>
      </c>
      <c r="R53" s="411"/>
      <c r="S53" s="451">
        <f>Q53*S50</f>
        <v>682.04535039999996</v>
      </c>
      <c r="T53" s="138"/>
      <c r="U53" s="451">
        <f t="shared" si="64"/>
        <v>9.108600000000024</v>
      </c>
      <c r="V53" s="453">
        <f t="shared" si="65"/>
        <v>1.3535596019367031E-2</v>
      </c>
      <c r="W53" s="53"/>
      <c r="X53" s="450">
        <f>Q53</f>
        <v>0.23499999999999999</v>
      </c>
      <c r="Y53" s="411"/>
      <c r="Z53" s="451">
        <f>X53*Z50</f>
        <v>685.78185039999983</v>
      </c>
      <c r="AA53" s="138"/>
      <c r="AB53" s="451">
        <f t="shared" si="66"/>
        <v>3.7364999999998645</v>
      </c>
      <c r="AC53" s="453">
        <f t="shared" si="67"/>
        <v>5.4783747118993115E-3</v>
      </c>
      <c r="AD53" s="53"/>
      <c r="AE53" s="450">
        <f>X53</f>
        <v>0.23499999999999999</v>
      </c>
      <c r="AF53" s="411"/>
      <c r="AG53" s="451">
        <f>AE53*AG50</f>
        <v>688.00965039999994</v>
      </c>
      <c r="AH53" s="138"/>
      <c r="AI53" s="451">
        <f t="shared" si="68"/>
        <v>2.2278000000001157</v>
      </c>
      <c r="AJ53" s="453">
        <f t="shared" si="69"/>
        <v>3.2485549139288162E-3</v>
      </c>
      <c r="AK53" s="53"/>
      <c r="AL53" s="450">
        <f>AE53</f>
        <v>0.23499999999999999</v>
      </c>
      <c r="AM53" s="411"/>
      <c r="AN53" s="451">
        <f>AL53*AN50</f>
        <v>690.23040039999989</v>
      </c>
      <c r="AO53" s="138"/>
      <c r="AP53" s="451">
        <f t="shared" si="70"/>
        <v>2.2207499999999527</v>
      </c>
      <c r="AQ53" s="453">
        <f t="shared" si="71"/>
        <v>3.2277890269545454E-3</v>
      </c>
      <c r="AR53" s="454"/>
    </row>
    <row r="54" spans="1:44" ht="13.5" customHeight="1">
      <c r="A54" s="53"/>
      <c r="B54" s="627" t="s">
        <v>347</v>
      </c>
      <c r="C54" s="608"/>
      <c r="D54" s="600"/>
      <c r="E54" s="455"/>
      <c r="F54" s="456"/>
      <c r="G54" s="487"/>
      <c r="H54" s="488">
        <f>H52-H53</f>
        <v>2557.9114230499999</v>
      </c>
      <c r="I54" s="457"/>
      <c r="J54" s="456"/>
      <c r="K54" s="457"/>
      <c r="L54" s="458">
        <f>L52-L53</f>
        <v>2562.8867727999996</v>
      </c>
      <c r="M54" s="459"/>
      <c r="N54" s="460">
        <f t="shared" si="62"/>
        <v>4.9753497499996229</v>
      </c>
      <c r="O54" s="461">
        <f t="shared" si="63"/>
        <v>1.9450828926934147E-3</v>
      </c>
      <c r="P54" s="53"/>
      <c r="Q54" s="456"/>
      <c r="R54" s="457"/>
      <c r="S54" s="458">
        <f>S52-S53</f>
        <v>2597.5769727999996</v>
      </c>
      <c r="T54" s="459"/>
      <c r="U54" s="460">
        <f t="shared" si="64"/>
        <v>34.690200000000004</v>
      </c>
      <c r="V54" s="461">
        <f t="shared" si="65"/>
        <v>1.3535596019366998E-2</v>
      </c>
      <c r="W54" s="53"/>
      <c r="X54" s="456"/>
      <c r="Y54" s="457"/>
      <c r="Z54" s="458">
        <f>Z52-Z53</f>
        <v>2611.8074727999997</v>
      </c>
      <c r="AA54" s="459"/>
      <c r="AB54" s="460">
        <f t="shared" si="66"/>
        <v>14.23050000000012</v>
      </c>
      <c r="AC54" s="461">
        <f t="shared" si="67"/>
        <v>5.4783747118995569E-3</v>
      </c>
      <c r="AD54" s="53"/>
      <c r="AE54" s="456"/>
      <c r="AF54" s="457"/>
      <c r="AG54" s="458">
        <f>AG52-AG53</f>
        <v>2620.2920728000004</v>
      </c>
      <c r="AH54" s="459"/>
      <c r="AI54" s="460">
        <f t="shared" si="68"/>
        <v>8.4846000000006825</v>
      </c>
      <c r="AJ54" s="461">
        <f t="shared" si="69"/>
        <v>3.2485549139289081E-3</v>
      </c>
      <c r="AK54" s="53"/>
      <c r="AL54" s="456"/>
      <c r="AM54" s="457"/>
      <c r="AN54" s="458">
        <f>AN52-AN53</f>
        <v>2628.7498227999999</v>
      </c>
      <c r="AO54" s="459"/>
      <c r="AP54" s="460">
        <f t="shared" si="70"/>
        <v>8.457749999999578</v>
      </c>
      <c r="AQ54" s="461">
        <f t="shared" si="71"/>
        <v>3.2277890269544521E-3</v>
      </c>
      <c r="AR54" s="462"/>
    </row>
    <row r="55" spans="1:44" ht="12" customHeight="1">
      <c r="A55" s="53"/>
      <c r="B55" s="428"/>
      <c r="C55" s="429"/>
      <c r="D55" s="429"/>
      <c r="E55" s="429"/>
      <c r="F55" s="430"/>
      <c r="G55" s="470"/>
      <c r="H55" s="432"/>
      <c r="I55" s="434"/>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53"/>
      <c r="AL55" s="430"/>
      <c r="AM55" s="431"/>
      <c r="AN55" s="432"/>
      <c r="AO55" s="434"/>
      <c r="AP55" s="435"/>
      <c r="AQ55" s="436"/>
      <c r="AR55" s="437"/>
    </row>
    <row r="56" spans="1:44" ht="12" customHeight="1">
      <c r="A56" s="53"/>
      <c r="B56" s="438" t="s">
        <v>348</v>
      </c>
      <c r="C56" s="328"/>
      <c r="D56" s="328"/>
      <c r="E56" s="328"/>
      <c r="F56" s="439"/>
      <c r="G56" s="483"/>
      <c r="H56" s="441">
        <f>SUM(H47:H48,H40,H41:H43)</f>
        <v>3058.7015900000001</v>
      </c>
      <c r="I56" s="476"/>
      <c r="J56" s="439"/>
      <c r="K56" s="440"/>
      <c r="L56" s="442">
        <f>SUM(L47:L48,L40,L41:L43)</f>
        <v>3064.2606399999995</v>
      </c>
      <c r="M56" s="443"/>
      <c r="N56" s="442">
        <f t="shared" ref="N56:N60" si="72">L56-H56</f>
        <v>5.5590499999993881</v>
      </c>
      <c r="O56" s="444">
        <f t="shared" ref="O56:O60" si="73">IF((H56)=0,"",(N56/H56))</f>
        <v>1.8174541832305347E-3</v>
      </c>
      <c r="P56" s="53"/>
      <c r="Q56" s="439"/>
      <c r="R56" s="440"/>
      <c r="S56" s="442">
        <f>SUM(S47:S48,S40,S41:S43)</f>
        <v>3103.0206399999997</v>
      </c>
      <c r="T56" s="443"/>
      <c r="U56" s="442">
        <f t="shared" ref="U56:U60" si="74">S56-L56</f>
        <v>38.760000000000218</v>
      </c>
      <c r="V56" s="444">
        <f t="shared" ref="V56:V60" si="75">IF((L56)=0,"",(U56/L56))</f>
        <v>1.2649054553009638E-2</v>
      </c>
      <c r="W56" s="53"/>
      <c r="X56" s="439"/>
      <c r="Y56" s="440"/>
      <c r="Z56" s="442">
        <f>SUM(Z47:Z48,Z40,Z41:Z43)</f>
        <v>3118.9206399999994</v>
      </c>
      <c r="AA56" s="443"/>
      <c r="AB56" s="442">
        <f t="shared" ref="AB56:AB60" si="76">Z56-S56</f>
        <v>15.899999999999636</v>
      </c>
      <c r="AC56" s="444">
        <f t="shared" ref="AC56:AC60" si="77">IF((S56)=0,"",(AB56/S56))</f>
        <v>5.124039394078809E-3</v>
      </c>
      <c r="AD56" s="53"/>
      <c r="AE56" s="439"/>
      <c r="AF56" s="440"/>
      <c r="AG56" s="442">
        <f>SUM(AG47:AG48,AG40,AG41:AG43)</f>
        <v>3128.4006399999998</v>
      </c>
      <c r="AH56" s="443"/>
      <c r="AI56" s="442">
        <f t="shared" ref="AI56:AI60" si="78">AG56-Z56</f>
        <v>9.4800000000004729</v>
      </c>
      <c r="AJ56" s="444">
        <f t="shared" ref="AJ56:AJ60" si="79">IF((Z56)=0,"",(AI56/Z56))</f>
        <v>3.0395130541059469E-3</v>
      </c>
      <c r="AK56" s="53"/>
      <c r="AL56" s="439"/>
      <c r="AM56" s="440"/>
      <c r="AN56" s="442">
        <f>SUM(AN47:AN48,AN40,AN41:AN43)</f>
        <v>3137.8506399999997</v>
      </c>
      <c r="AO56" s="443"/>
      <c r="AP56" s="442">
        <f t="shared" ref="AP56:AP60" si="80">AN56-AG56</f>
        <v>9.4499999999998181</v>
      </c>
      <c r="AQ56" s="444">
        <f t="shared" ref="AQ56:AQ60" si="81">IF((AG56)=0,"",(AP56/AG56))</f>
        <v>3.0207128457817407E-3</v>
      </c>
      <c r="AR56" s="445"/>
    </row>
    <row r="57" spans="1:44" ht="12" customHeight="1">
      <c r="A57" s="53"/>
      <c r="B57" s="446" t="s">
        <v>345</v>
      </c>
      <c r="C57" s="328"/>
      <c r="D57" s="328"/>
      <c r="E57" s="328"/>
      <c r="F57" s="439">
        <v>0.13</v>
      </c>
      <c r="G57" s="483"/>
      <c r="H57" s="484">
        <f>H56*F57</f>
        <v>397.63120670000001</v>
      </c>
      <c r="I57" s="411"/>
      <c r="J57" s="439">
        <v>0.13</v>
      </c>
      <c r="K57" s="447"/>
      <c r="L57" s="395">
        <f>L56*J57</f>
        <v>398.35388319999993</v>
      </c>
      <c r="M57" s="138"/>
      <c r="N57" s="395">
        <f t="shared" si="72"/>
        <v>0.72267649999992045</v>
      </c>
      <c r="O57" s="396">
        <f t="shared" si="73"/>
        <v>1.8174541832305347E-3</v>
      </c>
      <c r="P57" s="53"/>
      <c r="Q57" s="439">
        <v>0.13</v>
      </c>
      <c r="R57" s="447"/>
      <c r="S57" s="394">
        <f>S56*Q57</f>
        <v>403.39268319999996</v>
      </c>
      <c r="T57" s="138"/>
      <c r="U57" s="395">
        <f t="shared" si="74"/>
        <v>5.0388000000000375</v>
      </c>
      <c r="V57" s="396">
        <f t="shared" si="75"/>
        <v>1.264905455300966E-2</v>
      </c>
      <c r="W57" s="53"/>
      <c r="X57" s="439">
        <v>0.13</v>
      </c>
      <c r="Y57" s="447"/>
      <c r="Z57" s="394">
        <f>Z56*X57</f>
        <v>405.45968319999992</v>
      </c>
      <c r="AA57" s="138"/>
      <c r="AB57" s="395">
        <f t="shared" si="76"/>
        <v>2.0669999999999504</v>
      </c>
      <c r="AC57" s="396">
        <f t="shared" si="77"/>
        <v>5.1240393940788029E-3</v>
      </c>
      <c r="AD57" s="53"/>
      <c r="AE57" s="439">
        <v>0.13</v>
      </c>
      <c r="AF57" s="447"/>
      <c r="AG57" s="395">
        <f>AG56*AE57</f>
        <v>406.69208320000001</v>
      </c>
      <c r="AH57" s="138"/>
      <c r="AI57" s="395">
        <f t="shared" si="78"/>
        <v>1.2324000000000979</v>
      </c>
      <c r="AJ57" s="396">
        <f t="shared" si="79"/>
        <v>3.0395130541060367E-3</v>
      </c>
      <c r="AK57" s="53"/>
      <c r="AL57" s="439">
        <v>0.13</v>
      </c>
      <c r="AM57" s="447"/>
      <c r="AN57" s="394">
        <f>AN56*AL57</f>
        <v>407.92058319999995</v>
      </c>
      <c r="AO57" s="138"/>
      <c r="AP57" s="395">
        <f t="shared" si="80"/>
        <v>1.22849999999994</v>
      </c>
      <c r="AQ57" s="396">
        <f t="shared" si="81"/>
        <v>3.0207128457816509E-3</v>
      </c>
      <c r="AR57" s="397"/>
    </row>
    <row r="58" spans="1:44" ht="12" customHeight="1">
      <c r="A58" s="53"/>
      <c r="B58" s="448" t="s">
        <v>403</v>
      </c>
      <c r="C58" s="328"/>
      <c r="D58" s="328"/>
      <c r="E58" s="328"/>
      <c r="F58" s="449"/>
      <c r="G58" s="138"/>
      <c r="H58" s="484">
        <f>H56+H57</f>
        <v>3456.3327967</v>
      </c>
      <c r="I58" s="411"/>
      <c r="J58" s="449"/>
      <c r="K58" s="411"/>
      <c r="L58" s="394">
        <f>L56+L57</f>
        <v>3462.6145231999994</v>
      </c>
      <c r="M58" s="138"/>
      <c r="N58" s="395">
        <f t="shared" si="72"/>
        <v>6.2817264999994222</v>
      </c>
      <c r="O58" s="396">
        <f t="shared" si="73"/>
        <v>1.8174541832305677E-3</v>
      </c>
      <c r="P58" s="53"/>
      <c r="Q58" s="449"/>
      <c r="R58" s="411"/>
      <c r="S58" s="394">
        <f>S56+S57</f>
        <v>3506.4133231999995</v>
      </c>
      <c r="T58" s="138"/>
      <c r="U58" s="395">
        <f t="shared" si="74"/>
        <v>43.798800000000028</v>
      </c>
      <c r="V58" s="396">
        <f t="shared" si="75"/>
        <v>1.2649054553009574E-2</v>
      </c>
      <c r="W58" s="53"/>
      <c r="X58" s="449"/>
      <c r="Y58" s="411"/>
      <c r="Z58" s="394">
        <f>Z56+Z57</f>
        <v>3524.3803231999991</v>
      </c>
      <c r="AA58" s="138"/>
      <c r="AB58" s="395">
        <f t="shared" si="76"/>
        <v>17.966999999999643</v>
      </c>
      <c r="AC58" s="396">
        <f t="shared" si="77"/>
        <v>5.1240393940788246E-3</v>
      </c>
      <c r="AD58" s="53"/>
      <c r="AE58" s="449"/>
      <c r="AF58" s="411"/>
      <c r="AG58" s="394">
        <f>AG56+AG57</f>
        <v>3535.0927231999999</v>
      </c>
      <c r="AH58" s="138"/>
      <c r="AI58" s="395">
        <f t="shared" si="78"/>
        <v>10.712400000000798</v>
      </c>
      <c r="AJ58" s="396">
        <f t="shared" si="79"/>
        <v>3.0395130541060219E-3</v>
      </c>
      <c r="AK58" s="53"/>
      <c r="AL58" s="449"/>
      <c r="AM58" s="411"/>
      <c r="AN58" s="394">
        <f>AN56+AN57</f>
        <v>3545.7712231999994</v>
      </c>
      <c r="AO58" s="138"/>
      <c r="AP58" s="395">
        <f t="shared" si="80"/>
        <v>10.678499999999531</v>
      </c>
      <c r="AQ58" s="396">
        <f t="shared" si="81"/>
        <v>3.0207128457816661E-3</v>
      </c>
      <c r="AR58" s="397"/>
    </row>
    <row r="59" spans="1:44" ht="12" customHeight="1">
      <c r="A59" s="53"/>
      <c r="B59" s="626" t="s">
        <v>304</v>
      </c>
      <c r="C59" s="616"/>
      <c r="D59" s="616"/>
      <c r="E59" s="328"/>
      <c r="F59" s="450">
        <f>F53</f>
        <v>0.23499999999999999</v>
      </c>
      <c r="G59" s="138"/>
      <c r="H59" s="486">
        <f>F59*H56</f>
        <v>718.79487365</v>
      </c>
      <c r="I59" s="411"/>
      <c r="J59" s="450">
        <f>J53</f>
        <v>0.23499999999999999</v>
      </c>
      <c r="K59" s="411"/>
      <c r="L59" s="451">
        <f>J59*L56</f>
        <v>720.1012503999998</v>
      </c>
      <c r="M59" s="138"/>
      <c r="N59" s="451">
        <f t="shared" si="72"/>
        <v>1.3063767499997994</v>
      </c>
      <c r="O59" s="453">
        <f t="shared" si="73"/>
        <v>1.8174541832304558E-3</v>
      </c>
      <c r="P59" s="53"/>
      <c r="Q59" s="450">
        <f>Q53</f>
        <v>0.23499999999999999</v>
      </c>
      <c r="R59" s="411"/>
      <c r="S59" s="451">
        <f>Q59*S56</f>
        <v>729.20985039999994</v>
      </c>
      <c r="T59" s="138"/>
      <c r="U59" s="451">
        <f t="shared" si="74"/>
        <v>9.1086000000001377</v>
      </c>
      <c r="V59" s="453">
        <f t="shared" si="75"/>
        <v>1.2649054553009759E-2</v>
      </c>
      <c r="W59" s="53"/>
      <c r="X59" s="450">
        <f>X53</f>
        <v>0.23499999999999999</v>
      </c>
      <c r="Y59" s="411"/>
      <c r="Z59" s="451">
        <f>X59*Z56</f>
        <v>732.9463503999998</v>
      </c>
      <c r="AA59" s="138"/>
      <c r="AB59" s="451">
        <f t="shared" si="76"/>
        <v>3.7364999999998645</v>
      </c>
      <c r="AC59" s="453">
        <f t="shared" si="77"/>
        <v>5.1240393940787405E-3</v>
      </c>
      <c r="AD59" s="53"/>
      <c r="AE59" s="450">
        <f>AE53</f>
        <v>0.23499999999999999</v>
      </c>
      <c r="AF59" s="411"/>
      <c r="AG59" s="451">
        <f>AE59*AG56</f>
        <v>735.17415039999992</v>
      </c>
      <c r="AH59" s="138"/>
      <c r="AI59" s="451">
        <f t="shared" si="78"/>
        <v>2.2278000000001157</v>
      </c>
      <c r="AJ59" s="453">
        <f t="shared" si="79"/>
        <v>3.0395130541059534E-3</v>
      </c>
      <c r="AK59" s="53"/>
      <c r="AL59" s="450">
        <f>AL53</f>
        <v>0.23499999999999999</v>
      </c>
      <c r="AM59" s="411"/>
      <c r="AN59" s="451">
        <f>AL59*AN56</f>
        <v>737.39490039999987</v>
      </c>
      <c r="AO59" s="138"/>
      <c r="AP59" s="451">
        <f t="shared" si="80"/>
        <v>2.2207499999999527</v>
      </c>
      <c r="AQ59" s="453">
        <f t="shared" si="81"/>
        <v>3.0207128457817346E-3</v>
      </c>
      <c r="AR59" s="454"/>
    </row>
    <row r="60" spans="1:44" ht="13.5" customHeight="1">
      <c r="A60" s="53"/>
      <c r="B60" s="627" t="s">
        <v>350</v>
      </c>
      <c r="C60" s="608"/>
      <c r="D60" s="600"/>
      <c r="E60" s="455"/>
      <c r="F60" s="463"/>
      <c r="G60" s="489"/>
      <c r="H60" s="490">
        <f>H58-H59</f>
        <v>2737.5379230500002</v>
      </c>
      <c r="I60" s="464"/>
      <c r="J60" s="463"/>
      <c r="K60" s="464"/>
      <c r="L60" s="465">
        <f>L58-L59</f>
        <v>2742.5132727999999</v>
      </c>
      <c r="M60" s="466"/>
      <c r="N60" s="467">
        <f t="shared" si="72"/>
        <v>4.9753497499996229</v>
      </c>
      <c r="O60" s="468">
        <f t="shared" si="73"/>
        <v>1.817454183230597E-3</v>
      </c>
      <c r="P60" s="53"/>
      <c r="Q60" s="463"/>
      <c r="R60" s="464"/>
      <c r="S60" s="465">
        <f>S58-S59</f>
        <v>2777.2034727999994</v>
      </c>
      <c r="T60" s="466"/>
      <c r="U60" s="467">
        <f t="shared" si="74"/>
        <v>34.69019999999955</v>
      </c>
      <c r="V60" s="468">
        <f t="shared" si="75"/>
        <v>1.26490545530094E-2</v>
      </c>
      <c r="W60" s="53"/>
      <c r="X60" s="463"/>
      <c r="Y60" s="464"/>
      <c r="Z60" s="465">
        <f>Z58-Z59</f>
        <v>2791.4339727999995</v>
      </c>
      <c r="AA60" s="466"/>
      <c r="AB60" s="467">
        <f t="shared" si="76"/>
        <v>14.23050000000012</v>
      </c>
      <c r="AC60" s="468">
        <f t="shared" si="77"/>
        <v>5.1240393940789703E-3</v>
      </c>
      <c r="AD60" s="53"/>
      <c r="AE60" s="463"/>
      <c r="AF60" s="464"/>
      <c r="AG60" s="465">
        <f>AG58-AG59</f>
        <v>2799.9185728000002</v>
      </c>
      <c r="AH60" s="466"/>
      <c r="AI60" s="467">
        <f t="shared" si="78"/>
        <v>8.4846000000006825</v>
      </c>
      <c r="AJ60" s="468">
        <f t="shared" si="79"/>
        <v>3.0395130541060397E-3</v>
      </c>
      <c r="AK60" s="53"/>
      <c r="AL60" s="463"/>
      <c r="AM60" s="464"/>
      <c r="AN60" s="465">
        <f>AN58-AN59</f>
        <v>2808.3763227999998</v>
      </c>
      <c r="AO60" s="466"/>
      <c r="AP60" s="467">
        <f t="shared" si="80"/>
        <v>8.457749999999578</v>
      </c>
      <c r="AQ60" s="468">
        <f t="shared" si="81"/>
        <v>3.0207128457816475E-3</v>
      </c>
      <c r="AR60" s="462"/>
    </row>
    <row r="61" spans="1:44" ht="12" customHeight="1">
      <c r="A61" s="53"/>
      <c r="B61" s="428"/>
      <c r="C61" s="429"/>
      <c r="D61" s="429"/>
      <c r="E61" s="429"/>
      <c r="F61" s="469"/>
      <c r="G61" s="434"/>
      <c r="H61" s="491"/>
      <c r="I61" s="470"/>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53"/>
      <c r="AL61" s="469"/>
      <c r="AM61" s="470"/>
      <c r="AN61" s="435"/>
      <c r="AO61" s="434"/>
      <c r="AP61" s="471"/>
      <c r="AQ61" s="436"/>
      <c r="AR61" s="437"/>
    </row>
    <row r="62" spans="1:44" ht="12" customHeight="1">
      <c r="A62" s="53"/>
      <c r="B62" s="53"/>
      <c r="C62" s="53"/>
      <c r="D62" s="53"/>
      <c r="E62" s="53"/>
      <c r="F62" s="53"/>
      <c r="G62" s="53"/>
      <c r="H62" s="53"/>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c r="AR62" s="53"/>
    </row>
    <row r="63" spans="1:44" ht="12"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c r="AR63" s="53"/>
    </row>
    <row r="64" spans="1:44"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2" customHeight="1">
      <c r="A65" s="53" t="s">
        <v>356</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53" t="s">
        <v>357</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t="s">
        <v>358</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359</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360</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t="s">
        <v>361</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474"/>
      <c r="B73" s="53" t="s">
        <v>362</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t="s">
        <v>363</v>
      </c>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5.75" customHeight="1"/>
    <row r="277" spans="1:43" ht="15.75" customHeight="1"/>
    <row r="278" spans="1:43" ht="15.75" customHeight="1"/>
    <row r="279" spans="1:43" ht="15.75" customHeight="1"/>
    <row r="280" spans="1:43" ht="15.75" customHeight="1"/>
    <row r="281" spans="1:43" ht="15.75" customHeight="1"/>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1700-000000000000}">
      <formula1>"TOU,non-TOU"</formula1>
    </dataValidation>
    <dataValidation type="list" allowBlank="1" showErrorMessage="1" sqref="E15:E28 E30:E36 E38:E39 E41:E49 E55 E61" xr:uid="{00000000-0002-0000-1700-000001000000}">
      <formula1>#REF!</formula1>
    </dataValidation>
    <dataValidation type="list" allowBlank="1" showInputMessage="1" showErrorMessage="1" prompt="Select Charge Unit - monthly, per kWh, per kW" sqref="D15:D28 D30:D36 D38:D39 D41:D49 D55 D61" xr:uid="{00000000-0002-0000-1700-000002000000}">
      <formula1>"Monthly,per kWh,per kW"</formula1>
    </dataValidation>
  </dataValidations>
  <pageMargins left="0.74803149606299213" right="0.74803149606299213" top="0.98425196850393704" bottom="0.98425196850393704"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7109375" customWidth="1"/>
    <col min="4" max="4" width="11.42578125" customWidth="1"/>
    <col min="5" max="5" width="1.42578125" customWidth="1"/>
    <col min="6" max="6" width="9.42578125" customWidth="1"/>
    <col min="7" max="7" width="8.85546875" customWidth="1"/>
    <col min="8" max="8" width="11" customWidth="1"/>
    <col min="9" max="9" width="0.42578125" customWidth="1"/>
    <col min="10" max="10" width="10.7109375" customWidth="1"/>
    <col min="11" max="11" width="8.85546875" customWidth="1"/>
    <col min="12" max="12" width="11" customWidth="1"/>
    <col min="13" max="13" width="0.42578125" customWidth="1"/>
    <col min="14" max="14" width="9.42578125" customWidth="1"/>
    <col min="15" max="15" width="10" customWidth="1"/>
    <col min="16" max="16" width="0.42578125" customWidth="1"/>
    <col min="17" max="17" width="9.28515625" customWidth="1"/>
    <col min="18" max="18" width="8.85546875" customWidth="1"/>
    <col min="19" max="19" width="11.28515625" customWidth="1"/>
    <col min="20" max="20" width="0.42578125" customWidth="1"/>
    <col min="21" max="21" width="9.42578125" customWidth="1"/>
    <col min="22" max="22" width="10" customWidth="1"/>
    <col min="23" max="23" width="2" customWidth="1"/>
    <col min="24" max="24" width="9.28515625" customWidth="1"/>
    <col min="25" max="25" width="8.85546875" customWidth="1"/>
    <col min="26" max="26" width="11" customWidth="1"/>
    <col min="27" max="27" width="0.42578125" customWidth="1"/>
    <col min="28" max="28" width="9.42578125" customWidth="1"/>
    <col min="29" max="29" width="10" customWidth="1"/>
    <col min="30" max="30" width="2.1406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2.42578125" customWidth="1"/>
    <col min="38" max="38" width="10.42578125" customWidth="1"/>
    <col min="39" max="39" width="8.85546875" customWidth="1"/>
    <col min="40" max="40" width="11" customWidth="1"/>
    <col min="41" max="41" width="1.28515625" customWidth="1"/>
    <col min="42" max="42" width="9.42578125" customWidth="1"/>
    <col min="43" max="43" width="10" customWidth="1"/>
    <col min="44" max="44" width="1.28515625" customWidth="1"/>
    <col min="45" max="46" width="12.42578125" customWidth="1"/>
  </cols>
  <sheetData>
    <row r="1" spans="1:46" ht="12" customHeight="1">
      <c r="A1" s="53"/>
      <c r="B1" s="53"/>
      <c r="C1" s="53"/>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6" ht="12" customHeight="1">
      <c r="A2" s="53"/>
      <c r="B2" s="53"/>
      <c r="C2" s="373"/>
      <c r="D2" s="373"/>
      <c r="E2" s="373"/>
      <c r="F2" s="373" t="s">
        <v>320</v>
      </c>
      <c r="G2" s="373"/>
      <c r="H2" s="373"/>
      <c r="I2" s="373"/>
      <c r="J2" s="373"/>
      <c r="K2" s="373"/>
      <c r="L2" s="373"/>
      <c r="M2" s="373"/>
      <c r="N2" s="373"/>
      <c r="O2" s="37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6"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6"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6"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6" ht="12" customHeight="1">
      <c r="A6" s="53"/>
      <c r="B6" s="327" t="s">
        <v>323</v>
      </c>
      <c r="C6" s="53"/>
      <c r="D6" s="499" t="s">
        <v>249</v>
      </c>
      <c r="E6" s="500"/>
      <c r="F6" s="500"/>
      <c r="G6" s="500"/>
      <c r="H6" s="500"/>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row>
    <row r="7" spans="1:46"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6" ht="12" customHeight="1">
      <c r="A8" s="53"/>
      <c r="B8" s="327" t="s">
        <v>324</v>
      </c>
      <c r="C8" s="53"/>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6" ht="12" customHeight="1">
      <c r="A9" s="53"/>
      <c r="B9" s="377"/>
      <c r="C9" s="53"/>
      <c r="D9" s="314" t="s">
        <v>326</v>
      </c>
      <c r="E9" s="314"/>
      <c r="F9" s="380">
        <f>51000*1</f>
        <v>51000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6" ht="12" customHeight="1">
      <c r="A10" s="53"/>
      <c r="B10" s="53"/>
      <c r="C10" s="53"/>
      <c r="D10" s="53"/>
      <c r="E10" s="53"/>
      <c r="F10" s="380">
        <v>100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6" ht="12" customHeight="1">
      <c r="A11" s="53"/>
      <c r="B11" s="53"/>
      <c r="C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6" ht="12"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6" ht="12"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6" ht="12"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6" ht="12" customHeight="1">
      <c r="A15" s="53"/>
      <c r="B15" s="328" t="s">
        <v>246</v>
      </c>
      <c r="C15" s="389" t="str">
        <f t="shared" ref="C15:C28" si="0">D$6&amp;"."&amp;B15</f>
        <v>General Service 50 to 1,499 KW.Monthly Service Charge</v>
      </c>
      <c r="D15" s="390" t="s">
        <v>335</v>
      </c>
      <c r="E15" s="328"/>
      <c r="F15" s="391">
        <f>VLOOKUP($C15,'Proposed Rates'!$B:$J,F$11,FALSE)</f>
        <v>200</v>
      </c>
      <c r="G15" s="409">
        <f t="shared" ref="G15:G28" si="1">IF($D15="Monthly",1,IF($D15="per KW",$F$10,IF($D15="per kWh",$F$9,0)))</f>
        <v>1</v>
      </c>
      <c r="H15" s="394">
        <f t="shared" ref="H15:H28" si="2">G15*F15</f>
        <v>200</v>
      </c>
      <c r="I15" s="138"/>
      <c r="J15" s="391">
        <f>VLOOKUP($C15,'Proposed Rates'!$B:$J,J$11,FALSE)</f>
        <v>200</v>
      </c>
      <c r="K15" s="409">
        <f t="shared" ref="K15:K28" si="3">IF($D15="Monthly",1,IF($D15="per KW",$F$10,IF($D15="per kWh",$F$9,0)))</f>
        <v>1</v>
      </c>
      <c r="L15" s="394">
        <f t="shared" ref="L15:L28" si="4">K15*J15</f>
        <v>200</v>
      </c>
      <c r="M15" s="138"/>
      <c r="N15" s="395">
        <f t="shared" ref="N15:N46" si="5">L15-H15</f>
        <v>0</v>
      </c>
      <c r="O15" s="396">
        <f t="shared" ref="O15:O46" si="6">IF((H15)=0,"",(N15/H15))</f>
        <v>0</v>
      </c>
      <c r="P15" s="53"/>
      <c r="Q15" s="391">
        <f>VLOOKUP($C15,'Proposed Rates'!$B:$J,Q$11,FALSE)</f>
        <v>200</v>
      </c>
      <c r="R15" s="409">
        <f t="shared" ref="R15:R28" si="7">IF($D15="Monthly",1,IF($D15="per KW",$F$10,IF($D15="per kWh",$F$9,0)))</f>
        <v>1</v>
      </c>
      <c r="S15" s="394">
        <f t="shared" ref="S15:S28" si="8">R15*Q15</f>
        <v>200</v>
      </c>
      <c r="T15" s="138"/>
      <c r="U15" s="395">
        <f t="shared" ref="U15:U46" si="9">S15-L15</f>
        <v>0</v>
      </c>
      <c r="V15" s="396">
        <f t="shared" ref="V15:V46" si="10">IF((L15)=0,"",(U15/L15))</f>
        <v>0</v>
      </c>
      <c r="W15" s="53"/>
      <c r="X15" s="391">
        <f>VLOOKUP($C15,'Proposed Rates'!$B:$J,X$11,FALSE)</f>
        <v>200</v>
      </c>
      <c r="Y15" s="409">
        <f t="shared" ref="Y15:Y28" si="11">IF($D15="Monthly",1,IF($D15="per KW",$F$10,IF($D15="per kWh",$F$9,0)))</f>
        <v>1</v>
      </c>
      <c r="Z15" s="394">
        <f t="shared" ref="Z15:Z28" si="12">Y15*X15</f>
        <v>200</v>
      </c>
      <c r="AA15" s="138"/>
      <c r="AB15" s="395">
        <f t="shared" ref="AB15:AB46" si="13">Z15-S15</f>
        <v>0</v>
      </c>
      <c r="AC15" s="396">
        <f t="shared" ref="AC15:AC46" si="14">IF((S15)=0,"",(AB15/S15))</f>
        <v>0</v>
      </c>
      <c r="AD15" s="53"/>
      <c r="AE15" s="391">
        <f>VLOOKUP($C15,'Proposed Rates'!$B:$J,AE$11,FALSE)</f>
        <v>200</v>
      </c>
      <c r="AF15" s="409">
        <f t="shared" ref="AF15:AF28" si="15">IF($D15="Monthly",1,IF($D15="per KW",$F$10,IF($D15="per kWh",$F$9,0)))</f>
        <v>1</v>
      </c>
      <c r="AG15" s="394">
        <f t="shared" ref="AG15:AG28" si="16">AF15*AE15</f>
        <v>200</v>
      </c>
      <c r="AH15" s="138"/>
      <c r="AI15" s="395">
        <f t="shared" ref="AI15:AI46" si="17">AG15-Z15</f>
        <v>0</v>
      </c>
      <c r="AJ15" s="396">
        <f t="shared" ref="AJ15:AJ46" si="18">IF((Z15)=0,"",(AI15/Z15))</f>
        <v>0</v>
      </c>
      <c r="AK15" s="53"/>
      <c r="AL15" s="391">
        <f>VLOOKUP($C15,'Proposed Rates'!$B:$J,AL$11,FALSE)</f>
        <v>200</v>
      </c>
      <c r="AM15" s="409">
        <f t="shared" ref="AM15:AM28" si="19">IF($D15="Monthly",1,IF($D15="per KW",$F$10,IF($D15="per kWh",$F$9,0)))</f>
        <v>1</v>
      </c>
      <c r="AN15" s="394">
        <f t="shared" ref="AN15:AN28" si="20">AM15*AL15</f>
        <v>200</v>
      </c>
      <c r="AO15" s="138"/>
      <c r="AP15" s="395">
        <f t="shared" ref="AP15:AP46" si="21">AN15-AG15</f>
        <v>0</v>
      </c>
      <c r="AQ15" s="396">
        <f t="shared" ref="AQ15:AQ46" si="22">IF((AG15)=0,"",(AP15/AG15))</f>
        <v>0</v>
      </c>
      <c r="AR15" s="397"/>
    </row>
    <row r="16" spans="1:46" ht="12" customHeight="1">
      <c r="A16" s="53"/>
      <c r="B16" s="328" t="s">
        <v>336</v>
      </c>
      <c r="C16" s="389" t="str">
        <f t="shared" si="0"/>
        <v>General Service 50 to 1,499 KW.Smart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row>
    <row r="17" spans="1:44" ht="12" customHeight="1">
      <c r="A17" s="53"/>
      <c r="B17" s="398" t="str">
        <f>'Proposed Rates'!C115</f>
        <v>Rate Rider Calculation for Forgone Revenue - variable</v>
      </c>
      <c r="C17" s="389" t="str">
        <f t="shared" si="0"/>
        <v>General Service 50 to 1,499 KW.Rate Rider Calculation for Forgone Revenue - variable</v>
      </c>
      <c r="D17" s="390" t="s">
        <v>406</v>
      </c>
      <c r="E17" s="328"/>
      <c r="F17" s="391">
        <f>IFERROR(VLOOKUP($C17,'Proposed Rates'!$B:$J,F$11,FALSE),0)</f>
        <v>0</v>
      </c>
      <c r="G17" s="409">
        <f t="shared" si="1"/>
        <v>100</v>
      </c>
      <c r="H17" s="394">
        <f t="shared" si="2"/>
        <v>0</v>
      </c>
      <c r="I17" s="138"/>
      <c r="J17" s="391">
        <f>IFERROR(VLOOKUP($C17,'Proposed Rates'!$B:$J,J$11,FALSE),0)</f>
        <v>0.45269999999999999</v>
      </c>
      <c r="K17" s="409">
        <f t="shared" si="3"/>
        <v>100</v>
      </c>
      <c r="L17" s="394">
        <f t="shared" si="4"/>
        <v>45.269999999999996</v>
      </c>
      <c r="M17" s="138"/>
      <c r="N17" s="395">
        <f t="shared" si="5"/>
        <v>45.269999999999996</v>
      </c>
      <c r="O17" s="396" t="str">
        <f t="shared" si="6"/>
        <v/>
      </c>
      <c r="P17" s="53"/>
      <c r="Q17" s="391">
        <f>IFERROR(VLOOKUP($C17,'Proposed Rates'!$B:$J,Q$11,FALSE),0)</f>
        <v>0.45269999999999999</v>
      </c>
      <c r="R17" s="409">
        <f t="shared" si="7"/>
        <v>100</v>
      </c>
      <c r="S17" s="394">
        <f t="shared" si="8"/>
        <v>45.269999999999996</v>
      </c>
      <c r="T17" s="138"/>
      <c r="U17" s="395">
        <f t="shared" si="9"/>
        <v>0</v>
      </c>
      <c r="V17" s="396">
        <f t="shared" si="10"/>
        <v>0</v>
      </c>
      <c r="W17" s="53"/>
      <c r="X17" s="391">
        <f>IFERROR(VLOOKUP($C17,'Proposed Rates'!$B:$J,X$11,FALSE),0)</f>
        <v>0</v>
      </c>
      <c r="Y17" s="409">
        <f t="shared" si="11"/>
        <v>100</v>
      </c>
      <c r="Z17" s="394">
        <f t="shared" si="12"/>
        <v>0</v>
      </c>
      <c r="AA17" s="138"/>
      <c r="AB17" s="395">
        <f t="shared" si="13"/>
        <v>-45.269999999999996</v>
      </c>
      <c r="AC17" s="396">
        <f t="shared" si="14"/>
        <v>-1</v>
      </c>
      <c r="AD17" s="53"/>
      <c r="AE17" s="391">
        <f>IFERROR(VLOOKUP($C17,'Proposed Rates'!$B:$J,AE$11,FALSE),0)</f>
        <v>0</v>
      </c>
      <c r="AF17" s="409">
        <f t="shared" si="15"/>
        <v>100</v>
      </c>
      <c r="AG17" s="394">
        <f t="shared" si="16"/>
        <v>0</v>
      </c>
      <c r="AH17" s="138"/>
      <c r="AI17" s="395">
        <f t="shared" si="17"/>
        <v>0</v>
      </c>
      <c r="AJ17" s="396" t="str">
        <f t="shared" si="18"/>
        <v/>
      </c>
      <c r="AK17" s="53"/>
      <c r="AL17" s="391">
        <f>IFERROR(VLOOKUP($C17,'Proposed Rates'!$B:$J,AL$11,FALSE),0)</f>
        <v>0</v>
      </c>
      <c r="AM17" s="409">
        <f t="shared" si="19"/>
        <v>100</v>
      </c>
      <c r="AN17" s="394">
        <f t="shared" si="20"/>
        <v>0</v>
      </c>
      <c r="AO17" s="138"/>
      <c r="AP17" s="395">
        <f t="shared" si="21"/>
        <v>0</v>
      </c>
      <c r="AQ17" s="396" t="str">
        <f t="shared" si="22"/>
        <v/>
      </c>
      <c r="AR17" s="397"/>
    </row>
    <row r="18" spans="1:44" ht="12" customHeight="1">
      <c r="A18" s="53"/>
      <c r="B18" s="398" t="str">
        <f>'Proposed Rates'!C128</f>
        <v>Rate Rider Calculation for Forgone Revenue - fixed</v>
      </c>
      <c r="C18" s="389" t="str">
        <f t="shared" si="0"/>
        <v>General Service 50 to 1,499 KW.Rate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-0.62</v>
      </c>
      <c r="K18" s="409">
        <f t="shared" si="3"/>
        <v>1</v>
      </c>
      <c r="L18" s="394">
        <f t="shared" si="4"/>
        <v>-0.62</v>
      </c>
      <c r="M18" s="138"/>
      <c r="N18" s="395">
        <f t="shared" si="5"/>
        <v>-0.62</v>
      </c>
      <c r="O18" s="396" t="str">
        <f t="shared" si="6"/>
        <v/>
      </c>
      <c r="P18" s="53"/>
      <c r="Q18" s="391">
        <f>IFERROR(VLOOKUP($C18,'Proposed Rates'!$B:$J,Q$11,FALSE),0)</f>
        <v>-0.62</v>
      </c>
      <c r="R18" s="409">
        <f t="shared" si="7"/>
        <v>1</v>
      </c>
      <c r="S18" s="394">
        <f t="shared" si="8"/>
        <v>-0.62</v>
      </c>
      <c r="T18" s="138"/>
      <c r="U18" s="395">
        <f t="shared" si="9"/>
        <v>0</v>
      </c>
      <c r="V18" s="396">
        <f t="shared" si="10"/>
        <v>0</v>
      </c>
      <c r="W18" s="53"/>
      <c r="X18" s="391">
        <f>IFERROR(VLOOKUP($C18,'Proposed Rates'!$B:$J,X$11,FALSE),0)</f>
        <v>0</v>
      </c>
      <c r="Y18" s="409">
        <f t="shared" si="11"/>
        <v>1</v>
      </c>
      <c r="Z18" s="394">
        <f t="shared" si="12"/>
        <v>0</v>
      </c>
      <c r="AA18" s="138"/>
      <c r="AB18" s="395">
        <f t="shared" si="13"/>
        <v>0.62</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row>
    <row r="19" spans="1:44" ht="12" customHeight="1">
      <c r="A19" s="53"/>
      <c r="B19" s="328" t="s">
        <v>62</v>
      </c>
      <c r="C19" s="389" t="str">
        <f t="shared" si="0"/>
        <v>General Service 50 to 1,499 KW.Distribution Volumetric Rate</v>
      </c>
      <c r="D19" s="390" t="s">
        <v>406</v>
      </c>
      <c r="E19" s="328"/>
      <c r="F19" s="408">
        <f>IFERROR(VLOOKUP($C19,'Proposed Rates'!$B:$J,F$11,FALSE),0)</f>
        <v>6.5552999999999999</v>
      </c>
      <c r="G19" s="409">
        <f t="shared" si="1"/>
        <v>100</v>
      </c>
      <c r="H19" s="394">
        <f t="shared" si="2"/>
        <v>655.53</v>
      </c>
      <c r="I19" s="138"/>
      <c r="J19" s="408">
        <f>IFERROR(VLOOKUP($C19,'Proposed Rates'!$B:$J,J$11,FALSE),0)</f>
        <v>7.6543000000000001</v>
      </c>
      <c r="K19" s="409">
        <f t="shared" si="3"/>
        <v>100</v>
      </c>
      <c r="L19" s="394">
        <f t="shared" si="4"/>
        <v>765.43000000000006</v>
      </c>
      <c r="M19" s="138"/>
      <c r="N19" s="395">
        <f t="shared" si="5"/>
        <v>109.90000000000009</v>
      </c>
      <c r="O19" s="396">
        <f t="shared" si="6"/>
        <v>0.16765060332860449</v>
      </c>
      <c r="P19" s="53"/>
      <c r="Q19" s="408">
        <f>IFERROR(VLOOKUP($C19,'Proposed Rates'!$B:$J,Q$11,FALSE),0)</f>
        <v>8.0783000000000005</v>
      </c>
      <c r="R19" s="409">
        <f t="shared" si="7"/>
        <v>100</v>
      </c>
      <c r="S19" s="394">
        <f t="shared" si="8"/>
        <v>807.83</v>
      </c>
      <c r="T19" s="138"/>
      <c r="U19" s="395">
        <f t="shared" si="9"/>
        <v>42.399999999999977</v>
      </c>
      <c r="V19" s="396">
        <f t="shared" si="10"/>
        <v>5.5393700273049101E-2</v>
      </c>
      <c r="W19" s="53"/>
      <c r="X19" s="408">
        <f>IFERROR(VLOOKUP($C19,'Proposed Rates'!$B:$J,X$11,FALSE),0)</f>
        <v>8.7073</v>
      </c>
      <c r="Y19" s="409">
        <f t="shared" si="11"/>
        <v>100</v>
      </c>
      <c r="Z19" s="394">
        <f t="shared" si="12"/>
        <v>870.73</v>
      </c>
      <c r="AA19" s="138"/>
      <c r="AB19" s="395">
        <f t="shared" si="13"/>
        <v>62.899999999999977</v>
      </c>
      <c r="AC19" s="396">
        <f t="shared" si="14"/>
        <v>7.7862916702771595E-2</v>
      </c>
      <c r="AD19" s="53"/>
      <c r="AE19" s="408">
        <f>IFERROR(VLOOKUP($C19,'Proposed Rates'!$B:$J,AE$11,FALSE),0)</f>
        <v>9.0386000000000006</v>
      </c>
      <c r="AF19" s="409">
        <f t="shared" si="15"/>
        <v>100</v>
      </c>
      <c r="AG19" s="394">
        <f t="shared" si="16"/>
        <v>903.86</v>
      </c>
      <c r="AH19" s="138"/>
      <c r="AI19" s="395">
        <f t="shared" si="17"/>
        <v>33.129999999999995</v>
      </c>
      <c r="AJ19" s="396">
        <f t="shared" si="18"/>
        <v>3.80485339887221E-2</v>
      </c>
      <c r="AK19" s="53"/>
      <c r="AL19" s="408">
        <f>IFERROR(VLOOKUP($C19,'Proposed Rates'!$B:$J,AL$11,FALSE),0)</f>
        <v>9.3415999999999997</v>
      </c>
      <c r="AM19" s="409">
        <f t="shared" si="19"/>
        <v>100</v>
      </c>
      <c r="AN19" s="394">
        <f t="shared" si="20"/>
        <v>934.16</v>
      </c>
      <c r="AO19" s="138"/>
      <c r="AP19" s="395">
        <f t="shared" si="21"/>
        <v>30.299999999999955</v>
      </c>
      <c r="AQ19" s="396">
        <f t="shared" si="22"/>
        <v>3.3522890713163493E-2</v>
      </c>
      <c r="AR19" s="397"/>
    </row>
    <row r="20" spans="1:44" ht="12" customHeight="1">
      <c r="A20" s="53"/>
      <c r="B20" s="328" t="s">
        <v>338</v>
      </c>
      <c r="C20" s="389" t="str">
        <f t="shared" si="0"/>
        <v>General Service 50 to 1,499 KW.Smart Meter Disposition Rider</v>
      </c>
      <c r="D20" s="390" t="s">
        <v>337</v>
      </c>
      <c r="E20" s="328"/>
      <c r="F20" s="391">
        <f>IFERROR(VLOOKUP($C20,'Proposed Rates'!$B:$J,F$11,FALSE),0)</f>
        <v>0</v>
      </c>
      <c r="G20" s="409">
        <f t="shared" si="1"/>
        <v>51000</v>
      </c>
      <c r="H20" s="394">
        <f t="shared" si="2"/>
        <v>0</v>
      </c>
      <c r="I20" s="138"/>
      <c r="J20" s="391">
        <f>IFERROR(VLOOKUP($C20,'Proposed Rates'!$B:$J,J$11,FALSE),0)</f>
        <v>0</v>
      </c>
      <c r="K20" s="409">
        <f t="shared" si="3"/>
        <v>51000</v>
      </c>
      <c r="L20" s="394">
        <f t="shared" si="4"/>
        <v>0</v>
      </c>
      <c r="M20" s="138"/>
      <c r="N20" s="395">
        <f t="shared" si="5"/>
        <v>0</v>
      </c>
      <c r="O20" s="396" t="str">
        <f t="shared" si="6"/>
        <v/>
      </c>
      <c r="P20" s="53"/>
      <c r="Q20" s="391">
        <f>IFERROR(VLOOKUP($C20,'Proposed Rates'!$B:$J,Q$11,FALSE),0)</f>
        <v>0</v>
      </c>
      <c r="R20" s="409">
        <f t="shared" si="7"/>
        <v>51000</v>
      </c>
      <c r="S20" s="394">
        <f t="shared" si="8"/>
        <v>0</v>
      </c>
      <c r="T20" s="138"/>
      <c r="U20" s="395">
        <f t="shared" si="9"/>
        <v>0</v>
      </c>
      <c r="V20" s="396" t="str">
        <f t="shared" si="10"/>
        <v/>
      </c>
      <c r="W20" s="53"/>
      <c r="X20" s="391">
        <f>IFERROR(VLOOKUP($C20,'Proposed Rates'!$B:$J,X$11,FALSE),0)</f>
        <v>0</v>
      </c>
      <c r="Y20" s="409">
        <f t="shared" si="11"/>
        <v>51000</v>
      </c>
      <c r="Z20" s="394">
        <f t="shared" si="12"/>
        <v>0</v>
      </c>
      <c r="AA20" s="138"/>
      <c r="AB20" s="395">
        <f t="shared" si="13"/>
        <v>0</v>
      </c>
      <c r="AC20" s="396" t="str">
        <f t="shared" si="14"/>
        <v/>
      </c>
      <c r="AD20" s="53"/>
      <c r="AE20" s="391">
        <f>IFERROR(VLOOKUP($C20,'Proposed Rates'!$B:$J,AE$11,FALSE),0)</f>
        <v>0</v>
      </c>
      <c r="AF20" s="409">
        <f t="shared" si="15"/>
        <v>51000</v>
      </c>
      <c r="AG20" s="394">
        <f t="shared" si="16"/>
        <v>0</v>
      </c>
      <c r="AH20" s="138"/>
      <c r="AI20" s="395">
        <f t="shared" si="17"/>
        <v>0</v>
      </c>
      <c r="AJ20" s="396" t="str">
        <f t="shared" si="18"/>
        <v/>
      </c>
      <c r="AK20" s="53"/>
      <c r="AL20" s="391">
        <f>IFERROR(VLOOKUP($C20,'Proposed Rates'!$B:$J,AL$11,FALSE),0)</f>
        <v>0</v>
      </c>
      <c r="AM20" s="409">
        <f t="shared" si="19"/>
        <v>51000</v>
      </c>
      <c r="AN20" s="394">
        <f t="shared" si="20"/>
        <v>0</v>
      </c>
      <c r="AO20" s="138"/>
      <c r="AP20" s="395">
        <f t="shared" si="21"/>
        <v>0</v>
      </c>
      <c r="AQ20" s="396" t="str">
        <f t="shared" si="22"/>
        <v/>
      </c>
      <c r="AR20" s="397"/>
    </row>
    <row r="21" spans="1:44" ht="12" customHeight="1">
      <c r="A21" s="53"/>
      <c r="B21" s="328" t="s">
        <v>269</v>
      </c>
      <c r="C21" s="389" t="str">
        <f t="shared" si="0"/>
        <v>General Service 50 to 1,499 KW.LRAM Rate Rider</v>
      </c>
      <c r="D21" s="390" t="s">
        <v>406</v>
      </c>
      <c r="E21" s="328"/>
      <c r="F21" s="408">
        <f>'Proposed Rates'!E79+'Proposed Rates'!E92</f>
        <v>-0.2477</v>
      </c>
      <c r="G21" s="409">
        <f t="shared" si="1"/>
        <v>100</v>
      </c>
      <c r="H21" s="394">
        <f t="shared" si="2"/>
        <v>-24.77</v>
      </c>
      <c r="I21" s="138"/>
      <c r="J21" s="408">
        <f>'Proposed Rates'!F79+'Proposed Rates'!F92</f>
        <v>0</v>
      </c>
      <c r="K21" s="409">
        <f t="shared" si="3"/>
        <v>100</v>
      </c>
      <c r="L21" s="394">
        <f t="shared" si="4"/>
        <v>0</v>
      </c>
      <c r="M21" s="138"/>
      <c r="N21" s="395">
        <f t="shared" si="5"/>
        <v>24.77</v>
      </c>
      <c r="O21" s="396">
        <f t="shared" si="6"/>
        <v>-1</v>
      </c>
      <c r="P21" s="53"/>
      <c r="Q21" s="408">
        <f>'Proposed Rates'!G79+'Proposed Rates'!G92</f>
        <v>2.9499999999999998E-2</v>
      </c>
      <c r="R21" s="409">
        <f t="shared" si="7"/>
        <v>100</v>
      </c>
      <c r="S21" s="394">
        <f t="shared" si="8"/>
        <v>2.9499999999999997</v>
      </c>
      <c r="T21" s="138"/>
      <c r="U21" s="395">
        <f t="shared" si="9"/>
        <v>2.9499999999999997</v>
      </c>
      <c r="V21" s="396" t="str">
        <f t="shared" si="10"/>
        <v/>
      </c>
      <c r="W21" s="53"/>
      <c r="X21" s="408">
        <f>IFERROR(VLOOKUP($C21,'Proposed Rates'!$B:$J,X$11,FALSE),0)</f>
        <v>0</v>
      </c>
      <c r="Y21" s="409">
        <f t="shared" si="11"/>
        <v>100</v>
      </c>
      <c r="Z21" s="394">
        <f t="shared" si="12"/>
        <v>0</v>
      </c>
      <c r="AA21" s="138"/>
      <c r="AB21" s="395">
        <f t="shared" si="13"/>
        <v>-2.9499999999999997</v>
      </c>
      <c r="AC21" s="396">
        <f t="shared" si="14"/>
        <v>-1</v>
      </c>
      <c r="AD21" s="53"/>
      <c r="AE21" s="408">
        <f>IFERROR(VLOOKUP($C21,'Proposed Rates'!$B:$J,AE$11,FALSE),0)</f>
        <v>0</v>
      </c>
      <c r="AF21" s="409">
        <f t="shared" si="15"/>
        <v>100</v>
      </c>
      <c r="AG21" s="394">
        <f t="shared" si="16"/>
        <v>0</v>
      </c>
      <c r="AH21" s="138"/>
      <c r="AI21" s="395">
        <f t="shared" si="17"/>
        <v>0</v>
      </c>
      <c r="AJ21" s="396" t="str">
        <f t="shared" si="18"/>
        <v/>
      </c>
      <c r="AK21" s="53"/>
      <c r="AL21" s="408">
        <f>IFERROR(VLOOKUP($C21,'Proposed Rates'!$B:$J,AL$11,FALSE),0)</f>
        <v>0</v>
      </c>
      <c r="AM21" s="409">
        <f t="shared" si="19"/>
        <v>100</v>
      </c>
      <c r="AN21" s="394">
        <f t="shared" si="20"/>
        <v>0</v>
      </c>
      <c r="AO21" s="138"/>
      <c r="AP21" s="395">
        <f t="shared" si="21"/>
        <v>0</v>
      </c>
      <c r="AQ21" s="396" t="str">
        <f t="shared" si="22"/>
        <v/>
      </c>
      <c r="AR21" s="397"/>
    </row>
    <row r="22" spans="1:44" ht="12" customHeight="1">
      <c r="A22" s="53"/>
      <c r="B22" s="398" t="s">
        <v>265</v>
      </c>
      <c r="C22" s="389" t="str">
        <f t="shared" si="0"/>
        <v>General Service 50 to 1,499 KW.Deferral/Variance Account Disposition Rate Rider Group 2</v>
      </c>
      <c r="D22" s="390" t="s">
        <v>406</v>
      </c>
      <c r="E22" s="328"/>
      <c r="F22" s="391">
        <f>IFERROR(VLOOKUP($C22,'Proposed Rates'!$B:$J,F$11,FALSE),0)</f>
        <v>0</v>
      </c>
      <c r="G22" s="409">
        <f t="shared" si="1"/>
        <v>100</v>
      </c>
      <c r="H22" s="394">
        <f t="shared" si="2"/>
        <v>0</v>
      </c>
      <c r="I22" s="138"/>
      <c r="J22" s="391">
        <f>IFERROR(VLOOKUP($C22,'Proposed Rates'!$B:$J,J$11,FALSE),0)</f>
        <v>-0.26340000000000002</v>
      </c>
      <c r="K22" s="409">
        <f t="shared" si="3"/>
        <v>100</v>
      </c>
      <c r="L22" s="394">
        <f t="shared" si="4"/>
        <v>-26.340000000000003</v>
      </c>
      <c r="M22" s="138"/>
      <c r="N22" s="395">
        <f t="shared" si="5"/>
        <v>-26.340000000000003</v>
      </c>
      <c r="O22" s="396" t="str">
        <f t="shared" si="6"/>
        <v/>
      </c>
      <c r="P22" s="53"/>
      <c r="Q22" s="391">
        <f>IFERROR(VLOOKUP($C22,'Proposed Rates'!$B:$J,Q$11,FALSE),0)</f>
        <v>0</v>
      </c>
      <c r="R22" s="409">
        <f t="shared" si="7"/>
        <v>100</v>
      </c>
      <c r="S22" s="394">
        <f t="shared" si="8"/>
        <v>0</v>
      </c>
      <c r="T22" s="138"/>
      <c r="U22" s="395">
        <f t="shared" si="9"/>
        <v>26.340000000000003</v>
      </c>
      <c r="V22" s="396">
        <f t="shared" si="10"/>
        <v>-1</v>
      </c>
      <c r="W22" s="53"/>
      <c r="X22" s="391">
        <f>IFERROR(VLOOKUP($C22,'Proposed Rates'!$B:$J,X$11,FALSE),0)</f>
        <v>0</v>
      </c>
      <c r="Y22" s="409">
        <f t="shared" si="11"/>
        <v>100</v>
      </c>
      <c r="Z22" s="394">
        <f t="shared" si="12"/>
        <v>0</v>
      </c>
      <c r="AA22" s="138"/>
      <c r="AB22" s="395">
        <f t="shared" si="13"/>
        <v>0</v>
      </c>
      <c r="AC22" s="396" t="str">
        <f t="shared" si="14"/>
        <v/>
      </c>
      <c r="AD22" s="53"/>
      <c r="AE22" s="391">
        <f>IFERROR(VLOOKUP($C22,'Proposed Rates'!$B:$J,AE$11,FALSE),0)</f>
        <v>0</v>
      </c>
      <c r="AF22" s="409">
        <f t="shared" si="15"/>
        <v>100</v>
      </c>
      <c r="AG22" s="394">
        <f t="shared" si="16"/>
        <v>0</v>
      </c>
      <c r="AH22" s="138"/>
      <c r="AI22" s="395">
        <f t="shared" si="17"/>
        <v>0</v>
      </c>
      <c r="AJ22" s="396" t="str">
        <f t="shared" si="18"/>
        <v/>
      </c>
      <c r="AK22" s="53"/>
      <c r="AL22" s="391">
        <f>IFERROR(VLOOKUP($C22,'Proposed Rates'!$B:$J,AL$11,FALSE),0)</f>
        <v>0</v>
      </c>
      <c r="AM22" s="409">
        <f t="shared" si="19"/>
        <v>100</v>
      </c>
      <c r="AN22" s="394">
        <f t="shared" si="20"/>
        <v>0</v>
      </c>
      <c r="AO22" s="138"/>
      <c r="AP22" s="395">
        <f t="shared" si="21"/>
        <v>0</v>
      </c>
      <c r="AQ22" s="396" t="str">
        <f t="shared" si="22"/>
        <v/>
      </c>
      <c r="AR22" s="397"/>
    </row>
    <row r="23" spans="1:44" ht="12" customHeight="1">
      <c r="A23" s="53"/>
      <c r="B23" s="398"/>
      <c r="C23" s="389" t="str">
        <f t="shared" si="0"/>
        <v>General Service 50 to 1,499 KW.</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row>
    <row r="24" spans="1:44" ht="12" customHeight="1">
      <c r="A24" s="53"/>
      <c r="B24" s="398"/>
      <c r="C24" s="389" t="str">
        <f t="shared" si="0"/>
        <v>General Service 50 to 1,499 KW.</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row>
    <row r="25" spans="1:44" ht="12" customHeight="1">
      <c r="A25" s="53"/>
      <c r="B25" s="398"/>
      <c r="C25" s="389" t="str">
        <f t="shared" si="0"/>
        <v>General Service 50 to 1,499 KW.</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row>
    <row r="26" spans="1:44" ht="12" customHeight="1">
      <c r="A26" s="53"/>
      <c r="B26" s="398"/>
      <c r="C26" s="389" t="str">
        <f t="shared" si="0"/>
        <v>General Service 50 to 1,499 KW.</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row>
    <row r="27" spans="1:44" ht="12" customHeight="1">
      <c r="A27" s="53"/>
      <c r="B27" s="398"/>
      <c r="C27" s="389" t="str">
        <f t="shared" si="0"/>
        <v>General Service 50 to 1,499 KW.</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row>
    <row r="28" spans="1:44" ht="12" customHeight="1">
      <c r="A28" s="53"/>
      <c r="B28" s="398"/>
      <c r="C28" s="389" t="str">
        <f t="shared" si="0"/>
        <v>General Service 50 to 1,499 KW.</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row>
    <row r="29" spans="1:44" ht="12" customHeight="1">
      <c r="A29" s="314"/>
      <c r="B29" s="399" t="s">
        <v>339</v>
      </c>
      <c r="C29" s="400"/>
      <c r="D29" s="400"/>
      <c r="E29" s="400"/>
      <c r="F29" s="401"/>
      <c r="G29" s="494"/>
      <c r="H29" s="403">
        <f>SUM(H15:H28)</f>
        <v>830.76</v>
      </c>
      <c r="I29" s="404"/>
      <c r="J29" s="401"/>
      <c r="K29" s="494"/>
      <c r="L29" s="403">
        <f>SUM(L15:L28)</f>
        <v>983.74</v>
      </c>
      <c r="M29" s="404"/>
      <c r="N29" s="405">
        <f t="shared" si="5"/>
        <v>152.98000000000002</v>
      </c>
      <c r="O29" s="406">
        <f t="shared" si="6"/>
        <v>0.18414463864413311</v>
      </c>
      <c r="P29" s="314"/>
      <c r="Q29" s="401"/>
      <c r="R29" s="494"/>
      <c r="S29" s="403">
        <f>SUM(S15:S28)</f>
        <v>1055.43</v>
      </c>
      <c r="T29" s="404"/>
      <c r="U29" s="405">
        <f t="shared" si="9"/>
        <v>71.690000000000055</v>
      </c>
      <c r="V29" s="406">
        <f t="shared" si="10"/>
        <v>7.2874946632240284E-2</v>
      </c>
      <c r="W29" s="314"/>
      <c r="X29" s="401"/>
      <c r="Y29" s="494"/>
      <c r="Z29" s="403">
        <f>SUM(Z15:Z28)</f>
        <v>1070.73</v>
      </c>
      <c r="AA29" s="404"/>
      <c r="AB29" s="405">
        <f t="shared" si="13"/>
        <v>15.299999999999955</v>
      </c>
      <c r="AC29" s="406">
        <f t="shared" si="14"/>
        <v>1.4496461158011382E-2</v>
      </c>
      <c r="AD29" s="314"/>
      <c r="AE29" s="401"/>
      <c r="AF29" s="494"/>
      <c r="AG29" s="403">
        <f>SUM(AG15:AG28)</f>
        <v>1103.8600000000001</v>
      </c>
      <c r="AH29" s="404"/>
      <c r="AI29" s="405">
        <f t="shared" si="17"/>
        <v>33.130000000000109</v>
      </c>
      <c r="AJ29" s="406">
        <f t="shared" si="18"/>
        <v>3.0941507196025245E-2</v>
      </c>
      <c r="AK29" s="314"/>
      <c r="AL29" s="401"/>
      <c r="AM29" s="494"/>
      <c r="AN29" s="403">
        <f>SUM(AN15:AN28)</f>
        <v>1134.1599999999999</v>
      </c>
      <c r="AO29" s="404"/>
      <c r="AP29" s="405">
        <f t="shared" si="21"/>
        <v>30.299999999999727</v>
      </c>
      <c r="AQ29" s="406">
        <f t="shared" si="22"/>
        <v>2.7449133042233367E-2</v>
      </c>
      <c r="AR29" s="407"/>
    </row>
    <row r="30" spans="1:44" ht="12" customHeight="1">
      <c r="A30" s="53"/>
      <c r="B30" s="398" t="s">
        <v>262</v>
      </c>
      <c r="C30" s="389" t="str">
        <f t="shared" ref="C30:C38" si="23">D$6&amp;"."&amp;B30</f>
        <v>General Service 50 to 1,499 KW.DVA Disposition Rate Rider Group 1 -2025</v>
      </c>
      <c r="D30" s="390" t="s">
        <v>406</v>
      </c>
      <c r="E30" s="328"/>
      <c r="F30" s="408">
        <f>IFERROR(VLOOKUP($C30,'Proposed Rates'!$B:$J,F$11,FALSE),0)</f>
        <v>0.35310000000000002</v>
      </c>
      <c r="G30" s="409">
        <f t="shared" ref="G30:G36" si="24">IF($D30="Monthly",1,IF($D30="per KW",$F$10,IF($D30="per kWh",$F$9,0)))</f>
        <v>100</v>
      </c>
      <c r="H30" s="394">
        <f t="shared" ref="H30:H38" si="25">G30*F30</f>
        <v>35.31</v>
      </c>
      <c r="I30" s="138"/>
      <c r="J30" s="408">
        <f>IFERROR(VLOOKUP($C30,'Proposed Rates'!$B:$J,J$11,FALSE),0)</f>
        <v>1.2999999999999999E-2</v>
      </c>
      <c r="K30" s="409">
        <f t="shared" ref="K30:K36" si="26">IF($D30="Monthly",1,IF($D30="per KW",$F$10,IF($D30="per kWh",$F$9,0)))</f>
        <v>100</v>
      </c>
      <c r="L30" s="394">
        <f t="shared" ref="L30:L38" si="27">K30*J30</f>
        <v>1.3</v>
      </c>
      <c r="M30" s="138"/>
      <c r="N30" s="395">
        <f t="shared" si="5"/>
        <v>-34.010000000000005</v>
      </c>
      <c r="O30" s="396">
        <f t="shared" si="6"/>
        <v>-0.96318323421127172</v>
      </c>
      <c r="P30" s="53"/>
      <c r="Q30" s="408">
        <f>IFERROR(VLOOKUP($C30,'Proposed Rates'!$B:$J,Q$11,FALSE),0)</f>
        <v>0</v>
      </c>
      <c r="R30" s="409">
        <f t="shared" ref="R30:R36" si="28">IF($D30="Monthly",1,IF($D30="per KW",$F$10,IF($D30="per kWh",$F$9,0)))</f>
        <v>100</v>
      </c>
      <c r="S30" s="394">
        <f t="shared" ref="S30:S38" si="29">R30*Q30</f>
        <v>0</v>
      </c>
      <c r="T30" s="138"/>
      <c r="U30" s="395">
        <f t="shared" si="9"/>
        <v>-1.3</v>
      </c>
      <c r="V30" s="396">
        <f t="shared" si="10"/>
        <v>-1</v>
      </c>
      <c r="W30" s="53"/>
      <c r="X30" s="408">
        <f>IFERROR(VLOOKUP($C30,'Proposed Rates'!$B:$J,X$11,FALSE),0)</f>
        <v>0</v>
      </c>
      <c r="Y30" s="409">
        <f t="shared" ref="Y30:Y36" si="30">IF($D30="Monthly",1,IF($D30="per KW",$F$10,IF($D30="per kWh",$F$9,0)))</f>
        <v>100</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100</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100</v>
      </c>
      <c r="AN30" s="394">
        <f t="shared" ref="AN30:AN38" si="35">AM30*AL30</f>
        <v>0</v>
      </c>
      <c r="AO30" s="138"/>
      <c r="AP30" s="395">
        <f t="shared" si="21"/>
        <v>0</v>
      </c>
      <c r="AQ30" s="396" t="str">
        <f t="shared" si="22"/>
        <v/>
      </c>
      <c r="AR30" s="397"/>
    </row>
    <row r="31" spans="1:44" ht="12" customHeight="1">
      <c r="A31" s="53"/>
      <c r="B31" s="398" t="s">
        <v>264</v>
      </c>
      <c r="C31" s="389" t="str">
        <f t="shared" si="23"/>
        <v>General Service 50 to 1,499 KW.DVA Disposition Rate Rider Group 1 - 2024</v>
      </c>
      <c r="D31" s="390" t="s">
        <v>406</v>
      </c>
      <c r="E31" s="328"/>
      <c r="F31" s="408">
        <f>IFERROR(VLOOKUP($C31,'Proposed Rates'!$B:$J,F$11,FALSE),0)</f>
        <v>0</v>
      </c>
      <c r="G31" s="409">
        <f t="shared" si="24"/>
        <v>100</v>
      </c>
      <c r="H31" s="394">
        <f t="shared" si="25"/>
        <v>0</v>
      </c>
      <c r="I31" s="138"/>
      <c r="J31" s="408">
        <f>IFERROR(VLOOKUP($C31,'Proposed Rates'!$B:$J,J$11,FALSE),0)</f>
        <v>0</v>
      </c>
      <c r="K31" s="409">
        <f t="shared" si="26"/>
        <v>100</v>
      </c>
      <c r="L31" s="394">
        <f t="shared" si="27"/>
        <v>0</v>
      </c>
      <c r="M31" s="138"/>
      <c r="N31" s="395">
        <f t="shared" si="5"/>
        <v>0</v>
      </c>
      <c r="O31" s="396" t="str">
        <f t="shared" si="6"/>
        <v/>
      </c>
      <c r="P31" s="53"/>
      <c r="Q31" s="408">
        <f>IFERROR(VLOOKUP($C31,'Proposed Rates'!$B:$J,Q$11,FALSE),0)</f>
        <v>0</v>
      </c>
      <c r="R31" s="409">
        <f t="shared" si="28"/>
        <v>100</v>
      </c>
      <c r="S31" s="394">
        <f t="shared" si="29"/>
        <v>0</v>
      </c>
      <c r="T31" s="138"/>
      <c r="U31" s="395">
        <f t="shared" si="9"/>
        <v>0</v>
      </c>
      <c r="V31" s="396" t="str">
        <f t="shared" si="10"/>
        <v/>
      </c>
      <c r="W31" s="53"/>
      <c r="X31" s="408">
        <f>IFERROR(VLOOKUP($C31,'Proposed Rates'!$B:$J,X$11,FALSE),0)</f>
        <v>0</v>
      </c>
      <c r="Y31" s="409">
        <f t="shared" si="30"/>
        <v>100</v>
      </c>
      <c r="Z31" s="394">
        <f t="shared" si="31"/>
        <v>0</v>
      </c>
      <c r="AA31" s="138"/>
      <c r="AB31" s="395">
        <f t="shared" si="13"/>
        <v>0</v>
      </c>
      <c r="AC31" s="396" t="str">
        <f t="shared" si="14"/>
        <v/>
      </c>
      <c r="AD31" s="53"/>
      <c r="AE31" s="408">
        <f>IFERROR(VLOOKUP($C31,'Proposed Rates'!$B:$J,AE$11,FALSE),0)</f>
        <v>0</v>
      </c>
      <c r="AF31" s="409">
        <f t="shared" si="32"/>
        <v>100</v>
      </c>
      <c r="AG31" s="394">
        <f t="shared" si="33"/>
        <v>0</v>
      </c>
      <c r="AH31" s="138"/>
      <c r="AI31" s="395">
        <f t="shared" si="17"/>
        <v>0</v>
      </c>
      <c r="AJ31" s="396" t="str">
        <f t="shared" si="18"/>
        <v/>
      </c>
      <c r="AK31" s="53"/>
      <c r="AL31" s="408">
        <f>IFERROR(VLOOKUP($C31,'Proposed Rates'!$B:$J,AL$11,FALSE),0)</f>
        <v>0</v>
      </c>
      <c r="AM31" s="409">
        <f t="shared" si="34"/>
        <v>100</v>
      </c>
      <c r="AN31" s="394">
        <f t="shared" si="35"/>
        <v>0</v>
      </c>
      <c r="AO31" s="138"/>
      <c r="AP31" s="395">
        <f t="shared" si="21"/>
        <v>0</v>
      </c>
      <c r="AQ31" s="396" t="str">
        <f t="shared" si="22"/>
        <v/>
      </c>
      <c r="AR31" s="397"/>
    </row>
    <row r="32" spans="1:44" ht="12" customHeight="1">
      <c r="A32" s="53"/>
      <c r="B32" s="398" t="s">
        <v>272</v>
      </c>
      <c r="C32" s="389" t="str">
        <f t="shared" si="23"/>
        <v>General Service 50 to 1,499 KW.CBR Class B Rate Riders</v>
      </c>
      <c r="D32" s="390" t="s">
        <v>337</v>
      </c>
      <c r="E32" s="328"/>
      <c r="F32" s="408">
        <f>IFERROR(VLOOKUP($C32,'Proposed Rates'!$B:$J,F$11,FALSE),0)</f>
        <v>2.0000000000000001E-4</v>
      </c>
      <c r="G32" s="409">
        <f t="shared" si="24"/>
        <v>51000</v>
      </c>
      <c r="H32" s="394">
        <f t="shared" si="25"/>
        <v>10.200000000000001</v>
      </c>
      <c r="I32" s="138"/>
      <c r="J32" s="408">
        <f>IFERROR(VLOOKUP($C32,'Proposed Rates'!$B:$J,J$11,FALSE),0)</f>
        <v>6.9999999999999999E-4</v>
      </c>
      <c r="K32" s="409">
        <f t="shared" si="26"/>
        <v>51000</v>
      </c>
      <c r="L32" s="394">
        <f t="shared" si="27"/>
        <v>35.700000000000003</v>
      </c>
      <c r="M32" s="138"/>
      <c r="N32" s="395">
        <f t="shared" si="5"/>
        <v>25.5</v>
      </c>
      <c r="O32" s="396">
        <f t="shared" si="6"/>
        <v>2.4999999999999996</v>
      </c>
      <c r="P32" s="53"/>
      <c r="Q32" s="408">
        <f>IFERROR(VLOOKUP($C32,'Proposed Rates'!$B:$J,Q$11,FALSE),0)</f>
        <v>0</v>
      </c>
      <c r="R32" s="409">
        <f t="shared" si="28"/>
        <v>51000</v>
      </c>
      <c r="S32" s="394">
        <f t="shared" si="29"/>
        <v>0</v>
      </c>
      <c r="T32" s="138"/>
      <c r="U32" s="395">
        <f t="shared" si="9"/>
        <v>-35.700000000000003</v>
      </c>
      <c r="V32" s="396">
        <f t="shared" si="10"/>
        <v>-1</v>
      </c>
      <c r="W32" s="53"/>
      <c r="X32" s="408">
        <f>IFERROR(VLOOKUP($C32,'Proposed Rates'!$B:$J,X$11,FALSE),0)</f>
        <v>0</v>
      </c>
      <c r="Y32" s="409">
        <f t="shared" si="30"/>
        <v>51000</v>
      </c>
      <c r="Z32" s="394">
        <f t="shared" si="31"/>
        <v>0</v>
      </c>
      <c r="AA32" s="138"/>
      <c r="AB32" s="395">
        <f t="shared" si="13"/>
        <v>0</v>
      </c>
      <c r="AC32" s="396" t="str">
        <f t="shared" si="14"/>
        <v/>
      </c>
      <c r="AD32" s="53"/>
      <c r="AE32" s="408">
        <f>IFERROR(VLOOKUP($C32,'Proposed Rates'!$B:$J,AE$11,FALSE),0)</f>
        <v>0</v>
      </c>
      <c r="AF32" s="409">
        <f t="shared" si="32"/>
        <v>51000</v>
      </c>
      <c r="AG32" s="394">
        <f t="shared" si="33"/>
        <v>0</v>
      </c>
      <c r="AH32" s="138"/>
      <c r="AI32" s="395">
        <f t="shared" si="17"/>
        <v>0</v>
      </c>
      <c r="AJ32" s="396" t="str">
        <f t="shared" si="18"/>
        <v/>
      </c>
      <c r="AK32" s="53"/>
      <c r="AL32" s="408">
        <f>IFERROR(VLOOKUP($C32,'Proposed Rates'!$B:$J,AL$11,FALSE),0)</f>
        <v>0</v>
      </c>
      <c r="AM32" s="409">
        <f t="shared" si="34"/>
        <v>51000</v>
      </c>
      <c r="AN32" s="394">
        <f t="shared" si="35"/>
        <v>0</v>
      </c>
      <c r="AO32" s="138"/>
      <c r="AP32" s="395">
        <f t="shared" si="21"/>
        <v>0</v>
      </c>
      <c r="AQ32" s="396" t="str">
        <f t="shared" si="22"/>
        <v/>
      </c>
      <c r="AR32" s="397"/>
    </row>
    <row r="33" spans="1:44" ht="12" customHeight="1">
      <c r="A33" s="53"/>
      <c r="B33" s="398" t="s">
        <v>279</v>
      </c>
      <c r="C33" s="389" t="str">
        <f t="shared" si="23"/>
        <v>General Service 50 to 1,499 KW.GA Rate Riders</v>
      </c>
      <c r="D33" s="390" t="s">
        <v>337</v>
      </c>
      <c r="E33" s="328"/>
      <c r="F33" s="408">
        <f>IFERROR(VLOOKUP($C33,'Proposed Rates'!$B:$J,F$11,FALSE),0)</f>
        <v>3.8999999999999998E-3</v>
      </c>
      <c r="G33" s="409">
        <f t="shared" si="24"/>
        <v>51000</v>
      </c>
      <c r="H33" s="394">
        <f t="shared" si="25"/>
        <v>198.89999999999998</v>
      </c>
      <c r="I33" s="138"/>
      <c r="J33" s="408">
        <f>IFERROR(VLOOKUP($C33,'Proposed Rates'!$B:$J,J$11,FALSE),0)</f>
        <v>4.4999999999999997E-3</v>
      </c>
      <c r="K33" s="409">
        <f t="shared" si="26"/>
        <v>51000</v>
      </c>
      <c r="L33" s="394">
        <f t="shared" si="27"/>
        <v>229.49999999999997</v>
      </c>
      <c r="M33" s="138"/>
      <c r="N33" s="395">
        <f t="shared" si="5"/>
        <v>30.599999999999994</v>
      </c>
      <c r="O33" s="396">
        <f t="shared" si="6"/>
        <v>0.15384615384615383</v>
      </c>
      <c r="P33" s="53"/>
      <c r="Q33" s="408">
        <f>IFERROR(VLOOKUP($C33,'Proposed Rates'!$B:$J,Q$11,FALSE),0)</f>
        <v>4.4999999999999997E-3</v>
      </c>
      <c r="R33" s="409">
        <f t="shared" si="28"/>
        <v>51000</v>
      </c>
      <c r="S33" s="394">
        <f t="shared" si="29"/>
        <v>229.49999999999997</v>
      </c>
      <c r="T33" s="138"/>
      <c r="U33" s="395">
        <f t="shared" si="9"/>
        <v>0</v>
      </c>
      <c r="V33" s="396">
        <f t="shared" si="10"/>
        <v>0</v>
      </c>
      <c r="W33" s="53"/>
      <c r="X33" s="408">
        <f>IFERROR(VLOOKUP($C33,'Proposed Rates'!$B:$J,X$11,FALSE),0)</f>
        <v>0</v>
      </c>
      <c r="Y33" s="409">
        <f t="shared" si="30"/>
        <v>51000</v>
      </c>
      <c r="Z33" s="394">
        <f t="shared" si="31"/>
        <v>0</v>
      </c>
      <c r="AA33" s="138"/>
      <c r="AB33" s="395">
        <f t="shared" si="13"/>
        <v>-229.49999999999997</v>
      </c>
      <c r="AC33" s="396">
        <f t="shared" si="14"/>
        <v>-1</v>
      </c>
      <c r="AD33" s="53"/>
      <c r="AE33" s="408">
        <f>IFERROR(VLOOKUP($C33,'Proposed Rates'!$B:$J,AE$11,FALSE),0)</f>
        <v>0</v>
      </c>
      <c r="AF33" s="409">
        <f t="shared" si="32"/>
        <v>51000</v>
      </c>
      <c r="AG33" s="394">
        <f t="shared" si="33"/>
        <v>0</v>
      </c>
      <c r="AH33" s="138"/>
      <c r="AI33" s="395">
        <f t="shared" si="17"/>
        <v>0</v>
      </c>
      <c r="AJ33" s="396" t="str">
        <f t="shared" si="18"/>
        <v/>
      </c>
      <c r="AK33" s="53"/>
      <c r="AL33" s="408">
        <f>IFERROR(VLOOKUP($C33,'Proposed Rates'!$B:$J,AL$11,FALSE),0)</f>
        <v>0</v>
      </c>
      <c r="AM33" s="409">
        <f t="shared" si="34"/>
        <v>51000</v>
      </c>
      <c r="AN33" s="394">
        <f t="shared" si="35"/>
        <v>0</v>
      </c>
      <c r="AO33" s="138"/>
      <c r="AP33" s="395">
        <f t="shared" si="21"/>
        <v>0</v>
      </c>
      <c r="AQ33" s="396" t="str">
        <f t="shared" si="22"/>
        <v/>
      </c>
      <c r="AR33" s="397"/>
    </row>
    <row r="34" spans="1:44" ht="12" customHeight="1">
      <c r="A34" s="53"/>
      <c r="B34" s="398" t="s">
        <v>282</v>
      </c>
      <c r="C34" s="389" t="str">
        <f t="shared" si="23"/>
        <v>General Service 50 to 1,499 KW.Total Deferral/Variance Account Rate RidersYr2</v>
      </c>
      <c r="D34" s="390" t="s">
        <v>406</v>
      </c>
      <c r="E34" s="328"/>
      <c r="F34" s="408">
        <f>IFERROR(VLOOKUP($C34,'Proposed Rates'!$B:$J,F$11,FALSE),0)</f>
        <v>-0.30499999999999999</v>
      </c>
      <c r="G34" s="409">
        <f t="shared" si="24"/>
        <v>100</v>
      </c>
      <c r="H34" s="394">
        <f t="shared" si="25"/>
        <v>-30.5</v>
      </c>
      <c r="I34" s="138"/>
      <c r="J34" s="408">
        <f>IFERROR(VLOOKUP($C34,'Proposed Rates'!$B:$J,J$11,FALSE),0)</f>
        <v>-0.37569999999999998</v>
      </c>
      <c r="K34" s="409">
        <f t="shared" si="26"/>
        <v>100</v>
      </c>
      <c r="L34" s="394">
        <f t="shared" si="27"/>
        <v>-37.57</v>
      </c>
      <c r="M34" s="138"/>
      <c r="N34" s="395">
        <f t="shared" si="5"/>
        <v>-7.07</v>
      </c>
      <c r="O34" s="396">
        <f t="shared" si="6"/>
        <v>0.2318032786885246</v>
      </c>
      <c r="P34" s="53"/>
      <c r="Q34" s="408">
        <f>IFERROR(VLOOKUP($C34,'Proposed Rates'!$B:$J,Q$11,FALSE),0)</f>
        <v>0</v>
      </c>
      <c r="R34" s="409">
        <f t="shared" si="28"/>
        <v>100</v>
      </c>
      <c r="S34" s="394">
        <f t="shared" si="29"/>
        <v>0</v>
      </c>
      <c r="T34" s="138"/>
      <c r="U34" s="395">
        <f t="shared" si="9"/>
        <v>37.57</v>
      </c>
      <c r="V34" s="396">
        <f t="shared" si="10"/>
        <v>-1</v>
      </c>
      <c r="W34" s="53"/>
      <c r="X34" s="408">
        <f>IFERROR(VLOOKUP($C34,'Proposed Rates'!$B:$J,X$11,FALSE),0)</f>
        <v>0</v>
      </c>
      <c r="Y34" s="409">
        <f t="shared" si="30"/>
        <v>100</v>
      </c>
      <c r="Z34" s="394">
        <f t="shared" si="31"/>
        <v>0</v>
      </c>
      <c r="AA34" s="138"/>
      <c r="AB34" s="395">
        <f t="shared" si="13"/>
        <v>0</v>
      </c>
      <c r="AC34" s="396" t="str">
        <f t="shared" si="14"/>
        <v/>
      </c>
      <c r="AD34" s="53"/>
      <c r="AE34" s="408">
        <f>IFERROR(VLOOKUP($C34,'Proposed Rates'!$B:$J,AE$11,FALSE),0)</f>
        <v>0</v>
      </c>
      <c r="AF34" s="409">
        <f t="shared" si="32"/>
        <v>100</v>
      </c>
      <c r="AG34" s="394">
        <f t="shared" si="33"/>
        <v>0</v>
      </c>
      <c r="AH34" s="138"/>
      <c r="AI34" s="395">
        <f t="shared" si="17"/>
        <v>0</v>
      </c>
      <c r="AJ34" s="396" t="str">
        <f t="shared" si="18"/>
        <v/>
      </c>
      <c r="AK34" s="53"/>
      <c r="AL34" s="408">
        <f>IFERROR(VLOOKUP($C34,'Proposed Rates'!$B:$J,AL$11,FALSE),0)</f>
        <v>0</v>
      </c>
      <c r="AM34" s="409">
        <f t="shared" si="34"/>
        <v>100</v>
      </c>
      <c r="AN34" s="394">
        <f t="shared" si="35"/>
        <v>0</v>
      </c>
      <c r="AO34" s="138"/>
      <c r="AP34" s="395">
        <f t="shared" si="21"/>
        <v>0</v>
      </c>
      <c r="AQ34" s="396" t="str">
        <f t="shared" si="22"/>
        <v/>
      </c>
      <c r="AR34" s="397"/>
    </row>
    <row r="35" spans="1:44" ht="12" customHeight="1">
      <c r="A35" s="53"/>
      <c r="B35" s="398" t="s">
        <v>284</v>
      </c>
      <c r="C35" s="389" t="str">
        <f t="shared" si="23"/>
        <v>General Service 50 to 1,499 KW.Total Deferral/Variance Account Rate Riders</v>
      </c>
      <c r="D35" s="390" t="s">
        <v>406</v>
      </c>
      <c r="E35" s="328"/>
      <c r="F35" s="408">
        <f>IFERROR(VLOOKUP($C35,'Proposed Rates'!$B:$J,F$11,FALSE),0)</f>
        <v>0</v>
      </c>
      <c r="G35" s="409">
        <f t="shared" si="24"/>
        <v>100</v>
      </c>
      <c r="H35" s="394">
        <f t="shared" si="25"/>
        <v>0</v>
      </c>
      <c r="I35" s="138"/>
      <c r="J35" s="408">
        <f>IFERROR(VLOOKUP($C35,'Proposed Rates'!$B:$J,J$11,FALSE),0)</f>
        <v>0</v>
      </c>
      <c r="K35" s="409">
        <f t="shared" si="26"/>
        <v>100</v>
      </c>
      <c r="L35" s="394">
        <f t="shared" si="27"/>
        <v>0</v>
      </c>
      <c r="M35" s="138"/>
      <c r="N35" s="395">
        <f t="shared" si="5"/>
        <v>0</v>
      </c>
      <c r="O35" s="396" t="str">
        <f t="shared" si="6"/>
        <v/>
      </c>
      <c r="P35" s="53"/>
      <c r="Q35" s="408">
        <f>IFERROR(VLOOKUP($C35,'Proposed Rates'!$B:$J,Q$11,FALSE),0)</f>
        <v>0</v>
      </c>
      <c r="R35" s="409">
        <f t="shared" si="28"/>
        <v>100</v>
      </c>
      <c r="S35" s="394">
        <f t="shared" si="29"/>
        <v>0</v>
      </c>
      <c r="T35" s="138"/>
      <c r="U35" s="395">
        <f t="shared" si="9"/>
        <v>0</v>
      </c>
      <c r="V35" s="396" t="str">
        <f t="shared" si="10"/>
        <v/>
      </c>
      <c r="W35" s="53"/>
      <c r="X35" s="408">
        <f>IFERROR(VLOOKUP($C35,'Proposed Rates'!$B:$J,X$11,FALSE),0)</f>
        <v>0</v>
      </c>
      <c r="Y35" s="409">
        <f t="shared" si="30"/>
        <v>100</v>
      </c>
      <c r="Z35" s="394">
        <f t="shared" si="31"/>
        <v>0</v>
      </c>
      <c r="AA35" s="138"/>
      <c r="AB35" s="395">
        <f t="shared" si="13"/>
        <v>0</v>
      </c>
      <c r="AC35" s="396" t="str">
        <f t="shared" si="14"/>
        <v/>
      </c>
      <c r="AD35" s="53"/>
      <c r="AE35" s="408">
        <f>IFERROR(VLOOKUP($C35,'Proposed Rates'!$B:$J,AE$11,FALSE),0)</f>
        <v>0</v>
      </c>
      <c r="AF35" s="409">
        <f t="shared" si="32"/>
        <v>100</v>
      </c>
      <c r="AG35" s="394">
        <f t="shared" si="33"/>
        <v>0</v>
      </c>
      <c r="AH35" s="138"/>
      <c r="AI35" s="395">
        <f t="shared" si="17"/>
        <v>0</v>
      </c>
      <c r="AJ35" s="396" t="str">
        <f t="shared" si="18"/>
        <v/>
      </c>
      <c r="AK35" s="53"/>
      <c r="AL35" s="408">
        <f>IFERROR(VLOOKUP($C35,'Proposed Rates'!$B:$J,AL$11,FALSE),0)</f>
        <v>0</v>
      </c>
      <c r="AM35" s="409">
        <f t="shared" si="34"/>
        <v>100</v>
      </c>
      <c r="AN35" s="394">
        <f t="shared" si="35"/>
        <v>0</v>
      </c>
      <c r="AO35" s="138"/>
      <c r="AP35" s="395">
        <f t="shared" si="21"/>
        <v>0</v>
      </c>
      <c r="AQ35" s="396" t="str">
        <f t="shared" si="22"/>
        <v/>
      </c>
      <c r="AR35" s="397"/>
    </row>
    <row r="36" spans="1:44" ht="12" customHeight="1">
      <c r="A36" s="53"/>
      <c r="B36" s="328" t="s">
        <v>300</v>
      </c>
      <c r="C36" s="389" t="str">
        <f t="shared" si="23"/>
        <v>General Service 50 to 1,499 KW.Low Voltage Service Charge</v>
      </c>
      <c r="D36" s="390" t="s">
        <v>406</v>
      </c>
      <c r="E36" s="328"/>
      <c r="F36" s="408">
        <f>IFERROR(VLOOKUP($C36,'Proposed Rates'!$B:$J,F$11,FALSE),0)</f>
        <v>2.0629999999999999E-2</v>
      </c>
      <c r="G36" s="409">
        <f t="shared" si="24"/>
        <v>100</v>
      </c>
      <c r="H36" s="394">
        <f t="shared" si="25"/>
        <v>2.0629999999999997</v>
      </c>
      <c r="I36" s="138"/>
      <c r="J36" s="408">
        <f>IFERROR(VLOOKUP($C36,'Proposed Rates'!$B:$J,J$11,FALSE),0)</f>
        <v>2.332E-2</v>
      </c>
      <c r="K36" s="409">
        <f t="shared" si="26"/>
        <v>100</v>
      </c>
      <c r="L36" s="394">
        <f t="shared" si="27"/>
        <v>2.3319999999999999</v>
      </c>
      <c r="M36" s="138"/>
      <c r="N36" s="395">
        <f t="shared" si="5"/>
        <v>0.26900000000000013</v>
      </c>
      <c r="O36" s="396">
        <f t="shared" si="6"/>
        <v>0.13039263208919058</v>
      </c>
      <c r="P36" s="53"/>
      <c r="Q36" s="408">
        <f>IFERROR(VLOOKUP($C36,'Proposed Rates'!$B:$J,Q$11,FALSE),0)</f>
        <v>2.392E-2</v>
      </c>
      <c r="R36" s="409">
        <f t="shared" si="28"/>
        <v>100</v>
      </c>
      <c r="S36" s="394">
        <f t="shared" si="29"/>
        <v>2.3919999999999999</v>
      </c>
      <c r="T36" s="138"/>
      <c r="U36" s="395">
        <f t="shared" si="9"/>
        <v>6.0000000000000053E-2</v>
      </c>
      <c r="V36" s="396">
        <f t="shared" si="10"/>
        <v>2.5728987993138962E-2</v>
      </c>
      <c r="W36" s="53"/>
      <c r="X36" s="408">
        <f>IFERROR(VLOOKUP($C36,'Proposed Rates'!$B:$J,X$11,FALSE),0)</f>
        <v>2.4209999999999999E-2</v>
      </c>
      <c r="Y36" s="409">
        <f t="shared" si="30"/>
        <v>100</v>
      </c>
      <c r="Z36" s="394">
        <f t="shared" si="31"/>
        <v>2.4209999999999998</v>
      </c>
      <c r="AA36" s="138"/>
      <c r="AB36" s="395">
        <f t="shared" si="13"/>
        <v>2.8999999999999915E-2</v>
      </c>
      <c r="AC36" s="396">
        <f t="shared" si="14"/>
        <v>1.2123745819397957E-2</v>
      </c>
      <c r="AD36" s="53"/>
      <c r="AE36" s="408">
        <f>IFERROR(VLOOKUP($C36,'Proposed Rates'!$B:$J,AE$11,FALSE),0)</f>
        <v>2.46E-2</v>
      </c>
      <c r="AF36" s="409">
        <f t="shared" si="32"/>
        <v>100</v>
      </c>
      <c r="AG36" s="394">
        <f t="shared" si="33"/>
        <v>2.46</v>
      </c>
      <c r="AH36" s="138"/>
      <c r="AI36" s="395">
        <f t="shared" si="17"/>
        <v>3.9000000000000146E-2</v>
      </c>
      <c r="AJ36" s="396">
        <f t="shared" si="18"/>
        <v>1.6109045848822862E-2</v>
      </c>
      <c r="AK36" s="53"/>
      <c r="AL36" s="408">
        <f>IFERROR(VLOOKUP($C36,'Proposed Rates'!$B:$J,AL$11,FALSE),0)</f>
        <v>2.504E-2</v>
      </c>
      <c r="AM36" s="409">
        <f t="shared" si="34"/>
        <v>100</v>
      </c>
      <c r="AN36" s="394">
        <f t="shared" si="35"/>
        <v>2.504</v>
      </c>
      <c r="AO36" s="138"/>
      <c r="AP36" s="395">
        <f t="shared" si="21"/>
        <v>4.4000000000000039E-2</v>
      </c>
      <c r="AQ36" s="396">
        <f t="shared" si="22"/>
        <v>1.7886178861788633E-2</v>
      </c>
      <c r="AR36" s="397"/>
    </row>
    <row r="37" spans="1:44" ht="12" customHeight="1">
      <c r="A37" s="53"/>
      <c r="B37" s="328" t="s">
        <v>341</v>
      </c>
      <c r="C37" s="389" t="str">
        <f t="shared" si="23"/>
        <v>General Service 50 to 1,499 KW.Line Losses on Cost of Power</v>
      </c>
      <c r="D37" s="390" t="s">
        <v>337</v>
      </c>
      <c r="E37" s="328"/>
      <c r="F37" s="424"/>
      <c r="G37" s="415">
        <f>$F$9*(1+F$65)-$F$9</f>
        <v>1723.8000000000029</v>
      </c>
      <c r="H37" s="394">
        <f t="shared" si="25"/>
        <v>0</v>
      </c>
      <c r="I37" s="138"/>
      <c r="J37" s="424"/>
      <c r="K37" s="415">
        <f>$F$9*(1+J$65)-$F$9</f>
        <v>1693.1999999999971</v>
      </c>
      <c r="L37" s="394">
        <f t="shared" si="27"/>
        <v>0</v>
      </c>
      <c r="M37" s="138"/>
      <c r="N37" s="395">
        <f t="shared" si="5"/>
        <v>0</v>
      </c>
      <c r="O37" s="396" t="str">
        <f t="shared" si="6"/>
        <v/>
      </c>
      <c r="P37" s="53"/>
      <c r="Q37" s="424"/>
      <c r="R37" s="415">
        <f>$F$9*(1+Q$65)-$F$9</f>
        <v>1693.1999999999971</v>
      </c>
      <c r="S37" s="394">
        <f t="shared" si="29"/>
        <v>0</v>
      </c>
      <c r="T37" s="138"/>
      <c r="U37" s="395">
        <f t="shared" si="9"/>
        <v>0</v>
      </c>
      <c r="V37" s="396" t="str">
        <f t="shared" si="10"/>
        <v/>
      </c>
      <c r="W37" s="53"/>
      <c r="X37" s="424"/>
      <c r="Y37" s="415">
        <f>$F$9*(1+X$65)-$F$9</f>
        <v>1693.1999999999971</v>
      </c>
      <c r="Z37" s="394">
        <f t="shared" si="31"/>
        <v>0</v>
      </c>
      <c r="AA37" s="138"/>
      <c r="AB37" s="395">
        <f t="shared" si="13"/>
        <v>0</v>
      </c>
      <c r="AC37" s="396" t="str">
        <f t="shared" si="14"/>
        <v/>
      </c>
      <c r="AD37" s="53"/>
      <c r="AE37" s="424"/>
      <c r="AF37" s="415">
        <f>$F$9*(1+AE$65)-$F$9</f>
        <v>1693.1999999999971</v>
      </c>
      <c r="AG37" s="394">
        <f t="shared" si="33"/>
        <v>0</v>
      </c>
      <c r="AH37" s="138"/>
      <c r="AI37" s="395">
        <f t="shared" si="17"/>
        <v>0</v>
      </c>
      <c r="AJ37" s="396" t="str">
        <f t="shared" si="18"/>
        <v/>
      </c>
      <c r="AK37" s="53"/>
      <c r="AL37" s="424"/>
      <c r="AM37" s="415">
        <f>$F$9*(1+AL$65)-$F$9</f>
        <v>1693.1999999999971</v>
      </c>
      <c r="AN37" s="394">
        <f t="shared" si="35"/>
        <v>0</v>
      </c>
      <c r="AO37" s="138"/>
      <c r="AP37" s="395">
        <f t="shared" si="21"/>
        <v>0</v>
      </c>
      <c r="AQ37" s="396" t="str">
        <f t="shared" si="22"/>
        <v/>
      </c>
      <c r="AR37" s="397"/>
    </row>
    <row r="38" spans="1:44" ht="12" customHeight="1">
      <c r="A38" s="53"/>
      <c r="B38" s="328" t="s">
        <v>302</v>
      </c>
      <c r="C38" s="389" t="str">
        <f t="shared" si="23"/>
        <v>General Service 50 to 1,499 KW.Smart Meter Entity Charge</v>
      </c>
      <c r="D38" s="390" t="s">
        <v>335</v>
      </c>
      <c r="E38" s="328"/>
      <c r="F38" s="408">
        <f>IFERROR(VLOOKUP($C38,'Proposed Rates'!$B:$J,F$11,FALSE),0)</f>
        <v>0</v>
      </c>
      <c r="G38" s="409">
        <f>IF($D38="Monthly",1,IF($D38="per KW",$F$10,IF($D38="per kWh",$F$9,0)))</f>
        <v>1</v>
      </c>
      <c r="H38" s="394">
        <f t="shared" si="25"/>
        <v>0</v>
      </c>
      <c r="I38" s="138"/>
      <c r="J38" s="408">
        <f>IFERROR(VLOOKUP($C38,'Proposed Rates'!$B:$J,J$11,FALSE),0)</f>
        <v>0</v>
      </c>
      <c r="K38" s="409">
        <f>IF($D38="Monthly",1,IF($D38="per KW",$F$10,IF($D38="per kWh",$F$9,0)))</f>
        <v>1</v>
      </c>
      <c r="L38" s="394">
        <f t="shared" si="27"/>
        <v>0</v>
      </c>
      <c r="M38" s="138"/>
      <c r="N38" s="395">
        <f t="shared" si="5"/>
        <v>0</v>
      </c>
      <c r="O38" s="396" t="str">
        <f t="shared" si="6"/>
        <v/>
      </c>
      <c r="P38" s="53"/>
      <c r="Q38" s="408">
        <f>IFERROR(VLOOKUP($C38,'Proposed Rates'!$B:$J,Q$11,FALSE),0)</f>
        <v>0</v>
      </c>
      <c r="R38" s="409">
        <f>IF($D38="Monthly",1,IF($D38="per KW",$F$10,IF($D38="per kWh",$F$9,0)))</f>
        <v>1</v>
      </c>
      <c r="S38" s="394">
        <f t="shared" si="29"/>
        <v>0</v>
      </c>
      <c r="T38" s="138"/>
      <c r="U38" s="395">
        <f t="shared" si="9"/>
        <v>0</v>
      </c>
      <c r="V38" s="396" t="str">
        <f t="shared" si="10"/>
        <v/>
      </c>
      <c r="W38" s="53"/>
      <c r="X38" s="408">
        <f>IFERROR(VLOOKUP($C38,'Proposed Rates'!$B:$J,X$11,FALSE),0)</f>
        <v>0</v>
      </c>
      <c r="Y38" s="409">
        <f>IF($D38="Monthly",1,IF($D38="per KW",$F$10,IF($D38="per kWh",$F$9,0)))</f>
        <v>1</v>
      </c>
      <c r="Z38" s="394">
        <f t="shared" si="31"/>
        <v>0</v>
      </c>
      <c r="AA38" s="138"/>
      <c r="AB38" s="395">
        <f t="shared" si="13"/>
        <v>0</v>
      </c>
      <c r="AC38" s="396" t="str">
        <f t="shared" si="14"/>
        <v/>
      </c>
      <c r="AD38" s="53"/>
      <c r="AE38" s="408">
        <f>IFERROR(VLOOKUP($C38,'Proposed Rates'!$B:$J,AE$11,FALSE),0)</f>
        <v>0</v>
      </c>
      <c r="AF38" s="409">
        <f>IF($D38="Monthly",1,IF($D38="per KW",$F$10,IF($D38="per kWh",$F$9,0)))</f>
        <v>1</v>
      </c>
      <c r="AG38" s="394">
        <f t="shared" si="33"/>
        <v>0</v>
      </c>
      <c r="AH38" s="138"/>
      <c r="AI38" s="395">
        <f t="shared" si="17"/>
        <v>0</v>
      </c>
      <c r="AJ38" s="396" t="str">
        <f t="shared" si="18"/>
        <v/>
      </c>
      <c r="AK38" s="53"/>
      <c r="AL38" s="408">
        <f>IFERROR(VLOOKUP($C38,'Proposed Rates'!$B:$J,AL$11,FALSE),0)</f>
        <v>0</v>
      </c>
      <c r="AM38" s="409">
        <f>IF($D38="Monthly",1,IF($D38="per KW",$F$10,IF($D38="per kWh",$F$9,0)))</f>
        <v>1</v>
      </c>
      <c r="AN38" s="394">
        <f t="shared" si="35"/>
        <v>0</v>
      </c>
      <c r="AO38" s="138"/>
      <c r="AP38" s="395">
        <f t="shared" si="21"/>
        <v>0</v>
      </c>
      <c r="AQ38" s="396" t="str">
        <f t="shared" si="22"/>
        <v/>
      </c>
      <c r="AR38" s="397"/>
    </row>
    <row r="39" spans="1:44" ht="12" customHeight="1">
      <c r="A39" s="53"/>
      <c r="B39" s="399" t="s">
        <v>342</v>
      </c>
      <c r="C39" s="416"/>
      <c r="D39" s="416"/>
      <c r="E39" s="416"/>
      <c r="F39" s="417"/>
      <c r="G39" s="495"/>
      <c r="H39" s="403">
        <f>SUM(H30:H38)+H29</f>
        <v>1046.7329999999999</v>
      </c>
      <c r="I39" s="419"/>
      <c r="J39" s="417"/>
      <c r="K39" s="495"/>
      <c r="L39" s="403">
        <f>SUM(L30:L38)+L29</f>
        <v>1215.002</v>
      </c>
      <c r="M39" s="419"/>
      <c r="N39" s="405">
        <f t="shared" si="5"/>
        <v>168.26900000000001</v>
      </c>
      <c r="O39" s="406">
        <f t="shared" si="6"/>
        <v>0.16075637244645963</v>
      </c>
      <c r="P39" s="53"/>
      <c r="Q39" s="417"/>
      <c r="R39" s="495"/>
      <c r="S39" s="403">
        <f>SUM(S30:S38)+S29</f>
        <v>1287.3220000000001</v>
      </c>
      <c r="T39" s="419"/>
      <c r="U39" s="405">
        <f t="shared" si="9"/>
        <v>72.320000000000164</v>
      </c>
      <c r="V39" s="406">
        <f t="shared" si="10"/>
        <v>5.9522535765373363E-2</v>
      </c>
      <c r="W39" s="53"/>
      <c r="X39" s="417"/>
      <c r="Y39" s="495"/>
      <c r="Z39" s="403">
        <f>SUM(Z30:Z38)+Z29</f>
        <v>1073.1510000000001</v>
      </c>
      <c r="AA39" s="419"/>
      <c r="AB39" s="405">
        <f t="shared" si="13"/>
        <v>-214.17100000000005</v>
      </c>
      <c r="AC39" s="406">
        <f t="shared" si="14"/>
        <v>-0.16636940874155809</v>
      </c>
      <c r="AD39" s="53"/>
      <c r="AE39" s="417"/>
      <c r="AF39" s="495"/>
      <c r="AG39" s="403">
        <f>SUM(AG30:AG38)+AG29</f>
        <v>1106.3200000000002</v>
      </c>
      <c r="AH39" s="419"/>
      <c r="AI39" s="405">
        <f t="shared" si="17"/>
        <v>33.169000000000096</v>
      </c>
      <c r="AJ39" s="406">
        <f t="shared" si="18"/>
        <v>3.0908045559292302E-2</v>
      </c>
      <c r="AK39" s="53"/>
      <c r="AL39" s="417"/>
      <c r="AM39" s="495"/>
      <c r="AN39" s="403">
        <f>SUM(AN30:AN38)+AN29</f>
        <v>1136.6639999999998</v>
      </c>
      <c r="AO39" s="419"/>
      <c r="AP39" s="405">
        <f t="shared" si="21"/>
        <v>30.343999999999596</v>
      </c>
      <c r="AQ39" s="406">
        <f t="shared" si="22"/>
        <v>2.7427868971002595E-2</v>
      </c>
      <c r="AR39" s="407"/>
    </row>
    <row r="40" spans="1:44" ht="12" customHeight="1">
      <c r="A40" s="53"/>
      <c r="B40" s="138" t="s">
        <v>285</v>
      </c>
      <c r="C40" s="389" t="str">
        <f t="shared" ref="C40:C41" si="36">D$6&amp;"."&amp;B40</f>
        <v>General Service 50 to 1,499 KW.RTSR - Network</v>
      </c>
      <c r="D40" s="420" t="s">
        <v>406</v>
      </c>
      <c r="E40" s="138"/>
      <c r="F40" s="408">
        <f>IFERROR(VLOOKUP($C40,'Proposed Rates'!$B:$J,F$11,FALSE),0)</f>
        <v>4.8479999999999999</v>
      </c>
      <c r="G40" s="409">
        <f t="shared" ref="G40:G41" si="37">IF($D40="Monthly",1,IF($D40="per KW",$F$10,IF($D40="per kWh",$F$9,0)))</f>
        <v>100</v>
      </c>
      <c r="H40" s="394">
        <f t="shared" ref="H40:H41" si="38">G40*F40</f>
        <v>484.8</v>
      </c>
      <c r="I40" s="138"/>
      <c r="J40" s="408">
        <f>IFERROR(VLOOKUP($C40,'Proposed Rates'!$B:$J,J$11,FALSE),0)</f>
        <v>4.5787000000000004</v>
      </c>
      <c r="K40" s="409">
        <f t="shared" ref="K40:K41" si="39">IF($D40="Monthly",1,IF($D40="per KW",$F$10,IF($D40="per kWh",$F$9,0)))</f>
        <v>100</v>
      </c>
      <c r="L40" s="394">
        <f t="shared" ref="L40:L41" si="40">K40*J40</f>
        <v>457.87000000000006</v>
      </c>
      <c r="M40" s="138"/>
      <c r="N40" s="395">
        <f t="shared" si="5"/>
        <v>-26.92999999999995</v>
      </c>
      <c r="O40" s="396">
        <f t="shared" si="6"/>
        <v>-5.5548679867986693E-2</v>
      </c>
      <c r="P40" s="53"/>
      <c r="Q40" s="408">
        <f>IFERROR(VLOOKUP($C40,'Proposed Rates'!$B:$J,Q$11,FALSE),0)</f>
        <v>4.5787000000000004</v>
      </c>
      <c r="R40" s="409">
        <f t="shared" ref="R40:R41" si="41">IF($D40="Monthly",1,IF($D40="per KW",$F$10,IF($D40="per kWh",$F$9,0)))</f>
        <v>100</v>
      </c>
      <c r="S40" s="394">
        <f t="shared" ref="S40:S41" si="42">R40*Q40</f>
        <v>457.87000000000006</v>
      </c>
      <c r="T40" s="138"/>
      <c r="U40" s="395">
        <f t="shared" si="9"/>
        <v>0</v>
      </c>
      <c r="V40" s="396">
        <f t="shared" si="10"/>
        <v>0</v>
      </c>
      <c r="W40" s="53"/>
      <c r="X40" s="408">
        <f>IFERROR(VLOOKUP($C40,'Proposed Rates'!$B:$J,X$11,FALSE),0)</f>
        <v>4.5787000000000004</v>
      </c>
      <c r="Y40" s="409">
        <f t="shared" ref="Y40:Y41" si="43">IF($D40="Monthly",1,IF($D40="per KW",$F$10,IF($D40="per kWh",$F$9,0)))</f>
        <v>100</v>
      </c>
      <c r="Z40" s="394">
        <f t="shared" ref="Z40:Z41" si="44">Y40*X40</f>
        <v>457.87000000000006</v>
      </c>
      <c r="AA40" s="138"/>
      <c r="AB40" s="395">
        <f t="shared" si="13"/>
        <v>0</v>
      </c>
      <c r="AC40" s="396">
        <f t="shared" si="14"/>
        <v>0</v>
      </c>
      <c r="AD40" s="53"/>
      <c r="AE40" s="408">
        <f>IFERROR(VLOOKUP($C40,'Proposed Rates'!$B:$J,AE$11,FALSE),0)</f>
        <v>4.5787000000000004</v>
      </c>
      <c r="AF40" s="409">
        <f t="shared" ref="AF40:AF41" si="45">IF($D40="Monthly",1,IF($D40="per KW",$F$10,IF($D40="per kWh",$F$9,0)))</f>
        <v>100</v>
      </c>
      <c r="AG40" s="394">
        <f t="shared" ref="AG40:AG41" si="46">AF40*AE40</f>
        <v>457.87000000000006</v>
      </c>
      <c r="AH40" s="138"/>
      <c r="AI40" s="395">
        <f t="shared" si="17"/>
        <v>0</v>
      </c>
      <c r="AJ40" s="396">
        <f t="shared" si="18"/>
        <v>0</v>
      </c>
      <c r="AK40" s="53"/>
      <c r="AL40" s="408">
        <f>IFERROR(VLOOKUP($C40,'Proposed Rates'!$B:$J,AL$11,FALSE),0)</f>
        <v>4.5787000000000004</v>
      </c>
      <c r="AM40" s="409">
        <f t="shared" ref="AM40:AM41" si="47">IF($D40="Monthly",1,IF($D40="per KW",$F$10,IF($D40="per kWh",$F$9,0)))</f>
        <v>100</v>
      </c>
      <c r="AN40" s="394">
        <f t="shared" ref="AN40:AN41" si="48">AM40*AL40</f>
        <v>457.87000000000006</v>
      </c>
      <c r="AO40" s="138"/>
      <c r="AP40" s="395">
        <f t="shared" si="21"/>
        <v>0</v>
      </c>
      <c r="AQ40" s="396">
        <f t="shared" si="22"/>
        <v>0</v>
      </c>
      <c r="AR40" s="397"/>
    </row>
    <row r="41" spans="1:44" ht="12" customHeight="1">
      <c r="A41" s="53"/>
      <c r="B41" s="138" t="s">
        <v>288</v>
      </c>
      <c r="C41" s="389" t="str">
        <f t="shared" si="36"/>
        <v>General Service 50 to 1,499 KW.RTSR - Line and Transformation Connection</v>
      </c>
      <c r="D41" s="420" t="s">
        <v>406</v>
      </c>
      <c r="E41" s="138"/>
      <c r="F41" s="408">
        <f>IFERROR(VLOOKUP($C41,'Proposed Rates'!$B:$J,F$11,FALSE),0)</f>
        <v>2.8187000000000002</v>
      </c>
      <c r="G41" s="409">
        <f t="shared" si="37"/>
        <v>100</v>
      </c>
      <c r="H41" s="394">
        <f t="shared" si="38"/>
        <v>281.87</v>
      </c>
      <c r="I41" s="138"/>
      <c r="J41" s="408">
        <f>IFERROR(VLOOKUP($C41,'Proposed Rates'!$B:$J,J$11,FALSE),0)</f>
        <v>2.5918000000000001</v>
      </c>
      <c r="K41" s="409">
        <f t="shared" si="39"/>
        <v>100</v>
      </c>
      <c r="L41" s="394">
        <f t="shared" si="40"/>
        <v>259.18</v>
      </c>
      <c r="M41" s="138"/>
      <c r="N41" s="395">
        <f t="shared" si="5"/>
        <v>-22.689999999999998</v>
      </c>
      <c r="O41" s="396">
        <f t="shared" si="6"/>
        <v>-8.0498101961897314E-2</v>
      </c>
      <c r="P41" s="53"/>
      <c r="Q41" s="408">
        <f>IFERROR(VLOOKUP($C41,'Proposed Rates'!$B:$J,Q$11,FALSE),0)</f>
        <v>2.5918000000000001</v>
      </c>
      <c r="R41" s="409">
        <f t="shared" si="41"/>
        <v>100</v>
      </c>
      <c r="S41" s="394">
        <f t="shared" si="42"/>
        <v>259.18</v>
      </c>
      <c r="T41" s="138"/>
      <c r="U41" s="395">
        <f t="shared" si="9"/>
        <v>0</v>
      </c>
      <c r="V41" s="396">
        <f t="shared" si="10"/>
        <v>0</v>
      </c>
      <c r="W41" s="53"/>
      <c r="X41" s="408">
        <f>IFERROR(VLOOKUP($C41,'Proposed Rates'!$B:$J,X$11,FALSE),0)</f>
        <v>2.5918000000000001</v>
      </c>
      <c r="Y41" s="409">
        <f t="shared" si="43"/>
        <v>100</v>
      </c>
      <c r="Z41" s="394">
        <f t="shared" si="44"/>
        <v>259.18</v>
      </c>
      <c r="AA41" s="138"/>
      <c r="AB41" s="395">
        <f t="shared" si="13"/>
        <v>0</v>
      </c>
      <c r="AC41" s="396">
        <f t="shared" si="14"/>
        <v>0</v>
      </c>
      <c r="AD41" s="53"/>
      <c r="AE41" s="408">
        <f>IFERROR(VLOOKUP($C41,'Proposed Rates'!$B:$J,AE$11,FALSE),0)</f>
        <v>2.5918000000000001</v>
      </c>
      <c r="AF41" s="409">
        <f t="shared" si="45"/>
        <v>100</v>
      </c>
      <c r="AG41" s="394">
        <f t="shared" si="46"/>
        <v>259.18</v>
      </c>
      <c r="AH41" s="138"/>
      <c r="AI41" s="395">
        <f t="shared" si="17"/>
        <v>0</v>
      </c>
      <c r="AJ41" s="396">
        <f t="shared" si="18"/>
        <v>0</v>
      </c>
      <c r="AK41" s="53"/>
      <c r="AL41" s="408">
        <f>IFERROR(VLOOKUP($C41,'Proposed Rates'!$B:$J,AL$11,FALSE),0)</f>
        <v>2.5918000000000001</v>
      </c>
      <c r="AM41" s="409">
        <f t="shared" si="47"/>
        <v>100</v>
      </c>
      <c r="AN41" s="394">
        <f t="shared" si="48"/>
        <v>259.18</v>
      </c>
      <c r="AO41" s="138"/>
      <c r="AP41" s="395">
        <f t="shared" si="21"/>
        <v>0</v>
      </c>
      <c r="AQ41" s="396">
        <f t="shared" si="22"/>
        <v>0</v>
      </c>
      <c r="AR41" s="397"/>
    </row>
    <row r="42" spans="1:44" ht="12" customHeight="1">
      <c r="A42" s="53"/>
      <c r="B42" s="399" t="s">
        <v>343</v>
      </c>
      <c r="C42" s="421"/>
      <c r="D42" s="421"/>
      <c r="E42" s="421"/>
      <c r="F42" s="422"/>
      <c r="G42" s="495"/>
      <c r="H42" s="403">
        <f>SUM(H39:H41)</f>
        <v>1813.4029999999998</v>
      </c>
      <c r="I42" s="404"/>
      <c r="J42" s="422"/>
      <c r="K42" s="495"/>
      <c r="L42" s="403">
        <f>SUM(L39:L41)</f>
        <v>1932.0520000000001</v>
      </c>
      <c r="M42" s="404"/>
      <c r="N42" s="405">
        <f t="shared" si="5"/>
        <v>118.64900000000034</v>
      </c>
      <c r="O42" s="406">
        <f t="shared" si="6"/>
        <v>6.5428920102150678E-2</v>
      </c>
      <c r="P42" s="53"/>
      <c r="Q42" s="422"/>
      <c r="R42" s="495"/>
      <c r="S42" s="403">
        <f>SUM(S39:S41)</f>
        <v>2004.3720000000003</v>
      </c>
      <c r="T42" s="404"/>
      <c r="U42" s="405">
        <f t="shared" si="9"/>
        <v>72.320000000000164</v>
      </c>
      <c r="V42" s="406">
        <f t="shared" si="10"/>
        <v>3.7431704736725593E-2</v>
      </c>
      <c r="W42" s="53"/>
      <c r="X42" s="422"/>
      <c r="Y42" s="495"/>
      <c r="Z42" s="403">
        <f>SUM(Z39:Z41)</f>
        <v>1790.2010000000002</v>
      </c>
      <c r="AA42" s="404"/>
      <c r="AB42" s="405">
        <f t="shared" si="13"/>
        <v>-214.17100000000005</v>
      </c>
      <c r="AC42" s="406">
        <f t="shared" si="14"/>
        <v>-0.10685192169916563</v>
      </c>
      <c r="AD42" s="53"/>
      <c r="AE42" s="422"/>
      <c r="AF42" s="495"/>
      <c r="AG42" s="403">
        <f>SUM(AG39:AG41)</f>
        <v>1823.3700000000003</v>
      </c>
      <c r="AH42" s="404"/>
      <c r="AI42" s="405">
        <f t="shared" si="17"/>
        <v>33.169000000000096</v>
      </c>
      <c r="AJ42" s="406">
        <f t="shared" si="18"/>
        <v>1.8528087069552578E-2</v>
      </c>
      <c r="AK42" s="53"/>
      <c r="AL42" s="422"/>
      <c r="AM42" s="495"/>
      <c r="AN42" s="403">
        <f>SUM(AN39:AN41)</f>
        <v>1853.7139999999999</v>
      </c>
      <c r="AO42" s="404"/>
      <c r="AP42" s="405">
        <f t="shared" si="21"/>
        <v>30.343999999999596</v>
      </c>
      <c r="AQ42" s="406">
        <f t="shared" si="22"/>
        <v>1.6641712872318613E-2</v>
      </c>
      <c r="AR42" s="407"/>
    </row>
    <row r="43" spans="1:44" ht="12" customHeight="1">
      <c r="A43" s="53"/>
      <c r="B43" s="328" t="s">
        <v>289</v>
      </c>
      <c r="C43" s="389" t="str">
        <f t="shared" ref="C43:C45" si="49">D$6&amp;"."&amp;B43</f>
        <v>General Service 50 to 1,499 KW.Wholesale Market Service Charge (WMSC)</v>
      </c>
      <c r="D43" s="390" t="s">
        <v>337</v>
      </c>
      <c r="E43" s="328"/>
      <c r="F43" s="408">
        <f>IFERROR(VLOOKUP($C43,'Proposed Rates'!$B:$J,F$11,FALSE),0)</f>
        <v>4.4999999999999997E-3</v>
      </c>
      <c r="G43" s="415">
        <f t="shared" ref="G43:G44" si="50">$F$9+G$37</f>
        <v>52723.8</v>
      </c>
      <c r="H43" s="394">
        <f t="shared" ref="H43:H46" si="51">G43*F43</f>
        <v>237.25710000000001</v>
      </c>
      <c r="I43" s="138"/>
      <c r="J43" s="408">
        <f>IFERROR(VLOOKUP($C43,'Proposed Rates'!$B:$J,J$11,FALSE),0)</f>
        <v>4.7000000000000002E-3</v>
      </c>
      <c r="K43" s="415">
        <f t="shared" ref="K43:K44" si="52">$F$9+K$37</f>
        <v>52693.2</v>
      </c>
      <c r="L43" s="394">
        <f t="shared" ref="L43:L46" si="53">K43*J43</f>
        <v>247.65804</v>
      </c>
      <c r="M43" s="138"/>
      <c r="N43" s="395">
        <f t="shared" si="5"/>
        <v>10.400939999999991</v>
      </c>
      <c r="O43" s="396">
        <f t="shared" si="6"/>
        <v>4.3838266589282221E-2</v>
      </c>
      <c r="P43" s="53"/>
      <c r="Q43" s="408">
        <f>IFERROR(VLOOKUP($C43,'Proposed Rates'!$B:$J,Q$11,FALSE),0)</f>
        <v>4.7000000000000002E-3</v>
      </c>
      <c r="R43" s="415">
        <f t="shared" ref="R43:R44" si="54">$F$9+R$37</f>
        <v>52693.2</v>
      </c>
      <c r="S43" s="394">
        <f t="shared" ref="S43:S46" si="55">R43*Q43</f>
        <v>247.65804</v>
      </c>
      <c r="T43" s="138"/>
      <c r="U43" s="395">
        <f t="shared" si="9"/>
        <v>0</v>
      </c>
      <c r="V43" s="396">
        <f t="shared" si="10"/>
        <v>0</v>
      </c>
      <c r="W43" s="53"/>
      <c r="X43" s="408">
        <f>IFERROR(VLOOKUP($C43,'Proposed Rates'!$B:$J,X$11,FALSE),0)</f>
        <v>4.7000000000000002E-3</v>
      </c>
      <c r="Y43" s="415">
        <f t="shared" ref="Y43:Y44" si="56">$F$9+Y$37</f>
        <v>52693.2</v>
      </c>
      <c r="Z43" s="394">
        <f t="shared" ref="Z43:Z46" si="57">Y43*X43</f>
        <v>247.65804</v>
      </c>
      <c r="AA43" s="138"/>
      <c r="AB43" s="395">
        <f t="shared" si="13"/>
        <v>0</v>
      </c>
      <c r="AC43" s="396">
        <f t="shared" si="14"/>
        <v>0</v>
      </c>
      <c r="AD43" s="53"/>
      <c r="AE43" s="408">
        <f>IFERROR(VLOOKUP($C43,'Proposed Rates'!$B:$J,AE$11,FALSE),0)</f>
        <v>4.7000000000000002E-3</v>
      </c>
      <c r="AF43" s="415">
        <f t="shared" ref="AF43:AF44" si="58">$F$9+AF$37</f>
        <v>52693.2</v>
      </c>
      <c r="AG43" s="394">
        <f t="shared" ref="AG43:AG46" si="59">AF43*AE43</f>
        <v>247.65804</v>
      </c>
      <c r="AH43" s="138"/>
      <c r="AI43" s="395">
        <f t="shared" si="17"/>
        <v>0</v>
      </c>
      <c r="AJ43" s="396">
        <f t="shared" si="18"/>
        <v>0</v>
      </c>
      <c r="AK43" s="53"/>
      <c r="AL43" s="408">
        <f>IFERROR(VLOOKUP($C43,'Proposed Rates'!$B:$J,AL$11,FALSE),0)</f>
        <v>4.7000000000000002E-3</v>
      </c>
      <c r="AM43" s="415">
        <f t="shared" ref="AM43:AM44" si="60">$F$9+AM$37</f>
        <v>52693.2</v>
      </c>
      <c r="AN43" s="394">
        <f t="shared" ref="AN43:AN46" si="61">AM43*AL43</f>
        <v>247.65804</v>
      </c>
      <c r="AO43" s="138"/>
      <c r="AP43" s="395">
        <f t="shared" si="21"/>
        <v>0</v>
      </c>
      <c r="AQ43" s="396">
        <f t="shared" si="22"/>
        <v>0</v>
      </c>
      <c r="AR43" s="397"/>
    </row>
    <row r="44" spans="1:44" ht="12" customHeight="1">
      <c r="A44" s="53"/>
      <c r="B44" s="328" t="s">
        <v>290</v>
      </c>
      <c r="C44" s="389" t="str">
        <f t="shared" si="49"/>
        <v>General Service 50 to 1,499 KW.Rural and Remote Rate Protection (RRRP)</v>
      </c>
      <c r="D44" s="390" t="s">
        <v>337</v>
      </c>
      <c r="E44" s="328"/>
      <c r="F44" s="408">
        <f>IFERROR(VLOOKUP($C44,'Proposed Rates'!$B:$J,F$11,FALSE),0)</f>
        <v>1.5E-3</v>
      </c>
      <c r="G44" s="415">
        <f t="shared" si="50"/>
        <v>52723.8</v>
      </c>
      <c r="H44" s="394">
        <f t="shared" si="51"/>
        <v>79.085700000000003</v>
      </c>
      <c r="I44" s="138"/>
      <c r="J44" s="408">
        <f>IFERROR(VLOOKUP($C44,'Proposed Rates'!$B:$J,J$11,FALSE),0)</f>
        <v>5.9999999999999995E-4</v>
      </c>
      <c r="K44" s="415">
        <f t="shared" si="52"/>
        <v>52693.2</v>
      </c>
      <c r="L44" s="394">
        <f t="shared" si="53"/>
        <v>31.615919999999996</v>
      </c>
      <c r="M44" s="138"/>
      <c r="N44" s="395">
        <f t="shared" si="5"/>
        <v>-47.469780000000007</v>
      </c>
      <c r="O44" s="396">
        <f t="shared" si="6"/>
        <v>-0.600232153221126</v>
      </c>
      <c r="P44" s="53"/>
      <c r="Q44" s="408">
        <f>IFERROR(VLOOKUP($C44,'Proposed Rates'!$B:$J,Q$11,FALSE),0)</f>
        <v>5.9999999999999995E-4</v>
      </c>
      <c r="R44" s="415">
        <f t="shared" si="54"/>
        <v>52693.2</v>
      </c>
      <c r="S44" s="394">
        <f t="shared" si="55"/>
        <v>31.615919999999996</v>
      </c>
      <c r="T44" s="138"/>
      <c r="U44" s="395">
        <f t="shared" si="9"/>
        <v>0</v>
      </c>
      <c r="V44" s="396">
        <f t="shared" si="10"/>
        <v>0</v>
      </c>
      <c r="W44" s="53"/>
      <c r="X44" s="408">
        <f>IFERROR(VLOOKUP($C44,'Proposed Rates'!$B:$J,X$11,FALSE),0)</f>
        <v>5.9999999999999995E-4</v>
      </c>
      <c r="Y44" s="415">
        <f t="shared" si="56"/>
        <v>52693.2</v>
      </c>
      <c r="Z44" s="394">
        <f t="shared" si="57"/>
        <v>31.615919999999996</v>
      </c>
      <c r="AA44" s="138"/>
      <c r="AB44" s="395">
        <f t="shared" si="13"/>
        <v>0</v>
      </c>
      <c r="AC44" s="396">
        <f t="shared" si="14"/>
        <v>0</v>
      </c>
      <c r="AD44" s="53"/>
      <c r="AE44" s="408">
        <f>IFERROR(VLOOKUP($C44,'Proposed Rates'!$B:$J,AE$11,FALSE),0)</f>
        <v>5.9999999999999995E-4</v>
      </c>
      <c r="AF44" s="415">
        <f t="shared" si="58"/>
        <v>52693.2</v>
      </c>
      <c r="AG44" s="394">
        <f t="shared" si="59"/>
        <v>31.615919999999996</v>
      </c>
      <c r="AH44" s="138"/>
      <c r="AI44" s="395">
        <f t="shared" si="17"/>
        <v>0</v>
      </c>
      <c r="AJ44" s="396">
        <f t="shared" si="18"/>
        <v>0</v>
      </c>
      <c r="AK44" s="53"/>
      <c r="AL44" s="408">
        <f>IFERROR(VLOOKUP($C44,'Proposed Rates'!$B:$J,AL$11,FALSE),0)</f>
        <v>5.9999999999999995E-4</v>
      </c>
      <c r="AM44" s="415">
        <f t="shared" si="60"/>
        <v>52693.2</v>
      </c>
      <c r="AN44" s="394">
        <f t="shared" si="61"/>
        <v>31.615919999999996</v>
      </c>
      <c r="AO44" s="138"/>
      <c r="AP44" s="395">
        <f t="shared" si="21"/>
        <v>0</v>
      </c>
      <c r="AQ44" s="396">
        <f t="shared" si="22"/>
        <v>0</v>
      </c>
      <c r="AR44" s="397"/>
    </row>
    <row r="45" spans="1:44" ht="12" customHeight="1">
      <c r="A45" s="53"/>
      <c r="B45" s="328" t="s">
        <v>291</v>
      </c>
      <c r="C45" s="389" t="str">
        <f t="shared" si="49"/>
        <v>General Service 50 to 1,499 KW.Standard Supply Service Charge</v>
      </c>
      <c r="D45" s="390" t="s">
        <v>335</v>
      </c>
      <c r="E45" s="328"/>
      <c r="F45" s="391">
        <f>IFERROR(VLOOKUP($C45,'Proposed Rates'!$B:$J,F$11,FALSE),0)</f>
        <v>0.25</v>
      </c>
      <c r="G45" s="409">
        <f>IF($D45="Monthly",1,IF($D45="per KW",$F$10,IF($D45="per kWh",$F$9,0)))</f>
        <v>1</v>
      </c>
      <c r="H45" s="394">
        <f t="shared" si="51"/>
        <v>0.25</v>
      </c>
      <c r="I45" s="138"/>
      <c r="J45" s="391">
        <f>IFERROR(VLOOKUP($C45,'Proposed Rates'!$B:$J,J$11,FALSE),0)</f>
        <v>0.25</v>
      </c>
      <c r="K45" s="409">
        <f>IF($D45="Monthly",1,IF($D45="per KW",$F$10,IF($D45="per kWh",$F$9,0)))</f>
        <v>1</v>
      </c>
      <c r="L45" s="394">
        <f t="shared" si="53"/>
        <v>0.25</v>
      </c>
      <c r="M45" s="138"/>
      <c r="N45" s="395">
        <f t="shared" si="5"/>
        <v>0</v>
      </c>
      <c r="O45" s="396">
        <f t="shared" si="6"/>
        <v>0</v>
      </c>
      <c r="P45" s="53"/>
      <c r="Q45" s="391">
        <f>IFERROR(VLOOKUP($C45,'Proposed Rates'!$B:$J,Q$11,FALSE),0)</f>
        <v>0.25</v>
      </c>
      <c r="R45" s="409">
        <f>IF($D45="Monthly",1,IF($D45="per KW",$F$10,IF($D45="per kWh",$F$9,0)))</f>
        <v>1</v>
      </c>
      <c r="S45" s="394">
        <f t="shared" si="55"/>
        <v>0.25</v>
      </c>
      <c r="T45" s="138"/>
      <c r="U45" s="395">
        <f t="shared" si="9"/>
        <v>0</v>
      </c>
      <c r="V45" s="396">
        <f t="shared" si="10"/>
        <v>0</v>
      </c>
      <c r="W45" s="53"/>
      <c r="X45" s="391">
        <f>IFERROR(VLOOKUP($C45,'Proposed Rates'!$B:$J,X$11,FALSE),0)</f>
        <v>0.25</v>
      </c>
      <c r="Y45" s="409">
        <f>IF($D45="Monthly",1,IF($D45="per KW",$F$10,IF($D45="per kWh",$F$9,0)))</f>
        <v>1</v>
      </c>
      <c r="Z45" s="394">
        <f t="shared" si="57"/>
        <v>0.25</v>
      </c>
      <c r="AA45" s="138"/>
      <c r="AB45" s="395">
        <f t="shared" si="13"/>
        <v>0</v>
      </c>
      <c r="AC45" s="396">
        <f t="shared" si="14"/>
        <v>0</v>
      </c>
      <c r="AD45" s="53"/>
      <c r="AE45" s="391">
        <f>IFERROR(VLOOKUP($C45,'Proposed Rates'!$B:$J,AE$11,FALSE),0)</f>
        <v>0.25</v>
      </c>
      <c r="AF45" s="409">
        <f>IF($D45="Monthly",1,IF($D45="per KW",$F$10,IF($D45="per kWh",$F$9,0)))</f>
        <v>1</v>
      </c>
      <c r="AG45" s="394">
        <f t="shared" si="59"/>
        <v>0.25</v>
      </c>
      <c r="AH45" s="138"/>
      <c r="AI45" s="395">
        <f t="shared" si="17"/>
        <v>0</v>
      </c>
      <c r="AJ45" s="396">
        <f t="shared" si="18"/>
        <v>0</v>
      </c>
      <c r="AK45" s="53"/>
      <c r="AL45" s="391">
        <f>IFERROR(VLOOKUP($C45,'Proposed Rates'!$B:$J,AL$11,FALSE),0)</f>
        <v>0.25</v>
      </c>
      <c r="AM45" s="409">
        <f>IF($D45="Monthly",1,IF($D45="per KW",$F$10,IF($D45="per kWh",$F$9,0)))</f>
        <v>1</v>
      </c>
      <c r="AN45" s="394">
        <f t="shared" si="61"/>
        <v>0.25</v>
      </c>
      <c r="AO45" s="138"/>
      <c r="AP45" s="395">
        <f t="shared" si="21"/>
        <v>0</v>
      </c>
      <c r="AQ45" s="396">
        <f t="shared" si="22"/>
        <v>0</v>
      </c>
      <c r="AR45" s="397"/>
    </row>
    <row r="46" spans="1:44" ht="12" customHeight="1">
      <c r="A46" s="53"/>
      <c r="B46" s="328" t="s">
        <v>298</v>
      </c>
      <c r="C46" s="389" t="str">
        <f>B46</f>
        <v>Average IESO Wholesale Market Price</v>
      </c>
      <c r="D46" s="390" t="s">
        <v>337</v>
      </c>
      <c r="E46" s="328"/>
      <c r="F46" s="408">
        <f>IFERROR(VLOOKUP($C46,'Proposed Rates'!$B:$J,F$11,FALSE),0)</f>
        <v>0.10453</v>
      </c>
      <c r="G46" s="415">
        <f>$F$9+G$37</f>
        <v>52723.8</v>
      </c>
      <c r="H46" s="394">
        <f t="shared" si="51"/>
        <v>5511.2188139999998</v>
      </c>
      <c r="I46" s="138"/>
      <c r="J46" s="408">
        <f>IFERROR(VLOOKUP($C46,'Proposed Rates'!$B:$J,J$11,FALSE),0)</f>
        <v>0.10453</v>
      </c>
      <c r="K46" s="415">
        <f>$F$9+K$37</f>
        <v>52693.2</v>
      </c>
      <c r="L46" s="394">
        <f t="shared" si="53"/>
        <v>5508.0201959999995</v>
      </c>
      <c r="M46" s="138"/>
      <c r="N46" s="395">
        <f t="shared" si="5"/>
        <v>-3.1986180000003515</v>
      </c>
      <c r="O46" s="396">
        <f t="shared" si="6"/>
        <v>-5.8038305281492156E-4</v>
      </c>
      <c r="P46" s="53"/>
      <c r="Q46" s="408">
        <f>IFERROR(VLOOKUP($C46,'Proposed Rates'!$B:$J,Q$11,FALSE),0)</f>
        <v>0.10453</v>
      </c>
      <c r="R46" s="415">
        <f>$F$9+R$37</f>
        <v>52693.2</v>
      </c>
      <c r="S46" s="394">
        <f t="shared" si="55"/>
        <v>5508.0201959999995</v>
      </c>
      <c r="T46" s="138"/>
      <c r="U46" s="395">
        <f t="shared" si="9"/>
        <v>0</v>
      </c>
      <c r="V46" s="396">
        <f t="shared" si="10"/>
        <v>0</v>
      </c>
      <c r="W46" s="53"/>
      <c r="X46" s="408">
        <f>IFERROR(VLOOKUP($C46,'Proposed Rates'!$B:$J,X$11,FALSE),0)</f>
        <v>0.10453</v>
      </c>
      <c r="Y46" s="415">
        <f>$F$9+Y$37</f>
        <v>52693.2</v>
      </c>
      <c r="Z46" s="394">
        <f t="shared" si="57"/>
        <v>5508.0201959999995</v>
      </c>
      <c r="AA46" s="138"/>
      <c r="AB46" s="395">
        <f t="shared" si="13"/>
        <v>0</v>
      </c>
      <c r="AC46" s="396">
        <f t="shared" si="14"/>
        <v>0</v>
      </c>
      <c r="AD46" s="53"/>
      <c r="AE46" s="408">
        <f>IFERROR(VLOOKUP($C46,'Proposed Rates'!$B:$J,AE$11,FALSE),0)</f>
        <v>0.10453</v>
      </c>
      <c r="AF46" s="415">
        <f>$F$9+AF$37</f>
        <v>52693.2</v>
      </c>
      <c r="AG46" s="394">
        <f t="shared" si="59"/>
        <v>5508.0201959999995</v>
      </c>
      <c r="AH46" s="138"/>
      <c r="AI46" s="395">
        <f t="shared" si="17"/>
        <v>0</v>
      </c>
      <c r="AJ46" s="396">
        <f t="shared" si="18"/>
        <v>0</v>
      </c>
      <c r="AK46" s="53"/>
      <c r="AL46" s="408">
        <f>IFERROR(VLOOKUP($C46,'Proposed Rates'!$B:$J,AL$11,FALSE),0)</f>
        <v>0.10453</v>
      </c>
      <c r="AM46" s="415">
        <f>$F$9+AM$37</f>
        <v>52693.2</v>
      </c>
      <c r="AN46" s="394">
        <f t="shared" si="61"/>
        <v>5508.0201959999995</v>
      </c>
      <c r="AO46" s="138"/>
      <c r="AP46" s="395">
        <f t="shared" si="21"/>
        <v>0</v>
      </c>
      <c r="AQ46" s="396">
        <f t="shared" si="22"/>
        <v>0</v>
      </c>
      <c r="AR46" s="397"/>
    </row>
    <row r="47" spans="1:44" ht="12" customHeight="1">
      <c r="A47" s="53"/>
      <c r="B47" s="328"/>
      <c r="C47" s="389" t="str">
        <f t="shared" ref="C47:C50" si="62">D$6&amp;"."&amp;B47</f>
        <v>General Service 50 to 1,499 KW.</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row>
    <row r="48" spans="1:44" ht="12" customHeight="1">
      <c r="A48" s="53"/>
      <c r="B48" s="53"/>
      <c r="C48" s="389" t="str">
        <f t="shared" si="62"/>
        <v>General Service 50 to 1,499 KW.</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row>
    <row r="49" spans="1:44" ht="12" customHeight="1">
      <c r="A49" s="53"/>
      <c r="B49" s="328"/>
      <c r="C49" s="389" t="str">
        <f t="shared" si="62"/>
        <v>General Service 50 to 1,499 KW.</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row>
    <row r="50" spans="1:44" ht="12" customHeight="1">
      <c r="A50" s="53"/>
      <c r="B50" s="328"/>
      <c r="C50" s="389" t="str">
        <f t="shared" si="62"/>
        <v>General Service 50 to 1,499 KW.</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row>
    <row r="51" spans="1:44" ht="12" customHeight="1">
      <c r="A51" s="53"/>
      <c r="B51" s="428"/>
      <c r="C51" s="429"/>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row>
    <row r="52" spans="1:44" ht="12" customHeight="1">
      <c r="A52" s="53"/>
      <c r="B52" s="438" t="s">
        <v>344</v>
      </c>
      <c r="C52" s="328"/>
      <c r="D52" s="328"/>
      <c r="E52" s="328"/>
      <c r="F52" s="439"/>
      <c r="G52" s="483"/>
      <c r="H52" s="441">
        <f>SUM(H43:H48,H42)</f>
        <v>7641.2146140000004</v>
      </c>
      <c r="I52" s="476"/>
      <c r="J52" s="440"/>
      <c r="K52" s="440"/>
      <c r="L52" s="441">
        <f>SUM(L43:L48,L42)</f>
        <v>7719.5961559999996</v>
      </c>
      <c r="M52" s="443"/>
      <c r="N52" s="442">
        <f t="shared" ref="N52:N56" si="63">L52-H52</f>
        <v>78.381541999999172</v>
      </c>
      <c r="O52" s="444">
        <f t="shared" ref="O52:O56" si="64">IF((H52)=0,"",(N52/H52))</f>
        <v>1.0257733352547238E-2</v>
      </c>
      <c r="P52" s="53"/>
      <c r="Q52" s="440"/>
      <c r="R52" s="440"/>
      <c r="S52" s="441">
        <f>SUM(S43:S48,S42)</f>
        <v>7791.9161560000002</v>
      </c>
      <c r="T52" s="443"/>
      <c r="U52" s="442">
        <f t="shared" ref="U52:U56" si="65">S52-L52</f>
        <v>72.320000000000618</v>
      </c>
      <c r="V52" s="444">
        <f t="shared" ref="V52:V56" si="66">IF((L52)=0,"",(U52/L52))</f>
        <v>9.3683657199852902E-3</v>
      </c>
      <c r="W52" s="53"/>
      <c r="X52" s="440"/>
      <c r="Y52" s="440"/>
      <c r="Z52" s="441">
        <f>SUM(Z43:Z48,Z42)</f>
        <v>7577.745156</v>
      </c>
      <c r="AA52" s="443"/>
      <c r="AB52" s="442">
        <f t="shared" ref="AB52:AB56" si="67">Z52-S52</f>
        <v>-214.17100000000028</v>
      </c>
      <c r="AC52" s="444">
        <f t="shared" ref="AC52:AC56" si="68">IF((S52)=0,"",(AB52/S52))</f>
        <v>-2.7486307053635636E-2</v>
      </c>
      <c r="AD52" s="53"/>
      <c r="AE52" s="440"/>
      <c r="AF52" s="440"/>
      <c r="AG52" s="441">
        <f>SUM(AG43:AG48,AG42)</f>
        <v>7610.9141560000007</v>
      </c>
      <c r="AH52" s="443"/>
      <c r="AI52" s="442">
        <f t="shared" ref="AI52:AI56" si="69">AG52-Z52</f>
        <v>33.169000000000779</v>
      </c>
      <c r="AJ52" s="444">
        <f t="shared" ref="AJ52:AJ56" si="70">IF((Z52)=0,"",(AI52/Z52))</f>
        <v>4.3771596058146426E-3</v>
      </c>
      <c r="AK52" s="53"/>
      <c r="AL52" s="440"/>
      <c r="AM52" s="440"/>
      <c r="AN52" s="441">
        <f>SUM(AN43:AN48,AN42)</f>
        <v>7641.2581559999999</v>
      </c>
      <c r="AO52" s="443"/>
      <c r="AP52" s="442">
        <f t="shared" ref="AP52:AP56" si="71">AN52-AG52</f>
        <v>30.343999999999141</v>
      </c>
      <c r="AQ52" s="444">
        <f t="shared" ref="AQ52:AQ56" si="72">IF((AG52)=0,"",(AP52/AG52))</f>
        <v>3.986906090128175E-3</v>
      </c>
      <c r="AR52" s="445"/>
    </row>
    <row r="53" spans="1:44" ht="12" customHeight="1">
      <c r="A53" s="53"/>
      <c r="B53" s="446" t="s">
        <v>345</v>
      </c>
      <c r="C53" s="328"/>
      <c r="D53" s="328"/>
      <c r="E53" s="328"/>
      <c r="F53" s="439">
        <v>0.13</v>
      </c>
      <c r="G53" s="138"/>
      <c r="H53" s="484">
        <f>H52*F53</f>
        <v>993.35789982000006</v>
      </c>
      <c r="I53" s="411"/>
      <c r="J53" s="447">
        <v>0.13</v>
      </c>
      <c r="K53" s="411"/>
      <c r="L53" s="394">
        <f>L52*J53</f>
        <v>1003.54750028</v>
      </c>
      <c r="M53" s="138"/>
      <c r="N53" s="395">
        <f t="shared" si="63"/>
        <v>10.189600459999951</v>
      </c>
      <c r="O53" s="396">
        <f t="shared" si="64"/>
        <v>1.0257733352547297E-2</v>
      </c>
      <c r="P53" s="53"/>
      <c r="Q53" s="447">
        <v>0.13</v>
      </c>
      <c r="R53" s="411"/>
      <c r="S53" s="394">
        <f>S52*Q53</f>
        <v>1012.94910028</v>
      </c>
      <c r="T53" s="138"/>
      <c r="U53" s="395">
        <f t="shared" si="65"/>
        <v>9.4016000000000304</v>
      </c>
      <c r="V53" s="396">
        <f t="shared" si="66"/>
        <v>9.3683657199852399E-3</v>
      </c>
      <c r="W53" s="53"/>
      <c r="X53" s="447">
        <v>0.13</v>
      </c>
      <c r="Y53" s="411"/>
      <c r="Z53" s="394">
        <f>Z52*X53</f>
        <v>985.10687028000007</v>
      </c>
      <c r="AA53" s="138"/>
      <c r="AB53" s="395">
        <f t="shared" si="67"/>
        <v>-27.842229999999972</v>
      </c>
      <c r="AC53" s="396">
        <f t="shared" si="68"/>
        <v>-2.7486307053635573E-2</v>
      </c>
      <c r="AD53" s="53"/>
      <c r="AE53" s="447">
        <v>0.13</v>
      </c>
      <c r="AF53" s="411"/>
      <c r="AG53" s="394">
        <f>AG52*AE53</f>
        <v>989.41884028000015</v>
      </c>
      <c r="AH53" s="138"/>
      <c r="AI53" s="395">
        <f t="shared" si="69"/>
        <v>4.3119700000000876</v>
      </c>
      <c r="AJ53" s="396">
        <f t="shared" si="70"/>
        <v>4.3771596058146288E-3</v>
      </c>
      <c r="AK53" s="53"/>
      <c r="AL53" s="447">
        <v>0.13</v>
      </c>
      <c r="AM53" s="411"/>
      <c r="AN53" s="394">
        <f>AN52*AL53</f>
        <v>993.36356028</v>
      </c>
      <c r="AO53" s="138"/>
      <c r="AP53" s="395">
        <f t="shared" si="71"/>
        <v>3.9447199999998475</v>
      </c>
      <c r="AQ53" s="396">
        <f t="shared" si="72"/>
        <v>3.9869060901281334E-3</v>
      </c>
      <c r="AR53" s="397"/>
    </row>
    <row r="54" spans="1:44" ht="12" customHeight="1">
      <c r="A54" s="53"/>
      <c r="B54" s="448" t="s">
        <v>407</v>
      </c>
      <c r="C54" s="328"/>
      <c r="D54" s="328"/>
      <c r="E54" s="328"/>
      <c r="F54" s="449"/>
      <c r="G54" s="138"/>
      <c r="H54" s="484">
        <f>H52+H53</f>
        <v>8634.5725138199996</v>
      </c>
      <c r="I54" s="411"/>
      <c r="J54" s="411"/>
      <c r="K54" s="411"/>
      <c r="L54" s="394">
        <f>L52+L53</f>
        <v>8723.143656279999</v>
      </c>
      <c r="M54" s="138"/>
      <c r="N54" s="395">
        <f t="shared" si="63"/>
        <v>88.571142459999464</v>
      </c>
      <c r="O54" s="396">
        <f t="shared" si="64"/>
        <v>1.0257733352547285E-2</v>
      </c>
      <c r="P54" s="53"/>
      <c r="Q54" s="411"/>
      <c r="R54" s="411"/>
      <c r="S54" s="394">
        <f>S52+S53</f>
        <v>8804.8652562799998</v>
      </c>
      <c r="T54" s="138"/>
      <c r="U54" s="395">
        <f t="shared" si="65"/>
        <v>81.721600000000763</v>
      </c>
      <c r="V54" s="396">
        <f t="shared" si="66"/>
        <v>9.3683657199852988E-3</v>
      </c>
      <c r="W54" s="53"/>
      <c r="X54" s="411"/>
      <c r="Y54" s="411"/>
      <c r="Z54" s="394">
        <f>Z52+Z53</f>
        <v>8562.8520262799993</v>
      </c>
      <c r="AA54" s="138"/>
      <c r="AB54" s="395">
        <f t="shared" si="67"/>
        <v>-242.01323000000048</v>
      </c>
      <c r="AC54" s="396">
        <f t="shared" si="68"/>
        <v>-2.7486307053635656E-2</v>
      </c>
      <c r="AD54" s="53"/>
      <c r="AE54" s="411"/>
      <c r="AF54" s="411"/>
      <c r="AG54" s="394">
        <f>AG52+AG53</f>
        <v>8600.3329962800017</v>
      </c>
      <c r="AH54" s="138"/>
      <c r="AI54" s="395">
        <f t="shared" si="69"/>
        <v>37.480970000002344</v>
      </c>
      <c r="AJ54" s="396">
        <f t="shared" si="70"/>
        <v>4.3771596058148144E-3</v>
      </c>
      <c r="AK54" s="53"/>
      <c r="AL54" s="411"/>
      <c r="AM54" s="411"/>
      <c r="AN54" s="394">
        <f>AN52+AN53</f>
        <v>8634.6217162800003</v>
      </c>
      <c r="AO54" s="138"/>
      <c r="AP54" s="395">
        <f t="shared" si="71"/>
        <v>34.288719999998648</v>
      </c>
      <c r="AQ54" s="396">
        <f t="shared" si="72"/>
        <v>3.9869060901281299E-3</v>
      </c>
      <c r="AR54" s="397"/>
    </row>
    <row r="55" spans="1:44" ht="12" customHeight="1">
      <c r="A55" s="53"/>
      <c r="B55" s="626" t="s">
        <v>304</v>
      </c>
      <c r="C55" s="616"/>
      <c r="D55" s="616"/>
      <c r="E55" s="328"/>
      <c r="F55" s="449"/>
      <c r="G55" s="138"/>
      <c r="H55" s="486">
        <f>F55*H52</f>
        <v>0</v>
      </c>
      <c r="I55" s="411"/>
      <c r="J55" s="411"/>
      <c r="K55" s="411"/>
      <c r="L55" s="506">
        <f>J55*L52</f>
        <v>0</v>
      </c>
      <c r="M55" s="138"/>
      <c r="N55" s="451">
        <f t="shared" si="63"/>
        <v>0</v>
      </c>
      <c r="O55" s="453" t="str">
        <f t="shared" si="64"/>
        <v/>
      </c>
      <c r="P55" s="53"/>
      <c r="Q55" s="411"/>
      <c r="R55" s="411"/>
      <c r="S55" s="506">
        <f>Q55*S52</f>
        <v>0</v>
      </c>
      <c r="T55" s="138"/>
      <c r="U55" s="451">
        <f t="shared" si="65"/>
        <v>0</v>
      </c>
      <c r="V55" s="453" t="str">
        <f t="shared" si="66"/>
        <v/>
      </c>
      <c r="W55" s="53"/>
      <c r="X55" s="411"/>
      <c r="Y55" s="411"/>
      <c r="Z55" s="506">
        <f>X55*Z52</f>
        <v>0</v>
      </c>
      <c r="AA55" s="138"/>
      <c r="AB55" s="451">
        <f t="shared" si="67"/>
        <v>0</v>
      </c>
      <c r="AC55" s="453" t="str">
        <f t="shared" si="68"/>
        <v/>
      </c>
      <c r="AD55" s="53"/>
      <c r="AE55" s="411"/>
      <c r="AF55" s="411"/>
      <c r="AG55" s="506">
        <f>AE55*AG52</f>
        <v>0</v>
      </c>
      <c r="AH55" s="138"/>
      <c r="AI55" s="451">
        <f t="shared" si="69"/>
        <v>0</v>
      </c>
      <c r="AJ55" s="453" t="str">
        <f t="shared" si="70"/>
        <v/>
      </c>
      <c r="AK55" s="53"/>
      <c r="AL55" s="411"/>
      <c r="AM55" s="411"/>
      <c r="AN55" s="506">
        <f>AL55*AN52</f>
        <v>0</v>
      </c>
      <c r="AO55" s="138"/>
      <c r="AP55" s="451">
        <f t="shared" si="71"/>
        <v>0</v>
      </c>
      <c r="AQ55" s="453" t="str">
        <f t="shared" si="72"/>
        <v/>
      </c>
      <c r="AR55" s="454"/>
    </row>
    <row r="56" spans="1:44" ht="12" customHeight="1">
      <c r="A56" s="53"/>
      <c r="B56" s="627" t="s">
        <v>347</v>
      </c>
      <c r="C56" s="608"/>
      <c r="D56" s="600"/>
      <c r="E56" s="455"/>
      <c r="F56" s="456"/>
      <c r="G56" s="487"/>
      <c r="H56" s="488">
        <f>H54-H55</f>
        <v>8634.5725138199996</v>
      </c>
      <c r="I56" s="457"/>
      <c r="J56" s="457"/>
      <c r="K56" s="457"/>
      <c r="L56" s="458">
        <f>L54-L55</f>
        <v>8723.143656279999</v>
      </c>
      <c r="M56" s="459"/>
      <c r="N56" s="460">
        <f t="shared" si="63"/>
        <v>88.571142459999464</v>
      </c>
      <c r="O56" s="461">
        <f t="shared" si="64"/>
        <v>1.0257733352547285E-2</v>
      </c>
      <c r="P56" s="53"/>
      <c r="Q56" s="457"/>
      <c r="R56" s="457"/>
      <c r="S56" s="458">
        <f>S54-S55</f>
        <v>8804.8652562799998</v>
      </c>
      <c r="T56" s="459"/>
      <c r="U56" s="460">
        <f t="shared" si="65"/>
        <v>81.721600000000763</v>
      </c>
      <c r="V56" s="461">
        <f t="shared" si="66"/>
        <v>9.3683657199852988E-3</v>
      </c>
      <c r="W56" s="53"/>
      <c r="X56" s="457"/>
      <c r="Y56" s="457"/>
      <c r="Z56" s="458">
        <f>Z54-Z55</f>
        <v>8562.8520262799993</v>
      </c>
      <c r="AA56" s="459"/>
      <c r="AB56" s="460">
        <f t="shared" si="67"/>
        <v>-242.01323000000048</v>
      </c>
      <c r="AC56" s="461">
        <f t="shared" si="68"/>
        <v>-2.7486307053635656E-2</v>
      </c>
      <c r="AD56" s="53"/>
      <c r="AE56" s="457"/>
      <c r="AF56" s="457"/>
      <c r="AG56" s="458">
        <f>AG54-AG55</f>
        <v>8600.3329962800017</v>
      </c>
      <c r="AH56" s="459"/>
      <c r="AI56" s="460">
        <f t="shared" si="69"/>
        <v>37.480970000002344</v>
      </c>
      <c r="AJ56" s="461">
        <f t="shared" si="70"/>
        <v>4.3771596058148144E-3</v>
      </c>
      <c r="AK56" s="53"/>
      <c r="AL56" s="457"/>
      <c r="AM56" s="457"/>
      <c r="AN56" s="458">
        <f>AN54-AN55</f>
        <v>8634.6217162800003</v>
      </c>
      <c r="AO56" s="459"/>
      <c r="AP56" s="460">
        <f t="shared" si="71"/>
        <v>34.288719999998648</v>
      </c>
      <c r="AQ56" s="461">
        <f t="shared" si="72"/>
        <v>3.9869060901281299E-3</v>
      </c>
      <c r="AR56" s="462"/>
    </row>
    <row r="57" spans="1:44" ht="12" customHeight="1">
      <c r="A57" s="53"/>
      <c r="B57" s="428"/>
      <c r="C57" s="429"/>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row>
    <row r="58" spans="1:44" ht="12" customHeight="1">
      <c r="A58" s="507"/>
      <c r="B58" s="508" t="s">
        <v>348</v>
      </c>
      <c r="C58" s="509"/>
      <c r="D58" s="509"/>
      <c r="E58" s="509"/>
      <c r="F58" s="510"/>
      <c r="G58" s="511"/>
      <c r="H58" s="512">
        <f>SUM(H49:H50,H42,H43:H45)</f>
        <v>2129.9957999999997</v>
      </c>
      <c r="I58" s="513"/>
      <c r="J58" s="514"/>
      <c r="K58" s="514"/>
      <c r="L58" s="512">
        <f>SUM(L49:L50,L42,L43:L45)</f>
        <v>2211.5759600000001</v>
      </c>
      <c r="M58" s="515"/>
      <c r="N58" s="516">
        <f t="shared" ref="N58:N62" si="73">L58-H58</f>
        <v>81.580160000000433</v>
      </c>
      <c r="O58" s="517">
        <f t="shared" ref="O58:O62" si="74">IF((H58)=0,"",(N58/H58))</f>
        <v>3.8300620123288713E-2</v>
      </c>
      <c r="P58" s="507"/>
      <c r="Q58" s="514"/>
      <c r="R58" s="514"/>
      <c r="S58" s="512">
        <f>SUM(S49:S50,S42,S43:S45)</f>
        <v>2283.8959600000003</v>
      </c>
      <c r="T58" s="515"/>
      <c r="U58" s="516">
        <f t="shared" ref="U58:U62" si="75">S58-L58</f>
        <v>72.320000000000164</v>
      </c>
      <c r="V58" s="517">
        <f t="shared" ref="V58:V62" si="76">IF((L58)=0,"",(U58/L58))</f>
        <v>3.2700662924550941E-2</v>
      </c>
      <c r="W58" s="507"/>
      <c r="X58" s="514"/>
      <c r="Y58" s="514"/>
      <c r="Z58" s="512">
        <f>SUM(Z49:Z50,Z42,Z43:Z45)</f>
        <v>2069.7249600000005</v>
      </c>
      <c r="AA58" s="515"/>
      <c r="AB58" s="516">
        <f t="shared" ref="AB58:AB62" si="77">Z58-S58</f>
        <v>-214.17099999999982</v>
      </c>
      <c r="AC58" s="517">
        <f t="shared" ref="AC58:AC62" si="78">IF((S58)=0,"",(AB58/S58))</f>
        <v>-9.3774411685547968E-2</v>
      </c>
      <c r="AD58" s="507"/>
      <c r="AE58" s="514"/>
      <c r="AF58" s="514"/>
      <c r="AG58" s="512">
        <f>SUM(AG49:AG50,AG42,AG43:AG45)</f>
        <v>2102.8939600000003</v>
      </c>
      <c r="AH58" s="515"/>
      <c r="AI58" s="516">
        <f t="shared" ref="AI58:AI62" si="79">AG58-Z58</f>
        <v>33.168999999999869</v>
      </c>
      <c r="AJ58" s="517">
        <f t="shared" ref="AJ58:AJ62" si="80">IF((Z58)=0,"",(AI58/Z58))</f>
        <v>1.6025800838774182E-2</v>
      </c>
      <c r="AK58" s="507"/>
      <c r="AL58" s="514"/>
      <c r="AM58" s="514"/>
      <c r="AN58" s="512">
        <f>SUM(AN49:AN50,AN42,AN43:AN45)</f>
        <v>2133.2379599999999</v>
      </c>
      <c r="AO58" s="515"/>
      <c r="AP58" s="516">
        <f t="shared" ref="AP58:AP62" si="81">AN58-AG58</f>
        <v>30.343999999999596</v>
      </c>
      <c r="AQ58" s="517">
        <f t="shared" ref="AQ58:AQ62" si="82">IF((AG58)=0,"",(AP58/AG58))</f>
        <v>1.4429638668038017E-2</v>
      </c>
      <c r="AR58" s="518"/>
    </row>
    <row r="59" spans="1:44" ht="12" customHeight="1">
      <c r="A59" s="507"/>
      <c r="B59" s="519" t="s">
        <v>345</v>
      </c>
      <c r="C59" s="509"/>
      <c r="D59" s="509"/>
      <c r="E59" s="509"/>
      <c r="F59" s="510">
        <v>0.13</v>
      </c>
      <c r="G59" s="511"/>
      <c r="H59" s="520">
        <f>H58*F59</f>
        <v>276.89945399999999</v>
      </c>
      <c r="I59" s="521"/>
      <c r="J59" s="510">
        <v>0.13</v>
      </c>
      <c r="K59" s="522"/>
      <c r="L59" s="523">
        <f>L58*J59</f>
        <v>287.50487480000004</v>
      </c>
      <c r="M59" s="524"/>
      <c r="N59" s="525">
        <f t="shared" si="73"/>
        <v>10.605420800000047</v>
      </c>
      <c r="O59" s="526">
        <f t="shared" si="74"/>
        <v>3.8300620123288678E-2</v>
      </c>
      <c r="P59" s="507"/>
      <c r="Q59" s="510">
        <v>0.13</v>
      </c>
      <c r="R59" s="522"/>
      <c r="S59" s="523">
        <f>S58*Q59</f>
        <v>296.90647480000007</v>
      </c>
      <c r="T59" s="524"/>
      <c r="U59" s="525">
        <f t="shared" si="75"/>
        <v>9.4016000000000304</v>
      </c>
      <c r="V59" s="526">
        <f t="shared" si="76"/>
        <v>3.2700662924550969E-2</v>
      </c>
      <c r="W59" s="507"/>
      <c r="X59" s="510">
        <v>0.13</v>
      </c>
      <c r="Y59" s="522"/>
      <c r="Z59" s="523">
        <f>Z58*X59</f>
        <v>269.0642448000001</v>
      </c>
      <c r="AA59" s="524"/>
      <c r="AB59" s="525">
        <f t="shared" si="77"/>
        <v>-27.842229999999972</v>
      </c>
      <c r="AC59" s="526">
        <f t="shared" si="78"/>
        <v>-9.377441168554794E-2</v>
      </c>
      <c r="AD59" s="507"/>
      <c r="AE59" s="510">
        <v>0.13</v>
      </c>
      <c r="AF59" s="522"/>
      <c r="AG59" s="523">
        <f>AG58*AE59</f>
        <v>273.37621480000007</v>
      </c>
      <c r="AH59" s="524"/>
      <c r="AI59" s="525">
        <f t="shared" si="79"/>
        <v>4.3119699999999739</v>
      </c>
      <c r="AJ59" s="526">
        <f t="shared" si="80"/>
        <v>1.6025800838774147E-2</v>
      </c>
      <c r="AK59" s="507"/>
      <c r="AL59" s="510">
        <v>0.13</v>
      </c>
      <c r="AM59" s="522"/>
      <c r="AN59" s="523">
        <f>AN58*AL59</f>
        <v>277.32093479999997</v>
      </c>
      <c r="AO59" s="524"/>
      <c r="AP59" s="525">
        <f t="shared" si="81"/>
        <v>3.9447199999999043</v>
      </c>
      <c r="AQ59" s="526">
        <f t="shared" si="82"/>
        <v>1.4429638668037858E-2</v>
      </c>
      <c r="AR59" s="527"/>
    </row>
    <row r="60" spans="1:44" ht="12" customHeight="1">
      <c r="A60" s="507"/>
      <c r="B60" s="528" t="s">
        <v>408</v>
      </c>
      <c r="C60" s="509"/>
      <c r="D60" s="509"/>
      <c r="E60" s="509"/>
      <c r="F60" s="529"/>
      <c r="G60" s="524"/>
      <c r="H60" s="520">
        <f>H58+H59</f>
        <v>2406.8952539999996</v>
      </c>
      <c r="I60" s="521"/>
      <c r="J60" s="521"/>
      <c r="K60" s="521"/>
      <c r="L60" s="523">
        <f>L58+L59</f>
        <v>2499.0808348</v>
      </c>
      <c r="M60" s="524"/>
      <c r="N60" s="525">
        <f t="shared" si="73"/>
        <v>92.18558080000048</v>
      </c>
      <c r="O60" s="526">
        <f t="shared" si="74"/>
        <v>3.8300620123288713E-2</v>
      </c>
      <c r="P60" s="507"/>
      <c r="Q60" s="521"/>
      <c r="R60" s="521"/>
      <c r="S60" s="523">
        <f>S58+S59</f>
        <v>2580.8024348000004</v>
      </c>
      <c r="T60" s="524"/>
      <c r="U60" s="525">
        <f t="shared" si="75"/>
        <v>81.721600000000308</v>
      </c>
      <c r="V60" s="526">
        <f t="shared" si="76"/>
        <v>3.2700662924550997E-2</v>
      </c>
      <c r="W60" s="507"/>
      <c r="X60" s="521"/>
      <c r="Y60" s="521"/>
      <c r="Z60" s="523">
        <f>Z58+Z59</f>
        <v>2338.7892048000003</v>
      </c>
      <c r="AA60" s="524"/>
      <c r="AB60" s="525">
        <f t="shared" si="77"/>
        <v>-242.01323000000002</v>
      </c>
      <c r="AC60" s="526">
        <f t="shared" si="78"/>
        <v>-9.3774411685548051E-2</v>
      </c>
      <c r="AD60" s="507"/>
      <c r="AE60" s="521"/>
      <c r="AF60" s="521"/>
      <c r="AG60" s="523">
        <f>AG58+AG59</f>
        <v>2376.2701748000004</v>
      </c>
      <c r="AH60" s="524"/>
      <c r="AI60" s="525">
        <f t="shared" si="79"/>
        <v>37.48097000000007</v>
      </c>
      <c r="AJ60" s="526">
        <f t="shared" si="80"/>
        <v>1.6025800838774279E-2</v>
      </c>
      <c r="AK60" s="507"/>
      <c r="AL60" s="521"/>
      <c r="AM60" s="521"/>
      <c r="AN60" s="523">
        <f>AN58+AN59</f>
        <v>2410.5588948</v>
      </c>
      <c r="AO60" s="524"/>
      <c r="AP60" s="525">
        <f t="shared" si="81"/>
        <v>34.288719999999557</v>
      </c>
      <c r="AQ60" s="526">
        <f t="shared" si="82"/>
        <v>1.4429638668038022E-2</v>
      </c>
      <c r="AR60" s="527"/>
    </row>
    <row r="61" spans="1:44" ht="12" customHeight="1">
      <c r="A61" s="507"/>
      <c r="B61" s="636" t="s">
        <v>304</v>
      </c>
      <c r="C61" s="616"/>
      <c r="D61" s="616"/>
      <c r="E61" s="509"/>
      <c r="F61" s="529"/>
      <c r="G61" s="524"/>
      <c r="H61" s="530">
        <f>F61*H58</f>
        <v>0</v>
      </c>
      <c r="I61" s="521"/>
      <c r="J61" s="521"/>
      <c r="K61" s="521"/>
      <c r="L61" s="531">
        <f>J61*L58</f>
        <v>0</v>
      </c>
      <c r="M61" s="524"/>
      <c r="N61" s="532">
        <f t="shared" si="73"/>
        <v>0</v>
      </c>
      <c r="O61" s="533" t="str">
        <f t="shared" si="74"/>
        <v/>
      </c>
      <c r="P61" s="507"/>
      <c r="Q61" s="521"/>
      <c r="R61" s="521"/>
      <c r="S61" s="531">
        <f>Q61*S58</f>
        <v>0</v>
      </c>
      <c r="T61" s="524"/>
      <c r="U61" s="532">
        <f t="shared" si="75"/>
        <v>0</v>
      </c>
      <c r="V61" s="533" t="str">
        <f t="shared" si="76"/>
        <v/>
      </c>
      <c r="W61" s="507"/>
      <c r="X61" s="521"/>
      <c r="Y61" s="521"/>
      <c r="Z61" s="531">
        <f>X61*Z58</f>
        <v>0</v>
      </c>
      <c r="AA61" s="524"/>
      <c r="AB61" s="532">
        <f t="shared" si="77"/>
        <v>0</v>
      </c>
      <c r="AC61" s="533" t="str">
        <f t="shared" si="78"/>
        <v/>
      </c>
      <c r="AD61" s="507"/>
      <c r="AE61" s="521"/>
      <c r="AF61" s="521"/>
      <c r="AG61" s="531">
        <f>AE61*AG58</f>
        <v>0</v>
      </c>
      <c r="AH61" s="524"/>
      <c r="AI61" s="532">
        <f t="shared" si="79"/>
        <v>0</v>
      </c>
      <c r="AJ61" s="533" t="str">
        <f t="shared" si="80"/>
        <v/>
      </c>
      <c r="AK61" s="507"/>
      <c r="AL61" s="521"/>
      <c r="AM61" s="521"/>
      <c r="AN61" s="531">
        <f>AL61*AN58</f>
        <v>0</v>
      </c>
      <c r="AO61" s="524"/>
      <c r="AP61" s="532">
        <f t="shared" si="81"/>
        <v>0</v>
      </c>
      <c r="AQ61" s="533" t="str">
        <f t="shared" si="82"/>
        <v/>
      </c>
      <c r="AR61" s="534"/>
    </row>
    <row r="62" spans="1:44" ht="12" customHeight="1">
      <c r="A62" s="507"/>
      <c r="B62" s="637" t="s">
        <v>350</v>
      </c>
      <c r="C62" s="608"/>
      <c r="D62" s="600"/>
      <c r="E62" s="535"/>
      <c r="F62" s="536"/>
      <c r="G62" s="537"/>
      <c r="H62" s="538">
        <f>H60-H61</f>
        <v>2406.8952539999996</v>
      </c>
      <c r="I62" s="539"/>
      <c r="J62" s="539"/>
      <c r="K62" s="539"/>
      <c r="L62" s="540">
        <f>L60-L61</f>
        <v>2499.0808348</v>
      </c>
      <c r="M62" s="541"/>
      <c r="N62" s="542">
        <f t="shared" si="73"/>
        <v>92.18558080000048</v>
      </c>
      <c r="O62" s="543">
        <f t="shared" si="74"/>
        <v>3.8300620123288713E-2</v>
      </c>
      <c r="P62" s="507"/>
      <c r="Q62" s="539"/>
      <c r="R62" s="539"/>
      <c r="S62" s="540">
        <f>S60-S61</f>
        <v>2580.8024348000004</v>
      </c>
      <c r="T62" s="541"/>
      <c r="U62" s="542">
        <f t="shared" si="75"/>
        <v>81.721600000000308</v>
      </c>
      <c r="V62" s="543">
        <f t="shared" si="76"/>
        <v>3.2700662924550997E-2</v>
      </c>
      <c r="W62" s="507"/>
      <c r="X62" s="539"/>
      <c r="Y62" s="539"/>
      <c r="Z62" s="540">
        <f>Z60-Z61</f>
        <v>2338.7892048000003</v>
      </c>
      <c r="AA62" s="541"/>
      <c r="AB62" s="542">
        <f t="shared" si="77"/>
        <v>-242.01323000000002</v>
      </c>
      <c r="AC62" s="543">
        <f t="shared" si="78"/>
        <v>-9.3774411685548051E-2</v>
      </c>
      <c r="AD62" s="507"/>
      <c r="AE62" s="539"/>
      <c r="AF62" s="539"/>
      <c r="AG62" s="540">
        <f>AG60-AG61</f>
        <v>2376.2701748000004</v>
      </c>
      <c r="AH62" s="541"/>
      <c r="AI62" s="542">
        <f t="shared" si="79"/>
        <v>37.48097000000007</v>
      </c>
      <c r="AJ62" s="543">
        <f t="shared" si="80"/>
        <v>1.6025800838774279E-2</v>
      </c>
      <c r="AK62" s="507"/>
      <c r="AL62" s="539"/>
      <c r="AM62" s="539"/>
      <c r="AN62" s="540">
        <f>AN60-AN61</f>
        <v>2410.5588948</v>
      </c>
      <c r="AO62" s="541"/>
      <c r="AP62" s="542">
        <f t="shared" si="81"/>
        <v>34.288719999999557</v>
      </c>
      <c r="AQ62" s="543">
        <f t="shared" si="82"/>
        <v>1.4429638668038022E-2</v>
      </c>
      <c r="AR62" s="544"/>
    </row>
    <row r="63" spans="1:44" ht="12" customHeight="1">
      <c r="A63" s="53"/>
      <c r="B63" s="428"/>
      <c r="C63" s="429"/>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row>
    <row r="64" spans="1:44" ht="12" customHeight="1">
      <c r="A64" s="53"/>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 customHeight="1">
      <c r="A65" s="53"/>
      <c r="B65" s="314" t="s">
        <v>351</v>
      </c>
      <c r="C65" s="53"/>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473" t="s">
        <v>409</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474"/>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1800-000000000000}">
      <formula1>"TOU,non-TOU"</formula1>
    </dataValidation>
    <dataValidation type="list" allowBlank="1" showErrorMessage="1" sqref="E15:E28 E30:E38 E40:E41 E43:E51 E57 E63" xr:uid="{00000000-0002-0000-1800-000001000000}">
      <formula1>#REF!</formula1>
    </dataValidation>
    <dataValidation type="list" allowBlank="1" showInputMessage="1" showErrorMessage="1" prompt="Select Charge Unit - monthly, per kWh, per kW" sqref="D15:D28 D30:D38 D40:D41 D43:D51 D57 D63" xr:uid="{00000000-0002-0000-1800-000002000000}">
      <formula1>"Monthly,per kWh,per kW"</formula1>
    </dataValidation>
  </dataValidations>
  <pageMargins left="0.74803149606299213" right="0.74803149606299213" top="0.98425196850393704" bottom="0.98425196850393704"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X1000"/>
  <sheetViews>
    <sheetView showGridLines="0" workbookViewId="0"/>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2.28515625" customWidth="1"/>
    <col min="9" max="9" width="0.7109375" customWidth="1"/>
    <col min="10" max="10" width="9.28515625" customWidth="1"/>
    <col min="11" max="11" width="8.7109375" customWidth="1"/>
    <col min="12" max="12" width="12.28515625" customWidth="1"/>
    <col min="13" max="13" width="0.42578125" customWidth="1"/>
    <col min="14" max="14" width="9.42578125" customWidth="1"/>
    <col min="15" max="15" width="10" customWidth="1"/>
    <col min="16" max="16" width="0.42578125" customWidth="1"/>
    <col min="17" max="17" width="9.28515625" customWidth="1"/>
    <col min="18" max="18" width="8.7109375" customWidth="1"/>
    <col min="19" max="19" width="12.28515625" customWidth="1"/>
    <col min="20" max="20" width="0.42578125" customWidth="1"/>
    <col min="21" max="21" width="9.42578125" customWidth="1"/>
    <col min="22" max="22" width="10" customWidth="1"/>
    <col min="23" max="23" width="0.42578125" customWidth="1"/>
    <col min="24" max="24" width="9.28515625" customWidth="1"/>
    <col min="25" max="25" width="8.710937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8.710937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8.710937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3"/>
      <c r="B1" s="53"/>
      <c r="C1" s="53"/>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3"/>
      <c r="AT1" s="3"/>
      <c r="AU1" s="3"/>
      <c r="AV1" s="3"/>
      <c r="AW1" s="3"/>
      <c r="AX1" s="3"/>
    </row>
    <row r="2" spans="1:50" ht="12" customHeight="1">
      <c r="A2" s="53"/>
      <c r="B2" s="53"/>
      <c r="C2" s="373"/>
      <c r="D2" s="373"/>
      <c r="E2" s="373"/>
      <c r="F2" s="373" t="s">
        <v>320</v>
      </c>
      <c r="G2" s="373"/>
      <c r="H2" s="373"/>
      <c r="I2" s="373"/>
      <c r="J2" s="373"/>
      <c r="K2" s="373"/>
      <c r="L2" s="373"/>
      <c r="M2" s="373"/>
      <c r="N2" s="373"/>
      <c r="O2" s="373"/>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3"/>
      <c r="AT2" s="3"/>
      <c r="AU2" s="3"/>
      <c r="AV2" s="3"/>
      <c r="AW2" s="3"/>
      <c r="AX2" s="3"/>
    </row>
    <row r="3" spans="1:50" ht="12" customHeight="1">
      <c r="A3" s="53"/>
      <c r="B3" s="53"/>
      <c r="C3" s="373"/>
      <c r="D3" s="373"/>
      <c r="E3" s="373"/>
      <c r="F3" s="373" t="s">
        <v>322</v>
      </c>
      <c r="G3" s="373"/>
      <c r="H3" s="373"/>
      <c r="I3" s="373"/>
      <c r="J3" s="373"/>
      <c r="K3" s="373"/>
      <c r="L3" s="373"/>
      <c r="M3" s="373"/>
      <c r="N3" s="373"/>
      <c r="O3" s="373"/>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c r="AU3" s="3"/>
      <c r="AV3" s="3"/>
      <c r="AW3" s="3"/>
      <c r="AX3" s="3"/>
    </row>
    <row r="4" spans="1:50" ht="12" customHeight="1">
      <c r="A4" s="53"/>
      <c r="B4" s="53"/>
      <c r="C4" s="53"/>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c r="AU4" s="3"/>
      <c r="AV4" s="3"/>
      <c r="AW4" s="3"/>
      <c r="AX4" s="3"/>
    </row>
    <row r="5" spans="1:50" ht="12" customHeight="1">
      <c r="A5" s="53"/>
      <c r="B5" s="53"/>
      <c r="C5" s="53"/>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c r="AU5" s="3"/>
      <c r="AV5" s="3"/>
      <c r="AW5" s="3"/>
      <c r="AX5" s="3"/>
    </row>
    <row r="6" spans="1:50" ht="12" customHeight="1">
      <c r="A6" s="53"/>
      <c r="B6" s="327" t="s">
        <v>323</v>
      </c>
      <c r="C6" s="53"/>
      <c r="D6" s="499" t="s">
        <v>249</v>
      </c>
      <c r="E6" s="500"/>
      <c r="F6" s="500"/>
      <c r="G6" s="500"/>
      <c r="H6" s="500"/>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c r="AW6" s="3"/>
      <c r="AX6" s="3"/>
    </row>
    <row r="7" spans="1:50"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c r="AV7" s="3"/>
      <c r="AW7" s="3"/>
      <c r="AX7" s="3"/>
    </row>
    <row r="8" spans="1:50" ht="12" customHeight="1">
      <c r="A8" s="53"/>
      <c r="B8" s="327" t="s">
        <v>324</v>
      </c>
      <c r="C8" s="53"/>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3"/>
      <c r="AT8" s="3"/>
      <c r="AU8" s="3"/>
      <c r="AV8" s="3"/>
      <c r="AW8" s="3"/>
      <c r="AX8" s="3"/>
    </row>
    <row r="9" spans="1:50" ht="12" customHeight="1">
      <c r="A9" s="53"/>
      <c r="B9" s="377"/>
      <c r="C9" s="53"/>
      <c r="D9" s="314" t="s">
        <v>326</v>
      </c>
      <c r="E9" s="314"/>
      <c r="F9" s="380">
        <v>76480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3"/>
      <c r="AT9" s="3"/>
      <c r="AU9" s="3"/>
      <c r="AV9" s="3"/>
      <c r="AW9" s="3"/>
      <c r="AX9" s="3"/>
    </row>
    <row r="10" spans="1:50" ht="12" customHeight="1">
      <c r="A10" s="53"/>
      <c r="B10" s="53"/>
      <c r="C10" s="53"/>
      <c r="D10" s="53"/>
      <c r="E10" s="53"/>
      <c r="F10" s="380">
        <v>185</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3"/>
      <c r="AT10" s="3"/>
      <c r="AU10" s="3"/>
      <c r="AV10" s="3"/>
      <c r="AW10" s="3"/>
      <c r="AX10" s="3"/>
    </row>
    <row r="11" spans="1:50" ht="12" customHeight="1">
      <c r="A11" s="545"/>
      <c r="B11" s="53"/>
      <c r="C11" s="53"/>
      <c r="D11" s="3"/>
      <c r="E11" s="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c r="AS11" s="3"/>
      <c r="AT11" s="3"/>
      <c r="AU11" s="3"/>
      <c r="AV11" s="3"/>
      <c r="AW11" s="3"/>
      <c r="AX11" s="3"/>
    </row>
    <row r="12" spans="1:50" ht="12" customHeight="1">
      <c r="A12" s="545"/>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c r="AS12" s="3"/>
      <c r="AT12" s="3"/>
      <c r="AU12" s="3"/>
      <c r="AV12" s="3"/>
      <c r="AW12" s="3"/>
      <c r="AX12" s="3"/>
    </row>
    <row r="13" spans="1:50" ht="12" customHeight="1">
      <c r="A13" s="545"/>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c r="AS13" s="3"/>
      <c r="AT13" s="3"/>
      <c r="AU13" s="3"/>
      <c r="AV13" s="3"/>
      <c r="AW13" s="3"/>
      <c r="AX13" s="3"/>
    </row>
    <row r="14" spans="1:50" ht="12" customHeight="1">
      <c r="A14" s="545"/>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c r="AS14" s="3"/>
      <c r="AT14" s="3"/>
      <c r="AU14" s="3"/>
      <c r="AV14" s="3"/>
      <c r="AW14" s="3"/>
      <c r="AX14" s="3"/>
    </row>
    <row r="15" spans="1:50" ht="12" customHeight="1">
      <c r="A15" s="545"/>
      <c r="B15" s="328" t="s">
        <v>246</v>
      </c>
      <c r="C15" s="389" t="str">
        <f t="shared" ref="C15:C28" si="0">D$6&amp;"."&amp;B15</f>
        <v>General Service 50 to 1,499 KW.Monthly Service Charge</v>
      </c>
      <c r="D15" s="390" t="s">
        <v>335</v>
      </c>
      <c r="E15" s="328"/>
      <c r="F15" s="391">
        <f>VLOOKUP($C15,'Proposed Rates'!$B:$J,F$11,FALSE)</f>
        <v>200</v>
      </c>
      <c r="G15" s="409">
        <f t="shared" ref="G15:G28" si="1">IF($D15="Monthly",1,IF($D15="per KW",$F$10,IF($D15="per kWh",$F$9,0)))</f>
        <v>1</v>
      </c>
      <c r="H15" s="394">
        <f t="shared" ref="H15:H28" si="2">G15*F15</f>
        <v>200</v>
      </c>
      <c r="I15" s="138"/>
      <c r="J15" s="391">
        <f>VLOOKUP($C15,'Proposed Rates'!$B:$J,J$11,FALSE)</f>
        <v>200</v>
      </c>
      <c r="K15" s="409">
        <f t="shared" ref="K15:K28" si="3">IF($D15="Monthly",1,IF($D15="per KW",$F$10,IF($D15="per kWh",$F$9,0)))</f>
        <v>1</v>
      </c>
      <c r="L15" s="394">
        <f t="shared" ref="L15:L28" si="4">K15*J15</f>
        <v>200</v>
      </c>
      <c r="M15" s="138"/>
      <c r="N15" s="395">
        <f t="shared" ref="N15:N46" si="5">L15-H15</f>
        <v>0</v>
      </c>
      <c r="O15" s="396">
        <f t="shared" ref="O15:O46" si="6">IF((H15)=0,"",(N15/H15))</f>
        <v>0</v>
      </c>
      <c r="P15" s="53"/>
      <c r="Q15" s="391">
        <f>VLOOKUP($C15,'Proposed Rates'!$B:$J,Q$11,FALSE)</f>
        <v>200</v>
      </c>
      <c r="R15" s="409">
        <f t="shared" ref="R15:R28" si="7">IF($D15="Monthly",1,IF($D15="per KW",$F$10,IF($D15="per kWh",$F$9,0)))</f>
        <v>1</v>
      </c>
      <c r="S15" s="394">
        <f t="shared" ref="S15:S28" si="8">R15*Q15</f>
        <v>200</v>
      </c>
      <c r="T15" s="138"/>
      <c r="U15" s="395">
        <f t="shared" ref="U15:U46" si="9">S15-L15</f>
        <v>0</v>
      </c>
      <c r="V15" s="396">
        <f t="shared" ref="V15:V46" si="10">IF((L15)=0,"",(U15/L15))</f>
        <v>0</v>
      </c>
      <c r="W15" s="53"/>
      <c r="X15" s="391">
        <f>VLOOKUP($C15,'Proposed Rates'!$B:$J,X$11,FALSE)</f>
        <v>200</v>
      </c>
      <c r="Y15" s="409">
        <f t="shared" ref="Y15:Y28" si="11">IF($D15="Monthly",1,IF($D15="per KW",$F$10,IF($D15="per kWh",$F$9,0)))</f>
        <v>1</v>
      </c>
      <c r="Z15" s="394">
        <f t="shared" ref="Z15:Z28" si="12">Y15*X15</f>
        <v>200</v>
      </c>
      <c r="AA15" s="138"/>
      <c r="AB15" s="395">
        <f t="shared" ref="AB15:AB34" si="13">Z15-S15</f>
        <v>0</v>
      </c>
      <c r="AC15" s="396">
        <f t="shared" ref="AC15:AC34" si="14">IF((S15)=0,"",(AB15/S15))</f>
        <v>0</v>
      </c>
      <c r="AD15" s="53"/>
      <c r="AE15" s="391">
        <f>VLOOKUP($C15,'Proposed Rates'!$B:$J,AE$11,FALSE)</f>
        <v>200</v>
      </c>
      <c r="AF15" s="409">
        <f t="shared" ref="AF15:AF28" si="15">IF($D15="Monthly",1,IF($D15="per KW",$F$10,IF($D15="per kWh",$F$9,0)))</f>
        <v>1</v>
      </c>
      <c r="AG15" s="394">
        <f t="shared" ref="AG15:AG28" si="16">AF15*AE15</f>
        <v>200</v>
      </c>
      <c r="AH15" s="138"/>
      <c r="AI15" s="395">
        <f t="shared" ref="AI15:AI46" si="17">AG15-Z15</f>
        <v>0</v>
      </c>
      <c r="AJ15" s="396">
        <f t="shared" ref="AJ15:AJ46" si="18">IF((Z15)=0,"",(AI15/Z15))</f>
        <v>0</v>
      </c>
      <c r="AK15" s="53"/>
      <c r="AL15" s="391">
        <f>VLOOKUP($C15,'Proposed Rates'!$B:$J,AL$11,FALSE)</f>
        <v>200</v>
      </c>
      <c r="AM15" s="409">
        <f t="shared" ref="AM15:AM28" si="19">IF($D15="Monthly",1,IF($D15="per KW",$F$10,IF($D15="per kWh",$F$9,0)))</f>
        <v>1</v>
      </c>
      <c r="AN15" s="394">
        <f t="shared" ref="AN15:AN28" si="20">AM15*AL15</f>
        <v>200</v>
      </c>
      <c r="AO15" s="138"/>
      <c r="AP15" s="395">
        <f t="shared" ref="AP15:AP46" si="21">AN15-AG15</f>
        <v>0</v>
      </c>
      <c r="AQ15" s="396">
        <f t="shared" ref="AQ15:AQ46" si="22">IF((AG15)=0,"",(AP15/AG15))</f>
        <v>0</v>
      </c>
      <c r="AR15" s="397"/>
      <c r="AS15" s="3"/>
      <c r="AT15" s="3"/>
      <c r="AU15" s="3"/>
      <c r="AV15" s="3"/>
      <c r="AW15" s="3"/>
      <c r="AX15" s="3"/>
    </row>
    <row r="16" spans="1:50" ht="12" customHeight="1">
      <c r="A16" s="545"/>
      <c r="B16" s="328" t="s">
        <v>336</v>
      </c>
      <c r="C16" s="389" t="str">
        <f t="shared" si="0"/>
        <v>General Service 50 to 1,499 KW.Smart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c r="AS16" s="3"/>
      <c r="AT16" s="3"/>
      <c r="AU16" s="3"/>
      <c r="AV16" s="3"/>
      <c r="AW16" s="3"/>
      <c r="AX16" s="3"/>
    </row>
    <row r="17" spans="1:50" ht="12" customHeight="1">
      <c r="A17" s="545"/>
      <c r="B17" s="398" t="str">
        <f>'Proposed Rates'!C115</f>
        <v>Rate Rider Calculation for Forgone Revenue - variable</v>
      </c>
      <c r="C17" s="389" t="str">
        <f t="shared" si="0"/>
        <v>General Service 50 to 1,499 KW.Rate Rider Calculation for Forgone Revenue - variable</v>
      </c>
      <c r="D17" s="390" t="s">
        <v>406</v>
      </c>
      <c r="E17" s="328"/>
      <c r="F17" s="391">
        <f>IFERROR(VLOOKUP($C17,'Proposed Rates'!$B:$J,F$11,FALSE),0)</f>
        <v>0</v>
      </c>
      <c r="G17" s="409">
        <f t="shared" si="1"/>
        <v>185</v>
      </c>
      <c r="H17" s="394">
        <f t="shared" si="2"/>
        <v>0</v>
      </c>
      <c r="I17" s="138"/>
      <c r="J17" s="391">
        <f>IFERROR(VLOOKUP($C17,'Proposed Rates'!$B:$J,J$11,FALSE),0)</f>
        <v>0.45269999999999999</v>
      </c>
      <c r="K17" s="409">
        <f t="shared" si="3"/>
        <v>185</v>
      </c>
      <c r="L17" s="394">
        <f t="shared" si="4"/>
        <v>83.749499999999998</v>
      </c>
      <c r="M17" s="138"/>
      <c r="N17" s="395">
        <f t="shared" si="5"/>
        <v>83.749499999999998</v>
      </c>
      <c r="O17" s="396" t="str">
        <f t="shared" si="6"/>
        <v/>
      </c>
      <c r="P17" s="53"/>
      <c r="Q17" s="391">
        <f>IFERROR(VLOOKUP($C17,'Proposed Rates'!$B:$J,Q$11,FALSE),0)</f>
        <v>0.45269999999999999</v>
      </c>
      <c r="R17" s="409">
        <f t="shared" si="7"/>
        <v>185</v>
      </c>
      <c r="S17" s="394">
        <f t="shared" si="8"/>
        <v>83.749499999999998</v>
      </c>
      <c r="T17" s="138"/>
      <c r="U17" s="395">
        <f t="shared" si="9"/>
        <v>0</v>
      </c>
      <c r="V17" s="396">
        <f t="shared" si="10"/>
        <v>0</v>
      </c>
      <c r="W17" s="53"/>
      <c r="X17" s="391">
        <f>IFERROR(VLOOKUP($C17,'Proposed Rates'!$B:$J,X$11,FALSE),0)</f>
        <v>0</v>
      </c>
      <c r="Y17" s="409">
        <f t="shared" si="11"/>
        <v>185</v>
      </c>
      <c r="Z17" s="394">
        <f t="shared" si="12"/>
        <v>0</v>
      </c>
      <c r="AA17" s="138"/>
      <c r="AB17" s="395">
        <f t="shared" si="13"/>
        <v>-83.749499999999998</v>
      </c>
      <c r="AC17" s="396">
        <f t="shared" si="14"/>
        <v>-1</v>
      </c>
      <c r="AD17" s="53"/>
      <c r="AE17" s="391">
        <f>IFERROR(VLOOKUP($C17,'Proposed Rates'!$B:$J,AE$11,FALSE),0)</f>
        <v>0</v>
      </c>
      <c r="AF17" s="409">
        <f t="shared" si="15"/>
        <v>185</v>
      </c>
      <c r="AG17" s="394">
        <f t="shared" si="16"/>
        <v>0</v>
      </c>
      <c r="AH17" s="138"/>
      <c r="AI17" s="395">
        <f t="shared" si="17"/>
        <v>0</v>
      </c>
      <c r="AJ17" s="396" t="str">
        <f t="shared" si="18"/>
        <v/>
      </c>
      <c r="AK17" s="53"/>
      <c r="AL17" s="391">
        <f>IFERROR(VLOOKUP($C17,'Proposed Rates'!$B:$J,AL$11,FALSE),0)</f>
        <v>0</v>
      </c>
      <c r="AM17" s="409">
        <f t="shared" si="19"/>
        <v>185</v>
      </c>
      <c r="AN17" s="394">
        <f t="shared" si="20"/>
        <v>0</v>
      </c>
      <c r="AO17" s="138"/>
      <c r="AP17" s="395">
        <f t="shared" si="21"/>
        <v>0</v>
      </c>
      <c r="AQ17" s="396" t="str">
        <f t="shared" si="22"/>
        <v/>
      </c>
      <c r="AR17" s="397"/>
      <c r="AS17" s="3"/>
      <c r="AT17" s="3"/>
      <c r="AU17" s="3"/>
      <c r="AV17" s="3"/>
      <c r="AW17" s="3"/>
      <c r="AX17" s="3"/>
    </row>
    <row r="18" spans="1:50" ht="12" customHeight="1">
      <c r="A18" s="545"/>
      <c r="B18" s="398" t="str">
        <f>'Proposed Rates'!C128</f>
        <v>Rate Rider Calculation for Forgone Revenue - fixed</v>
      </c>
      <c r="C18" s="389" t="str">
        <f t="shared" si="0"/>
        <v>General Service 50 to 1,499 KW.Rate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-0.62</v>
      </c>
      <c r="K18" s="409">
        <f t="shared" si="3"/>
        <v>1</v>
      </c>
      <c r="L18" s="394">
        <f t="shared" si="4"/>
        <v>-0.62</v>
      </c>
      <c r="M18" s="138"/>
      <c r="N18" s="395">
        <f t="shared" si="5"/>
        <v>-0.62</v>
      </c>
      <c r="O18" s="396" t="str">
        <f t="shared" si="6"/>
        <v/>
      </c>
      <c r="P18" s="53"/>
      <c r="Q18" s="391">
        <f>IFERROR(VLOOKUP($C18,'Proposed Rates'!$B:$J,Q$11,FALSE),0)</f>
        <v>-0.62</v>
      </c>
      <c r="R18" s="409">
        <f t="shared" si="7"/>
        <v>1</v>
      </c>
      <c r="S18" s="394">
        <f t="shared" si="8"/>
        <v>-0.62</v>
      </c>
      <c r="T18" s="138"/>
      <c r="U18" s="395">
        <f t="shared" si="9"/>
        <v>0</v>
      </c>
      <c r="V18" s="396">
        <f t="shared" si="10"/>
        <v>0</v>
      </c>
      <c r="W18" s="53"/>
      <c r="X18" s="391">
        <f>IFERROR(VLOOKUP($C18,'Proposed Rates'!$B:$J,X$11,FALSE),0)</f>
        <v>0</v>
      </c>
      <c r="Y18" s="409">
        <f t="shared" si="11"/>
        <v>1</v>
      </c>
      <c r="Z18" s="394">
        <f t="shared" si="12"/>
        <v>0</v>
      </c>
      <c r="AA18" s="138"/>
      <c r="AB18" s="395">
        <f t="shared" si="13"/>
        <v>0.62</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c r="AS18" s="3"/>
      <c r="AT18" s="3"/>
      <c r="AU18" s="3"/>
      <c r="AV18" s="3"/>
      <c r="AW18" s="3"/>
      <c r="AX18" s="3"/>
    </row>
    <row r="19" spans="1:50" ht="12" customHeight="1">
      <c r="A19" s="545"/>
      <c r="B19" s="328" t="s">
        <v>62</v>
      </c>
      <c r="C19" s="389" t="str">
        <f t="shared" si="0"/>
        <v>General Service 50 to 1,499 KW.Distribution Volumetric Rate</v>
      </c>
      <c r="D19" s="390" t="s">
        <v>406</v>
      </c>
      <c r="E19" s="328"/>
      <c r="F19" s="408">
        <f>IFERROR(VLOOKUP($C19,'Proposed Rates'!$B:$J,F$11,FALSE),0)</f>
        <v>6.5552999999999999</v>
      </c>
      <c r="G19" s="409">
        <f t="shared" si="1"/>
        <v>185</v>
      </c>
      <c r="H19" s="394">
        <f t="shared" si="2"/>
        <v>1212.7304999999999</v>
      </c>
      <c r="I19" s="138"/>
      <c r="J19" s="408">
        <f>IFERROR(VLOOKUP($C19,'Proposed Rates'!$B:$J,J$11,FALSE),0)</f>
        <v>7.6543000000000001</v>
      </c>
      <c r="K19" s="409">
        <f t="shared" si="3"/>
        <v>185</v>
      </c>
      <c r="L19" s="394">
        <f t="shared" si="4"/>
        <v>1416.0454999999999</v>
      </c>
      <c r="M19" s="138"/>
      <c r="N19" s="395">
        <f t="shared" si="5"/>
        <v>203.31500000000005</v>
      </c>
      <c r="O19" s="396">
        <f t="shared" si="6"/>
        <v>0.1676506033286044</v>
      </c>
      <c r="P19" s="53"/>
      <c r="Q19" s="408">
        <f>IFERROR(VLOOKUP($C19,'Proposed Rates'!$B:$J,Q$11,FALSE),0)</f>
        <v>8.0783000000000005</v>
      </c>
      <c r="R19" s="409">
        <f t="shared" si="7"/>
        <v>185</v>
      </c>
      <c r="S19" s="394">
        <f t="shared" si="8"/>
        <v>1494.4855</v>
      </c>
      <c r="T19" s="138"/>
      <c r="U19" s="395">
        <f t="shared" si="9"/>
        <v>78.440000000000055</v>
      </c>
      <c r="V19" s="396">
        <f t="shared" si="10"/>
        <v>5.5393700273049178E-2</v>
      </c>
      <c r="W19" s="53"/>
      <c r="X19" s="408">
        <f>IFERROR(VLOOKUP($C19,'Proposed Rates'!$B:$J,X$11,FALSE),0)</f>
        <v>8.7073</v>
      </c>
      <c r="Y19" s="409">
        <f t="shared" si="11"/>
        <v>185</v>
      </c>
      <c r="Z19" s="394">
        <f t="shared" si="12"/>
        <v>1610.8505</v>
      </c>
      <c r="AA19" s="138"/>
      <c r="AB19" s="395">
        <f t="shared" si="13"/>
        <v>116.36500000000001</v>
      </c>
      <c r="AC19" s="396">
        <f t="shared" si="14"/>
        <v>7.7862916702771623E-2</v>
      </c>
      <c r="AD19" s="53"/>
      <c r="AE19" s="408">
        <f>IFERROR(VLOOKUP($C19,'Proposed Rates'!$B:$J,AE$11,FALSE),0)</f>
        <v>9.0386000000000006</v>
      </c>
      <c r="AF19" s="409">
        <f t="shared" si="15"/>
        <v>185</v>
      </c>
      <c r="AG19" s="394">
        <f t="shared" si="16"/>
        <v>1672.1410000000001</v>
      </c>
      <c r="AH19" s="138"/>
      <c r="AI19" s="395">
        <f t="shared" si="17"/>
        <v>61.290500000000065</v>
      </c>
      <c r="AJ19" s="396">
        <f t="shared" si="18"/>
        <v>3.8048533988722148E-2</v>
      </c>
      <c r="AK19" s="53"/>
      <c r="AL19" s="408">
        <f>IFERROR(VLOOKUP($C19,'Proposed Rates'!$B:$J,AL$11,FALSE),0)</f>
        <v>9.3415999999999997</v>
      </c>
      <c r="AM19" s="409">
        <f t="shared" si="19"/>
        <v>185</v>
      </c>
      <c r="AN19" s="394">
        <f t="shared" si="20"/>
        <v>1728.1959999999999</v>
      </c>
      <c r="AO19" s="138"/>
      <c r="AP19" s="395">
        <f t="shared" si="21"/>
        <v>56.054999999999836</v>
      </c>
      <c r="AQ19" s="396">
        <f t="shared" si="22"/>
        <v>3.3522890713163445E-2</v>
      </c>
      <c r="AR19" s="397"/>
      <c r="AS19" s="3"/>
      <c r="AT19" s="3"/>
      <c r="AU19" s="3"/>
      <c r="AV19" s="3"/>
      <c r="AW19" s="3"/>
      <c r="AX19" s="3"/>
    </row>
    <row r="20" spans="1:50" ht="12" customHeight="1">
      <c r="A20" s="545"/>
      <c r="B20" s="328" t="s">
        <v>338</v>
      </c>
      <c r="C20" s="389" t="str">
        <f t="shared" si="0"/>
        <v>General Service 50 to 1,499 KW.Smart Meter Disposition Rider</v>
      </c>
      <c r="D20" s="390" t="s">
        <v>337</v>
      </c>
      <c r="E20" s="328"/>
      <c r="F20" s="391">
        <f>IFERROR(VLOOKUP($C20,'Proposed Rates'!$B:$J,F$11,FALSE),0)</f>
        <v>0</v>
      </c>
      <c r="G20" s="409">
        <f t="shared" si="1"/>
        <v>76480</v>
      </c>
      <c r="H20" s="394">
        <f t="shared" si="2"/>
        <v>0</v>
      </c>
      <c r="I20" s="138"/>
      <c r="J20" s="391">
        <f>IFERROR(VLOOKUP($C20,'Proposed Rates'!$B:$J,J$11,FALSE),0)</f>
        <v>0</v>
      </c>
      <c r="K20" s="409">
        <f t="shared" si="3"/>
        <v>76480</v>
      </c>
      <c r="L20" s="394">
        <f t="shared" si="4"/>
        <v>0</v>
      </c>
      <c r="M20" s="138"/>
      <c r="N20" s="395">
        <f t="shared" si="5"/>
        <v>0</v>
      </c>
      <c r="O20" s="396" t="str">
        <f t="shared" si="6"/>
        <v/>
      </c>
      <c r="P20" s="53"/>
      <c r="Q20" s="391">
        <f>IFERROR(VLOOKUP($C20,'Proposed Rates'!$B:$J,Q$11,FALSE),0)</f>
        <v>0</v>
      </c>
      <c r="R20" s="409">
        <f t="shared" si="7"/>
        <v>76480</v>
      </c>
      <c r="S20" s="394">
        <f t="shared" si="8"/>
        <v>0</v>
      </c>
      <c r="T20" s="138"/>
      <c r="U20" s="395">
        <f t="shared" si="9"/>
        <v>0</v>
      </c>
      <c r="V20" s="396" t="str">
        <f t="shared" si="10"/>
        <v/>
      </c>
      <c r="W20" s="53"/>
      <c r="X20" s="391">
        <f>IFERROR(VLOOKUP($C20,'Proposed Rates'!$B:$J,X$11,FALSE),0)</f>
        <v>0</v>
      </c>
      <c r="Y20" s="409">
        <f t="shared" si="11"/>
        <v>76480</v>
      </c>
      <c r="Z20" s="394">
        <f t="shared" si="12"/>
        <v>0</v>
      </c>
      <c r="AA20" s="138"/>
      <c r="AB20" s="395">
        <f t="shared" si="13"/>
        <v>0</v>
      </c>
      <c r="AC20" s="396" t="str">
        <f t="shared" si="14"/>
        <v/>
      </c>
      <c r="AD20" s="53"/>
      <c r="AE20" s="391">
        <f>IFERROR(VLOOKUP($C20,'Proposed Rates'!$B:$J,AE$11,FALSE),0)</f>
        <v>0</v>
      </c>
      <c r="AF20" s="409">
        <f t="shared" si="15"/>
        <v>76480</v>
      </c>
      <c r="AG20" s="394">
        <f t="shared" si="16"/>
        <v>0</v>
      </c>
      <c r="AH20" s="138"/>
      <c r="AI20" s="395">
        <f t="shared" si="17"/>
        <v>0</v>
      </c>
      <c r="AJ20" s="396" t="str">
        <f t="shared" si="18"/>
        <v/>
      </c>
      <c r="AK20" s="53"/>
      <c r="AL20" s="391">
        <f>IFERROR(VLOOKUP($C20,'Proposed Rates'!$B:$J,AL$11,FALSE),0)</f>
        <v>0</v>
      </c>
      <c r="AM20" s="409">
        <f t="shared" si="19"/>
        <v>76480</v>
      </c>
      <c r="AN20" s="394">
        <f t="shared" si="20"/>
        <v>0</v>
      </c>
      <c r="AO20" s="138"/>
      <c r="AP20" s="395">
        <f t="shared" si="21"/>
        <v>0</v>
      </c>
      <c r="AQ20" s="396" t="str">
        <f t="shared" si="22"/>
        <v/>
      </c>
      <c r="AR20" s="397"/>
      <c r="AS20" s="3"/>
      <c r="AT20" s="3"/>
      <c r="AU20" s="3"/>
      <c r="AV20" s="3"/>
      <c r="AW20" s="3"/>
      <c r="AX20" s="3"/>
    </row>
    <row r="21" spans="1:50" ht="12" customHeight="1">
      <c r="A21" s="545"/>
      <c r="B21" s="328" t="s">
        <v>269</v>
      </c>
      <c r="C21" s="389" t="str">
        <f t="shared" si="0"/>
        <v>General Service 50 to 1,499 KW.LRAM Rate Rider</v>
      </c>
      <c r="D21" s="390" t="s">
        <v>406</v>
      </c>
      <c r="E21" s="328"/>
      <c r="F21" s="408">
        <f>'Proposed Rates'!E79+'Proposed Rates'!E92</f>
        <v>-0.2477</v>
      </c>
      <c r="G21" s="409">
        <f t="shared" si="1"/>
        <v>185</v>
      </c>
      <c r="H21" s="394">
        <f t="shared" si="2"/>
        <v>-45.8245</v>
      </c>
      <c r="I21" s="138"/>
      <c r="J21" s="408">
        <f>'Proposed Rates'!F79+'Proposed Rates'!F92</f>
        <v>0</v>
      </c>
      <c r="K21" s="409">
        <f t="shared" si="3"/>
        <v>185</v>
      </c>
      <c r="L21" s="394">
        <f t="shared" si="4"/>
        <v>0</v>
      </c>
      <c r="M21" s="138"/>
      <c r="N21" s="395">
        <f t="shared" si="5"/>
        <v>45.8245</v>
      </c>
      <c r="O21" s="396">
        <f t="shared" si="6"/>
        <v>-1</v>
      </c>
      <c r="P21" s="53"/>
      <c r="Q21" s="408">
        <f>'Proposed Rates'!G79+'Proposed Rates'!G92</f>
        <v>2.9499999999999998E-2</v>
      </c>
      <c r="R21" s="409">
        <f t="shared" si="7"/>
        <v>185</v>
      </c>
      <c r="S21" s="394">
        <f t="shared" si="8"/>
        <v>5.4574999999999996</v>
      </c>
      <c r="T21" s="138"/>
      <c r="U21" s="395">
        <f t="shared" si="9"/>
        <v>5.4574999999999996</v>
      </c>
      <c r="V21" s="396" t="str">
        <f t="shared" si="10"/>
        <v/>
      </c>
      <c r="W21" s="53"/>
      <c r="X21" s="408">
        <f>IFERROR(VLOOKUP($C21,'Proposed Rates'!$B:$J,X$11,FALSE),0)</f>
        <v>0</v>
      </c>
      <c r="Y21" s="409">
        <f t="shared" si="11"/>
        <v>185</v>
      </c>
      <c r="Z21" s="394">
        <f t="shared" si="12"/>
        <v>0</v>
      </c>
      <c r="AA21" s="138"/>
      <c r="AB21" s="395">
        <f t="shared" si="13"/>
        <v>-5.4574999999999996</v>
      </c>
      <c r="AC21" s="396">
        <f t="shared" si="14"/>
        <v>-1</v>
      </c>
      <c r="AD21" s="53"/>
      <c r="AE21" s="408">
        <f>IFERROR(VLOOKUP($C21,'Proposed Rates'!$B:$J,AE$11,FALSE),0)</f>
        <v>0</v>
      </c>
      <c r="AF21" s="409">
        <f t="shared" si="15"/>
        <v>185</v>
      </c>
      <c r="AG21" s="394">
        <f t="shared" si="16"/>
        <v>0</v>
      </c>
      <c r="AH21" s="138"/>
      <c r="AI21" s="395">
        <f t="shared" si="17"/>
        <v>0</v>
      </c>
      <c r="AJ21" s="396" t="str">
        <f t="shared" si="18"/>
        <v/>
      </c>
      <c r="AK21" s="53"/>
      <c r="AL21" s="408">
        <f>IFERROR(VLOOKUP($C21,'Proposed Rates'!$B:$J,AL$11,FALSE),0)</f>
        <v>0</v>
      </c>
      <c r="AM21" s="409">
        <f t="shared" si="19"/>
        <v>185</v>
      </c>
      <c r="AN21" s="394">
        <f t="shared" si="20"/>
        <v>0</v>
      </c>
      <c r="AO21" s="138"/>
      <c r="AP21" s="395">
        <f t="shared" si="21"/>
        <v>0</v>
      </c>
      <c r="AQ21" s="396" t="str">
        <f t="shared" si="22"/>
        <v/>
      </c>
      <c r="AR21" s="397"/>
      <c r="AS21" s="3"/>
      <c r="AT21" s="3"/>
      <c r="AU21" s="3"/>
      <c r="AV21" s="3"/>
      <c r="AW21" s="3"/>
      <c r="AX21" s="3"/>
    </row>
    <row r="22" spans="1:50" ht="12" customHeight="1">
      <c r="A22" s="545"/>
      <c r="B22" s="398" t="s">
        <v>265</v>
      </c>
      <c r="C22" s="389" t="str">
        <f t="shared" si="0"/>
        <v>General Service 50 to 1,499 KW.Deferral/Variance Account Disposition Rate Rider Group 2</v>
      </c>
      <c r="D22" s="390" t="s">
        <v>406</v>
      </c>
      <c r="E22" s="328"/>
      <c r="F22" s="391">
        <f>IFERROR(VLOOKUP($C22,'Proposed Rates'!$B:$J,F$11,FALSE),0)</f>
        <v>0</v>
      </c>
      <c r="G22" s="409">
        <f t="shared" si="1"/>
        <v>185</v>
      </c>
      <c r="H22" s="394">
        <f t="shared" si="2"/>
        <v>0</v>
      </c>
      <c r="I22" s="138"/>
      <c r="J22" s="391">
        <f>IFERROR(VLOOKUP($C22,'Proposed Rates'!$B:$J,J$11,FALSE),0)</f>
        <v>-0.26340000000000002</v>
      </c>
      <c r="K22" s="409">
        <f t="shared" si="3"/>
        <v>185</v>
      </c>
      <c r="L22" s="394">
        <f t="shared" si="4"/>
        <v>-48.729000000000006</v>
      </c>
      <c r="M22" s="138"/>
      <c r="N22" s="395">
        <f t="shared" si="5"/>
        <v>-48.729000000000006</v>
      </c>
      <c r="O22" s="396" t="str">
        <f t="shared" si="6"/>
        <v/>
      </c>
      <c r="P22" s="53"/>
      <c r="Q22" s="391">
        <f>IFERROR(VLOOKUP($C22,'Proposed Rates'!$B:$J,Q$11,FALSE),0)</f>
        <v>0</v>
      </c>
      <c r="R22" s="409">
        <f t="shared" si="7"/>
        <v>185</v>
      </c>
      <c r="S22" s="394">
        <f t="shared" si="8"/>
        <v>0</v>
      </c>
      <c r="T22" s="138"/>
      <c r="U22" s="395">
        <f t="shared" si="9"/>
        <v>48.729000000000006</v>
      </c>
      <c r="V22" s="396">
        <f t="shared" si="10"/>
        <v>-1</v>
      </c>
      <c r="W22" s="53"/>
      <c r="X22" s="391">
        <f>IFERROR(VLOOKUP($C22,'Proposed Rates'!$B:$J,X$11,FALSE),0)</f>
        <v>0</v>
      </c>
      <c r="Y22" s="409">
        <f t="shared" si="11"/>
        <v>185</v>
      </c>
      <c r="Z22" s="394">
        <f t="shared" si="12"/>
        <v>0</v>
      </c>
      <c r="AA22" s="138"/>
      <c r="AB22" s="395">
        <f t="shared" si="13"/>
        <v>0</v>
      </c>
      <c r="AC22" s="396" t="str">
        <f t="shared" si="14"/>
        <v/>
      </c>
      <c r="AD22" s="53"/>
      <c r="AE22" s="391">
        <f>IFERROR(VLOOKUP($C22,'Proposed Rates'!$B:$J,AE$11,FALSE),0)</f>
        <v>0</v>
      </c>
      <c r="AF22" s="409">
        <f t="shared" si="15"/>
        <v>185</v>
      </c>
      <c r="AG22" s="394">
        <f t="shared" si="16"/>
        <v>0</v>
      </c>
      <c r="AH22" s="138"/>
      <c r="AI22" s="395">
        <f t="shared" si="17"/>
        <v>0</v>
      </c>
      <c r="AJ22" s="396" t="str">
        <f t="shared" si="18"/>
        <v/>
      </c>
      <c r="AK22" s="53"/>
      <c r="AL22" s="391">
        <f>IFERROR(VLOOKUP($C22,'Proposed Rates'!$B:$J,AL$11,FALSE),0)</f>
        <v>0</v>
      </c>
      <c r="AM22" s="409">
        <f t="shared" si="19"/>
        <v>185</v>
      </c>
      <c r="AN22" s="394">
        <f t="shared" si="20"/>
        <v>0</v>
      </c>
      <c r="AO22" s="138"/>
      <c r="AP22" s="395">
        <f t="shared" si="21"/>
        <v>0</v>
      </c>
      <c r="AQ22" s="396" t="str">
        <f t="shared" si="22"/>
        <v/>
      </c>
      <c r="AR22" s="397"/>
      <c r="AS22" s="3"/>
      <c r="AT22" s="3"/>
      <c r="AU22" s="3"/>
      <c r="AV22" s="3"/>
      <c r="AW22" s="3"/>
      <c r="AX22" s="3"/>
    </row>
    <row r="23" spans="1:50" ht="12" customHeight="1">
      <c r="A23" s="545"/>
      <c r="B23" s="398"/>
      <c r="C23" s="389" t="str">
        <f t="shared" si="0"/>
        <v>General Service 50 to 1,499 KW.</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c r="AS23" s="3"/>
      <c r="AT23" s="3"/>
      <c r="AU23" s="3"/>
      <c r="AV23" s="3"/>
      <c r="AW23" s="3"/>
      <c r="AX23" s="3"/>
    </row>
    <row r="24" spans="1:50" ht="12" customHeight="1">
      <c r="A24" s="545"/>
      <c r="B24" s="398"/>
      <c r="C24" s="389" t="str">
        <f t="shared" si="0"/>
        <v>General Service 50 to 1,499 KW.</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c r="AS24" s="3"/>
      <c r="AT24" s="3"/>
      <c r="AU24" s="3"/>
      <c r="AV24" s="3"/>
      <c r="AW24" s="3"/>
      <c r="AX24" s="3"/>
    </row>
    <row r="25" spans="1:50" ht="12" customHeight="1">
      <c r="A25" s="545"/>
      <c r="B25" s="398"/>
      <c r="C25" s="389" t="str">
        <f t="shared" si="0"/>
        <v>General Service 50 to 1,499 KW.</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c r="AS25" s="3"/>
      <c r="AT25" s="3"/>
      <c r="AU25" s="3"/>
      <c r="AV25" s="3"/>
      <c r="AW25" s="3"/>
      <c r="AX25" s="3"/>
    </row>
    <row r="26" spans="1:50" ht="12" customHeight="1">
      <c r="A26" s="545"/>
      <c r="B26" s="398"/>
      <c r="C26" s="389" t="str">
        <f t="shared" si="0"/>
        <v>General Service 50 to 1,499 KW.</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c r="AS26" s="3"/>
      <c r="AT26" s="3"/>
      <c r="AU26" s="3"/>
      <c r="AV26" s="3"/>
      <c r="AW26" s="3"/>
      <c r="AX26" s="3"/>
    </row>
    <row r="27" spans="1:50" ht="12" customHeight="1">
      <c r="A27" s="545"/>
      <c r="B27" s="398"/>
      <c r="C27" s="389" t="str">
        <f t="shared" si="0"/>
        <v>General Service 50 to 1,499 KW.</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c r="AS27" s="3"/>
      <c r="AT27" s="3"/>
      <c r="AU27" s="3"/>
      <c r="AV27" s="3"/>
      <c r="AW27" s="3"/>
      <c r="AX27" s="3"/>
    </row>
    <row r="28" spans="1:50" ht="12" customHeight="1">
      <c r="A28" s="545"/>
      <c r="B28" s="398"/>
      <c r="C28" s="389" t="str">
        <f t="shared" si="0"/>
        <v>General Service 50 to 1,499 KW.</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c r="AS28" s="3"/>
      <c r="AT28" s="3"/>
      <c r="AU28" s="3"/>
      <c r="AV28" s="3"/>
      <c r="AW28" s="3"/>
      <c r="AX28" s="3"/>
    </row>
    <row r="29" spans="1:50" ht="12" customHeight="1">
      <c r="A29" s="545"/>
      <c r="B29" s="399" t="s">
        <v>339</v>
      </c>
      <c r="C29" s="400"/>
      <c r="D29" s="400"/>
      <c r="E29" s="400"/>
      <c r="F29" s="401"/>
      <c r="G29" s="494"/>
      <c r="H29" s="403">
        <f>SUM(H15:H28)</f>
        <v>1366.9059999999999</v>
      </c>
      <c r="I29" s="404"/>
      <c r="J29" s="401"/>
      <c r="K29" s="494"/>
      <c r="L29" s="403">
        <f>SUM(L15:L28)</f>
        <v>1650.4459999999999</v>
      </c>
      <c r="M29" s="404"/>
      <c r="N29" s="405">
        <f t="shared" si="5"/>
        <v>283.53999999999996</v>
      </c>
      <c r="O29" s="406">
        <f t="shared" si="6"/>
        <v>0.20743196679215686</v>
      </c>
      <c r="P29" s="314"/>
      <c r="Q29" s="401"/>
      <c r="R29" s="494"/>
      <c r="S29" s="403">
        <f>SUM(S15:S28)</f>
        <v>1783.0725</v>
      </c>
      <c r="T29" s="404"/>
      <c r="U29" s="405">
        <f t="shared" si="9"/>
        <v>132.62650000000008</v>
      </c>
      <c r="V29" s="406">
        <f t="shared" si="10"/>
        <v>8.0357975965284587E-2</v>
      </c>
      <c r="W29" s="314"/>
      <c r="X29" s="401"/>
      <c r="Y29" s="494"/>
      <c r="Z29" s="403">
        <f>SUM(Z15:Z28)</f>
        <v>1810.8505</v>
      </c>
      <c r="AA29" s="404"/>
      <c r="AB29" s="405">
        <f t="shared" si="13"/>
        <v>27.77800000000002</v>
      </c>
      <c r="AC29" s="406">
        <f t="shared" si="14"/>
        <v>1.557872716897379E-2</v>
      </c>
      <c r="AD29" s="314"/>
      <c r="AE29" s="401"/>
      <c r="AF29" s="494"/>
      <c r="AG29" s="403">
        <f>SUM(AG15:AG28)</f>
        <v>1872.1410000000001</v>
      </c>
      <c r="AH29" s="404"/>
      <c r="AI29" s="405">
        <f t="shared" si="17"/>
        <v>61.290500000000065</v>
      </c>
      <c r="AJ29" s="406">
        <f t="shared" si="18"/>
        <v>3.3846250698221669E-2</v>
      </c>
      <c r="AK29" s="314"/>
      <c r="AL29" s="401"/>
      <c r="AM29" s="494"/>
      <c r="AN29" s="403">
        <f>SUM(AN15:AN28)</f>
        <v>1928.1959999999999</v>
      </c>
      <c r="AO29" s="404"/>
      <c r="AP29" s="405">
        <f t="shared" si="21"/>
        <v>56.054999999999836</v>
      </c>
      <c r="AQ29" s="406">
        <f t="shared" si="22"/>
        <v>2.9941655035598192E-2</v>
      </c>
      <c r="AR29" s="407"/>
      <c r="AS29" s="3"/>
      <c r="AT29" s="3"/>
      <c r="AU29" s="3"/>
      <c r="AV29" s="3"/>
      <c r="AW29" s="3"/>
      <c r="AX29" s="3"/>
    </row>
    <row r="30" spans="1:50" ht="12" customHeight="1">
      <c r="A30" s="545"/>
      <c r="B30" s="398" t="s">
        <v>262</v>
      </c>
      <c r="C30" s="389" t="str">
        <f t="shared" ref="C30:C38" si="23">D$6&amp;"."&amp;B30</f>
        <v>General Service 50 to 1,499 KW.DVA Disposition Rate Rider Group 1 -2025</v>
      </c>
      <c r="D30" s="390" t="s">
        <v>406</v>
      </c>
      <c r="E30" s="328"/>
      <c r="F30" s="408">
        <f>IFERROR(VLOOKUP($C30,'Proposed Rates'!$B:$J,F$11,FALSE),0)</f>
        <v>0.35310000000000002</v>
      </c>
      <c r="G30" s="409">
        <f t="shared" ref="G30:G36" si="24">IF($D30="Monthly",1,IF($D30="per KW",$F$10,IF($D30="per kWh",$F$9,0)))</f>
        <v>185</v>
      </c>
      <c r="H30" s="394">
        <f t="shared" ref="H30:H38" si="25">G30*F30</f>
        <v>65.32350000000001</v>
      </c>
      <c r="I30" s="138"/>
      <c r="J30" s="408">
        <f>IFERROR(VLOOKUP($C30,'Proposed Rates'!$B:$J,J$11,FALSE),0)</f>
        <v>1.2999999999999999E-2</v>
      </c>
      <c r="K30" s="409">
        <f t="shared" ref="K30:K36" si="26">IF($D30="Monthly",1,IF($D30="per KW",$F$10,IF($D30="per kWh",$F$9,0)))</f>
        <v>185</v>
      </c>
      <c r="L30" s="394">
        <f t="shared" ref="L30:L38" si="27">K30*J30</f>
        <v>2.4049999999999998</v>
      </c>
      <c r="M30" s="138"/>
      <c r="N30" s="395">
        <f t="shared" si="5"/>
        <v>-62.918500000000009</v>
      </c>
      <c r="O30" s="396">
        <f t="shared" si="6"/>
        <v>-0.96318323421127161</v>
      </c>
      <c r="P30" s="53"/>
      <c r="Q30" s="408">
        <f>IFERROR(VLOOKUP($C30,'Proposed Rates'!$B:$J,Q$11,FALSE),0)</f>
        <v>0</v>
      </c>
      <c r="R30" s="409">
        <f t="shared" ref="R30:R36" si="28">IF($D30="Monthly",1,IF($D30="per KW",$F$10,IF($D30="per kWh",$F$9,0)))</f>
        <v>185</v>
      </c>
      <c r="S30" s="394">
        <f t="shared" ref="S30:S38" si="29">R30*Q30</f>
        <v>0</v>
      </c>
      <c r="T30" s="138"/>
      <c r="U30" s="395">
        <f t="shared" si="9"/>
        <v>-2.4049999999999998</v>
      </c>
      <c r="V30" s="396">
        <f t="shared" si="10"/>
        <v>-1</v>
      </c>
      <c r="W30" s="53"/>
      <c r="X30" s="408">
        <f>IFERROR(VLOOKUP($C30,'Proposed Rates'!$B:$J,X$11,FALSE),0)</f>
        <v>0</v>
      </c>
      <c r="Y30" s="409">
        <f t="shared" ref="Y30:Y36" si="30">IF($D30="Monthly",1,IF($D30="per KW",$F$10,IF($D30="per kWh",$F$9,0)))</f>
        <v>185</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185</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185</v>
      </c>
      <c r="AN30" s="394">
        <f t="shared" ref="AN30:AN38" si="35">AM30*AL30</f>
        <v>0</v>
      </c>
      <c r="AO30" s="138"/>
      <c r="AP30" s="395">
        <f t="shared" si="21"/>
        <v>0</v>
      </c>
      <c r="AQ30" s="396" t="str">
        <f t="shared" si="22"/>
        <v/>
      </c>
      <c r="AR30" s="397"/>
      <c r="AS30" s="3"/>
      <c r="AT30" s="3"/>
      <c r="AU30" s="3"/>
      <c r="AV30" s="3"/>
      <c r="AW30" s="3"/>
      <c r="AX30" s="3"/>
    </row>
    <row r="31" spans="1:50" ht="12" customHeight="1">
      <c r="A31" s="545"/>
      <c r="B31" s="398" t="s">
        <v>264</v>
      </c>
      <c r="C31" s="389" t="str">
        <f t="shared" si="23"/>
        <v>General Service 50 to 1,499 KW.DVA Disposition Rate Rider Group 1 - 2024</v>
      </c>
      <c r="D31" s="390" t="s">
        <v>406</v>
      </c>
      <c r="E31" s="328"/>
      <c r="F31" s="408">
        <f>IFERROR(VLOOKUP($C31,'Proposed Rates'!$B:$J,F$11,FALSE),0)</f>
        <v>0</v>
      </c>
      <c r="G31" s="409">
        <f t="shared" si="24"/>
        <v>185</v>
      </c>
      <c r="H31" s="394">
        <f t="shared" si="25"/>
        <v>0</v>
      </c>
      <c r="I31" s="138"/>
      <c r="J31" s="408">
        <f>IFERROR(VLOOKUP($C31,'Proposed Rates'!$B:$J,J$11,FALSE),0)</f>
        <v>0</v>
      </c>
      <c r="K31" s="409">
        <f t="shared" si="26"/>
        <v>185</v>
      </c>
      <c r="L31" s="394">
        <f t="shared" si="27"/>
        <v>0</v>
      </c>
      <c r="M31" s="138"/>
      <c r="N31" s="395">
        <f t="shared" si="5"/>
        <v>0</v>
      </c>
      <c r="O31" s="396" t="str">
        <f t="shared" si="6"/>
        <v/>
      </c>
      <c r="P31" s="53"/>
      <c r="Q31" s="408">
        <f>IFERROR(VLOOKUP($C31,'Proposed Rates'!$B:$J,Q$11,FALSE),0)</f>
        <v>0</v>
      </c>
      <c r="R31" s="409">
        <f t="shared" si="28"/>
        <v>185</v>
      </c>
      <c r="S31" s="394">
        <f t="shared" si="29"/>
        <v>0</v>
      </c>
      <c r="T31" s="138"/>
      <c r="U31" s="395">
        <f t="shared" si="9"/>
        <v>0</v>
      </c>
      <c r="V31" s="396" t="str">
        <f t="shared" si="10"/>
        <v/>
      </c>
      <c r="W31" s="53"/>
      <c r="X31" s="408">
        <f>IFERROR(VLOOKUP($C31,'Proposed Rates'!$B:$J,X$11,FALSE),0)</f>
        <v>0</v>
      </c>
      <c r="Y31" s="409">
        <f t="shared" si="30"/>
        <v>185</v>
      </c>
      <c r="Z31" s="394">
        <f t="shared" si="31"/>
        <v>0</v>
      </c>
      <c r="AA31" s="138"/>
      <c r="AB31" s="395">
        <f t="shared" si="13"/>
        <v>0</v>
      </c>
      <c r="AC31" s="396" t="str">
        <f t="shared" si="14"/>
        <v/>
      </c>
      <c r="AD31" s="53"/>
      <c r="AE31" s="408">
        <f>IFERROR(VLOOKUP($C31,'Proposed Rates'!$B:$J,AE$11,FALSE),0)</f>
        <v>0</v>
      </c>
      <c r="AF31" s="409">
        <f t="shared" si="32"/>
        <v>185</v>
      </c>
      <c r="AG31" s="394">
        <f t="shared" si="33"/>
        <v>0</v>
      </c>
      <c r="AH31" s="138"/>
      <c r="AI31" s="395">
        <f t="shared" si="17"/>
        <v>0</v>
      </c>
      <c r="AJ31" s="396" t="str">
        <f t="shared" si="18"/>
        <v/>
      </c>
      <c r="AK31" s="53"/>
      <c r="AL31" s="408">
        <f>IFERROR(VLOOKUP($C31,'Proposed Rates'!$B:$J,AL$11,FALSE),0)</f>
        <v>0</v>
      </c>
      <c r="AM31" s="409">
        <f t="shared" si="34"/>
        <v>185</v>
      </c>
      <c r="AN31" s="394">
        <f t="shared" si="35"/>
        <v>0</v>
      </c>
      <c r="AO31" s="138"/>
      <c r="AP31" s="395">
        <f t="shared" si="21"/>
        <v>0</v>
      </c>
      <c r="AQ31" s="396" t="str">
        <f t="shared" si="22"/>
        <v/>
      </c>
      <c r="AR31" s="397"/>
      <c r="AS31" s="3"/>
      <c r="AT31" s="3"/>
      <c r="AU31" s="3"/>
      <c r="AV31" s="3"/>
      <c r="AW31" s="3"/>
      <c r="AX31" s="3"/>
    </row>
    <row r="32" spans="1:50" ht="12" customHeight="1">
      <c r="A32" s="545"/>
      <c r="B32" s="398" t="s">
        <v>272</v>
      </c>
      <c r="C32" s="389" t="str">
        <f t="shared" si="23"/>
        <v>General Service 50 to 1,499 KW.CBR Class B Rate Riders</v>
      </c>
      <c r="D32" s="390" t="s">
        <v>337</v>
      </c>
      <c r="E32" s="328"/>
      <c r="F32" s="408">
        <f>IFERROR(VLOOKUP($C32,'Proposed Rates'!$B:$J,F$11,FALSE),0)</f>
        <v>2.0000000000000001E-4</v>
      </c>
      <c r="G32" s="409">
        <f t="shared" si="24"/>
        <v>76480</v>
      </c>
      <c r="H32" s="394">
        <f t="shared" si="25"/>
        <v>15.296000000000001</v>
      </c>
      <c r="I32" s="479"/>
      <c r="J32" s="408">
        <f>IFERROR(VLOOKUP($C32,'Proposed Rates'!$B:$J,J$11,FALSE),0)</f>
        <v>6.9999999999999999E-4</v>
      </c>
      <c r="K32" s="409">
        <f t="shared" si="26"/>
        <v>76480</v>
      </c>
      <c r="L32" s="394">
        <f t="shared" si="27"/>
        <v>53.536000000000001</v>
      </c>
      <c r="M32" s="411"/>
      <c r="N32" s="395">
        <f t="shared" si="5"/>
        <v>38.24</v>
      </c>
      <c r="O32" s="396">
        <f t="shared" si="6"/>
        <v>2.5</v>
      </c>
      <c r="P32" s="53"/>
      <c r="Q32" s="408">
        <f>IFERROR(VLOOKUP($C32,'Proposed Rates'!$B:$J,Q$11,FALSE),0)</f>
        <v>0</v>
      </c>
      <c r="R32" s="409">
        <f t="shared" si="28"/>
        <v>76480</v>
      </c>
      <c r="S32" s="394">
        <f t="shared" si="29"/>
        <v>0</v>
      </c>
      <c r="T32" s="411"/>
      <c r="U32" s="395">
        <f t="shared" si="9"/>
        <v>-53.536000000000001</v>
      </c>
      <c r="V32" s="396">
        <f t="shared" si="10"/>
        <v>-1</v>
      </c>
      <c r="W32" s="53"/>
      <c r="X32" s="408">
        <f>IFERROR(VLOOKUP($C32,'Proposed Rates'!$B:$J,X$11,FALSE),0)</f>
        <v>0</v>
      </c>
      <c r="Y32" s="409">
        <f t="shared" si="30"/>
        <v>76480</v>
      </c>
      <c r="Z32" s="394">
        <f t="shared" si="31"/>
        <v>0</v>
      </c>
      <c r="AA32" s="138"/>
      <c r="AB32" s="395">
        <f t="shared" si="13"/>
        <v>0</v>
      </c>
      <c r="AC32" s="396" t="str">
        <f t="shared" si="14"/>
        <v/>
      </c>
      <c r="AD32" s="53"/>
      <c r="AE32" s="408">
        <f>IFERROR(VLOOKUP($C32,'Proposed Rates'!$B:$J,AE$11,FALSE),0)</f>
        <v>0</v>
      </c>
      <c r="AF32" s="409">
        <f t="shared" si="32"/>
        <v>76480</v>
      </c>
      <c r="AG32" s="394">
        <f t="shared" si="33"/>
        <v>0</v>
      </c>
      <c r="AH32" s="138"/>
      <c r="AI32" s="395">
        <f t="shared" si="17"/>
        <v>0</v>
      </c>
      <c r="AJ32" s="396" t="str">
        <f t="shared" si="18"/>
        <v/>
      </c>
      <c r="AK32" s="53"/>
      <c r="AL32" s="408">
        <f>IFERROR(VLOOKUP($C32,'Proposed Rates'!$B:$J,AL$11,FALSE),0)</f>
        <v>0</v>
      </c>
      <c r="AM32" s="409">
        <f t="shared" si="34"/>
        <v>76480</v>
      </c>
      <c r="AN32" s="394">
        <f t="shared" si="35"/>
        <v>0</v>
      </c>
      <c r="AO32" s="411"/>
      <c r="AP32" s="395">
        <f t="shared" si="21"/>
        <v>0</v>
      </c>
      <c r="AQ32" s="396" t="str">
        <f t="shared" si="22"/>
        <v/>
      </c>
      <c r="AR32" s="397"/>
      <c r="AS32" s="3"/>
      <c r="AT32" s="3"/>
      <c r="AU32" s="3"/>
      <c r="AV32" s="3"/>
      <c r="AW32" s="3"/>
      <c r="AX32" s="3"/>
    </row>
    <row r="33" spans="1:50" ht="12" customHeight="1">
      <c r="A33" s="545"/>
      <c r="B33" s="398" t="s">
        <v>279</v>
      </c>
      <c r="C33" s="389" t="str">
        <f t="shared" si="23"/>
        <v>General Service 50 to 1,499 KW.GA Rate Riders</v>
      </c>
      <c r="D33" s="390" t="s">
        <v>337</v>
      </c>
      <c r="E33" s="328"/>
      <c r="F33" s="408">
        <f>IFERROR(VLOOKUP($C33,'Proposed Rates'!$B:$J,F$11,FALSE),0)</f>
        <v>3.8999999999999998E-3</v>
      </c>
      <c r="G33" s="409">
        <f t="shared" si="24"/>
        <v>76480</v>
      </c>
      <c r="H33" s="394">
        <f t="shared" si="25"/>
        <v>298.27199999999999</v>
      </c>
      <c r="I33" s="479"/>
      <c r="J33" s="408">
        <f>IFERROR(VLOOKUP($C33,'Proposed Rates'!$B:$J,J$11,FALSE),0)</f>
        <v>4.4999999999999997E-3</v>
      </c>
      <c r="K33" s="409">
        <f t="shared" si="26"/>
        <v>76480</v>
      </c>
      <c r="L33" s="394">
        <f t="shared" si="27"/>
        <v>344.15999999999997</v>
      </c>
      <c r="M33" s="411"/>
      <c r="N33" s="395">
        <f t="shared" si="5"/>
        <v>45.887999999999977</v>
      </c>
      <c r="O33" s="396">
        <f t="shared" si="6"/>
        <v>0.15384615384615377</v>
      </c>
      <c r="P33" s="53"/>
      <c r="Q33" s="408">
        <f>IFERROR(VLOOKUP($C33,'Proposed Rates'!$B:$J,Q$11,FALSE),0)</f>
        <v>4.4999999999999997E-3</v>
      </c>
      <c r="R33" s="409">
        <f t="shared" si="28"/>
        <v>76480</v>
      </c>
      <c r="S33" s="394">
        <f t="shared" si="29"/>
        <v>344.15999999999997</v>
      </c>
      <c r="T33" s="411"/>
      <c r="U33" s="395">
        <f t="shared" si="9"/>
        <v>0</v>
      </c>
      <c r="V33" s="396">
        <f t="shared" si="10"/>
        <v>0</v>
      </c>
      <c r="W33" s="53"/>
      <c r="X33" s="408">
        <f>IFERROR(VLOOKUP($C33,'Proposed Rates'!$B:$J,X$11,FALSE),0)</f>
        <v>0</v>
      </c>
      <c r="Y33" s="409">
        <f t="shared" si="30"/>
        <v>76480</v>
      </c>
      <c r="Z33" s="394">
        <f t="shared" si="31"/>
        <v>0</v>
      </c>
      <c r="AA33" s="411"/>
      <c r="AB33" s="395">
        <f t="shared" si="13"/>
        <v>-344.15999999999997</v>
      </c>
      <c r="AC33" s="396">
        <f t="shared" si="14"/>
        <v>-1</v>
      </c>
      <c r="AD33" s="53"/>
      <c r="AE33" s="408">
        <f>IFERROR(VLOOKUP($C33,'Proposed Rates'!$B:$J,AE$11,FALSE),0)</f>
        <v>0</v>
      </c>
      <c r="AF33" s="409">
        <f t="shared" si="32"/>
        <v>76480</v>
      </c>
      <c r="AG33" s="394">
        <f t="shared" si="33"/>
        <v>0</v>
      </c>
      <c r="AH33" s="411"/>
      <c r="AI33" s="395">
        <f t="shared" si="17"/>
        <v>0</v>
      </c>
      <c r="AJ33" s="396" t="str">
        <f t="shared" si="18"/>
        <v/>
      </c>
      <c r="AK33" s="53"/>
      <c r="AL33" s="408">
        <f>IFERROR(VLOOKUP($C33,'Proposed Rates'!$B:$J,AL$11,FALSE),0)</f>
        <v>0</v>
      </c>
      <c r="AM33" s="409">
        <f t="shared" si="34"/>
        <v>76480</v>
      </c>
      <c r="AN33" s="394">
        <f t="shared" si="35"/>
        <v>0</v>
      </c>
      <c r="AO33" s="411"/>
      <c r="AP33" s="395">
        <f t="shared" si="21"/>
        <v>0</v>
      </c>
      <c r="AQ33" s="396" t="str">
        <f t="shared" si="22"/>
        <v/>
      </c>
      <c r="AR33" s="397"/>
      <c r="AS33" s="3"/>
      <c r="AT33" s="3"/>
      <c r="AU33" s="3"/>
      <c r="AV33" s="3"/>
      <c r="AW33" s="3"/>
      <c r="AX33" s="3"/>
    </row>
    <row r="34" spans="1:50" ht="12" customHeight="1">
      <c r="A34" s="545"/>
      <c r="B34" s="398" t="s">
        <v>282</v>
      </c>
      <c r="C34" s="389" t="str">
        <f t="shared" si="23"/>
        <v>General Service 50 to 1,499 KW.Total Deferral/Variance Account Rate RidersYr2</v>
      </c>
      <c r="D34" s="390" t="s">
        <v>406</v>
      </c>
      <c r="E34" s="328"/>
      <c r="F34" s="408">
        <f>IFERROR(VLOOKUP($C34,'Proposed Rates'!$B:$J,F$11,FALSE),0)</f>
        <v>-0.30499999999999999</v>
      </c>
      <c r="G34" s="409">
        <f t="shared" si="24"/>
        <v>185</v>
      </c>
      <c r="H34" s="394">
        <f t="shared" si="25"/>
        <v>-56.424999999999997</v>
      </c>
      <c r="I34" s="479"/>
      <c r="J34" s="408">
        <f>IFERROR(VLOOKUP($C34,'Proposed Rates'!$B:$J,J$11,FALSE),0)</f>
        <v>-0.37569999999999998</v>
      </c>
      <c r="K34" s="409">
        <f t="shared" si="26"/>
        <v>185</v>
      </c>
      <c r="L34" s="394">
        <f t="shared" si="27"/>
        <v>-69.504499999999993</v>
      </c>
      <c r="M34" s="411"/>
      <c r="N34" s="395">
        <f t="shared" si="5"/>
        <v>-13.079499999999996</v>
      </c>
      <c r="O34" s="396">
        <f t="shared" si="6"/>
        <v>0.23180327868852452</v>
      </c>
      <c r="P34" s="53"/>
      <c r="Q34" s="408">
        <f>IFERROR(VLOOKUP($C34,'Proposed Rates'!$B:$J,Q$11,FALSE),0)</f>
        <v>0</v>
      </c>
      <c r="R34" s="409">
        <f t="shared" si="28"/>
        <v>185</v>
      </c>
      <c r="S34" s="394">
        <f t="shared" si="29"/>
        <v>0</v>
      </c>
      <c r="T34" s="411"/>
      <c r="U34" s="395">
        <f t="shared" si="9"/>
        <v>69.504499999999993</v>
      </c>
      <c r="V34" s="396">
        <f t="shared" si="10"/>
        <v>-1</v>
      </c>
      <c r="W34" s="53"/>
      <c r="X34" s="408">
        <f>IFERROR(VLOOKUP($C34,'Proposed Rates'!$B:$J,X$11,FALSE),0)</f>
        <v>0</v>
      </c>
      <c r="Y34" s="409">
        <f t="shared" si="30"/>
        <v>185</v>
      </c>
      <c r="Z34" s="394">
        <f t="shared" si="31"/>
        <v>0</v>
      </c>
      <c r="AA34" s="411"/>
      <c r="AB34" s="395">
        <f t="shared" si="13"/>
        <v>0</v>
      </c>
      <c r="AC34" s="396" t="str">
        <f t="shared" si="14"/>
        <v/>
      </c>
      <c r="AD34" s="53"/>
      <c r="AE34" s="408">
        <f>IFERROR(VLOOKUP($C34,'Proposed Rates'!$B:$J,AE$11,FALSE),0)</f>
        <v>0</v>
      </c>
      <c r="AF34" s="409">
        <f t="shared" si="32"/>
        <v>185</v>
      </c>
      <c r="AG34" s="394">
        <f t="shared" si="33"/>
        <v>0</v>
      </c>
      <c r="AH34" s="411"/>
      <c r="AI34" s="395">
        <f t="shared" si="17"/>
        <v>0</v>
      </c>
      <c r="AJ34" s="396" t="str">
        <f t="shared" si="18"/>
        <v/>
      </c>
      <c r="AK34" s="53"/>
      <c r="AL34" s="408">
        <f>IFERROR(VLOOKUP($C34,'Proposed Rates'!$B:$J,AL$11,FALSE),0)</f>
        <v>0</v>
      </c>
      <c r="AM34" s="409">
        <f t="shared" si="34"/>
        <v>185</v>
      </c>
      <c r="AN34" s="394">
        <f t="shared" si="35"/>
        <v>0</v>
      </c>
      <c r="AO34" s="411"/>
      <c r="AP34" s="395">
        <f t="shared" si="21"/>
        <v>0</v>
      </c>
      <c r="AQ34" s="396" t="str">
        <f t="shared" si="22"/>
        <v/>
      </c>
      <c r="AR34" s="397"/>
      <c r="AS34" s="3"/>
      <c r="AT34" s="3"/>
      <c r="AU34" s="3"/>
      <c r="AV34" s="3"/>
      <c r="AW34" s="3"/>
      <c r="AX34" s="3"/>
    </row>
    <row r="35" spans="1:50" ht="12" customHeight="1">
      <c r="A35" s="545"/>
      <c r="B35" s="398" t="s">
        <v>284</v>
      </c>
      <c r="C35" s="389" t="str">
        <f t="shared" si="23"/>
        <v>General Service 50 to 1,499 KW.Total Deferral/Variance Account Rate Riders</v>
      </c>
      <c r="D35" s="390" t="s">
        <v>406</v>
      </c>
      <c r="E35" s="328"/>
      <c r="F35" s="408">
        <f>IFERROR(VLOOKUP($C35,'Proposed Rates'!$B:$J,F$11,FALSE),0)</f>
        <v>0</v>
      </c>
      <c r="G35" s="409">
        <f t="shared" si="24"/>
        <v>185</v>
      </c>
      <c r="H35" s="394">
        <f t="shared" si="25"/>
        <v>0</v>
      </c>
      <c r="I35" s="138"/>
      <c r="J35" s="408">
        <f>IFERROR(VLOOKUP($C35,'Proposed Rates'!$B:$J,J$11,FALSE),0)</f>
        <v>0</v>
      </c>
      <c r="K35" s="409">
        <f t="shared" si="26"/>
        <v>185</v>
      </c>
      <c r="L35" s="394">
        <f t="shared" si="27"/>
        <v>0</v>
      </c>
      <c r="M35" s="138"/>
      <c r="N35" s="395">
        <f t="shared" si="5"/>
        <v>0</v>
      </c>
      <c r="O35" s="396" t="str">
        <f t="shared" si="6"/>
        <v/>
      </c>
      <c r="P35" s="53"/>
      <c r="Q35" s="408">
        <f>IFERROR(VLOOKUP($C35,'Proposed Rates'!$B:$J,Q$11,FALSE),0)</f>
        <v>0</v>
      </c>
      <c r="R35" s="409">
        <f t="shared" si="28"/>
        <v>185</v>
      </c>
      <c r="S35" s="394">
        <f t="shared" si="29"/>
        <v>0</v>
      </c>
      <c r="T35" s="138"/>
      <c r="U35" s="395">
        <f t="shared" si="9"/>
        <v>0</v>
      </c>
      <c r="V35" s="396" t="str">
        <f t="shared" si="10"/>
        <v/>
      </c>
      <c r="W35" s="53"/>
      <c r="X35" s="408">
        <f>IFERROR(VLOOKUP($C35,'Proposed Rates'!$B:$J,X$11,FALSE),0)</f>
        <v>0</v>
      </c>
      <c r="Y35" s="409">
        <f t="shared" si="30"/>
        <v>185</v>
      </c>
      <c r="Z35" s="394">
        <f t="shared" si="31"/>
        <v>0</v>
      </c>
      <c r="AA35" s="138"/>
      <c r="AB35" s="395"/>
      <c r="AC35" s="396"/>
      <c r="AD35" s="53"/>
      <c r="AE35" s="408">
        <f>IFERROR(VLOOKUP($C35,'Proposed Rates'!$B:$J,AE$11,FALSE),0)</f>
        <v>0</v>
      </c>
      <c r="AF35" s="409">
        <f t="shared" si="32"/>
        <v>185</v>
      </c>
      <c r="AG35" s="394">
        <f t="shared" si="33"/>
        <v>0</v>
      </c>
      <c r="AH35" s="138"/>
      <c r="AI35" s="395">
        <f t="shared" si="17"/>
        <v>0</v>
      </c>
      <c r="AJ35" s="396" t="str">
        <f t="shared" si="18"/>
        <v/>
      </c>
      <c r="AK35" s="53"/>
      <c r="AL35" s="408">
        <f>IFERROR(VLOOKUP($C35,'Proposed Rates'!$B:$J,AL$11,FALSE),0)</f>
        <v>0</v>
      </c>
      <c r="AM35" s="409">
        <f t="shared" si="34"/>
        <v>185</v>
      </c>
      <c r="AN35" s="394">
        <f t="shared" si="35"/>
        <v>0</v>
      </c>
      <c r="AO35" s="138"/>
      <c r="AP35" s="395">
        <f t="shared" si="21"/>
        <v>0</v>
      </c>
      <c r="AQ35" s="396" t="str">
        <f t="shared" si="22"/>
        <v/>
      </c>
      <c r="AR35" s="397"/>
      <c r="AS35" s="3"/>
      <c r="AT35" s="3"/>
      <c r="AU35" s="3"/>
      <c r="AV35" s="3"/>
      <c r="AW35" s="3"/>
      <c r="AX35" s="3"/>
    </row>
    <row r="36" spans="1:50" ht="12" customHeight="1">
      <c r="A36" s="545"/>
      <c r="B36" s="328" t="s">
        <v>300</v>
      </c>
      <c r="C36" s="389" t="str">
        <f t="shared" si="23"/>
        <v>General Service 50 to 1,499 KW.Low Voltage Service Charge</v>
      </c>
      <c r="D36" s="390" t="s">
        <v>406</v>
      </c>
      <c r="E36" s="328"/>
      <c r="F36" s="408">
        <f>IFERROR(VLOOKUP($C36,'Proposed Rates'!$B:$J,F$11,FALSE),0)</f>
        <v>2.0629999999999999E-2</v>
      </c>
      <c r="G36" s="409">
        <f t="shared" si="24"/>
        <v>185</v>
      </c>
      <c r="H36" s="394">
        <f t="shared" si="25"/>
        <v>3.8165499999999999</v>
      </c>
      <c r="I36" s="138"/>
      <c r="J36" s="408">
        <f>IFERROR(VLOOKUP($C36,'Proposed Rates'!$B:$J,J$11,FALSE),0)</f>
        <v>2.332E-2</v>
      </c>
      <c r="K36" s="409">
        <f t="shared" si="26"/>
        <v>185</v>
      </c>
      <c r="L36" s="394">
        <f t="shared" si="27"/>
        <v>4.3142000000000005</v>
      </c>
      <c r="M36" s="138"/>
      <c r="N36" s="395">
        <f t="shared" si="5"/>
        <v>0.49765000000000059</v>
      </c>
      <c r="O36" s="396">
        <f t="shared" si="6"/>
        <v>0.13039263208919066</v>
      </c>
      <c r="P36" s="53"/>
      <c r="Q36" s="408">
        <f>IFERROR(VLOOKUP($C36,'Proposed Rates'!$B:$J,Q$11,FALSE),0)</f>
        <v>2.392E-2</v>
      </c>
      <c r="R36" s="409">
        <f t="shared" si="28"/>
        <v>185</v>
      </c>
      <c r="S36" s="394">
        <f t="shared" si="29"/>
        <v>4.4252000000000002</v>
      </c>
      <c r="T36" s="138"/>
      <c r="U36" s="395">
        <f t="shared" si="9"/>
        <v>0.11099999999999977</v>
      </c>
      <c r="V36" s="396">
        <f t="shared" si="10"/>
        <v>2.5728987993138878E-2</v>
      </c>
      <c r="W36" s="53"/>
      <c r="X36" s="408">
        <f>IFERROR(VLOOKUP($C36,'Proposed Rates'!$B:$J,X$11,FALSE),0)</f>
        <v>2.4209999999999999E-2</v>
      </c>
      <c r="Y36" s="409">
        <f t="shared" si="30"/>
        <v>185</v>
      </c>
      <c r="Z36" s="394">
        <f t="shared" si="31"/>
        <v>4.4788499999999996</v>
      </c>
      <c r="AA36" s="138"/>
      <c r="AB36" s="395">
        <f t="shared" ref="AB36:AB46" si="36">Z36-S36</f>
        <v>5.3649999999999309E-2</v>
      </c>
      <c r="AC36" s="396">
        <f t="shared" ref="AC36:AC46" si="37">IF((S36)=0,"",(AB36/S36))</f>
        <v>1.2123745819397836E-2</v>
      </c>
      <c r="AD36" s="53"/>
      <c r="AE36" s="408">
        <f>IFERROR(VLOOKUP($C36,'Proposed Rates'!$B:$J,AE$11,FALSE),0)</f>
        <v>2.46E-2</v>
      </c>
      <c r="AF36" s="409">
        <f t="shared" si="32"/>
        <v>185</v>
      </c>
      <c r="AG36" s="394">
        <f t="shared" si="33"/>
        <v>4.5510000000000002</v>
      </c>
      <c r="AH36" s="138"/>
      <c r="AI36" s="395">
        <f t="shared" si="17"/>
        <v>7.2150000000000603E-2</v>
      </c>
      <c r="AJ36" s="396">
        <f t="shared" si="18"/>
        <v>1.6109045848822938E-2</v>
      </c>
      <c r="AK36" s="53"/>
      <c r="AL36" s="408">
        <f>IFERROR(VLOOKUP($C36,'Proposed Rates'!$B:$J,AL$11,FALSE),0)</f>
        <v>2.504E-2</v>
      </c>
      <c r="AM36" s="409">
        <f t="shared" si="34"/>
        <v>185</v>
      </c>
      <c r="AN36" s="394">
        <f t="shared" si="35"/>
        <v>4.6323999999999996</v>
      </c>
      <c r="AO36" s="138"/>
      <c r="AP36" s="395">
        <f t="shared" si="21"/>
        <v>8.1399999999999473E-2</v>
      </c>
      <c r="AQ36" s="396">
        <f t="shared" si="22"/>
        <v>1.7886178861788501E-2</v>
      </c>
      <c r="AR36" s="397"/>
      <c r="AS36" s="3"/>
      <c r="AT36" s="3"/>
      <c r="AU36" s="3"/>
      <c r="AV36" s="3"/>
      <c r="AW36" s="3"/>
      <c r="AX36" s="3"/>
    </row>
    <row r="37" spans="1:50" ht="12" customHeight="1">
      <c r="A37" s="545"/>
      <c r="B37" s="328" t="s">
        <v>341</v>
      </c>
      <c r="C37" s="389" t="str">
        <f t="shared" si="23"/>
        <v>General Service 50 to 1,499 KW.Line Losses on Cost of Power</v>
      </c>
      <c r="D37" s="390" t="s">
        <v>337</v>
      </c>
      <c r="E37" s="328"/>
      <c r="F37" s="424"/>
      <c r="G37" s="415">
        <f>$F$9*(1+F$65)-$F$9</f>
        <v>2585.0240000000049</v>
      </c>
      <c r="H37" s="394">
        <f t="shared" si="25"/>
        <v>0</v>
      </c>
      <c r="I37" s="138"/>
      <c r="J37" s="424"/>
      <c r="K37" s="415">
        <f>$F$9*(1+J$65)-$F$9</f>
        <v>2539.1359999999986</v>
      </c>
      <c r="L37" s="394">
        <f t="shared" si="27"/>
        <v>0</v>
      </c>
      <c r="M37" s="138"/>
      <c r="N37" s="395">
        <f t="shared" si="5"/>
        <v>0</v>
      </c>
      <c r="O37" s="396" t="str">
        <f t="shared" si="6"/>
        <v/>
      </c>
      <c r="P37" s="53"/>
      <c r="Q37" s="424"/>
      <c r="R37" s="415">
        <f>$F$9*(1+Q$65)-$F$9</f>
        <v>2539.1359999999986</v>
      </c>
      <c r="S37" s="394">
        <f t="shared" si="29"/>
        <v>0</v>
      </c>
      <c r="T37" s="138"/>
      <c r="U37" s="395">
        <f t="shared" si="9"/>
        <v>0</v>
      </c>
      <c r="V37" s="396" t="str">
        <f t="shared" si="10"/>
        <v/>
      </c>
      <c r="W37" s="53"/>
      <c r="X37" s="424"/>
      <c r="Y37" s="415">
        <f>$F$9*(1+X$65)-$F$9</f>
        <v>2539.1359999999986</v>
      </c>
      <c r="Z37" s="394">
        <f t="shared" si="31"/>
        <v>0</v>
      </c>
      <c r="AA37" s="138"/>
      <c r="AB37" s="395">
        <f t="shared" si="36"/>
        <v>0</v>
      </c>
      <c r="AC37" s="396" t="str">
        <f t="shared" si="37"/>
        <v/>
      </c>
      <c r="AD37" s="53"/>
      <c r="AE37" s="424"/>
      <c r="AF37" s="415">
        <f>$F$9*(1+AE$65)-$F$9</f>
        <v>2539.1359999999986</v>
      </c>
      <c r="AG37" s="394">
        <f t="shared" si="33"/>
        <v>0</v>
      </c>
      <c r="AH37" s="138"/>
      <c r="AI37" s="395">
        <f t="shared" si="17"/>
        <v>0</v>
      </c>
      <c r="AJ37" s="396" t="str">
        <f t="shared" si="18"/>
        <v/>
      </c>
      <c r="AK37" s="53"/>
      <c r="AL37" s="424"/>
      <c r="AM37" s="415">
        <f>$F$9*(1+AL$65)-$F$9</f>
        <v>2539.1359999999986</v>
      </c>
      <c r="AN37" s="394">
        <f t="shared" si="35"/>
        <v>0</v>
      </c>
      <c r="AO37" s="138"/>
      <c r="AP37" s="395">
        <f t="shared" si="21"/>
        <v>0</v>
      </c>
      <c r="AQ37" s="396" t="str">
        <f t="shared" si="22"/>
        <v/>
      </c>
      <c r="AR37" s="397"/>
      <c r="AS37" s="3"/>
      <c r="AT37" s="3"/>
      <c r="AU37" s="3"/>
      <c r="AV37" s="3"/>
      <c r="AW37" s="3"/>
      <c r="AX37" s="3"/>
    </row>
    <row r="38" spans="1:50" ht="12" customHeight="1">
      <c r="A38" s="545"/>
      <c r="B38" s="328" t="s">
        <v>302</v>
      </c>
      <c r="C38" s="389" t="str">
        <f t="shared" si="23"/>
        <v>General Service 50 to 1,499 KW.Smart Meter Entity Charge</v>
      </c>
      <c r="D38" s="390" t="s">
        <v>335</v>
      </c>
      <c r="E38" s="328"/>
      <c r="F38" s="408">
        <f>IFERROR(VLOOKUP($C38,'Proposed Rates'!$B:$J,F$11,FALSE),0)</f>
        <v>0</v>
      </c>
      <c r="G38" s="409">
        <f>IF($D38="Monthly",1,IF($D38="per KW",$F$10,IF($D38="per kWh",$F$9,0)))</f>
        <v>1</v>
      </c>
      <c r="H38" s="394">
        <f t="shared" si="25"/>
        <v>0</v>
      </c>
      <c r="I38" s="138"/>
      <c r="J38" s="408">
        <f>IFERROR(VLOOKUP($C38,'Proposed Rates'!$B:$J,J$11,FALSE),0)</f>
        <v>0</v>
      </c>
      <c r="K38" s="409">
        <f>IF($D38="Monthly",1,IF($D38="per KW",$F$10,IF($D38="per kWh",$F$9,0)))</f>
        <v>1</v>
      </c>
      <c r="L38" s="394">
        <f t="shared" si="27"/>
        <v>0</v>
      </c>
      <c r="M38" s="138"/>
      <c r="N38" s="395">
        <f t="shared" si="5"/>
        <v>0</v>
      </c>
      <c r="O38" s="396" t="str">
        <f t="shared" si="6"/>
        <v/>
      </c>
      <c r="P38" s="53"/>
      <c r="Q38" s="408">
        <f>IFERROR(VLOOKUP($C38,'Proposed Rates'!$B:$J,Q$11,FALSE),0)</f>
        <v>0</v>
      </c>
      <c r="R38" s="409">
        <f>IF($D38="Monthly",1,IF($D38="per KW",$F$10,IF($D38="per kWh",$F$9,0)))</f>
        <v>1</v>
      </c>
      <c r="S38" s="394">
        <f t="shared" si="29"/>
        <v>0</v>
      </c>
      <c r="T38" s="138"/>
      <c r="U38" s="395">
        <f t="shared" si="9"/>
        <v>0</v>
      </c>
      <c r="V38" s="396" t="str">
        <f t="shared" si="10"/>
        <v/>
      </c>
      <c r="W38" s="53"/>
      <c r="X38" s="408">
        <f>IFERROR(VLOOKUP($C38,'Proposed Rates'!$B:$J,X$11,FALSE),0)</f>
        <v>0</v>
      </c>
      <c r="Y38" s="409">
        <f>IF($D38="Monthly",1,IF($D38="per KW",$F$10,IF($D38="per kWh",$F$9,0)))</f>
        <v>1</v>
      </c>
      <c r="Z38" s="394">
        <f t="shared" si="31"/>
        <v>0</v>
      </c>
      <c r="AA38" s="138"/>
      <c r="AB38" s="395">
        <f t="shared" si="36"/>
        <v>0</v>
      </c>
      <c r="AC38" s="396" t="str">
        <f t="shared" si="37"/>
        <v/>
      </c>
      <c r="AD38" s="53"/>
      <c r="AE38" s="408">
        <f>IFERROR(VLOOKUP($C38,'Proposed Rates'!$B:$J,AE$11,FALSE),0)</f>
        <v>0</v>
      </c>
      <c r="AF38" s="409">
        <f>IF($D38="Monthly",1,IF($D38="per KW",$F$10,IF($D38="per kWh",$F$9,0)))</f>
        <v>1</v>
      </c>
      <c r="AG38" s="394">
        <f t="shared" si="33"/>
        <v>0</v>
      </c>
      <c r="AH38" s="138"/>
      <c r="AI38" s="395">
        <f t="shared" si="17"/>
        <v>0</v>
      </c>
      <c r="AJ38" s="396" t="str">
        <f t="shared" si="18"/>
        <v/>
      </c>
      <c r="AK38" s="53"/>
      <c r="AL38" s="408">
        <f>IFERROR(VLOOKUP($C38,'Proposed Rates'!$B:$J,AL$11,FALSE),0)</f>
        <v>0</v>
      </c>
      <c r="AM38" s="409">
        <f>IF($D38="Monthly",1,IF($D38="per KW",$F$10,IF($D38="per kWh",$F$9,0)))</f>
        <v>1</v>
      </c>
      <c r="AN38" s="394">
        <f t="shared" si="35"/>
        <v>0</v>
      </c>
      <c r="AO38" s="138"/>
      <c r="AP38" s="395">
        <f t="shared" si="21"/>
        <v>0</v>
      </c>
      <c r="AQ38" s="396" t="str">
        <f t="shared" si="22"/>
        <v/>
      </c>
      <c r="AR38" s="397"/>
      <c r="AS38" s="3"/>
      <c r="AT38" s="3"/>
      <c r="AU38" s="3"/>
      <c r="AV38" s="3"/>
      <c r="AW38" s="3"/>
      <c r="AX38" s="3"/>
    </row>
    <row r="39" spans="1:50" ht="12" customHeight="1">
      <c r="A39" s="545"/>
      <c r="B39" s="399" t="s">
        <v>342</v>
      </c>
      <c r="C39" s="416"/>
      <c r="D39" s="416"/>
      <c r="E39" s="416"/>
      <c r="F39" s="417"/>
      <c r="G39" s="495"/>
      <c r="H39" s="403">
        <f>SUM(H30:H38)+H29</f>
        <v>1693.18905</v>
      </c>
      <c r="I39" s="419"/>
      <c r="J39" s="417"/>
      <c r="K39" s="495"/>
      <c r="L39" s="403">
        <f>SUM(L30:L38)+L29</f>
        <v>1985.3566999999998</v>
      </c>
      <c r="M39" s="419"/>
      <c r="N39" s="405">
        <f t="shared" si="5"/>
        <v>292.16764999999987</v>
      </c>
      <c r="O39" s="406">
        <f t="shared" si="6"/>
        <v>0.17255465359878147</v>
      </c>
      <c r="P39" s="53"/>
      <c r="Q39" s="417"/>
      <c r="R39" s="495"/>
      <c r="S39" s="403">
        <f>SUM(S30:S38)+S29</f>
        <v>2131.6576999999997</v>
      </c>
      <c r="T39" s="419"/>
      <c r="U39" s="405">
        <f t="shared" si="9"/>
        <v>146.30099999999993</v>
      </c>
      <c r="V39" s="406">
        <f t="shared" si="10"/>
        <v>7.369003262738627E-2</v>
      </c>
      <c r="W39" s="53"/>
      <c r="X39" s="417"/>
      <c r="Y39" s="495"/>
      <c r="Z39" s="403">
        <f>SUM(Z30:Z38)+Z29</f>
        <v>1815.32935</v>
      </c>
      <c r="AA39" s="419"/>
      <c r="AB39" s="405">
        <f t="shared" si="36"/>
        <v>-316.32834999999977</v>
      </c>
      <c r="AC39" s="406">
        <f t="shared" si="37"/>
        <v>-0.14839547174952142</v>
      </c>
      <c r="AD39" s="53"/>
      <c r="AE39" s="417"/>
      <c r="AF39" s="495"/>
      <c r="AG39" s="403">
        <f>SUM(AG30:AG38)+AG29</f>
        <v>1876.692</v>
      </c>
      <c r="AH39" s="419"/>
      <c r="AI39" s="405">
        <f t="shared" si="17"/>
        <v>61.362650000000031</v>
      </c>
      <c r="AJ39" s="406">
        <f t="shared" si="18"/>
        <v>3.3802488788053822E-2</v>
      </c>
      <c r="AK39" s="53"/>
      <c r="AL39" s="417"/>
      <c r="AM39" s="495"/>
      <c r="AN39" s="403">
        <f>SUM(AN30:AN38)+AN29</f>
        <v>1932.8283999999999</v>
      </c>
      <c r="AO39" s="419"/>
      <c r="AP39" s="405">
        <f t="shared" si="21"/>
        <v>56.136399999999867</v>
      </c>
      <c r="AQ39" s="406">
        <f t="shared" si="22"/>
        <v>2.9912420365195709E-2</v>
      </c>
      <c r="AR39" s="407"/>
      <c r="AS39" s="3"/>
      <c r="AT39" s="3"/>
      <c r="AU39" s="3"/>
      <c r="AV39" s="3"/>
      <c r="AW39" s="3"/>
      <c r="AX39" s="3"/>
    </row>
    <row r="40" spans="1:50" ht="12" customHeight="1">
      <c r="A40" s="545"/>
      <c r="B40" s="138" t="s">
        <v>285</v>
      </c>
      <c r="C40" s="389" t="str">
        <f t="shared" ref="C40:C41" si="38">D$6&amp;"."&amp;B40</f>
        <v>General Service 50 to 1,499 KW.RTSR - Network</v>
      </c>
      <c r="D40" s="420" t="s">
        <v>406</v>
      </c>
      <c r="E40" s="138"/>
      <c r="F40" s="408">
        <f>IFERROR(VLOOKUP($C40,'Proposed Rates'!$B:$J,F$11,FALSE),0)</f>
        <v>4.8479999999999999</v>
      </c>
      <c r="G40" s="409">
        <f t="shared" ref="G40:G41" si="39">IF($D40="Monthly",1,IF($D40="per KW",$F$10,IF($D40="per kWh",$F$9,0)))</f>
        <v>185</v>
      </c>
      <c r="H40" s="394">
        <f t="shared" ref="H40:H41" si="40">G40*F40</f>
        <v>896.88</v>
      </c>
      <c r="I40" s="138"/>
      <c r="J40" s="408">
        <f>IFERROR(VLOOKUP($C40,'Proposed Rates'!$B:$J,J$11,FALSE),0)</f>
        <v>4.5787000000000004</v>
      </c>
      <c r="K40" s="409">
        <f t="shared" ref="K40:K41" si="41">IF($D40="Monthly",1,IF($D40="per KW",$F$10,IF($D40="per kWh",$F$9,0)))</f>
        <v>185</v>
      </c>
      <c r="L40" s="394">
        <f t="shared" ref="L40:L41" si="42">K40*J40</f>
        <v>847.05950000000007</v>
      </c>
      <c r="M40" s="138"/>
      <c r="N40" s="395">
        <f t="shared" si="5"/>
        <v>-49.820499999999925</v>
      </c>
      <c r="O40" s="396">
        <f t="shared" si="6"/>
        <v>-5.5548679867986714E-2</v>
      </c>
      <c r="P40" s="53"/>
      <c r="Q40" s="408">
        <f>IFERROR(VLOOKUP($C40,'Proposed Rates'!$B:$J,Q$11,FALSE),0)</f>
        <v>4.5787000000000004</v>
      </c>
      <c r="R40" s="409">
        <f t="shared" ref="R40:R41" si="43">IF($D40="Monthly",1,IF($D40="per KW",$F$10,IF($D40="per kWh",$F$9,0)))</f>
        <v>185</v>
      </c>
      <c r="S40" s="394">
        <f t="shared" ref="S40:S41" si="44">R40*Q40</f>
        <v>847.05950000000007</v>
      </c>
      <c r="T40" s="138"/>
      <c r="U40" s="395">
        <f t="shared" si="9"/>
        <v>0</v>
      </c>
      <c r="V40" s="396">
        <f t="shared" si="10"/>
        <v>0</v>
      </c>
      <c r="W40" s="53"/>
      <c r="X40" s="408">
        <f>IFERROR(VLOOKUP($C40,'Proposed Rates'!$B:$J,X$11,FALSE),0)</f>
        <v>4.5787000000000004</v>
      </c>
      <c r="Y40" s="409">
        <f t="shared" ref="Y40:Y41" si="45">IF($D40="Monthly",1,IF($D40="per KW",$F$10,IF($D40="per kWh",$F$9,0)))</f>
        <v>185</v>
      </c>
      <c r="Z40" s="394">
        <f t="shared" ref="Z40:Z41" si="46">Y40*X40</f>
        <v>847.05950000000007</v>
      </c>
      <c r="AA40" s="138"/>
      <c r="AB40" s="395">
        <f t="shared" si="36"/>
        <v>0</v>
      </c>
      <c r="AC40" s="396">
        <f t="shared" si="37"/>
        <v>0</v>
      </c>
      <c r="AD40" s="53"/>
      <c r="AE40" s="408">
        <f>IFERROR(VLOOKUP($C40,'Proposed Rates'!$B:$J,AE$11,FALSE),0)</f>
        <v>4.5787000000000004</v>
      </c>
      <c r="AF40" s="409">
        <f t="shared" ref="AF40:AF41" si="47">IF($D40="Monthly",1,IF($D40="per KW",$F$10,IF($D40="per kWh",$F$9,0)))</f>
        <v>185</v>
      </c>
      <c r="AG40" s="394">
        <f t="shared" ref="AG40:AG41" si="48">AF40*AE40</f>
        <v>847.05950000000007</v>
      </c>
      <c r="AH40" s="138"/>
      <c r="AI40" s="395">
        <f t="shared" si="17"/>
        <v>0</v>
      </c>
      <c r="AJ40" s="396">
        <f t="shared" si="18"/>
        <v>0</v>
      </c>
      <c r="AK40" s="53"/>
      <c r="AL40" s="408">
        <f>IFERROR(VLOOKUP($C40,'Proposed Rates'!$B:$J,AL$11,FALSE),0)</f>
        <v>4.5787000000000004</v>
      </c>
      <c r="AM40" s="409">
        <f t="shared" ref="AM40:AM41" si="49">IF($D40="Monthly",1,IF($D40="per KW",$F$10,IF($D40="per kWh",$F$9,0)))</f>
        <v>185</v>
      </c>
      <c r="AN40" s="394">
        <f t="shared" ref="AN40:AN41" si="50">AM40*AL40</f>
        <v>847.05950000000007</v>
      </c>
      <c r="AO40" s="138"/>
      <c r="AP40" s="395">
        <f t="shared" si="21"/>
        <v>0</v>
      </c>
      <c r="AQ40" s="396">
        <f t="shared" si="22"/>
        <v>0</v>
      </c>
      <c r="AR40" s="397"/>
      <c r="AS40" s="3"/>
      <c r="AT40" s="3"/>
      <c r="AU40" s="3"/>
      <c r="AV40" s="3"/>
      <c r="AW40" s="3"/>
      <c r="AX40" s="3"/>
    </row>
    <row r="41" spans="1:50" ht="12" customHeight="1">
      <c r="A41" s="545"/>
      <c r="B41" s="138" t="s">
        <v>288</v>
      </c>
      <c r="C41" s="389" t="str">
        <f t="shared" si="38"/>
        <v>General Service 50 to 1,499 KW.RTSR - Line and Transformation Connection</v>
      </c>
      <c r="D41" s="420" t="s">
        <v>406</v>
      </c>
      <c r="E41" s="138"/>
      <c r="F41" s="408">
        <f>IFERROR(VLOOKUP($C41,'Proposed Rates'!$B:$J,F$11,FALSE),0)</f>
        <v>2.8187000000000002</v>
      </c>
      <c r="G41" s="409">
        <f t="shared" si="39"/>
        <v>185</v>
      </c>
      <c r="H41" s="394">
        <f t="shared" si="40"/>
        <v>521.45950000000005</v>
      </c>
      <c r="I41" s="138"/>
      <c r="J41" s="408">
        <f>IFERROR(VLOOKUP($C41,'Proposed Rates'!$B:$J,J$11,FALSE),0)</f>
        <v>2.5918000000000001</v>
      </c>
      <c r="K41" s="409">
        <f t="shared" si="41"/>
        <v>185</v>
      </c>
      <c r="L41" s="394">
        <f t="shared" si="42"/>
        <v>479.483</v>
      </c>
      <c r="M41" s="138"/>
      <c r="N41" s="395">
        <f t="shared" si="5"/>
        <v>-41.976500000000044</v>
      </c>
      <c r="O41" s="396">
        <f t="shared" si="6"/>
        <v>-8.0498101961897411E-2</v>
      </c>
      <c r="P41" s="53"/>
      <c r="Q41" s="408">
        <f>IFERROR(VLOOKUP($C41,'Proposed Rates'!$B:$J,Q$11,FALSE),0)</f>
        <v>2.5918000000000001</v>
      </c>
      <c r="R41" s="409">
        <f t="shared" si="43"/>
        <v>185</v>
      </c>
      <c r="S41" s="394">
        <f t="shared" si="44"/>
        <v>479.483</v>
      </c>
      <c r="T41" s="138"/>
      <c r="U41" s="395">
        <f t="shared" si="9"/>
        <v>0</v>
      </c>
      <c r="V41" s="396">
        <f t="shared" si="10"/>
        <v>0</v>
      </c>
      <c r="W41" s="53"/>
      <c r="X41" s="408">
        <f>IFERROR(VLOOKUP($C41,'Proposed Rates'!$B:$J,X$11,FALSE),0)</f>
        <v>2.5918000000000001</v>
      </c>
      <c r="Y41" s="409">
        <f t="shared" si="45"/>
        <v>185</v>
      </c>
      <c r="Z41" s="394">
        <f t="shared" si="46"/>
        <v>479.483</v>
      </c>
      <c r="AA41" s="138"/>
      <c r="AB41" s="395">
        <f t="shared" si="36"/>
        <v>0</v>
      </c>
      <c r="AC41" s="396">
        <f t="shared" si="37"/>
        <v>0</v>
      </c>
      <c r="AD41" s="53"/>
      <c r="AE41" s="408">
        <f>IFERROR(VLOOKUP($C41,'Proposed Rates'!$B:$J,AE$11,FALSE),0)</f>
        <v>2.5918000000000001</v>
      </c>
      <c r="AF41" s="409">
        <f t="shared" si="47"/>
        <v>185</v>
      </c>
      <c r="AG41" s="394">
        <f t="shared" si="48"/>
        <v>479.483</v>
      </c>
      <c r="AH41" s="138"/>
      <c r="AI41" s="395">
        <f t="shared" si="17"/>
        <v>0</v>
      </c>
      <c r="AJ41" s="396">
        <f t="shared" si="18"/>
        <v>0</v>
      </c>
      <c r="AK41" s="53"/>
      <c r="AL41" s="408">
        <f>IFERROR(VLOOKUP($C41,'Proposed Rates'!$B:$J,AL$11,FALSE),0)</f>
        <v>2.5918000000000001</v>
      </c>
      <c r="AM41" s="409">
        <f t="shared" si="49"/>
        <v>185</v>
      </c>
      <c r="AN41" s="394">
        <f t="shared" si="50"/>
        <v>479.483</v>
      </c>
      <c r="AO41" s="138"/>
      <c r="AP41" s="395">
        <f t="shared" si="21"/>
        <v>0</v>
      </c>
      <c r="AQ41" s="396">
        <f t="shared" si="22"/>
        <v>0</v>
      </c>
      <c r="AR41" s="397"/>
      <c r="AS41" s="3"/>
      <c r="AT41" s="3"/>
      <c r="AU41" s="3"/>
      <c r="AV41" s="3"/>
      <c r="AW41" s="3"/>
      <c r="AX41" s="3"/>
    </row>
    <row r="42" spans="1:50" ht="12" customHeight="1">
      <c r="A42" s="545"/>
      <c r="B42" s="399" t="s">
        <v>343</v>
      </c>
      <c r="C42" s="421"/>
      <c r="D42" s="421"/>
      <c r="E42" s="421"/>
      <c r="F42" s="422"/>
      <c r="G42" s="495"/>
      <c r="H42" s="403">
        <f>SUM(H39:H41)</f>
        <v>3111.52855</v>
      </c>
      <c r="I42" s="404"/>
      <c r="J42" s="422"/>
      <c r="K42" s="495"/>
      <c r="L42" s="403">
        <f>SUM(L39:L41)</f>
        <v>3311.8991999999998</v>
      </c>
      <c r="M42" s="404"/>
      <c r="N42" s="405">
        <f t="shared" si="5"/>
        <v>200.37064999999984</v>
      </c>
      <c r="O42" s="406">
        <f t="shared" si="6"/>
        <v>6.4396211309068613E-2</v>
      </c>
      <c r="P42" s="53"/>
      <c r="Q42" s="422"/>
      <c r="R42" s="495"/>
      <c r="S42" s="403">
        <f>SUM(S39:S41)</f>
        <v>3458.2002000000002</v>
      </c>
      <c r="T42" s="404"/>
      <c r="U42" s="405">
        <f t="shared" si="9"/>
        <v>146.30100000000039</v>
      </c>
      <c r="V42" s="406">
        <f t="shared" si="10"/>
        <v>4.4174351683167287E-2</v>
      </c>
      <c r="W42" s="53"/>
      <c r="X42" s="422"/>
      <c r="Y42" s="495"/>
      <c r="Z42" s="403">
        <f>SUM(Z39:Z41)</f>
        <v>3141.8718500000004</v>
      </c>
      <c r="AA42" s="404"/>
      <c r="AB42" s="405">
        <f t="shared" si="36"/>
        <v>-316.32834999999977</v>
      </c>
      <c r="AC42" s="406">
        <f t="shared" si="37"/>
        <v>-9.1471959894051172E-2</v>
      </c>
      <c r="AD42" s="53"/>
      <c r="AE42" s="422"/>
      <c r="AF42" s="495"/>
      <c r="AG42" s="403">
        <f>SUM(AG39:AG41)</f>
        <v>3203.2345000000005</v>
      </c>
      <c r="AH42" s="404"/>
      <c r="AI42" s="405">
        <f t="shared" si="17"/>
        <v>61.362650000000031</v>
      </c>
      <c r="AJ42" s="406">
        <f t="shared" si="18"/>
        <v>1.9530602433705253E-2</v>
      </c>
      <c r="AK42" s="53"/>
      <c r="AL42" s="422"/>
      <c r="AM42" s="495"/>
      <c r="AN42" s="403">
        <f>SUM(AN39:AN41)</f>
        <v>3259.3708999999999</v>
      </c>
      <c r="AO42" s="404"/>
      <c r="AP42" s="405">
        <f t="shared" si="21"/>
        <v>56.136399999999412</v>
      </c>
      <c r="AQ42" s="406">
        <f t="shared" si="22"/>
        <v>1.7524911148403093E-2</v>
      </c>
      <c r="AR42" s="407"/>
      <c r="AS42" s="3"/>
      <c r="AT42" s="3"/>
      <c r="AU42" s="3"/>
      <c r="AV42" s="3"/>
      <c r="AW42" s="3"/>
      <c r="AX42" s="3"/>
    </row>
    <row r="43" spans="1:50" ht="12" customHeight="1">
      <c r="A43" s="545"/>
      <c r="B43" s="328" t="s">
        <v>289</v>
      </c>
      <c r="C43" s="389" t="str">
        <f t="shared" ref="C43:C45" si="51">D$6&amp;"."&amp;B43</f>
        <v>General Service 50 to 1,499 KW.Wholesale Market Service Charge (WMSC)</v>
      </c>
      <c r="D43" s="390" t="s">
        <v>337</v>
      </c>
      <c r="E43" s="328"/>
      <c r="F43" s="408">
        <f>IFERROR(VLOOKUP($C43,'Proposed Rates'!$B:$J,F$11,FALSE),0)</f>
        <v>4.4999999999999997E-3</v>
      </c>
      <c r="G43" s="415">
        <f t="shared" ref="G43:G44" si="52">$F$9+G$37</f>
        <v>79065.024000000005</v>
      </c>
      <c r="H43" s="394">
        <f t="shared" ref="H43:H46" si="53">G43*F43</f>
        <v>355.79260799999997</v>
      </c>
      <c r="I43" s="138"/>
      <c r="J43" s="408">
        <f>IFERROR(VLOOKUP($C43,'Proposed Rates'!$B:$J,J$11,FALSE),0)</f>
        <v>4.7000000000000002E-3</v>
      </c>
      <c r="K43" s="415">
        <f t="shared" ref="K43:K44" si="54">$F$9+K$37</f>
        <v>79019.135999999999</v>
      </c>
      <c r="L43" s="394">
        <f t="shared" ref="L43:L46" si="55">K43*J43</f>
        <v>371.38993920000001</v>
      </c>
      <c r="M43" s="138"/>
      <c r="N43" s="395">
        <f t="shared" si="5"/>
        <v>15.597331200000042</v>
      </c>
      <c r="O43" s="396">
        <f t="shared" si="6"/>
        <v>4.3838266589282381E-2</v>
      </c>
      <c r="P43" s="53"/>
      <c r="Q43" s="408">
        <f>IFERROR(VLOOKUP($C43,'Proposed Rates'!$B:$J,Q$11,FALSE),0)</f>
        <v>4.7000000000000002E-3</v>
      </c>
      <c r="R43" s="415">
        <f t="shared" ref="R43:R44" si="56">$F$9+R$37</f>
        <v>79019.135999999999</v>
      </c>
      <c r="S43" s="394">
        <f t="shared" ref="S43:S46" si="57">R43*Q43</f>
        <v>371.38993920000001</v>
      </c>
      <c r="T43" s="138"/>
      <c r="U43" s="395">
        <f t="shared" si="9"/>
        <v>0</v>
      </c>
      <c r="V43" s="396">
        <f t="shared" si="10"/>
        <v>0</v>
      </c>
      <c r="W43" s="53"/>
      <c r="X43" s="408">
        <f>IFERROR(VLOOKUP($C43,'Proposed Rates'!$B:$J,X$11,FALSE),0)</f>
        <v>4.7000000000000002E-3</v>
      </c>
      <c r="Y43" s="415">
        <f t="shared" ref="Y43:Y44" si="58">$F$9+Y$37</f>
        <v>79019.135999999999</v>
      </c>
      <c r="Z43" s="394">
        <f t="shared" ref="Z43:Z46" si="59">Y43*X43</f>
        <v>371.38993920000001</v>
      </c>
      <c r="AA43" s="138"/>
      <c r="AB43" s="395">
        <f t="shared" si="36"/>
        <v>0</v>
      </c>
      <c r="AC43" s="396">
        <f t="shared" si="37"/>
        <v>0</v>
      </c>
      <c r="AD43" s="53"/>
      <c r="AE43" s="408">
        <f>IFERROR(VLOOKUP($C43,'Proposed Rates'!$B:$J,AE$11,FALSE),0)</f>
        <v>4.7000000000000002E-3</v>
      </c>
      <c r="AF43" s="415">
        <f t="shared" ref="AF43:AF44" si="60">$F$9+AF$37</f>
        <v>79019.135999999999</v>
      </c>
      <c r="AG43" s="394">
        <f t="shared" ref="AG43:AG46" si="61">AF43*AE43</f>
        <v>371.38993920000001</v>
      </c>
      <c r="AH43" s="138"/>
      <c r="AI43" s="395">
        <f t="shared" si="17"/>
        <v>0</v>
      </c>
      <c r="AJ43" s="396">
        <f t="shared" si="18"/>
        <v>0</v>
      </c>
      <c r="AK43" s="53"/>
      <c r="AL43" s="408">
        <f>IFERROR(VLOOKUP($C43,'Proposed Rates'!$B:$J,AL$11,FALSE),0)</f>
        <v>4.7000000000000002E-3</v>
      </c>
      <c r="AM43" s="415">
        <f t="shared" ref="AM43:AM44" si="62">$F$9+AM$37</f>
        <v>79019.135999999999</v>
      </c>
      <c r="AN43" s="394">
        <f t="shared" ref="AN43:AN46" si="63">AM43*AL43</f>
        <v>371.38993920000001</v>
      </c>
      <c r="AO43" s="138"/>
      <c r="AP43" s="395">
        <f t="shared" si="21"/>
        <v>0</v>
      </c>
      <c r="AQ43" s="396">
        <f t="shared" si="22"/>
        <v>0</v>
      </c>
      <c r="AR43" s="397"/>
      <c r="AS43" s="3"/>
      <c r="AT43" s="3"/>
      <c r="AU43" s="3"/>
      <c r="AV43" s="3"/>
      <c r="AW43" s="3"/>
      <c r="AX43" s="3"/>
    </row>
    <row r="44" spans="1:50" ht="12" customHeight="1">
      <c r="A44" s="545"/>
      <c r="B44" s="328" t="s">
        <v>290</v>
      </c>
      <c r="C44" s="389" t="str">
        <f t="shared" si="51"/>
        <v>General Service 50 to 1,499 KW.Rural and Remote Rate Protection (RRRP)</v>
      </c>
      <c r="D44" s="390" t="s">
        <v>337</v>
      </c>
      <c r="E44" s="328"/>
      <c r="F44" s="408">
        <f>IFERROR(VLOOKUP($C44,'Proposed Rates'!$B:$J,F$11,FALSE),0)</f>
        <v>1.5E-3</v>
      </c>
      <c r="G44" s="415">
        <f t="shared" si="52"/>
        <v>79065.024000000005</v>
      </c>
      <c r="H44" s="394">
        <f t="shared" si="53"/>
        <v>118.59753600000001</v>
      </c>
      <c r="I44" s="138"/>
      <c r="J44" s="408">
        <f>IFERROR(VLOOKUP($C44,'Proposed Rates'!$B:$J,J$11,FALSE),0)</f>
        <v>5.9999999999999995E-4</v>
      </c>
      <c r="K44" s="415">
        <f t="shared" si="54"/>
        <v>79019.135999999999</v>
      </c>
      <c r="L44" s="394">
        <f t="shared" si="55"/>
        <v>47.411481599999995</v>
      </c>
      <c r="M44" s="138"/>
      <c r="N44" s="395">
        <f t="shared" si="5"/>
        <v>-71.186054400000017</v>
      </c>
      <c r="O44" s="396">
        <f t="shared" si="6"/>
        <v>-0.60023215322112611</v>
      </c>
      <c r="P44" s="53"/>
      <c r="Q44" s="408">
        <f>IFERROR(VLOOKUP($C44,'Proposed Rates'!$B:$J,Q$11,FALSE),0)</f>
        <v>5.9999999999999995E-4</v>
      </c>
      <c r="R44" s="415">
        <f t="shared" si="56"/>
        <v>79019.135999999999</v>
      </c>
      <c r="S44" s="394">
        <f t="shared" si="57"/>
        <v>47.411481599999995</v>
      </c>
      <c r="T44" s="138"/>
      <c r="U44" s="395">
        <f t="shared" si="9"/>
        <v>0</v>
      </c>
      <c r="V44" s="396">
        <f t="shared" si="10"/>
        <v>0</v>
      </c>
      <c r="W44" s="53"/>
      <c r="X44" s="408">
        <f>IFERROR(VLOOKUP($C44,'Proposed Rates'!$B:$J,X$11,FALSE),0)</f>
        <v>5.9999999999999995E-4</v>
      </c>
      <c r="Y44" s="415">
        <f t="shared" si="58"/>
        <v>79019.135999999999</v>
      </c>
      <c r="Z44" s="394">
        <f t="shared" si="59"/>
        <v>47.411481599999995</v>
      </c>
      <c r="AA44" s="138"/>
      <c r="AB44" s="395">
        <f t="shared" si="36"/>
        <v>0</v>
      </c>
      <c r="AC44" s="396">
        <f t="shared" si="37"/>
        <v>0</v>
      </c>
      <c r="AD44" s="53"/>
      <c r="AE44" s="408">
        <f>IFERROR(VLOOKUP($C44,'Proposed Rates'!$B:$J,AE$11,FALSE),0)</f>
        <v>5.9999999999999995E-4</v>
      </c>
      <c r="AF44" s="415">
        <f t="shared" si="60"/>
        <v>79019.135999999999</v>
      </c>
      <c r="AG44" s="394">
        <f t="shared" si="61"/>
        <v>47.411481599999995</v>
      </c>
      <c r="AH44" s="138"/>
      <c r="AI44" s="395">
        <f t="shared" si="17"/>
        <v>0</v>
      </c>
      <c r="AJ44" s="396">
        <f t="shared" si="18"/>
        <v>0</v>
      </c>
      <c r="AK44" s="53"/>
      <c r="AL44" s="408">
        <f>IFERROR(VLOOKUP($C44,'Proposed Rates'!$B:$J,AL$11,FALSE),0)</f>
        <v>5.9999999999999995E-4</v>
      </c>
      <c r="AM44" s="415">
        <f t="shared" si="62"/>
        <v>79019.135999999999</v>
      </c>
      <c r="AN44" s="394">
        <f t="shared" si="63"/>
        <v>47.411481599999995</v>
      </c>
      <c r="AO44" s="138"/>
      <c r="AP44" s="395">
        <f t="shared" si="21"/>
        <v>0</v>
      </c>
      <c r="AQ44" s="396">
        <f t="shared" si="22"/>
        <v>0</v>
      </c>
      <c r="AR44" s="397"/>
      <c r="AS44" s="3"/>
      <c r="AT44" s="3"/>
      <c r="AU44" s="3"/>
      <c r="AV44" s="3"/>
      <c r="AW44" s="3"/>
      <c r="AX44" s="3"/>
    </row>
    <row r="45" spans="1:50" ht="12" customHeight="1">
      <c r="A45" s="545"/>
      <c r="B45" s="328" t="s">
        <v>291</v>
      </c>
      <c r="C45" s="389" t="str">
        <f t="shared" si="51"/>
        <v>General Service 50 to 1,499 KW.Standard Supply Service Charge</v>
      </c>
      <c r="D45" s="390" t="s">
        <v>335</v>
      </c>
      <c r="E45" s="328"/>
      <c r="F45" s="391">
        <f>IFERROR(VLOOKUP($C45,'Proposed Rates'!$B:$J,F$11,FALSE),0)</f>
        <v>0.25</v>
      </c>
      <c r="G45" s="409">
        <f>IF($D45="Monthly",1,IF($D45="per KW",$F$10,IF($D45="per kWh",$F$9,0)))</f>
        <v>1</v>
      </c>
      <c r="H45" s="394">
        <f t="shared" si="53"/>
        <v>0.25</v>
      </c>
      <c r="I45" s="138"/>
      <c r="J45" s="391">
        <f>IFERROR(VLOOKUP($C45,'Proposed Rates'!$B:$J,J$11,FALSE),0)</f>
        <v>0.25</v>
      </c>
      <c r="K45" s="409">
        <f>IF($D45="Monthly",1,IF($D45="per KW",$F$10,IF($D45="per kWh",$F$9,0)))</f>
        <v>1</v>
      </c>
      <c r="L45" s="394">
        <f t="shared" si="55"/>
        <v>0.25</v>
      </c>
      <c r="M45" s="138"/>
      <c r="N45" s="395">
        <f t="shared" si="5"/>
        <v>0</v>
      </c>
      <c r="O45" s="396">
        <f t="shared" si="6"/>
        <v>0</v>
      </c>
      <c r="P45" s="53"/>
      <c r="Q45" s="391">
        <f>IFERROR(VLOOKUP($C45,'Proposed Rates'!$B:$J,Q$11,FALSE),0)</f>
        <v>0.25</v>
      </c>
      <c r="R45" s="409">
        <f>IF($D45="Monthly",1,IF($D45="per KW",$F$10,IF($D45="per kWh",$F$9,0)))</f>
        <v>1</v>
      </c>
      <c r="S45" s="394">
        <f t="shared" si="57"/>
        <v>0.25</v>
      </c>
      <c r="T45" s="138"/>
      <c r="U45" s="395">
        <f t="shared" si="9"/>
        <v>0</v>
      </c>
      <c r="V45" s="396">
        <f t="shared" si="10"/>
        <v>0</v>
      </c>
      <c r="W45" s="53"/>
      <c r="X45" s="391">
        <f>IFERROR(VLOOKUP($C45,'Proposed Rates'!$B:$J,X$11,FALSE),0)</f>
        <v>0.25</v>
      </c>
      <c r="Y45" s="409">
        <f>IF($D45="Monthly",1,IF($D45="per KW",$F$10,IF($D45="per kWh",$F$9,0)))</f>
        <v>1</v>
      </c>
      <c r="Z45" s="394">
        <f t="shared" si="59"/>
        <v>0.25</v>
      </c>
      <c r="AA45" s="138"/>
      <c r="AB45" s="395">
        <f t="shared" si="36"/>
        <v>0</v>
      </c>
      <c r="AC45" s="396">
        <f t="shared" si="37"/>
        <v>0</v>
      </c>
      <c r="AD45" s="53"/>
      <c r="AE45" s="391">
        <f>IFERROR(VLOOKUP($C45,'Proposed Rates'!$B:$J,AE$11,FALSE),0)</f>
        <v>0.25</v>
      </c>
      <c r="AF45" s="409">
        <f>IF($D45="Monthly",1,IF($D45="per KW",$F$10,IF($D45="per kWh",$F$9,0)))</f>
        <v>1</v>
      </c>
      <c r="AG45" s="394">
        <f t="shared" si="61"/>
        <v>0.25</v>
      </c>
      <c r="AH45" s="138"/>
      <c r="AI45" s="395">
        <f t="shared" si="17"/>
        <v>0</v>
      </c>
      <c r="AJ45" s="396">
        <f t="shared" si="18"/>
        <v>0</v>
      </c>
      <c r="AK45" s="53"/>
      <c r="AL45" s="391">
        <f>IFERROR(VLOOKUP($C45,'Proposed Rates'!$B:$J,AL$11,FALSE),0)</f>
        <v>0.25</v>
      </c>
      <c r="AM45" s="409">
        <f>IF($D45="Monthly",1,IF($D45="per KW",$F$10,IF($D45="per kWh",$F$9,0)))</f>
        <v>1</v>
      </c>
      <c r="AN45" s="394">
        <f t="shared" si="63"/>
        <v>0.25</v>
      </c>
      <c r="AO45" s="138"/>
      <c r="AP45" s="395">
        <f t="shared" si="21"/>
        <v>0</v>
      </c>
      <c r="AQ45" s="396">
        <f t="shared" si="22"/>
        <v>0</v>
      </c>
      <c r="AR45" s="397"/>
      <c r="AS45" s="3"/>
      <c r="AT45" s="3"/>
      <c r="AU45" s="3"/>
      <c r="AV45" s="3"/>
      <c r="AW45" s="3"/>
      <c r="AX45" s="3"/>
    </row>
    <row r="46" spans="1:50" ht="12" customHeight="1">
      <c r="A46" s="545"/>
      <c r="B46" s="328" t="s">
        <v>298</v>
      </c>
      <c r="C46" s="389" t="str">
        <f>B46</f>
        <v>Average IESO Wholesale Market Price</v>
      </c>
      <c r="D46" s="390" t="s">
        <v>337</v>
      </c>
      <c r="E46" s="328"/>
      <c r="F46" s="408">
        <f>IFERROR(VLOOKUP($C46,'Proposed Rates'!$B:$J,F$11,FALSE),0)</f>
        <v>0.10453</v>
      </c>
      <c r="G46" s="415">
        <f>$F$9+G$37</f>
        <v>79065.024000000005</v>
      </c>
      <c r="H46" s="394">
        <f t="shared" si="53"/>
        <v>8264.6669587199995</v>
      </c>
      <c r="I46" s="138"/>
      <c r="J46" s="408">
        <f>IFERROR(VLOOKUP($C46,'Proposed Rates'!$B:$J,J$11,FALSE),0)</f>
        <v>0.10453</v>
      </c>
      <c r="K46" s="415">
        <f>$F$9+K$37</f>
        <v>79019.135999999999</v>
      </c>
      <c r="L46" s="394">
        <f t="shared" si="55"/>
        <v>8259.8702860800004</v>
      </c>
      <c r="M46" s="138"/>
      <c r="N46" s="395">
        <f t="shared" si="5"/>
        <v>-4.7966726399990876</v>
      </c>
      <c r="O46" s="396">
        <f t="shared" si="6"/>
        <v>-5.8038305281474744E-4</v>
      </c>
      <c r="P46" s="53"/>
      <c r="Q46" s="408">
        <f>IFERROR(VLOOKUP($C46,'Proposed Rates'!$B:$J,Q$11,FALSE),0)</f>
        <v>0.10453</v>
      </c>
      <c r="R46" s="415">
        <f>$F$9+R$37</f>
        <v>79019.135999999999</v>
      </c>
      <c r="S46" s="394">
        <f t="shared" si="57"/>
        <v>8259.8702860800004</v>
      </c>
      <c r="T46" s="138"/>
      <c r="U46" s="395">
        <f t="shared" si="9"/>
        <v>0</v>
      </c>
      <c r="V46" s="396">
        <f t="shared" si="10"/>
        <v>0</v>
      </c>
      <c r="W46" s="53"/>
      <c r="X46" s="408">
        <f>IFERROR(VLOOKUP($C46,'Proposed Rates'!$B:$J,X$11,FALSE),0)</f>
        <v>0.10453</v>
      </c>
      <c r="Y46" s="415">
        <f>$F$9+Y$37</f>
        <v>79019.135999999999</v>
      </c>
      <c r="Z46" s="394">
        <f t="shared" si="59"/>
        <v>8259.8702860800004</v>
      </c>
      <c r="AA46" s="138"/>
      <c r="AB46" s="395">
        <f t="shared" si="36"/>
        <v>0</v>
      </c>
      <c r="AC46" s="396">
        <f t="shared" si="37"/>
        <v>0</v>
      </c>
      <c r="AD46" s="53"/>
      <c r="AE46" s="408">
        <f>IFERROR(VLOOKUP($C46,'Proposed Rates'!$B:$J,AE$11,FALSE),0)</f>
        <v>0.10453</v>
      </c>
      <c r="AF46" s="415">
        <f>$F$9+AF$37</f>
        <v>79019.135999999999</v>
      </c>
      <c r="AG46" s="394">
        <f t="shared" si="61"/>
        <v>8259.8702860800004</v>
      </c>
      <c r="AH46" s="138"/>
      <c r="AI46" s="395">
        <f t="shared" si="17"/>
        <v>0</v>
      </c>
      <c r="AJ46" s="396">
        <f t="shared" si="18"/>
        <v>0</v>
      </c>
      <c r="AK46" s="53"/>
      <c r="AL46" s="408">
        <f>IFERROR(VLOOKUP($C46,'Proposed Rates'!$B:$J,AL$11,FALSE),0)</f>
        <v>0.10453</v>
      </c>
      <c r="AM46" s="415">
        <f>$F$9+AM$37</f>
        <v>79019.135999999999</v>
      </c>
      <c r="AN46" s="394">
        <f t="shared" si="63"/>
        <v>8259.8702860800004</v>
      </c>
      <c r="AO46" s="138"/>
      <c r="AP46" s="395">
        <f t="shared" si="21"/>
        <v>0</v>
      </c>
      <c r="AQ46" s="396">
        <f t="shared" si="22"/>
        <v>0</v>
      </c>
      <c r="AR46" s="397"/>
      <c r="AS46" s="3"/>
      <c r="AT46" s="3"/>
      <c r="AU46" s="3"/>
      <c r="AV46" s="3"/>
      <c r="AW46" s="3"/>
      <c r="AX46" s="3"/>
    </row>
    <row r="47" spans="1:50" ht="12" customHeight="1">
      <c r="A47" s="545"/>
      <c r="B47" s="328"/>
      <c r="C47" s="389" t="str">
        <f t="shared" ref="C47:C50" si="64">D$6&amp;"."&amp;B47</f>
        <v>General Service 50 to 1,499 KW.</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c r="AS47" s="3"/>
      <c r="AT47" s="3"/>
      <c r="AU47" s="3"/>
      <c r="AV47" s="3"/>
      <c r="AW47" s="3"/>
      <c r="AX47" s="3"/>
    </row>
    <row r="48" spans="1:50" ht="12" customHeight="1">
      <c r="A48" s="545"/>
      <c r="B48" s="53"/>
      <c r="C48" s="389" t="str">
        <f t="shared" si="64"/>
        <v>General Service 50 to 1,499 KW.</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c r="AS48" s="3"/>
      <c r="AT48" s="3"/>
      <c r="AU48" s="3"/>
      <c r="AV48" s="3"/>
      <c r="AW48" s="3"/>
      <c r="AX48" s="3"/>
    </row>
    <row r="49" spans="1:50" ht="12" customHeight="1">
      <c r="A49" s="545"/>
      <c r="B49" s="328"/>
      <c r="C49" s="389" t="str">
        <f t="shared" si="64"/>
        <v>General Service 50 to 1,499 KW.</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c r="AS49" s="3"/>
      <c r="AT49" s="3"/>
      <c r="AU49" s="3"/>
      <c r="AV49" s="3"/>
      <c r="AW49" s="3"/>
      <c r="AX49" s="3"/>
    </row>
    <row r="50" spans="1:50" ht="12" customHeight="1">
      <c r="A50" s="545"/>
      <c r="B50" s="328"/>
      <c r="C50" s="389" t="str">
        <f t="shared" si="64"/>
        <v>General Service 50 to 1,499 KW.</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c r="AS50" s="3"/>
      <c r="AT50" s="3"/>
      <c r="AU50" s="3"/>
      <c r="AV50" s="3"/>
      <c r="AW50" s="3"/>
      <c r="AX50" s="3"/>
    </row>
    <row r="51" spans="1:50" ht="12" customHeight="1">
      <c r="A51" s="545"/>
      <c r="B51" s="428"/>
      <c r="C51" s="429"/>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c r="AS51" s="3"/>
      <c r="AT51" s="3"/>
      <c r="AU51" s="3"/>
      <c r="AV51" s="3"/>
      <c r="AW51" s="3"/>
      <c r="AX51" s="3"/>
    </row>
    <row r="52" spans="1:50" ht="12" customHeight="1">
      <c r="A52" s="545"/>
      <c r="B52" s="438" t="s">
        <v>344</v>
      </c>
      <c r="C52" s="328"/>
      <c r="D52" s="328"/>
      <c r="E52" s="328"/>
      <c r="F52" s="439"/>
      <c r="G52" s="483"/>
      <c r="H52" s="441">
        <f>SUM(H43:H48,H42)</f>
        <v>11850.835652719998</v>
      </c>
      <c r="I52" s="476"/>
      <c r="J52" s="440"/>
      <c r="K52" s="440"/>
      <c r="L52" s="441">
        <f>SUM(L43:L48,L42)</f>
        <v>11990.820906880001</v>
      </c>
      <c r="M52" s="443"/>
      <c r="N52" s="442">
        <f t="shared" ref="N52:N56" si="65">L52-H52</f>
        <v>139.98525416000302</v>
      </c>
      <c r="O52" s="444">
        <f t="shared" ref="O52:O56" si="66">IF((H52)=0,"",(N52/H52))</f>
        <v>1.1812268624944916E-2</v>
      </c>
      <c r="P52" s="53"/>
      <c r="Q52" s="440"/>
      <c r="R52" s="440"/>
      <c r="S52" s="441">
        <f>SUM(S43:S48,S42)</f>
        <v>12137.121906880002</v>
      </c>
      <c r="T52" s="443"/>
      <c r="U52" s="442">
        <f t="shared" ref="U52:U56" si="67">S52-L52</f>
        <v>146.3010000000013</v>
      </c>
      <c r="V52" s="444">
        <f t="shared" ref="V52:V56" si="68">IF((L52)=0,"",(U52/L52))</f>
        <v>1.2201082906346958E-2</v>
      </c>
      <c r="W52" s="53"/>
      <c r="X52" s="440"/>
      <c r="Y52" s="440"/>
      <c r="Z52" s="441">
        <f>SUM(Z43:Z48,Z42)</f>
        <v>11820.793556880002</v>
      </c>
      <c r="AA52" s="443"/>
      <c r="AB52" s="442">
        <f t="shared" ref="AB52:AB56" si="69">Z52-S52</f>
        <v>-316.32834999999977</v>
      </c>
      <c r="AC52" s="444">
        <f t="shared" ref="AC52:AC56" si="70">IF((S52)=0,"",(AB52/S52))</f>
        <v>-2.6062879851333379E-2</v>
      </c>
      <c r="AD52" s="53"/>
      <c r="AE52" s="440"/>
      <c r="AF52" s="440"/>
      <c r="AG52" s="441">
        <f>SUM(AG43:AG48,AG42)</f>
        <v>11882.156206880001</v>
      </c>
      <c r="AH52" s="443"/>
      <c r="AI52" s="442">
        <f t="shared" ref="AI52:AI56" si="71">AG52-Z52</f>
        <v>61.362649999999121</v>
      </c>
      <c r="AJ52" s="444">
        <f t="shared" ref="AJ52:AJ56" si="72">IF((Z52)=0,"",(AI52/Z52))</f>
        <v>5.1910770376566214E-3</v>
      </c>
      <c r="AK52" s="53"/>
      <c r="AL52" s="440"/>
      <c r="AM52" s="440"/>
      <c r="AN52" s="441">
        <f>SUM(AN43:AN48,AN42)</f>
        <v>11938.292606880001</v>
      </c>
      <c r="AO52" s="443"/>
      <c r="AP52" s="442">
        <f t="shared" ref="AP52:AP56" si="73">AN52-AG52</f>
        <v>56.136399999999412</v>
      </c>
      <c r="AQ52" s="444">
        <f t="shared" ref="AQ52:AQ56" si="74">IF((AG52)=0,"",(AP52/AG52))</f>
        <v>4.7244287166916168E-3</v>
      </c>
      <c r="AR52" s="445"/>
      <c r="AS52" s="3"/>
      <c r="AT52" s="3"/>
      <c r="AU52" s="3"/>
      <c r="AV52" s="3"/>
      <c r="AW52" s="3"/>
      <c r="AX52" s="3"/>
    </row>
    <row r="53" spans="1:50" ht="12" customHeight="1">
      <c r="A53" s="545"/>
      <c r="B53" s="446" t="s">
        <v>345</v>
      </c>
      <c r="C53" s="328"/>
      <c r="D53" s="328"/>
      <c r="E53" s="328"/>
      <c r="F53" s="439">
        <v>0.13</v>
      </c>
      <c r="G53" s="138"/>
      <c r="H53" s="484">
        <f>H52*F53</f>
        <v>1540.6086348535998</v>
      </c>
      <c r="I53" s="411"/>
      <c r="J53" s="447">
        <v>0.13</v>
      </c>
      <c r="K53" s="411"/>
      <c r="L53" s="394">
        <f>L52*J53</f>
        <v>1558.8067178944002</v>
      </c>
      <c r="M53" s="138"/>
      <c r="N53" s="395">
        <f t="shared" si="65"/>
        <v>18.198083040800384</v>
      </c>
      <c r="O53" s="396">
        <f t="shared" si="66"/>
        <v>1.1812268624944909E-2</v>
      </c>
      <c r="P53" s="53"/>
      <c r="Q53" s="447">
        <v>0.13</v>
      </c>
      <c r="R53" s="411"/>
      <c r="S53" s="394">
        <f>S52*Q53</f>
        <v>1577.8258478944003</v>
      </c>
      <c r="T53" s="138"/>
      <c r="U53" s="395">
        <f t="shared" si="67"/>
        <v>19.019130000000132</v>
      </c>
      <c r="V53" s="396">
        <f t="shared" si="68"/>
        <v>1.2201082906346934E-2</v>
      </c>
      <c r="W53" s="53"/>
      <c r="X53" s="447">
        <v>0.13</v>
      </c>
      <c r="Y53" s="411"/>
      <c r="Z53" s="394">
        <f>Z52*X53</f>
        <v>1536.7031623944004</v>
      </c>
      <c r="AA53" s="138"/>
      <c r="AB53" s="395">
        <f t="shared" si="69"/>
        <v>-41.122685499999989</v>
      </c>
      <c r="AC53" s="396">
        <f t="shared" si="70"/>
        <v>-2.606287985133339E-2</v>
      </c>
      <c r="AD53" s="53"/>
      <c r="AE53" s="447">
        <v>0.13</v>
      </c>
      <c r="AF53" s="411"/>
      <c r="AG53" s="394">
        <f>AG52*AE53</f>
        <v>1544.6803068944002</v>
      </c>
      <c r="AH53" s="138"/>
      <c r="AI53" s="395">
        <f t="shared" si="71"/>
        <v>7.9771444999998948</v>
      </c>
      <c r="AJ53" s="396">
        <f t="shared" si="72"/>
        <v>5.1910770376566275E-3</v>
      </c>
      <c r="AK53" s="53"/>
      <c r="AL53" s="447">
        <v>0.13</v>
      </c>
      <c r="AM53" s="411"/>
      <c r="AN53" s="394">
        <f>AN52*AL53</f>
        <v>1551.9780388944002</v>
      </c>
      <c r="AO53" s="138"/>
      <c r="AP53" s="395">
        <f t="shared" si="73"/>
        <v>7.2977319999999963</v>
      </c>
      <c r="AQ53" s="396">
        <f t="shared" si="74"/>
        <v>4.7244287166916636E-3</v>
      </c>
      <c r="AR53" s="397"/>
      <c r="AS53" s="3"/>
      <c r="AT53" s="3"/>
      <c r="AU53" s="3"/>
      <c r="AV53" s="3"/>
      <c r="AW53" s="3"/>
      <c r="AX53" s="3"/>
    </row>
    <row r="54" spans="1:50" ht="12" customHeight="1">
      <c r="A54" s="545"/>
      <c r="B54" s="448" t="s">
        <v>410</v>
      </c>
      <c r="C54" s="328"/>
      <c r="D54" s="328"/>
      <c r="E54" s="328"/>
      <c r="F54" s="449"/>
      <c r="G54" s="138"/>
      <c r="H54" s="484">
        <f>H52+H53</f>
        <v>13391.444287573597</v>
      </c>
      <c r="I54" s="411"/>
      <c r="J54" s="411"/>
      <c r="K54" s="411"/>
      <c r="L54" s="394">
        <f>L52+L53</f>
        <v>13549.627624774401</v>
      </c>
      <c r="M54" s="138"/>
      <c r="N54" s="395">
        <f t="shared" si="65"/>
        <v>158.18333720080409</v>
      </c>
      <c r="O54" s="396">
        <f t="shared" si="66"/>
        <v>1.1812268624944966E-2</v>
      </c>
      <c r="P54" s="53"/>
      <c r="Q54" s="411"/>
      <c r="R54" s="411"/>
      <c r="S54" s="394">
        <f>S52+S53</f>
        <v>13714.947754774403</v>
      </c>
      <c r="T54" s="138"/>
      <c r="U54" s="395">
        <f t="shared" si="67"/>
        <v>165.32013000000188</v>
      </c>
      <c r="V54" s="396">
        <f t="shared" si="68"/>
        <v>1.2201082906346987E-2</v>
      </c>
      <c r="W54" s="53"/>
      <c r="X54" s="411"/>
      <c r="Y54" s="411"/>
      <c r="Z54" s="394">
        <f>Z52+Z53</f>
        <v>13357.496719274402</v>
      </c>
      <c r="AA54" s="138"/>
      <c r="AB54" s="395">
        <f t="shared" si="69"/>
        <v>-357.45103550000022</v>
      </c>
      <c r="AC54" s="396">
        <f t="shared" si="70"/>
        <v>-2.6062879851333414E-2</v>
      </c>
      <c r="AD54" s="53"/>
      <c r="AE54" s="411"/>
      <c r="AF54" s="411"/>
      <c r="AG54" s="394">
        <f>AG52+AG53</f>
        <v>13426.836513774402</v>
      </c>
      <c r="AH54" s="138"/>
      <c r="AI54" s="395">
        <f t="shared" si="71"/>
        <v>69.339794499999698</v>
      </c>
      <c r="AJ54" s="396">
        <f t="shared" si="72"/>
        <v>5.1910770376566735E-3</v>
      </c>
      <c r="AK54" s="53"/>
      <c r="AL54" s="411"/>
      <c r="AM54" s="411"/>
      <c r="AN54" s="394">
        <f>AN52+AN53</f>
        <v>13490.270645774401</v>
      </c>
      <c r="AO54" s="138"/>
      <c r="AP54" s="395">
        <f t="shared" si="73"/>
        <v>63.434131999998499</v>
      </c>
      <c r="AQ54" s="396">
        <f t="shared" si="74"/>
        <v>4.7244287166915543E-3</v>
      </c>
      <c r="AR54" s="397"/>
      <c r="AS54" s="3"/>
      <c r="AT54" s="3"/>
      <c r="AU54" s="3"/>
      <c r="AV54" s="3"/>
      <c r="AW54" s="3"/>
      <c r="AX54" s="3"/>
    </row>
    <row r="55" spans="1:50" ht="12" customHeight="1">
      <c r="A55" s="545"/>
      <c r="B55" s="626" t="s">
        <v>304</v>
      </c>
      <c r="C55" s="616"/>
      <c r="D55" s="616"/>
      <c r="E55" s="328"/>
      <c r="F55" s="449"/>
      <c r="G55" s="138"/>
      <c r="H55" s="486">
        <f>F55*H52</f>
        <v>0</v>
      </c>
      <c r="I55" s="411"/>
      <c r="J55" s="411"/>
      <c r="K55" s="411"/>
      <c r="L55" s="506">
        <f>J55*L52</f>
        <v>0</v>
      </c>
      <c r="M55" s="138"/>
      <c r="N55" s="451">
        <f t="shared" si="65"/>
        <v>0</v>
      </c>
      <c r="O55" s="453" t="str">
        <f t="shared" si="66"/>
        <v/>
      </c>
      <c r="P55" s="53"/>
      <c r="Q55" s="411"/>
      <c r="R55" s="411"/>
      <c r="S55" s="506">
        <f>Q55*S52</f>
        <v>0</v>
      </c>
      <c r="T55" s="138"/>
      <c r="U55" s="451">
        <f t="shared" si="67"/>
        <v>0</v>
      </c>
      <c r="V55" s="453" t="str">
        <f t="shared" si="68"/>
        <v/>
      </c>
      <c r="W55" s="53"/>
      <c r="X55" s="411"/>
      <c r="Y55" s="411"/>
      <c r="Z55" s="506">
        <f>X55*Z52</f>
        <v>0</v>
      </c>
      <c r="AA55" s="138"/>
      <c r="AB55" s="451">
        <f t="shared" si="69"/>
        <v>0</v>
      </c>
      <c r="AC55" s="453" t="str">
        <f t="shared" si="70"/>
        <v/>
      </c>
      <c r="AD55" s="53"/>
      <c r="AE55" s="411"/>
      <c r="AF55" s="411"/>
      <c r="AG55" s="506">
        <f>AE55*AG52</f>
        <v>0</v>
      </c>
      <c r="AH55" s="138"/>
      <c r="AI55" s="451">
        <f t="shared" si="71"/>
        <v>0</v>
      </c>
      <c r="AJ55" s="453" t="str">
        <f t="shared" si="72"/>
        <v/>
      </c>
      <c r="AK55" s="53"/>
      <c r="AL55" s="411"/>
      <c r="AM55" s="411"/>
      <c r="AN55" s="506">
        <f>AL55*AN52</f>
        <v>0</v>
      </c>
      <c r="AO55" s="138"/>
      <c r="AP55" s="451">
        <f t="shared" si="73"/>
        <v>0</v>
      </c>
      <c r="AQ55" s="453" t="str">
        <f t="shared" si="74"/>
        <v/>
      </c>
      <c r="AR55" s="454"/>
      <c r="AS55" s="3"/>
      <c r="AT55" s="3"/>
      <c r="AU55" s="3"/>
      <c r="AV55" s="3"/>
      <c r="AW55" s="3"/>
      <c r="AX55" s="3"/>
    </row>
    <row r="56" spans="1:50" ht="12" customHeight="1">
      <c r="A56" s="545"/>
      <c r="B56" s="627" t="s">
        <v>347</v>
      </c>
      <c r="C56" s="608"/>
      <c r="D56" s="600"/>
      <c r="E56" s="455"/>
      <c r="F56" s="456"/>
      <c r="G56" s="487"/>
      <c r="H56" s="488">
        <f>H54-H55</f>
        <v>13391.444287573597</v>
      </c>
      <c r="I56" s="457"/>
      <c r="J56" s="457"/>
      <c r="K56" s="457"/>
      <c r="L56" s="458">
        <f>L54-L55</f>
        <v>13549.627624774401</v>
      </c>
      <c r="M56" s="459"/>
      <c r="N56" s="460">
        <f t="shared" si="65"/>
        <v>158.18333720080409</v>
      </c>
      <c r="O56" s="461">
        <f t="shared" si="66"/>
        <v>1.1812268624944966E-2</v>
      </c>
      <c r="P56" s="53"/>
      <c r="Q56" s="457"/>
      <c r="R56" s="457"/>
      <c r="S56" s="458">
        <f>S54-S55</f>
        <v>13714.947754774403</v>
      </c>
      <c r="T56" s="459"/>
      <c r="U56" s="460">
        <f t="shared" si="67"/>
        <v>165.32013000000188</v>
      </c>
      <c r="V56" s="461">
        <f t="shared" si="68"/>
        <v>1.2201082906346987E-2</v>
      </c>
      <c r="W56" s="53"/>
      <c r="X56" s="457"/>
      <c r="Y56" s="457"/>
      <c r="Z56" s="458">
        <f>Z54-Z55</f>
        <v>13357.496719274402</v>
      </c>
      <c r="AA56" s="459"/>
      <c r="AB56" s="460">
        <f t="shared" si="69"/>
        <v>-357.45103550000022</v>
      </c>
      <c r="AC56" s="461">
        <f t="shared" si="70"/>
        <v>-2.6062879851333414E-2</v>
      </c>
      <c r="AD56" s="53"/>
      <c r="AE56" s="457"/>
      <c r="AF56" s="457"/>
      <c r="AG56" s="458">
        <f>AG54-AG55</f>
        <v>13426.836513774402</v>
      </c>
      <c r="AH56" s="459"/>
      <c r="AI56" s="460">
        <f t="shared" si="71"/>
        <v>69.339794499999698</v>
      </c>
      <c r="AJ56" s="461">
        <f t="shared" si="72"/>
        <v>5.1910770376566735E-3</v>
      </c>
      <c r="AK56" s="53"/>
      <c r="AL56" s="457"/>
      <c r="AM56" s="457"/>
      <c r="AN56" s="458">
        <f>AN54-AN55</f>
        <v>13490.270645774401</v>
      </c>
      <c r="AO56" s="459"/>
      <c r="AP56" s="460">
        <f t="shared" si="73"/>
        <v>63.434131999998499</v>
      </c>
      <c r="AQ56" s="461">
        <f t="shared" si="74"/>
        <v>4.7244287166915543E-3</v>
      </c>
      <c r="AR56" s="462"/>
      <c r="AS56" s="3"/>
      <c r="AT56" s="3"/>
      <c r="AU56" s="3"/>
      <c r="AV56" s="3"/>
      <c r="AW56" s="3"/>
      <c r="AX56" s="3"/>
    </row>
    <row r="57" spans="1:50" ht="12" customHeight="1">
      <c r="A57" s="545"/>
      <c r="B57" s="428"/>
      <c r="C57" s="429"/>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c r="AS57" s="3"/>
      <c r="AT57" s="3"/>
      <c r="AU57" s="3"/>
      <c r="AV57" s="3"/>
      <c r="AW57" s="3"/>
      <c r="AX57" s="3"/>
    </row>
    <row r="58" spans="1:50" ht="12" customHeight="1">
      <c r="A58" s="546"/>
      <c r="B58" s="508" t="s">
        <v>348</v>
      </c>
      <c r="C58" s="509"/>
      <c r="D58" s="509"/>
      <c r="E58" s="509"/>
      <c r="F58" s="510"/>
      <c r="G58" s="511"/>
      <c r="H58" s="512">
        <f>SUM(H49:H50,H42,H43:H45)</f>
        <v>3586.168694</v>
      </c>
      <c r="I58" s="513"/>
      <c r="J58" s="514"/>
      <c r="K58" s="514"/>
      <c r="L58" s="512">
        <f>SUM(L49:L50,L42,L43:L45)</f>
        <v>3730.9506207999998</v>
      </c>
      <c r="M58" s="515"/>
      <c r="N58" s="516">
        <f t="shared" ref="N58:N62" si="75">L58-H58</f>
        <v>144.78192679999984</v>
      </c>
      <c r="O58" s="517">
        <f t="shared" ref="O58:O62" si="76">IF((H58)=0,"",(N58/H58))</f>
        <v>4.0372313506119695E-2</v>
      </c>
      <c r="P58" s="507"/>
      <c r="Q58" s="514"/>
      <c r="R58" s="514"/>
      <c r="S58" s="512">
        <f>SUM(S49:S50,S42,S43:S45)</f>
        <v>3877.2516208000002</v>
      </c>
      <c r="T58" s="515"/>
      <c r="U58" s="516">
        <f t="shared" ref="U58:U62" si="77">S58-L58</f>
        <v>146.30100000000039</v>
      </c>
      <c r="V58" s="517">
        <f t="shared" ref="V58:V62" si="78">IF((L58)=0,"",(U58/L58))</f>
        <v>3.9212794504535728E-2</v>
      </c>
      <c r="W58" s="507"/>
      <c r="X58" s="514"/>
      <c r="Y58" s="514"/>
      <c r="Z58" s="512">
        <f>SUM(Z49:Z50,Z42,Z43:Z45)</f>
        <v>3560.9232708000004</v>
      </c>
      <c r="AA58" s="515"/>
      <c r="AB58" s="516">
        <f t="shared" ref="AB58:AB62" si="79">Z58-S58</f>
        <v>-316.32834999999977</v>
      </c>
      <c r="AC58" s="517">
        <f t="shared" ref="AC58:AC62" si="80">IF((S58)=0,"",(AB58/S58))</f>
        <v>-8.1585716104422237E-2</v>
      </c>
      <c r="AD58" s="507"/>
      <c r="AE58" s="514"/>
      <c r="AF58" s="514"/>
      <c r="AG58" s="512">
        <f>SUM(AG49:AG50,AG42,AG43:AG45)</f>
        <v>3622.2859208000004</v>
      </c>
      <c r="AH58" s="515"/>
      <c r="AI58" s="516">
        <f t="shared" ref="AI58:AI62" si="81">AG58-Z58</f>
        <v>61.362650000000031</v>
      </c>
      <c r="AJ58" s="517">
        <f t="shared" ref="AJ58:AJ62" si="82">IF((Z58)=0,"",(AI58/Z58))</f>
        <v>1.7232230332841245E-2</v>
      </c>
      <c r="AK58" s="507"/>
      <c r="AL58" s="514"/>
      <c r="AM58" s="514"/>
      <c r="AN58" s="512">
        <f>SUM(AN49:AN50,AN42,AN43:AN45)</f>
        <v>3678.4223207999999</v>
      </c>
      <c r="AO58" s="515"/>
      <c r="AP58" s="516">
        <f t="shared" ref="AP58:AP62" si="83">AN58-AG58</f>
        <v>56.136399999999412</v>
      </c>
      <c r="AQ58" s="517">
        <f t="shared" ref="AQ58:AQ62" si="84">IF((AG58)=0,"",(AP58/AG58))</f>
        <v>1.5497506609749183E-2</v>
      </c>
      <c r="AR58" s="518"/>
      <c r="AS58" s="547"/>
      <c r="AT58" s="547"/>
      <c r="AU58" s="547"/>
      <c r="AV58" s="547"/>
      <c r="AW58" s="547"/>
      <c r="AX58" s="547"/>
    </row>
    <row r="59" spans="1:50" ht="12" customHeight="1">
      <c r="A59" s="546"/>
      <c r="B59" s="519" t="s">
        <v>345</v>
      </c>
      <c r="C59" s="509"/>
      <c r="D59" s="509"/>
      <c r="E59" s="509"/>
      <c r="F59" s="510">
        <v>0.13</v>
      </c>
      <c r="G59" s="511"/>
      <c r="H59" s="520">
        <f>H58*F59</f>
        <v>466.20193022000001</v>
      </c>
      <c r="I59" s="521"/>
      <c r="J59" s="510">
        <v>0.13</v>
      </c>
      <c r="K59" s="522"/>
      <c r="L59" s="523">
        <f>L58*J59</f>
        <v>485.02358070399998</v>
      </c>
      <c r="M59" s="524"/>
      <c r="N59" s="525">
        <f t="shared" si="75"/>
        <v>18.821650483999974</v>
      </c>
      <c r="O59" s="526">
        <f t="shared" si="76"/>
        <v>4.0372313506119688E-2</v>
      </c>
      <c r="P59" s="507"/>
      <c r="Q59" s="510">
        <v>0.13</v>
      </c>
      <c r="R59" s="522"/>
      <c r="S59" s="523">
        <f>S58*Q59</f>
        <v>504.04271070400006</v>
      </c>
      <c r="T59" s="524"/>
      <c r="U59" s="525">
        <f t="shared" si="77"/>
        <v>19.019130000000075</v>
      </c>
      <c r="V59" s="526">
        <f t="shared" si="78"/>
        <v>3.9212794504535776E-2</v>
      </c>
      <c r="W59" s="507"/>
      <c r="X59" s="510">
        <v>0.13</v>
      </c>
      <c r="Y59" s="522"/>
      <c r="Z59" s="523">
        <f>Z58*X59</f>
        <v>462.92002520400007</v>
      </c>
      <c r="AA59" s="524"/>
      <c r="AB59" s="525">
        <f t="shared" si="79"/>
        <v>-41.122685499999989</v>
      </c>
      <c r="AC59" s="526">
        <f t="shared" si="80"/>
        <v>-8.1585716104422265E-2</v>
      </c>
      <c r="AD59" s="507"/>
      <c r="AE59" s="510">
        <v>0.13</v>
      </c>
      <c r="AF59" s="522"/>
      <c r="AG59" s="523">
        <f>AG58*AE59</f>
        <v>470.89716970400008</v>
      </c>
      <c r="AH59" s="524"/>
      <c r="AI59" s="525">
        <f t="shared" si="81"/>
        <v>7.9771445000000085</v>
      </c>
      <c r="AJ59" s="526">
        <f t="shared" si="82"/>
        <v>1.7232230332841256E-2</v>
      </c>
      <c r="AK59" s="507"/>
      <c r="AL59" s="510">
        <v>0.13</v>
      </c>
      <c r="AM59" s="522"/>
      <c r="AN59" s="523">
        <f>AN58*AL59</f>
        <v>478.19490170400002</v>
      </c>
      <c r="AO59" s="524"/>
      <c r="AP59" s="525">
        <f t="shared" si="83"/>
        <v>7.2977319999999395</v>
      </c>
      <c r="AQ59" s="526">
        <f t="shared" si="84"/>
        <v>1.5497506609749216E-2</v>
      </c>
      <c r="AR59" s="527"/>
      <c r="AS59" s="547"/>
      <c r="AT59" s="547"/>
      <c r="AU59" s="547"/>
      <c r="AV59" s="547"/>
      <c r="AW59" s="547"/>
      <c r="AX59" s="547"/>
    </row>
    <row r="60" spans="1:50" ht="12" customHeight="1">
      <c r="A60" s="546"/>
      <c r="B60" s="528" t="s">
        <v>411</v>
      </c>
      <c r="C60" s="509"/>
      <c r="D60" s="509"/>
      <c r="E60" s="509"/>
      <c r="F60" s="529"/>
      <c r="G60" s="524"/>
      <c r="H60" s="520">
        <f>H58+H59</f>
        <v>4052.3706242200001</v>
      </c>
      <c r="I60" s="521"/>
      <c r="J60" s="521"/>
      <c r="K60" s="521"/>
      <c r="L60" s="523">
        <f>L58+L59</f>
        <v>4215.9742015040001</v>
      </c>
      <c r="M60" s="524"/>
      <c r="N60" s="525">
        <f t="shared" si="75"/>
        <v>163.60357728400004</v>
      </c>
      <c r="O60" s="526">
        <f t="shared" si="76"/>
        <v>4.037231350611975E-2</v>
      </c>
      <c r="P60" s="507"/>
      <c r="Q60" s="521"/>
      <c r="R60" s="521"/>
      <c r="S60" s="523">
        <f>S58+S59</f>
        <v>4381.2943315040002</v>
      </c>
      <c r="T60" s="524"/>
      <c r="U60" s="525">
        <f t="shared" si="77"/>
        <v>165.32013000000006</v>
      </c>
      <c r="V60" s="526">
        <f t="shared" si="78"/>
        <v>3.9212794504535631E-2</v>
      </c>
      <c r="W60" s="507"/>
      <c r="X60" s="521"/>
      <c r="Y60" s="521"/>
      <c r="Z60" s="523">
        <f>Z58+Z59</f>
        <v>4023.8432960040004</v>
      </c>
      <c r="AA60" s="524"/>
      <c r="AB60" s="525">
        <f t="shared" si="79"/>
        <v>-357.45103549999976</v>
      </c>
      <c r="AC60" s="526">
        <f t="shared" si="80"/>
        <v>-8.1585716104422237E-2</v>
      </c>
      <c r="AD60" s="507"/>
      <c r="AE60" s="521"/>
      <c r="AF60" s="521"/>
      <c r="AG60" s="523">
        <f>AG58+AG59</f>
        <v>4093.1830905040006</v>
      </c>
      <c r="AH60" s="524"/>
      <c r="AI60" s="525">
        <f t="shared" si="81"/>
        <v>69.339794500000153</v>
      </c>
      <c r="AJ60" s="526">
        <f t="shared" si="82"/>
        <v>1.7232230332841277E-2</v>
      </c>
      <c r="AK60" s="507"/>
      <c r="AL60" s="521"/>
      <c r="AM60" s="521"/>
      <c r="AN60" s="523">
        <f>AN58+AN59</f>
        <v>4156.617222504</v>
      </c>
      <c r="AO60" s="524"/>
      <c r="AP60" s="525">
        <f t="shared" si="83"/>
        <v>63.434131999999408</v>
      </c>
      <c r="AQ60" s="526">
        <f t="shared" si="84"/>
        <v>1.54975066097492E-2</v>
      </c>
      <c r="AR60" s="527"/>
      <c r="AS60" s="547"/>
      <c r="AT60" s="547"/>
      <c r="AU60" s="547"/>
      <c r="AV60" s="547"/>
      <c r="AW60" s="547"/>
      <c r="AX60" s="547"/>
    </row>
    <row r="61" spans="1:50" ht="12" customHeight="1">
      <c r="A61" s="546"/>
      <c r="B61" s="636" t="s">
        <v>304</v>
      </c>
      <c r="C61" s="616"/>
      <c r="D61" s="616"/>
      <c r="E61" s="509"/>
      <c r="F61" s="529"/>
      <c r="G61" s="524"/>
      <c r="H61" s="530">
        <f>F61*H58</f>
        <v>0</v>
      </c>
      <c r="I61" s="521"/>
      <c r="J61" s="521"/>
      <c r="K61" s="521"/>
      <c r="L61" s="531">
        <f>J61*L58</f>
        <v>0</v>
      </c>
      <c r="M61" s="524"/>
      <c r="N61" s="532">
        <f t="shared" si="75"/>
        <v>0</v>
      </c>
      <c r="O61" s="533" t="str">
        <f t="shared" si="76"/>
        <v/>
      </c>
      <c r="P61" s="507"/>
      <c r="Q61" s="521"/>
      <c r="R61" s="521"/>
      <c r="S61" s="531">
        <f>Q61*S58</f>
        <v>0</v>
      </c>
      <c r="T61" s="524"/>
      <c r="U61" s="532">
        <f t="shared" si="77"/>
        <v>0</v>
      </c>
      <c r="V61" s="533" t="str">
        <f t="shared" si="78"/>
        <v/>
      </c>
      <c r="W61" s="507"/>
      <c r="X61" s="521"/>
      <c r="Y61" s="521"/>
      <c r="Z61" s="531">
        <f>X61*Z58</f>
        <v>0</v>
      </c>
      <c r="AA61" s="524"/>
      <c r="AB61" s="532">
        <f t="shared" si="79"/>
        <v>0</v>
      </c>
      <c r="AC61" s="533" t="str">
        <f t="shared" si="80"/>
        <v/>
      </c>
      <c r="AD61" s="507"/>
      <c r="AE61" s="521"/>
      <c r="AF61" s="521"/>
      <c r="AG61" s="531">
        <f>AE61*AG58</f>
        <v>0</v>
      </c>
      <c r="AH61" s="524"/>
      <c r="AI61" s="532">
        <f t="shared" si="81"/>
        <v>0</v>
      </c>
      <c r="AJ61" s="533" t="str">
        <f t="shared" si="82"/>
        <v/>
      </c>
      <c r="AK61" s="507"/>
      <c r="AL61" s="521"/>
      <c r="AM61" s="521"/>
      <c r="AN61" s="531">
        <f>AL61*AN58</f>
        <v>0</v>
      </c>
      <c r="AO61" s="524"/>
      <c r="AP61" s="532">
        <f t="shared" si="83"/>
        <v>0</v>
      </c>
      <c r="AQ61" s="533" t="str">
        <f t="shared" si="84"/>
        <v/>
      </c>
      <c r="AR61" s="534"/>
      <c r="AS61" s="547"/>
      <c r="AT61" s="547"/>
      <c r="AU61" s="547"/>
      <c r="AV61" s="547"/>
      <c r="AW61" s="547"/>
      <c r="AX61" s="547"/>
    </row>
    <row r="62" spans="1:50" ht="12" customHeight="1">
      <c r="A62" s="546"/>
      <c r="B62" s="637" t="s">
        <v>350</v>
      </c>
      <c r="C62" s="608"/>
      <c r="D62" s="600"/>
      <c r="E62" s="535"/>
      <c r="F62" s="536"/>
      <c r="G62" s="537"/>
      <c r="H62" s="538">
        <f>H60-H61</f>
        <v>4052.3706242200001</v>
      </c>
      <c r="I62" s="539"/>
      <c r="J62" s="539"/>
      <c r="K62" s="539"/>
      <c r="L62" s="540">
        <f>L60-L61</f>
        <v>4215.9742015040001</v>
      </c>
      <c r="M62" s="541"/>
      <c r="N62" s="542">
        <f t="shared" si="75"/>
        <v>163.60357728400004</v>
      </c>
      <c r="O62" s="543">
        <f t="shared" si="76"/>
        <v>4.037231350611975E-2</v>
      </c>
      <c r="P62" s="507"/>
      <c r="Q62" s="539"/>
      <c r="R62" s="539"/>
      <c r="S62" s="540">
        <f>S60-S61</f>
        <v>4381.2943315040002</v>
      </c>
      <c r="T62" s="541"/>
      <c r="U62" s="542">
        <f t="shared" si="77"/>
        <v>165.32013000000006</v>
      </c>
      <c r="V62" s="543">
        <f t="shared" si="78"/>
        <v>3.9212794504535631E-2</v>
      </c>
      <c r="W62" s="507"/>
      <c r="X62" s="539"/>
      <c r="Y62" s="539"/>
      <c r="Z62" s="540">
        <f>Z60-Z61</f>
        <v>4023.8432960040004</v>
      </c>
      <c r="AA62" s="541"/>
      <c r="AB62" s="542">
        <f t="shared" si="79"/>
        <v>-357.45103549999976</v>
      </c>
      <c r="AC62" s="543">
        <f t="shared" si="80"/>
        <v>-8.1585716104422237E-2</v>
      </c>
      <c r="AD62" s="507"/>
      <c r="AE62" s="539"/>
      <c r="AF62" s="539"/>
      <c r="AG62" s="540">
        <f>AG60-AG61</f>
        <v>4093.1830905040006</v>
      </c>
      <c r="AH62" s="541"/>
      <c r="AI62" s="542">
        <f t="shared" si="81"/>
        <v>69.339794500000153</v>
      </c>
      <c r="AJ62" s="543">
        <f t="shared" si="82"/>
        <v>1.7232230332841277E-2</v>
      </c>
      <c r="AK62" s="507"/>
      <c r="AL62" s="539"/>
      <c r="AM62" s="539"/>
      <c r="AN62" s="540">
        <f>AN60-AN61</f>
        <v>4156.617222504</v>
      </c>
      <c r="AO62" s="541"/>
      <c r="AP62" s="542">
        <f t="shared" si="83"/>
        <v>63.434131999999408</v>
      </c>
      <c r="AQ62" s="543">
        <f t="shared" si="84"/>
        <v>1.54975066097492E-2</v>
      </c>
      <c r="AR62" s="544"/>
      <c r="AS62" s="547"/>
      <c r="AT62" s="547"/>
      <c r="AU62" s="547"/>
      <c r="AV62" s="547"/>
      <c r="AW62" s="547"/>
      <c r="AX62" s="547"/>
    </row>
    <row r="63" spans="1:50" ht="12" customHeight="1">
      <c r="A63" s="545"/>
      <c r="B63" s="428"/>
      <c r="C63" s="429"/>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c r="AS63" s="3"/>
      <c r="AT63" s="3"/>
      <c r="AU63" s="3"/>
      <c r="AV63" s="3"/>
      <c r="AW63" s="3"/>
      <c r="AX63" s="3"/>
    </row>
    <row r="64" spans="1:50" ht="12" customHeight="1">
      <c r="A64" s="545"/>
      <c r="B64" s="53"/>
      <c r="C64" s="53"/>
      <c r="D64" s="53"/>
      <c r="E64" s="53"/>
      <c r="F64" s="53"/>
      <c r="G64" s="53"/>
      <c r="H64" s="53">
        <v>17559.439999999999</v>
      </c>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3"/>
      <c r="AT64" s="3"/>
      <c r="AU64" s="3"/>
      <c r="AV64" s="3"/>
      <c r="AW64" s="3"/>
      <c r="AX64" s="3"/>
    </row>
    <row r="65" spans="1:50" ht="12" customHeight="1">
      <c r="A65" s="545"/>
      <c r="B65" s="314" t="s">
        <v>351</v>
      </c>
      <c r="C65" s="53"/>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c r="AS65" s="3"/>
      <c r="AT65" s="3"/>
      <c r="AU65" s="3"/>
      <c r="AV65" s="3"/>
      <c r="AW65" s="3"/>
      <c r="AX65" s="3"/>
    </row>
    <row r="66" spans="1:50"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3"/>
      <c r="AT66" s="3"/>
      <c r="AU66" s="3"/>
      <c r="AV66" s="3"/>
      <c r="AW66" s="3"/>
      <c r="AX66" s="3"/>
    </row>
    <row r="67" spans="1:50" ht="12" customHeight="1">
      <c r="A67" s="473" t="s">
        <v>412</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3"/>
      <c r="AT67" s="3"/>
      <c r="AU67" s="3"/>
      <c r="AV67" s="3"/>
      <c r="AW67" s="3"/>
      <c r="AX67" s="3"/>
    </row>
    <row r="68" spans="1:50"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3"/>
      <c r="AT68" s="3"/>
      <c r="AU68" s="3"/>
      <c r="AV68" s="3"/>
      <c r="AW68" s="3"/>
      <c r="AX68" s="3"/>
    </row>
    <row r="69" spans="1:50" ht="12"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3"/>
      <c r="AT69" s="3"/>
      <c r="AU69" s="3"/>
      <c r="AV69" s="3"/>
      <c r="AW69" s="3"/>
      <c r="AX69" s="3"/>
    </row>
    <row r="70" spans="1:50" ht="12"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3"/>
      <c r="AT70" s="3"/>
      <c r="AU70" s="3"/>
      <c r="AV70" s="3"/>
      <c r="AW70" s="3"/>
      <c r="AX70" s="3"/>
    </row>
    <row r="71" spans="1:50"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3"/>
      <c r="AT71" s="3"/>
      <c r="AU71" s="3"/>
      <c r="AV71" s="3"/>
      <c r="AW71" s="3"/>
      <c r="AX71" s="3"/>
    </row>
    <row r="72" spans="1:50" ht="12"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3"/>
      <c r="AT72" s="3"/>
      <c r="AU72" s="3"/>
      <c r="AV72" s="3"/>
      <c r="AW72" s="3"/>
      <c r="AX72" s="3"/>
    </row>
    <row r="73" spans="1:50" ht="12"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3"/>
      <c r="AT73" s="3"/>
      <c r="AU73" s="3"/>
      <c r="AV73" s="3"/>
      <c r="AW73" s="3"/>
      <c r="AX73" s="3"/>
    </row>
    <row r="74" spans="1:50"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3"/>
      <c r="AT74" s="3"/>
      <c r="AU74" s="3"/>
      <c r="AV74" s="3"/>
      <c r="AW74" s="3"/>
      <c r="AX74" s="3"/>
    </row>
    <row r="75" spans="1:50" ht="12"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3"/>
      <c r="AT75" s="3"/>
      <c r="AU75" s="3"/>
      <c r="AV75" s="3"/>
      <c r="AW75" s="3"/>
      <c r="AX75" s="3"/>
    </row>
    <row r="76" spans="1:50" ht="12"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3"/>
      <c r="AT76" s="3"/>
      <c r="AU76" s="3"/>
      <c r="AV76" s="3"/>
      <c r="AW76" s="3"/>
      <c r="AX76" s="3"/>
    </row>
    <row r="77" spans="1:50" ht="12"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3"/>
      <c r="AT77" s="3"/>
      <c r="AU77" s="3"/>
      <c r="AV77" s="3"/>
      <c r="AW77" s="3"/>
      <c r="AX77" s="3"/>
    </row>
    <row r="78" spans="1:50" ht="12"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3"/>
      <c r="AT78" s="3"/>
      <c r="AU78" s="3"/>
      <c r="AV78" s="3"/>
      <c r="AW78" s="3"/>
      <c r="AX78" s="3"/>
    </row>
    <row r="79" spans="1:50" ht="12"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3"/>
      <c r="AT79" s="3"/>
      <c r="AU79" s="3"/>
      <c r="AV79" s="3"/>
      <c r="AW79" s="3"/>
      <c r="AX79" s="3"/>
    </row>
    <row r="80" spans="1:50"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3"/>
      <c r="AT80" s="3"/>
      <c r="AU80" s="3"/>
      <c r="AV80" s="3"/>
      <c r="AW80" s="3"/>
      <c r="AX80" s="3"/>
    </row>
    <row r="81" spans="1:50" ht="12" customHeight="1">
      <c r="A81" s="474"/>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3"/>
      <c r="AT81" s="3"/>
      <c r="AU81" s="3"/>
      <c r="AV81" s="3"/>
      <c r="AW81" s="3"/>
      <c r="AX81" s="3"/>
    </row>
    <row r="82" spans="1:50"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3"/>
      <c r="AT82" s="3"/>
      <c r="AU82" s="3"/>
      <c r="AV82" s="3"/>
      <c r="AW82" s="3"/>
      <c r="AX82" s="3"/>
    </row>
    <row r="83" spans="1:50"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3"/>
      <c r="AT83" s="3"/>
      <c r="AU83" s="3"/>
      <c r="AV83" s="3"/>
      <c r="AW83" s="3"/>
      <c r="AX83" s="3"/>
    </row>
    <row r="84" spans="1:50"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3"/>
      <c r="AT84" s="3"/>
      <c r="AU84" s="3"/>
      <c r="AV84" s="3"/>
      <c r="AW84" s="3"/>
      <c r="AX84" s="3"/>
    </row>
    <row r="85" spans="1:50"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3"/>
      <c r="AT85" s="3"/>
      <c r="AU85" s="3"/>
      <c r="AV85" s="3"/>
      <c r="AW85" s="3"/>
      <c r="AX85" s="3"/>
    </row>
    <row r="86" spans="1:50"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3"/>
      <c r="AT86" s="3"/>
      <c r="AU86" s="3"/>
      <c r="AV86" s="3"/>
      <c r="AW86" s="3"/>
      <c r="AX86" s="3"/>
    </row>
    <row r="87" spans="1:50"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3"/>
      <c r="AT87" s="3"/>
      <c r="AU87" s="3"/>
      <c r="AV87" s="3"/>
      <c r="AW87" s="3"/>
      <c r="AX87" s="3"/>
    </row>
    <row r="88" spans="1:50"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3"/>
      <c r="AT88" s="3"/>
      <c r="AU88" s="3"/>
      <c r="AV88" s="3"/>
      <c r="AW88" s="3"/>
      <c r="AX88" s="3"/>
    </row>
    <row r="89" spans="1:50"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3"/>
      <c r="AT89" s="3"/>
      <c r="AU89" s="3"/>
      <c r="AV89" s="3"/>
      <c r="AW89" s="3"/>
      <c r="AX89" s="3"/>
    </row>
    <row r="90" spans="1:50"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3"/>
      <c r="AT90" s="3"/>
      <c r="AU90" s="3"/>
      <c r="AV90" s="3"/>
      <c r="AW90" s="3"/>
      <c r="AX90" s="3"/>
    </row>
    <row r="91" spans="1:50"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3"/>
      <c r="AT91" s="3"/>
      <c r="AU91" s="3"/>
      <c r="AV91" s="3"/>
      <c r="AW91" s="3"/>
      <c r="AX91" s="3"/>
    </row>
    <row r="92" spans="1:50"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3"/>
      <c r="AT92" s="3"/>
      <c r="AU92" s="3"/>
      <c r="AV92" s="3"/>
      <c r="AW92" s="3"/>
      <c r="AX92" s="3"/>
    </row>
    <row r="93" spans="1:50"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3"/>
      <c r="AT93" s="3"/>
      <c r="AU93" s="3"/>
      <c r="AV93" s="3"/>
      <c r="AW93" s="3"/>
      <c r="AX93" s="3"/>
    </row>
    <row r="94" spans="1:50"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3"/>
      <c r="AT94" s="3"/>
      <c r="AU94" s="3"/>
      <c r="AV94" s="3"/>
      <c r="AW94" s="3"/>
      <c r="AX94" s="3"/>
    </row>
    <row r="95" spans="1:50"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3"/>
      <c r="AT95" s="3"/>
      <c r="AU95" s="3"/>
      <c r="AV95" s="3"/>
      <c r="AW95" s="3"/>
      <c r="AX95" s="3"/>
    </row>
    <row r="96" spans="1:50"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3"/>
      <c r="AT96" s="3"/>
      <c r="AU96" s="3"/>
      <c r="AV96" s="3"/>
      <c r="AW96" s="3"/>
      <c r="AX96" s="3"/>
    </row>
    <row r="97" spans="1:50"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3"/>
      <c r="AT97" s="3"/>
      <c r="AU97" s="3"/>
      <c r="AV97" s="3"/>
      <c r="AW97" s="3"/>
      <c r="AX97" s="3"/>
    </row>
    <row r="98" spans="1:50"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3"/>
      <c r="AT98" s="3"/>
      <c r="AU98" s="3"/>
      <c r="AV98" s="3"/>
      <c r="AW98" s="3"/>
      <c r="AX98" s="3"/>
    </row>
    <row r="99" spans="1:50"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3"/>
      <c r="AT99" s="3"/>
      <c r="AU99" s="3"/>
      <c r="AV99" s="3"/>
      <c r="AW99" s="3"/>
      <c r="AX99" s="3"/>
    </row>
    <row r="100" spans="1:50"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3"/>
      <c r="AT100" s="3"/>
      <c r="AU100" s="3"/>
      <c r="AV100" s="3"/>
      <c r="AW100" s="3"/>
      <c r="AX100" s="3"/>
    </row>
    <row r="101" spans="1:50"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3"/>
      <c r="AT101" s="3"/>
      <c r="AU101" s="3"/>
      <c r="AV101" s="3"/>
      <c r="AW101" s="3"/>
      <c r="AX101" s="3"/>
    </row>
    <row r="102" spans="1:50"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3"/>
      <c r="AT102" s="3"/>
      <c r="AU102" s="3"/>
      <c r="AV102" s="3"/>
      <c r="AW102" s="3"/>
      <c r="AX102" s="3"/>
    </row>
    <row r="103" spans="1:50"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3"/>
      <c r="AT103" s="3"/>
      <c r="AU103" s="3"/>
      <c r="AV103" s="3"/>
      <c r="AW103" s="3"/>
      <c r="AX103" s="3"/>
    </row>
    <row r="104" spans="1:50"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3"/>
      <c r="AT104" s="3"/>
      <c r="AU104" s="3"/>
      <c r="AV104" s="3"/>
      <c r="AW104" s="3"/>
      <c r="AX104" s="3"/>
    </row>
    <row r="105" spans="1:50"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3"/>
      <c r="AT105" s="3"/>
      <c r="AU105" s="3"/>
      <c r="AV105" s="3"/>
      <c r="AW105" s="3"/>
      <c r="AX105" s="3"/>
    </row>
    <row r="106" spans="1:50"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3"/>
      <c r="AT106" s="3"/>
      <c r="AU106" s="3"/>
      <c r="AV106" s="3"/>
      <c r="AW106" s="3"/>
      <c r="AX106" s="3"/>
    </row>
    <row r="107" spans="1:50"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3"/>
      <c r="AT107" s="3"/>
      <c r="AU107" s="3"/>
      <c r="AV107" s="3"/>
      <c r="AW107" s="3"/>
      <c r="AX107" s="3"/>
    </row>
    <row r="108" spans="1:50"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3"/>
      <c r="AT108" s="3"/>
      <c r="AU108" s="3"/>
      <c r="AV108" s="3"/>
      <c r="AW108" s="3"/>
      <c r="AX108" s="3"/>
    </row>
    <row r="109" spans="1:50"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3"/>
      <c r="AT109" s="3"/>
      <c r="AU109" s="3"/>
      <c r="AV109" s="3"/>
      <c r="AW109" s="3"/>
      <c r="AX109" s="3"/>
    </row>
    <row r="110" spans="1:50"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3"/>
      <c r="AT110" s="3"/>
      <c r="AU110" s="3"/>
      <c r="AV110" s="3"/>
      <c r="AW110" s="3"/>
      <c r="AX110" s="3"/>
    </row>
    <row r="111" spans="1:50"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3"/>
      <c r="AT111" s="3"/>
      <c r="AU111" s="3"/>
      <c r="AV111" s="3"/>
      <c r="AW111" s="3"/>
      <c r="AX111" s="3"/>
    </row>
    <row r="112" spans="1:50"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3"/>
      <c r="AT112" s="3"/>
      <c r="AU112" s="3"/>
      <c r="AV112" s="3"/>
      <c r="AW112" s="3"/>
      <c r="AX112" s="3"/>
    </row>
    <row r="113" spans="1:50"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3"/>
      <c r="AT113" s="3"/>
      <c r="AU113" s="3"/>
      <c r="AV113" s="3"/>
      <c r="AW113" s="3"/>
      <c r="AX113" s="3"/>
    </row>
    <row r="114" spans="1:50"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3"/>
      <c r="AT114" s="3"/>
      <c r="AU114" s="3"/>
      <c r="AV114" s="3"/>
      <c r="AW114" s="3"/>
      <c r="AX114" s="3"/>
    </row>
    <row r="115" spans="1:50"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3"/>
      <c r="AT115" s="3"/>
      <c r="AU115" s="3"/>
      <c r="AV115" s="3"/>
      <c r="AW115" s="3"/>
      <c r="AX115" s="3"/>
    </row>
    <row r="116" spans="1:50"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3"/>
      <c r="AT116" s="3"/>
      <c r="AU116" s="3"/>
      <c r="AV116" s="3"/>
      <c r="AW116" s="3"/>
      <c r="AX116" s="3"/>
    </row>
    <row r="117" spans="1:50"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3"/>
      <c r="AT117" s="3"/>
      <c r="AU117" s="3"/>
      <c r="AV117" s="3"/>
      <c r="AW117" s="3"/>
      <c r="AX117" s="3"/>
    </row>
    <row r="118" spans="1:50"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3"/>
      <c r="AT118" s="3"/>
      <c r="AU118" s="3"/>
      <c r="AV118" s="3"/>
      <c r="AW118" s="3"/>
      <c r="AX118" s="3"/>
    </row>
    <row r="119" spans="1:50"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3"/>
      <c r="AT119" s="3"/>
      <c r="AU119" s="3"/>
      <c r="AV119" s="3"/>
      <c r="AW119" s="3"/>
      <c r="AX119" s="3"/>
    </row>
    <row r="120" spans="1:50"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3"/>
      <c r="AT120" s="3"/>
      <c r="AU120" s="3"/>
      <c r="AV120" s="3"/>
      <c r="AW120" s="3"/>
      <c r="AX120" s="3"/>
    </row>
    <row r="121" spans="1:50"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3"/>
      <c r="AT121" s="3"/>
      <c r="AU121" s="3"/>
      <c r="AV121" s="3"/>
      <c r="AW121" s="3"/>
      <c r="AX121" s="3"/>
    </row>
    <row r="122" spans="1:50"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3"/>
      <c r="AT122" s="3"/>
      <c r="AU122" s="3"/>
      <c r="AV122" s="3"/>
      <c r="AW122" s="3"/>
      <c r="AX122" s="3"/>
    </row>
    <row r="123" spans="1:50"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3"/>
      <c r="AT123" s="3"/>
      <c r="AU123" s="3"/>
      <c r="AV123" s="3"/>
      <c r="AW123" s="3"/>
      <c r="AX123" s="3"/>
    </row>
    <row r="124" spans="1:50"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3"/>
      <c r="AT124" s="3"/>
      <c r="AU124" s="3"/>
      <c r="AV124" s="3"/>
      <c r="AW124" s="3"/>
      <c r="AX124" s="3"/>
    </row>
    <row r="125" spans="1:50"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3"/>
      <c r="AT125" s="3"/>
      <c r="AU125" s="3"/>
      <c r="AV125" s="3"/>
      <c r="AW125" s="3"/>
      <c r="AX125" s="3"/>
    </row>
    <row r="126" spans="1:50"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3"/>
      <c r="AT126" s="3"/>
      <c r="AU126" s="3"/>
      <c r="AV126" s="3"/>
      <c r="AW126" s="3"/>
      <c r="AX126" s="3"/>
    </row>
    <row r="127" spans="1:50"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3"/>
      <c r="AT127" s="3"/>
      <c r="AU127" s="3"/>
      <c r="AV127" s="3"/>
      <c r="AW127" s="3"/>
      <c r="AX127" s="3"/>
    </row>
    <row r="128" spans="1:50"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3"/>
      <c r="AT128" s="3"/>
      <c r="AU128" s="3"/>
      <c r="AV128" s="3"/>
      <c r="AW128" s="3"/>
      <c r="AX128" s="3"/>
    </row>
    <row r="129" spans="1:50"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3"/>
      <c r="AT129" s="3"/>
      <c r="AU129" s="3"/>
      <c r="AV129" s="3"/>
      <c r="AW129" s="3"/>
      <c r="AX129" s="3"/>
    </row>
    <row r="130" spans="1:50"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3"/>
      <c r="AT130" s="3"/>
      <c r="AU130" s="3"/>
      <c r="AV130" s="3"/>
      <c r="AW130" s="3"/>
      <c r="AX130" s="3"/>
    </row>
    <row r="131" spans="1:50"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3"/>
      <c r="AT131" s="3"/>
      <c r="AU131" s="3"/>
      <c r="AV131" s="3"/>
      <c r="AW131" s="3"/>
      <c r="AX131" s="3"/>
    </row>
    <row r="132" spans="1:50"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3"/>
      <c r="AT132" s="3"/>
      <c r="AU132" s="3"/>
      <c r="AV132" s="3"/>
      <c r="AW132" s="3"/>
      <c r="AX132" s="3"/>
    </row>
    <row r="133" spans="1:50"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3"/>
      <c r="AT133" s="3"/>
      <c r="AU133" s="3"/>
      <c r="AV133" s="3"/>
      <c r="AW133" s="3"/>
      <c r="AX133" s="3"/>
    </row>
    <row r="134" spans="1:50"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3"/>
      <c r="AT134" s="3"/>
      <c r="AU134" s="3"/>
      <c r="AV134" s="3"/>
      <c r="AW134" s="3"/>
      <c r="AX134" s="3"/>
    </row>
    <row r="135" spans="1:50"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3"/>
      <c r="AT135" s="3"/>
      <c r="AU135" s="3"/>
      <c r="AV135" s="3"/>
      <c r="AW135" s="3"/>
      <c r="AX135" s="3"/>
    </row>
    <row r="136" spans="1:50"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3"/>
      <c r="AT136" s="3"/>
      <c r="AU136" s="3"/>
      <c r="AV136" s="3"/>
      <c r="AW136" s="3"/>
      <c r="AX136" s="3"/>
    </row>
    <row r="137" spans="1:50"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3"/>
      <c r="AT137" s="3"/>
      <c r="AU137" s="3"/>
      <c r="AV137" s="3"/>
      <c r="AW137" s="3"/>
      <c r="AX137" s="3"/>
    </row>
    <row r="138" spans="1:50"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3"/>
      <c r="AT138" s="3"/>
      <c r="AU138" s="3"/>
      <c r="AV138" s="3"/>
      <c r="AW138" s="3"/>
      <c r="AX138" s="3"/>
    </row>
    <row r="139" spans="1:50"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3"/>
      <c r="AT139" s="3"/>
      <c r="AU139" s="3"/>
      <c r="AV139" s="3"/>
      <c r="AW139" s="3"/>
      <c r="AX139" s="3"/>
    </row>
    <row r="140" spans="1:50"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3"/>
      <c r="AT140" s="3"/>
      <c r="AU140" s="3"/>
      <c r="AV140" s="3"/>
      <c r="AW140" s="3"/>
      <c r="AX140" s="3"/>
    </row>
    <row r="141" spans="1:50"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3"/>
      <c r="AT141" s="3"/>
      <c r="AU141" s="3"/>
      <c r="AV141" s="3"/>
      <c r="AW141" s="3"/>
      <c r="AX141" s="3"/>
    </row>
    <row r="142" spans="1:50"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3"/>
      <c r="AT142" s="3"/>
      <c r="AU142" s="3"/>
      <c r="AV142" s="3"/>
      <c r="AW142" s="3"/>
      <c r="AX142" s="3"/>
    </row>
    <row r="143" spans="1:50"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3"/>
      <c r="AT143" s="3"/>
      <c r="AU143" s="3"/>
      <c r="AV143" s="3"/>
      <c r="AW143" s="3"/>
      <c r="AX143" s="3"/>
    </row>
    <row r="144" spans="1:50"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3"/>
      <c r="AT144" s="3"/>
      <c r="AU144" s="3"/>
      <c r="AV144" s="3"/>
      <c r="AW144" s="3"/>
      <c r="AX144" s="3"/>
    </row>
    <row r="145" spans="1:50"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3"/>
      <c r="AT145" s="3"/>
      <c r="AU145" s="3"/>
      <c r="AV145" s="3"/>
      <c r="AW145" s="3"/>
      <c r="AX145" s="3"/>
    </row>
    <row r="146" spans="1:50"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3"/>
      <c r="AT146" s="3"/>
      <c r="AU146" s="3"/>
      <c r="AV146" s="3"/>
      <c r="AW146" s="3"/>
      <c r="AX146" s="3"/>
    </row>
    <row r="147" spans="1:50"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3"/>
      <c r="AT147" s="3"/>
      <c r="AU147" s="3"/>
      <c r="AV147" s="3"/>
      <c r="AW147" s="3"/>
      <c r="AX147" s="3"/>
    </row>
    <row r="148" spans="1:50"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3"/>
      <c r="AT148" s="3"/>
      <c r="AU148" s="3"/>
      <c r="AV148" s="3"/>
      <c r="AW148" s="3"/>
      <c r="AX148" s="3"/>
    </row>
    <row r="149" spans="1:50"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3"/>
      <c r="AT149" s="3"/>
      <c r="AU149" s="3"/>
      <c r="AV149" s="3"/>
      <c r="AW149" s="3"/>
      <c r="AX149" s="3"/>
    </row>
    <row r="150" spans="1:50"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3"/>
      <c r="AT150" s="3"/>
      <c r="AU150" s="3"/>
      <c r="AV150" s="3"/>
      <c r="AW150" s="3"/>
      <c r="AX150" s="3"/>
    </row>
    <row r="151" spans="1:50"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3"/>
      <c r="AT151" s="3"/>
      <c r="AU151" s="3"/>
      <c r="AV151" s="3"/>
      <c r="AW151" s="3"/>
      <c r="AX151" s="3"/>
    </row>
    <row r="152" spans="1:50"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3"/>
      <c r="AT152" s="3"/>
      <c r="AU152" s="3"/>
      <c r="AV152" s="3"/>
      <c r="AW152" s="3"/>
      <c r="AX152" s="3"/>
    </row>
    <row r="153" spans="1:50"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3"/>
      <c r="AT153" s="3"/>
      <c r="AU153" s="3"/>
      <c r="AV153" s="3"/>
      <c r="AW153" s="3"/>
      <c r="AX153" s="3"/>
    </row>
    <row r="154" spans="1:50"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3"/>
      <c r="AT154" s="3"/>
      <c r="AU154" s="3"/>
      <c r="AV154" s="3"/>
      <c r="AW154" s="3"/>
      <c r="AX154" s="3"/>
    </row>
    <row r="155" spans="1:50"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3"/>
      <c r="AT155" s="3"/>
      <c r="AU155" s="3"/>
      <c r="AV155" s="3"/>
      <c r="AW155" s="3"/>
      <c r="AX155" s="3"/>
    </row>
    <row r="156" spans="1:50"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3"/>
      <c r="AT156" s="3"/>
      <c r="AU156" s="3"/>
      <c r="AV156" s="3"/>
      <c r="AW156" s="3"/>
      <c r="AX156" s="3"/>
    </row>
    <row r="157" spans="1:50"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3"/>
      <c r="AT157" s="3"/>
      <c r="AU157" s="3"/>
      <c r="AV157" s="3"/>
      <c r="AW157" s="3"/>
      <c r="AX157" s="3"/>
    </row>
    <row r="158" spans="1:50"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3"/>
      <c r="AT158" s="3"/>
      <c r="AU158" s="3"/>
      <c r="AV158" s="3"/>
      <c r="AW158" s="3"/>
      <c r="AX158" s="3"/>
    </row>
    <row r="159" spans="1:50"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3"/>
      <c r="AT159" s="3"/>
      <c r="AU159" s="3"/>
      <c r="AV159" s="3"/>
      <c r="AW159" s="3"/>
      <c r="AX159" s="3"/>
    </row>
    <row r="160" spans="1:50"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3"/>
      <c r="AT160" s="3"/>
      <c r="AU160" s="3"/>
      <c r="AV160" s="3"/>
      <c r="AW160" s="3"/>
      <c r="AX160" s="3"/>
    </row>
    <row r="161" spans="1:50"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
      <c r="AT161" s="3"/>
      <c r="AU161" s="3"/>
      <c r="AV161" s="3"/>
      <c r="AW161" s="3"/>
      <c r="AX161" s="3"/>
    </row>
    <row r="162" spans="1:50"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3"/>
      <c r="AT162" s="3"/>
      <c r="AU162" s="3"/>
      <c r="AV162" s="3"/>
      <c r="AW162" s="3"/>
      <c r="AX162" s="3"/>
    </row>
    <row r="163" spans="1:50"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3"/>
      <c r="AT163" s="3"/>
      <c r="AU163" s="3"/>
      <c r="AV163" s="3"/>
      <c r="AW163" s="3"/>
      <c r="AX163" s="3"/>
    </row>
    <row r="164" spans="1:50"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3"/>
      <c r="AT164" s="3"/>
      <c r="AU164" s="3"/>
      <c r="AV164" s="3"/>
      <c r="AW164" s="3"/>
      <c r="AX164" s="3"/>
    </row>
    <row r="165" spans="1:50"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3"/>
      <c r="AT165" s="3"/>
      <c r="AU165" s="3"/>
      <c r="AV165" s="3"/>
      <c r="AW165" s="3"/>
      <c r="AX165" s="3"/>
    </row>
    <row r="166" spans="1:50"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3"/>
      <c r="AT166" s="3"/>
      <c r="AU166" s="3"/>
      <c r="AV166" s="3"/>
      <c r="AW166" s="3"/>
      <c r="AX166" s="3"/>
    </row>
    <row r="167" spans="1:50"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3"/>
      <c r="AT167" s="3"/>
      <c r="AU167" s="3"/>
      <c r="AV167" s="3"/>
      <c r="AW167" s="3"/>
      <c r="AX167" s="3"/>
    </row>
    <row r="168" spans="1:50"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3"/>
      <c r="AT168" s="3"/>
      <c r="AU168" s="3"/>
      <c r="AV168" s="3"/>
      <c r="AW168" s="3"/>
      <c r="AX168" s="3"/>
    </row>
    <row r="169" spans="1:50"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3"/>
      <c r="AT169" s="3"/>
      <c r="AU169" s="3"/>
      <c r="AV169" s="3"/>
      <c r="AW169" s="3"/>
      <c r="AX169" s="3"/>
    </row>
    <row r="170" spans="1:50"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3"/>
      <c r="AT170" s="3"/>
      <c r="AU170" s="3"/>
      <c r="AV170" s="3"/>
      <c r="AW170" s="3"/>
      <c r="AX170" s="3"/>
    </row>
    <row r="171" spans="1:50"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3"/>
      <c r="AT171" s="3"/>
      <c r="AU171" s="3"/>
      <c r="AV171" s="3"/>
      <c r="AW171" s="3"/>
      <c r="AX171" s="3"/>
    </row>
    <row r="172" spans="1:50"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3"/>
      <c r="AT172" s="3"/>
      <c r="AU172" s="3"/>
      <c r="AV172" s="3"/>
      <c r="AW172" s="3"/>
      <c r="AX172" s="3"/>
    </row>
    <row r="173" spans="1:50"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3"/>
      <c r="AT173" s="3"/>
      <c r="AU173" s="3"/>
      <c r="AV173" s="3"/>
      <c r="AW173" s="3"/>
      <c r="AX173" s="3"/>
    </row>
    <row r="174" spans="1:50"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3"/>
      <c r="AT174" s="3"/>
      <c r="AU174" s="3"/>
      <c r="AV174" s="3"/>
      <c r="AW174" s="3"/>
      <c r="AX174" s="3"/>
    </row>
    <row r="175" spans="1:50"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3"/>
      <c r="AT175" s="3"/>
      <c r="AU175" s="3"/>
      <c r="AV175" s="3"/>
      <c r="AW175" s="3"/>
      <c r="AX175" s="3"/>
    </row>
    <row r="176" spans="1:50"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3"/>
      <c r="AT176" s="3"/>
      <c r="AU176" s="3"/>
      <c r="AV176" s="3"/>
      <c r="AW176" s="3"/>
      <c r="AX176" s="3"/>
    </row>
    <row r="177" spans="1:50"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3"/>
      <c r="AT177" s="3"/>
      <c r="AU177" s="3"/>
      <c r="AV177" s="3"/>
      <c r="AW177" s="3"/>
      <c r="AX177" s="3"/>
    </row>
    <row r="178" spans="1:50"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3"/>
      <c r="AT178" s="3"/>
      <c r="AU178" s="3"/>
      <c r="AV178" s="3"/>
      <c r="AW178" s="3"/>
      <c r="AX178" s="3"/>
    </row>
    <row r="179" spans="1:50"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3"/>
      <c r="AT179" s="3"/>
      <c r="AU179" s="3"/>
      <c r="AV179" s="3"/>
      <c r="AW179" s="3"/>
      <c r="AX179" s="3"/>
    </row>
    <row r="180" spans="1:50"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3"/>
      <c r="AT180" s="3"/>
      <c r="AU180" s="3"/>
      <c r="AV180" s="3"/>
      <c r="AW180" s="3"/>
      <c r="AX180" s="3"/>
    </row>
    <row r="181" spans="1:50"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3"/>
      <c r="AT181" s="3"/>
      <c r="AU181" s="3"/>
      <c r="AV181" s="3"/>
      <c r="AW181" s="3"/>
      <c r="AX181" s="3"/>
    </row>
    <row r="182" spans="1:50"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3"/>
      <c r="AT182" s="3"/>
      <c r="AU182" s="3"/>
      <c r="AV182" s="3"/>
      <c r="AW182" s="3"/>
      <c r="AX182" s="3"/>
    </row>
    <row r="183" spans="1:50"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3"/>
      <c r="AT183" s="3"/>
      <c r="AU183" s="3"/>
      <c r="AV183" s="3"/>
      <c r="AW183" s="3"/>
      <c r="AX183" s="3"/>
    </row>
    <row r="184" spans="1:50"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3"/>
      <c r="AT184" s="3"/>
      <c r="AU184" s="3"/>
      <c r="AV184" s="3"/>
      <c r="AW184" s="3"/>
      <c r="AX184" s="3"/>
    </row>
    <row r="185" spans="1:50"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3"/>
      <c r="AT185" s="3"/>
      <c r="AU185" s="3"/>
      <c r="AV185" s="3"/>
      <c r="AW185" s="3"/>
      <c r="AX185" s="3"/>
    </row>
    <row r="186" spans="1:50"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3"/>
      <c r="AT186" s="3"/>
      <c r="AU186" s="3"/>
      <c r="AV186" s="3"/>
      <c r="AW186" s="3"/>
      <c r="AX186" s="3"/>
    </row>
    <row r="187" spans="1:50"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3"/>
      <c r="AT187" s="3"/>
      <c r="AU187" s="3"/>
      <c r="AV187" s="3"/>
      <c r="AW187" s="3"/>
      <c r="AX187" s="3"/>
    </row>
    <row r="188" spans="1:50"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3"/>
      <c r="AT188" s="3"/>
      <c r="AU188" s="3"/>
      <c r="AV188" s="3"/>
      <c r="AW188" s="3"/>
      <c r="AX188" s="3"/>
    </row>
    <row r="189" spans="1:50"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3"/>
      <c r="AT189" s="3"/>
      <c r="AU189" s="3"/>
      <c r="AV189" s="3"/>
      <c r="AW189" s="3"/>
      <c r="AX189" s="3"/>
    </row>
    <row r="190" spans="1:50"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3"/>
      <c r="AT190" s="3"/>
      <c r="AU190" s="3"/>
      <c r="AV190" s="3"/>
      <c r="AW190" s="3"/>
      <c r="AX190" s="3"/>
    </row>
    <row r="191" spans="1:50"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3"/>
      <c r="AT191" s="3"/>
      <c r="AU191" s="3"/>
      <c r="AV191" s="3"/>
      <c r="AW191" s="3"/>
      <c r="AX191" s="3"/>
    </row>
    <row r="192" spans="1:50"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c r="AS192" s="3"/>
      <c r="AT192" s="3"/>
      <c r="AU192" s="3"/>
      <c r="AV192" s="3"/>
      <c r="AW192" s="3"/>
      <c r="AX192" s="3"/>
    </row>
    <row r="193" spans="1:50"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c r="AS193" s="3"/>
      <c r="AT193" s="3"/>
      <c r="AU193" s="3"/>
      <c r="AV193" s="3"/>
      <c r="AW193" s="3"/>
      <c r="AX193" s="3"/>
    </row>
    <row r="194" spans="1:50"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c r="AS194" s="3"/>
      <c r="AT194" s="3"/>
      <c r="AU194" s="3"/>
      <c r="AV194" s="3"/>
      <c r="AW194" s="3"/>
      <c r="AX194" s="3"/>
    </row>
    <row r="195" spans="1:50"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c r="AS195" s="3"/>
      <c r="AT195" s="3"/>
      <c r="AU195" s="3"/>
      <c r="AV195" s="3"/>
      <c r="AW195" s="3"/>
      <c r="AX195" s="3"/>
    </row>
    <row r="196" spans="1:50"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c r="AS196" s="3"/>
      <c r="AT196" s="3"/>
      <c r="AU196" s="3"/>
      <c r="AV196" s="3"/>
      <c r="AW196" s="3"/>
      <c r="AX196" s="3"/>
    </row>
    <row r="197" spans="1:50"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c r="AS197" s="3"/>
      <c r="AT197" s="3"/>
      <c r="AU197" s="3"/>
      <c r="AV197" s="3"/>
      <c r="AW197" s="3"/>
      <c r="AX197" s="3"/>
    </row>
    <row r="198" spans="1:50"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c r="AS198" s="3"/>
      <c r="AT198" s="3"/>
      <c r="AU198" s="3"/>
      <c r="AV198" s="3"/>
      <c r="AW198" s="3"/>
      <c r="AX198" s="3"/>
    </row>
    <row r="199" spans="1:50"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c r="AS199" s="3"/>
      <c r="AT199" s="3"/>
      <c r="AU199" s="3"/>
      <c r="AV199" s="3"/>
      <c r="AW199" s="3"/>
      <c r="AX199" s="3"/>
    </row>
    <row r="200" spans="1:50"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c r="AS200" s="3"/>
      <c r="AT200" s="3"/>
      <c r="AU200" s="3"/>
      <c r="AV200" s="3"/>
      <c r="AW200" s="3"/>
      <c r="AX200" s="3"/>
    </row>
    <row r="201" spans="1:50"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c r="AS201" s="3"/>
      <c r="AT201" s="3"/>
      <c r="AU201" s="3"/>
      <c r="AV201" s="3"/>
      <c r="AW201" s="3"/>
      <c r="AX201" s="3"/>
    </row>
    <row r="202" spans="1:50"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c r="AS202" s="3"/>
      <c r="AT202" s="3"/>
      <c r="AU202" s="3"/>
      <c r="AV202" s="3"/>
      <c r="AW202" s="3"/>
      <c r="AX202" s="3"/>
    </row>
    <row r="203" spans="1:50"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c r="AS203" s="3"/>
      <c r="AT203" s="3"/>
      <c r="AU203" s="3"/>
      <c r="AV203" s="3"/>
      <c r="AW203" s="3"/>
      <c r="AX203" s="3"/>
    </row>
    <row r="204" spans="1:50"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c r="AS204" s="3"/>
      <c r="AT204" s="3"/>
      <c r="AU204" s="3"/>
      <c r="AV204" s="3"/>
      <c r="AW204" s="3"/>
      <c r="AX204" s="3"/>
    </row>
    <row r="205" spans="1:50"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c r="AS205" s="3"/>
      <c r="AT205" s="3"/>
      <c r="AU205" s="3"/>
      <c r="AV205" s="3"/>
      <c r="AW205" s="3"/>
      <c r="AX205" s="3"/>
    </row>
    <row r="206" spans="1:50"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c r="AS206" s="3"/>
      <c r="AT206" s="3"/>
      <c r="AU206" s="3"/>
      <c r="AV206" s="3"/>
      <c r="AW206" s="3"/>
      <c r="AX206" s="3"/>
    </row>
    <row r="207" spans="1:50"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c r="AS207" s="3"/>
      <c r="AT207" s="3"/>
      <c r="AU207" s="3"/>
      <c r="AV207" s="3"/>
      <c r="AW207" s="3"/>
      <c r="AX207" s="3"/>
    </row>
    <row r="208" spans="1:50"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c r="AS208" s="3"/>
      <c r="AT208" s="3"/>
      <c r="AU208" s="3"/>
      <c r="AV208" s="3"/>
      <c r="AW208" s="3"/>
      <c r="AX208" s="3"/>
    </row>
    <row r="209" spans="1:50"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c r="AS209" s="3"/>
      <c r="AT209" s="3"/>
      <c r="AU209" s="3"/>
      <c r="AV209" s="3"/>
      <c r="AW209" s="3"/>
      <c r="AX209" s="3"/>
    </row>
    <row r="210" spans="1:50"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c r="AS210" s="3"/>
      <c r="AT210" s="3"/>
      <c r="AU210" s="3"/>
      <c r="AV210" s="3"/>
      <c r="AW210" s="3"/>
      <c r="AX210" s="3"/>
    </row>
    <row r="211" spans="1:50"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c r="AS211" s="3"/>
      <c r="AT211" s="3"/>
      <c r="AU211" s="3"/>
      <c r="AV211" s="3"/>
      <c r="AW211" s="3"/>
      <c r="AX211" s="3"/>
    </row>
    <row r="212" spans="1:50"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c r="AS212" s="3"/>
      <c r="AT212" s="3"/>
      <c r="AU212" s="3"/>
      <c r="AV212" s="3"/>
      <c r="AW212" s="3"/>
      <c r="AX212" s="3"/>
    </row>
    <row r="213" spans="1:50"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c r="AS213" s="3"/>
      <c r="AT213" s="3"/>
      <c r="AU213" s="3"/>
      <c r="AV213" s="3"/>
      <c r="AW213" s="3"/>
      <c r="AX213" s="3"/>
    </row>
    <row r="214" spans="1:50"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c r="AS214" s="3"/>
      <c r="AT214" s="3"/>
      <c r="AU214" s="3"/>
      <c r="AV214" s="3"/>
      <c r="AW214" s="3"/>
      <c r="AX214" s="3"/>
    </row>
    <row r="215" spans="1:50"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c r="AS215" s="3"/>
      <c r="AT215" s="3"/>
      <c r="AU215" s="3"/>
      <c r="AV215" s="3"/>
      <c r="AW215" s="3"/>
      <c r="AX215" s="3"/>
    </row>
    <row r="216" spans="1:50"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c r="AS216" s="3"/>
      <c r="AT216" s="3"/>
      <c r="AU216" s="3"/>
      <c r="AV216" s="3"/>
      <c r="AW216" s="3"/>
      <c r="AX216" s="3"/>
    </row>
    <row r="217" spans="1:50"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c r="AS217" s="3"/>
      <c r="AT217" s="3"/>
      <c r="AU217" s="3"/>
      <c r="AV217" s="3"/>
      <c r="AW217" s="3"/>
      <c r="AX217" s="3"/>
    </row>
    <row r="218" spans="1:50"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c r="AS218" s="3"/>
      <c r="AT218" s="3"/>
      <c r="AU218" s="3"/>
      <c r="AV218" s="3"/>
      <c r="AW218" s="3"/>
      <c r="AX218" s="3"/>
    </row>
    <row r="219" spans="1:50"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c r="AS219" s="3"/>
      <c r="AT219" s="3"/>
      <c r="AU219" s="3"/>
      <c r="AV219" s="3"/>
      <c r="AW219" s="3"/>
      <c r="AX219" s="3"/>
    </row>
    <row r="220" spans="1:50"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c r="AS220" s="3"/>
      <c r="AT220" s="3"/>
      <c r="AU220" s="3"/>
      <c r="AV220" s="3"/>
      <c r="AW220" s="3"/>
      <c r="AX220" s="3"/>
    </row>
    <row r="221" spans="1:50"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c r="AS221" s="3"/>
      <c r="AT221" s="3"/>
      <c r="AU221" s="3"/>
      <c r="AV221" s="3"/>
      <c r="AW221" s="3"/>
      <c r="AX221" s="3"/>
    </row>
    <row r="222" spans="1:50"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c r="AS222" s="3"/>
      <c r="AT222" s="3"/>
      <c r="AU222" s="3"/>
      <c r="AV222" s="3"/>
      <c r="AW222" s="3"/>
      <c r="AX222" s="3"/>
    </row>
    <row r="223" spans="1:50"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c r="AS223" s="3"/>
      <c r="AT223" s="3"/>
      <c r="AU223" s="3"/>
      <c r="AV223" s="3"/>
      <c r="AW223" s="3"/>
      <c r="AX223" s="3"/>
    </row>
    <row r="224" spans="1:50"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c r="AS224" s="3"/>
      <c r="AT224" s="3"/>
      <c r="AU224" s="3"/>
      <c r="AV224" s="3"/>
      <c r="AW224" s="3"/>
      <c r="AX224" s="3"/>
    </row>
    <row r="225" spans="1:50"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c r="AS225" s="3"/>
      <c r="AT225" s="3"/>
      <c r="AU225" s="3"/>
      <c r="AV225" s="3"/>
      <c r="AW225" s="3"/>
      <c r="AX225" s="3"/>
    </row>
    <row r="226" spans="1:50"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c r="AS226" s="3"/>
      <c r="AT226" s="3"/>
      <c r="AU226" s="3"/>
      <c r="AV226" s="3"/>
      <c r="AW226" s="3"/>
      <c r="AX226" s="3"/>
    </row>
    <row r="227" spans="1:50"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c r="AS227" s="3"/>
      <c r="AT227" s="3"/>
      <c r="AU227" s="3"/>
      <c r="AV227" s="3"/>
      <c r="AW227" s="3"/>
      <c r="AX227" s="3"/>
    </row>
    <row r="228" spans="1:50"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c r="AS228" s="3"/>
      <c r="AT228" s="3"/>
      <c r="AU228" s="3"/>
      <c r="AV228" s="3"/>
      <c r="AW228" s="3"/>
      <c r="AX228" s="3"/>
    </row>
    <row r="229" spans="1:50"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c r="AS229" s="3"/>
      <c r="AT229" s="3"/>
      <c r="AU229" s="3"/>
      <c r="AV229" s="3"/>
      <c r="AW229" s="3"/>
      <c r="AX229" s="3"/>
    </row>
    <row r="230" spans="1:50"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c r="AS230" s="3"/>
      <c r="AT230" s="3"/>
      <c r="AU230" s="3"/>
      <c r="AV230" s="3"/>
      <c r="AW230" s="3"/>
      <c r="AX230" s="3"/>
    </row>
    <row r="231" spans="1:50"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c r="AS231" s="3"/>
      <c r="AT231" s="3"/>
      <c r="AU231" s="3"/>
      <c r="AV231" s="3"/>
      <c r="AW231" s="3"/>
      <c r="AX231" s="3"/>
    </row>
    <row r="232" spans="1:50"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c r="AS232" s="3"/>
      <c r="AT232" s="3"/>
      <c r="AU232" s="3"/>
      <c r="AV232" s="3"/>
      <c r="AW232" s="3"/>
      <c r="AX232" s="3"/>
    </row>
    <row r="233" spans="1:50"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c r="AS233" s="3"/>
      <c r="AT233" s="3"/>
      <c r="AU233" s="3"/>
      <c r="AV233" s="3"/>
      <c r="AW233" s="3"/>
      <c r="AX233" s="3"/>
    </row>
    <row r="234" spans="1:50"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c r="AS234" s="3"/>
      <c r="AT234" s="3"/>
      <c r="AU234" s="3"/>
      <c r="AV234" s="3"/>
      <c r="AW234" s="3"/>
      <c r="AX234" s="3"/>
    </row>
    <row r="235" spans="1:50"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c r="AS235" s="3"/>
      <c r="AT235" s="3"/>
      <c r="AU235" s="3"/>
      <c r="AV235" s="3"/>
      <c r="AW235" s="3"/>
      <c r="AX235" s="3"/>
    </row>
    <row r="236" spans="1:50"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c r="AS236" s="3"/>
      <c r="AT236" s="3"/>
      <c r="AU236" s="3"/>
      <c r="AV236" s="3"/>
      <c r="AW236" s="3"/>
      <c r="AX236" s="3"/>
    </row>
    <row r="237" spans="1:50"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c r="AS237" s="3"/>
      <c r="AT237" s="3"/>
      <c r="AU237" s="3"/>
      <c r="AV237" s="3"/>
      <c r="AW237" s="3"/>
      <c r="AX237" s="3"/>
    </row>
    <row r="238" spans="1:50"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c r="AS238" s="3"/>
      <c r="AT238" s="3"/>
      <c r="AU238" s="3"/>
      <c r="AV238" s="3"/>
      <c r="AW238" s="3"/>
      <c r="AX238" s="3"/>
    </row>
    <row r="239" spans="1:50"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c r="AS239" s="3"/>
      <c r="AT239" s="3"/>
      <c r="AU239" s="3"/>
      <c r="AV239" s="3"/>
      <c r="AW239" s="3"/>
      <c r="AX239" s="3"/>
    </row>
    <row r="240" spans="1:50"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c r="AS240" s="3"/>
      <c r="AT240" s="3"/>
      <c r="AU240" s="3"/>
      <c r="AV240" s="3"/>
      <c r="AW240" s="3"/>
      <c r="AX240" s="3"/>
    </row>
    <row r="241" spans="1:50"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c r="AS241" s="3"/>
      <c r="AT241" s="3"/>
      <c r="AU241" s="3"/>
      <c r="AV241" s="3"/>
      <c r="AW241" s="3"/>
      <c r="AX241" s="3"/>
    </row>
    <row r="242" spans="1:50"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c r="AS242" s="3"/>
      <c r="AT242" s="3"/>
      <c r="AU242" s="3"/>
      <c r="AV242" s="3"/>
      <c r="AW242" s="3"/>
      <c r="AX242" s="3"/>
    </row>
    <row r="243" spans="1:50"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c r="AS243" s="3"/>
      <c r="AT243" s="3"/>
      <c r="AU243" s="3"/>
      <c r="AV243" s="3"/>
      <c r="AW243" s="3"/>
      <c r="AX243" s="3"/>
    </row>
    <row r="244" spans="1:50"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c r="AS244" s="3"/>
      <c r="AT244" s="3"/>
      <c r="AU244" s="3"/>
      <c r="AV244" s="3"/>
      <c r="AW244" s="3"/>
      <c r="AX244" s="3"/>
    </row>
    <row r="245" spans="1:50"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c r="AS245" s="3"/>
      <c r="AT245" s="3"/>
      <c r="AU245" s="3"/>
      <c r="AV245" s="3"/>
      <c r="AW245" s="3"/>
      <c r="AX245" s="3"/>
    </row>
    <row r="246" spans="1:50"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c r="AS246" s="3"/>
      <c r="AT246" s="3"/>
      <c r="AU246" s="3"/>
      <c r="AV246" s="3"/>
      <c r="AW246" s="3"/>
      <c r="AX246" s="3"/>
    </row>
    <row r="247" spans="1:50"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c r="AS247" s="3"/>
      <c r="AT247" s="3"/>
      <c r="AU247" s="3"/>
      <c r="AV247" s="3"/>
      <c r="AW247" s="3"/>
      <c r="AX247" s="3"/>
    </row>
    <row r="248" spans="1:50"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c r="AS248" s="3"/>
      <c r="AT248" s="3"/>
      <c r="AU248" s="3"/>
      <c r="AV248" s="3"/>
      <c r="AW248" s="3"/>
      <c r="AX248" s="3"/>
    </row>
    <row r="249" spans="1:50"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c r="AS249" s="3"/>
      <c r="AT249" s="3"/>
      <c r="AU249" s="3"/>
      <c r="AV249" s="3"/>
      <c r="AW249" s="3"/>
      <c r="AX249" s="3"/>
    </row>
    <row r="250" spans="1:50"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c r="AS250" s="3"/>
      <c r="AT250" s="3"/>
      <c r="AU250" s="3"/>
      <c r="AV250" s="3"/>
      <c r="AW250" s="3"/>
      <c r="AX250" s="3"/>
    </row>
    <row r="251" spans="1:50"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c r="AS251" s="3"/>
      <c r="AT251" s="3"/>
      <c r="AU251" s="3"/>
      <c r="AV251" s="3"/>
      <c r="AW251" s="3"/>
      <c r="AX251" s="3"/>
    </row>
    <row r="252" spans="1:50"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c r="AS252" s="3"/>
      <c r="AT252" s="3"/>
      <c r="AU252" s="3"/>
      <c r="AV252" s="3"/>
      <c r="AW252" s="3"/>
      <c r="AX252" s="3"/>
    </row>
    <row r="253" spans="1:50"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c r="AS253" s="3"/>
      <c r="AT253" s="3"/>
      <c r="AU253" s="3"/>
      <c r="AV253" s="3"/>
      <c r="AW253" s="3"/>
      <c r="AX253" s="3"/>
    </row>
    <row r="254" spans="1:50"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c r="AS254" s="3"/>
      <c r="AT254" s="3"/>
      <c r="AU254" s="3"/>
      <c r="AV254" s="3"/>
      <c r="AW254" s="3"/>
      <c r="AX254" s="3"/>
    </row>
    <row r="255" spans="1:50"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c r="AS255" s="3"/>
      <c r="AT255" s="3"/>
      <c r="AU255" s="3"/>
      <c r="AV255" s="3"/>
      <c r="AW255" s="3"/>
      <c r="AX255" s="3"/>
    </row>
    <row r="256" spans="1:50"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c r="AS256" s="3"/>
      <c r="AT256" s="3"/>
      <c r="AU256" s="3"/>
      <c r="AV256" s="3"/>
      <c r="AW256" s="3"/>
      <c r="AX256" s="3"/>
    </row>
    <row r="257" spans="1:50"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c r="AS257" s="3"/>
      <c r="AT257" s="3"/>
      <c r="AU257" s="3"/>
      <c r="AV257" s="3"/>
      <c r="AW257" s="3"/>
      <c r="AX257" s="3"/>
    </row>
    <row r="258" spans="1:50"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c r="AS258" s="3"/>
      <c r="AT258" s="3"/>
      <c r="AU258" s="3"/>
      <c r="AV258" s="3"/>
      <c r="AW258" s="3"/>
      <c r="AX258" s="3"/>
    </row>
    <row r="259" spans="1:50"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c r="AS259" s="3"/>
      <c r="AT259" s="3"/>
      <c r="AU259" s="3"/>
      <c r="AV259" s="3"/>
      <c r="AW259" s="3"/>
      <c r="AX259" s="3"/>
    </row>
    <row r="260" spans="1:50"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c r="AS260" s="3"/>
      <c r="AT260" s="3"/>
      <c r="AU260" s="3"/>
      <c r="AV260" s="3"/>
      <c r="AW260" s="3"/>
      <c r="AX260" s="3"/>
    </row>
    <row r="261" spans="1:50"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c r="AS261" s="3"/>
      <c r="AT261" s="3"/>
      <c r="AU261" s="3"/>
      <c r="AV261" s="3"/>
      <c r="AW261" s="3"/>
      <c r="AX261" s="3"/>
    </row>
    <row r="262" spans="1:50"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c r="AS262" s="3"/>
      <c r="AT262" s="3"/>
      <c r="AU262" s="3"/>
      <c r="AV262" s="3"/>
      <c r="AW262" s="3"/>
      <c r="AX262" s="3"/>
    </row>
    <row r="263" spans="1:50"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c r="AS263" s="3"/>
      <c r="AT263" s="3"/>
      <c r="AU263" s="3"/>
      <c r="AV263" s="3"/>
      <c r="AW263" s="3"/>
      <c r="AX263" s="3"/>
    </row>
    <row r="264" spans="1:50"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c r="AS264" s="3"/>
      <c r="AT264" s="3"/>
      <c r="AU264" s="3"/>
      <c r="AV264" s="3"/>
      <c r="AW264" s="3"/>
      <c r="AX264" s="3"/>
    </row>
    <row r="265" spans="1:50"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c r="AS265" s="3"/>
      <c r="AT265" s="3"/>
      <c r="AU265" s="3"/>
      <c r="AV265" s="3"/>
      <c r="AW265" s="3"/>
      <c r="AX265" s="3"/>
    </row>
    <row r="266" spans="1:50"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c r="AS266" s="3"/>
      <c r="AT266" s="3"/>
      <c r="AU266" s="3"/>
      <c r="AV266" s="3"/>
      <c r="AW266" s="3"/>
      <c r="AX266" s="3"/>
    </row>
    <row r="267" spans="1:50"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c r="AS267" s="3"/>
      <c r="AT267" s="3"/>
      <c r="AU267" s="3"/>
      <c r="AV267" s="3"/>
      <c r="AW267" s="3"/>
      <c r="AX267" s="3"/>
    </row>
    <row r="268" spans="1:50"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c r="AS268" s="3"/>
      <c r="AT268" s="3"/>
      <c r="AU268" s="3"/>
      <c r="AV268" s="3"/>
      <c r="AW268" s="3"/>
      <c r="AX268" s="3"/>
    </row>
    <row r="269" spans="1:50"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c r="AS269" s="3"/>
      <c r="AT269" s="3"/>
      <c r="AU269" s="3"/>
      <c r="AV269" s="3"/>
      <c r="AW269" s="3"/>
      <c r="AX269" s="3"/>
    </row>
    <row r="270" spans="1:50"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c r="AS270" s="3"/>
      <c r="AT270" s="3"/>
      <c r="AU270" s="3"/>
      <c r="AV270" s="3"/>
      <c r="AW270" s="3"/>
      <c r="AX270" s="3"/>
    </row>
    <row r="271" spans="1:50"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c r="AS271" s="3"/>
      <c r="AT271" s="3"/>
      <c r="AU271" s="3"/>
      <c r="AV271" s="3"/>
      <c r="AW271" s="3"/>
      <c r="AX271" s="3"/>
    </row>
    <row r="272" spans="1:50"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c r="AS272" s="3"/>
      <c r="AT272" s="3"/>
      <c r="AU272" s="3"/>
      <c r="AV272" s="3"/>
      <c r="AW272" s="3"/>
      <c r="AX272" s="3"/>
    </row>
    <row r="273" spans="1:50"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c r="AS273" s="3"/>
      <c r="AT273" s="3"/>
      <c r="AU273" s="3"/>
      <c r="AV273" s="3"/>
      <c r="AW273" s="3"/>
      <c r="AX273" s="3"/>
    </row>
    <row r="274" spans="1:50"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c r="AS274" s="3"/>
      <c r="AT274" s="3"/>
      <c r="AU274" s="3"/>
      <c r="AV274" s="3"/>
      <c r="AW274" s="3"/>
      <c r="AX274" s="3"/>
    </row>
    <row r="275" spans="1:50"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c r="AS275" s="3"/>
      <c r="AT275" s="3"/>
      <c r="AU275" s="3"/>
      <c r="AV275" s="3"/>
      <c r="AW275" s="3"/>
      <c r="AX275" s="3"/>
    </row>
    <row r="276" spans="1:50"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3"/>
      <c r="AS276" s="3"/>
      <c r="AT276" s="3"/>
      <c r="AU276" s="3"/>
      <c r="AV276" s="3"/>
      <c r="AW276" s="3"/>
      <c r="AX276" s="3"/>
    </row>
    <row r="277" spans="1:50"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3"/>
      <c r="AS277" s="3"/>
      <c r="AT277" s="3"/>
      <c r="AU277" s="3"/>
      <c r="AV277" s="3"/>
      <c r="AW277" s="3"/>
      <c r="AX277" s="3"/>
    </row>
    <row r="278" spans="1:50"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3"/>
      <c r="AS278" s="3"/>
      <c r="AT278" s="3"/>
      <c r="AU278" s="3"/>
      <c r="AV278" s="3"/>
      <c r="AW278" s="3"/>
      <c r="AX278" s="3"/>
    </row>
    <row r="279" spans="1:50"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3"/>
      <c r="AS279" s="3"/>
      <c r="AT279" s="3"/>
      <c r="AU279" s="3"/>
      <c r="AV279" s="3"/>
      <c r="AW279" s="3"/>
      <c r="AX279" s="3"/>
    </row>
    <row r="280" spans="1:50"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3"/>
      <c r="AS280" s="3"/>
      <c r="AT280" s="3"/>
      <c r="AU280" s="3"/>
      <c r="AV280" s="3"/>
      <c r="AW280" s="3"/>
      <c r="AX280" s="3"/>
    </row>
    <row r="281" spans="1:50"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3"/>
      <c r="AS281" s="3"/>
      <c r="AT281" s="3"/>
      <c r="AU281" s="3"/>
      <c r="AV281" s="3"/>
      <c r="AW281" s="3"/>
      <c r="AX281" s="3"/>
    </row>
    <row r="282" spans="1:50"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3"/>
      <c r="AS282" s="3"/>
      <c r="AT282" s="3"/>
      <c r="AU282" s="3"/>
      <c r="AV282" s="3"/>
      <c r="AW282" s="3"/>
      <c r="AX282" s="3"/>
    </row>
    <row r="283" spans="1:50"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3"/>
      <c r="AS283" s="3"/>
      <c r="AT283" s="3"/>
      <c r="AU283" s="3"/>
      <c r="AV283" s="3"/>
      <c r="AW283" s="3"/>
      <c r="AX283" s="3"/>
    </row>
    <row r="284" spans="1:50"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spans="1:5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1900-000000000000}">
      <formula1>"TOU,non-TOU"</formula1>
    </dataValidation>
    <dataValidation type="list" allowBlank="1" showErrorMessage="1" sqref="E15:E28 E30:E38 E40:E41 E43:E51 E57 E63" xr:uid="{00000000-0002-0000-1900-000001000000}">
      <formula1>#REF!</formula1>
    </dataValidation>
    <dataValidation type="list" allowBlank="1" showInputMessage="1" showErrorMessage="1" prompt="Select Charge Unit - monthly, per kWh, per kW" sqref="D15:D28 D30:D38 D40:D41 D43:D51 D57 D63" xr:uid="{00000000-0002-0000-1900-000002000000}">
      <formula1>"Monthly,per kWh,per kW"</formula1>
    </dataValidation>
  </dataValidations>
  <pageMargins left="0.74803149606299213" right="0.74803149606299213" top="0.98425196850393704" bottom="0.98425196850393704"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X1000"/>
  <sheetViews>
    <sheetView showGridLines="0" workbookViewId="0"/>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9.28515625" customWidth="1"/>
    <col min="8" max="8" width="12.28515625" customWidth="1"/>
    <col min="9" max="9" width="0.7109375" customWidth="1"/>
    <col min="10" max="11" width="9.28515625" customWidth="1"/>
    <col min="12" max="12" width="12.28515625" customWidth="1"/>
    <col min="13" max="13" width="0.42578125" customWidth="1"/>
    <col min="14" max="14" width="9.42578125" customWidth="1"/>
    <col min="15" max="15" width="10" customWidth="1"/>
    <col min="16" max="16" width="0.42578125" customWidth="1"/>
    <col min="17" max="18" width="9.28515625" customWidth="1"/>
    <col min="19" max="19" width="12.28515625" customWidth="1"/>
    <col min="20" max="20" width="0.42578125" customWidth="1"/>
    <col min="21" max="21" width="9.42578125" customWidth="1"/>
    <col min="22" max="22" width="10" customWidth="1"/>
    <col min="23" max="23" width="0.42578125" customWidth="1"/>
    <col min="24" max="25" width="9.2851562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3"/>
      <c r="B1" s="53"/>
      <c r="C1" s="53"/>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50" ht="12" customHeight="1">
      <c r="A2" s="53"/>
      <c r="B2" s="53"/>
      <c r="C2" s="373"/>
      <c r="D2" s="373"/>
      <c r="E2" s="373"/>
      <c r="F2" s="373" t="s">
        <v>320</v>
      </c>
      <c r="G2" s="373"/>
      <c r="H2" s="373"/>
      <c r="I2" s="373"/>
      <c r="J2" s="373"/>
      <c r="K2" s="373"/>
      <c r="L2" s="373"/>
      <c r="M2" s="373"/>
      <c r="N2" s="373"/>
      <c r="O2" s="37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50"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50"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50"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50" ht="12" customHeight="1">
      <c r="A6" s="53"/>
      <c r="B6" s="327" t="s">
        <v>323</v>
      </c>
      <c r="C6" s="53"/>
      <c r="D6" s="499" t="s">
        <v>249</v>
      </c>
      <c r="E6" s="500"/>
      <c r="F6" s="500"/>
      <c r="G6" s="500"/>
      <c r="H6" s="500"/>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c r="AW6" s="3"/>
      <c r="AX6" s="3"/>
    </row>
    <row r="7" spans="1:50"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50" ht="12" customHeight="1">
      <c r="A8" s="53"/>
      <c r="B8" s="327" t="s">
        <v>324</v>
      </c>
      <c r="C8" s="53"/>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50" ht="12" customHeight="1">
      <c r="A9" s="53"/>
      <c r="B9" s="377"/>
      <c r="C9" s="53"/>
      <c r="D9" s="314" t="s">
        <v>326</v>
      </c>
      <c r="E9" s="314"/>
      <c r="F9" s="380">
        <v>127750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50" ht="12" customHeight="1">
      <c r="A10" s="53"/>
      <c r="B10" s="53"/>
      <c r="C10" s="53"/>
      <c r="D10" s="53"/>
      <c r="E10" s="53"/>
      <c r="F10" s="380">
        <v>250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50" ht="12" customHeight="1">
      <c r="A11" s="545"/>
      <c r="B11" s="53"/>
      <c r="C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50" ht="12" customHeight="1">
      <c r="A12" s="545"/>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50" ht="12" customHeight="1">
      <c r="A13" s="545"/>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50" ht="12" customHeight="1">
      <c r="A14" s="545"/>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50" ht="12" customHeight="1">
      <c r="A15" s="545"/>
      <c r="B15" s="328" t="s">
        <v>246</v>
      </c>
      <c r="C15" s="389" t="str">
        <f t="shared" ref="C15:C28" si="0">D$6&amp;"."&amp;B15</f>
        <v>General Service 50 to 1,499 KW.Monthly Service Charge</v>
      </c>
      <c r="D15" s="390" t="s">
        <v>335</v>
      </c>
      <c r="E15" s="328"/>
      <c r="F15" s="391">
        <f>VLOOKUP($C15,'Proposed Rates'!$B:$J,F$11,FALSE)</f>
        <v>200</v>
      </c>
      <c r="G15" s="409">
        <f t="shared" ref="G15:G28" si="1">IF($D15="Monthly",1,IF($D15="per KW",$F$10,IF($D15="per kWh",$F$9,0)))</f>
        <v>1</v>
      </c>
      <c r="H15" s="394">
        <f t="shared" ref="H15:H28" si="2">G15*F15</f>
        <v>200</v>
      </c>
      <c r="I15" s="138"/>
      <c r="J15" s="391">
        <f>VLOOKUP($C15,'Proposed Rates'!$B:$J,J$11,FALSE)</f>
        <v>200</v>
      </c>
      <c r="K15" s="409">
        <f t="shared" ref="K15:K28" si="3">IF($D15="Monthly",1,IF($D15="per KW",$F$10,IF($D15="per kWh",$F$9,0)))</f>
        <v>1</v>
      </c>
      <c r="L15" s="394">
        <f t="shared" ref="L15:L28" si="4">K15*J15</f>
        <v>200</v>
      </c>
      <c r="M15" s="138"/>
      <c r="N15" s="395">
        <f t="shared" ref="N15:N46" si="5">L15-H15</f>
        <v>0</v>
      </c>
      <c r="O15" s="396">
        <f t="shared" ref="O15:O46" si="6">IF((H15)=0,"",(N15/H15))</f>
        <v>0</v>
      </c>
      <c r="P15" s="53"/>
      <c r="Q15" s="391">
        <f>VLOOKUP($C15,'Proposed Rates'!$B:$J,Q$11,FALSE)</f>
        <v>200</v>
      </c>
      <c r="R15" s="409">
        <f t="shared" ref="R15:R28" si="7">IF($D15="Monthly",1,IF($D15="per KW",$F$10,IF($D15="per kWh",$F$9,0)))</f>
        <v>1</v>
      </c>
      <c r="S15" s="394">
        <f t="shared" ref="S15:S28" si="8">R15*Q15</f>
        <v>200</v>
      </c>
      <c r="T15" s="138"/>
      <c r="U15" s="395">
        <f t="shared" ref="U15:U46" si="9">S15-L15</f>
        <v>0</v>
      </c>
      <c r="V15" s="396">
        <f t="shared" ref="V15:V46" si="10">IF((L15)=0,"",(U15/L15))</f>
        <v>0</v>
      </c>
      <c r="W15" s="53"/>
      <c r="X15" s="391">
        <f>VLOOKUP($C15,'Proposed Rates'!$B:$J,X$11,FALSE)</f>
        <v>200</v>
      </c>
      <c r="Y15" s="409">
        <f t="shared" ref="Y15:Y28" si="11">IF($D15="Monthly",1,IF($D15="per KW",$F$10,IF($D15="per kWh",$F$9,0)))</f>
        <v>1</v>
      </c>
      <c r="Z15" s="394">
        <f t="shared" ref="Z15:Z28" si="12">Y15*X15</f>
        <v>200</v>
      </c>
      <c r="AA15" s="138"/>
      <c r="AB15" s="395">
        <f t="shared" ref="AB15:AB34" si="13">Z15-S15</f>
        <v>0</v>
      </c>
      <c r="AC15" s="396">
        <f t="shared" ref="AC15:AC34" si="14">IF((S15)=0,"",(AB15/S15))</f>
        <v>0</v>
      </c>
      <c r="AD15" s="53"/>
      <c r="AE15" s="391">
        <f>VLOOKUP($C15,'Proposed Rates'!$B:$J,AE$11,FALSE)</f>
        <v>200</v>
      </c>
      <c r="AF15" s="409">
        <f t="shared" ref="AF15:AF28" si="15">IF($D15="Monthly",1,IF($D15="per KW",$F$10,IF($D15="per kWh",$F$9,0)))</f>
        <v>1</v>
      </c>
      <c r="AG15" s="394">
        <f t="shared" ref="AG15:AG28" si="16">AF15*AE15</f>
        <v>200</v>
      </c>
      <c r="AH15" s="138"/>
      <c r="AI15" s="395">
        <f t="shared" ref="AI15:AI46" si="17">AG15-Z15</f>
        <v>0</v>
      </c>
      <c r="AJ15" s="396">
        <f t="shared" ref="AJ15:AJ46" si="18">IF((Z15)=0,"",(AI15/Z15))</f>
        <v>0</v>
      </c>
      <c r="AK15" s="53"/>
      <c r="AL15" s="391">
        <f>VLOOKUP($C15,'Proposed Rates'!$B:$J,AL$11,FALSE)</f>
        <v>200</v>
      </c>
      <c r="AM15" s="409">
        <f t="shared" ref="AM15:AM28" si="19">IF($D15="Monthly",1,IF($D15="per KW",$F$10,IF($D15="per kWh",$F$9,0)))</f>
        <v>1</v>
      </c>
      <c r="AN15" s="394">
        <f t="shared" ref="AN15:AN28" si="20">AM15*AL15</f>
        <v>200</v>
      </c>
      <c r="AO15" s="138"/>
      <c r="AP15" s="395">
        <f t="shared" ref="AP15:AP46" si="21">AN15-AG15</f>
        <v>0</v>
      </c>
      <c r="AQ15" s="396">
        <f t="shared" ref="AQ15:AQ46" si="22">IF((AG15)=0,"",(AP15/AG15))</f>
        <v>0</v>
      </c>
      <c r="AR15" s="397"/>
    </row>
    <row r="16" spans="1:50" ht="12" customHeight="1">
      <c r="A16" s="545"/>
      <c r="B16" s="328" t="s">
        <v>336</v>
      </c>
      <c r="C16" s="389" t="str">
        <f t="shared" si="0"/>
        <v>General Service 50 to 1,499 KW.Smart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row>
    <row r="17" spans="1:44" ht="12" customHeight="1">
      <c r="A17" s="545"/>
      <c r="B17" s="398" t="str">
        <f>'Proposed Rates'!C115</f>
        <v>Rate Rider Calculation for Forgone Revenue - variable</v>
      </c>
      <c r="C17" s="389" t="str">
        <f t="shared" si="0"/>
        <v>General Service 50 to 1,499 KW.Rate Rider Calculation for Forgone Revenue - variable</v>
      </c>
      <c r="D17" s="390" t="s">
        <v>406</v>
      </c>
      <c r="E17" s="328"/>
      <c r="F17" s="391">
        <f>IFERROR(VLOOKUP($C17,'Proposed Rates'!$B:$J,F$11,FALSE),0)</f>
        <v>0</v>
      </c>
      <c r="G17" s="409">
        <f t="shared" si="1"/>
        <v>250</v>
      </c>
      <c r="H17" s="394">
        <f t="shared" si="2"/>
        <v>0</v>
      </c>
      <c r="I17" s="138"/>
      <c r="J17" s="391">
        <f>IFERROR(VLOOKUP($C17,'Proposed Rates'!$B:$J,J$11,FALSE),0)</f>
        <v>0.45269999999999999</v>
      </c>
      <c r="K17" s="409">
        <f t="shared" si="3"/>
        <v>250</v>
      </c>
      <c r="L17" s="394">
        <f t="shared" si="4"/>
        <v>113.175</v>
      </c>
      <c r="M17" s="138"/>
      <c r="N17" s="395">
        <f t="shared" si="5"/>
        <v>113.175</v>
      </c>
      <c r="O17" s="396" t="str">
        <f t="shared" si="6"/>
        <v/>
      </c>
      <c r="P17" s="53"/>
      <c r="Q17" s="391">
        <f>IFERROR(VLOOKUP($C17,'Proposed Rates'!$B:$J,Q$11,FALSE),0)</f>
        <v>0.45269999999999999</v>
      </c>
      <c r="R17" s="409">
        <f t="shared" si="7"/>
        <v>250</v>
      </c>
      <c r="S17" s="394">
        <f t="shared" si="8"/>
        <v>113.175</v>
      </c>
      <c r="T17" s="138"/>
      <c r="U17" s="395">
        <f t="shared" si="9"/>
        <v>0</v>
      </c>
      <c r="V17" s="396">
        <f t="shared" si="10"/>
        <v>0</v>
      </c>
      <c r="W17" s="53"/>
      <c r="X17" s="391">
        <f>IFERROR(VLOOKUP($C17,'Proposed Rates'!$B:$J,X$11,FALSE),0)</f>
        <v>0</v>
      </c>
      <c r="Y17" s="409">
        <f t="shared" si="11"/>
        <v>250</v>
      </c>
      <c r="Z17" s="394">
        <f t="shared" si="12"/>
        <v>0</v>
      </c>
      <c r="AA17" s="138"/>
      <c r="AB17" s="395">
        <f t="shared" si="13"/>
        <v>-113.175</v>
      </c>
      <c r="AC17" s="396">
        <f t="shared" si="14"/>
        <v>-1</v>
      </c>
      <c r="AD17" s="53"/>
      <c r="AE17" s="391">
        <f>IFERROR(VLOOKUP($C17,'Proposed Rates'!$B:$J,AE$11,FALSE),0)</f>
        <v>0</v>
      </c>
      <c r="AF17" s="409">
        <f t="shared" si="15"/>
        <v>250</v>
      </c>
      <c r="AG17" s="394">
        <f t="shared" si="16"/>
        <v>0</v>
      </c>
      <c r="AH17" s="138"/>
      <c r="AI17" s="395">
        <f t="shared" si="17"/>
        <v>0</v>
      </c>
      <c r="AJ17" s="396" t="str">
        <f t="shared" si="18"/>
        <v/>
      </c>
      <c r="AK17" s="53"/>
      <c r="AL17" s="391">
        <f>IFERROR(VLOOKUP($C17,'Proposed Rates'!$B:$J,AL$11,FALSE),0)</f>
        <v>0</v>
      </c>
      <c r="AM17" s="409">
        <f t="shared" si="19"/>
        <v>250</v>
      </c>
      <c r="AN17" s="394">
        <f t="shared" si="20"/>
        <v>0</v>
      </c>
      <c r="AO17" s="138"/>
      <c r="AP17" s="395">
        <f t="shared" si="21"/>
        <v>0</v>
      </c>
      <c r="AQ17" s="396" t="str">
        <f t="shared" si="22"/>
        <v/>
      </c>
      <c r="AR17" s="397"/>
    </row>
    <row r="18" spans="1:44" ht="12" customHeight="1">
      <c r="A18" s="545"/>
      <c r="B18" s="398" t="str">
        <f>'Proposed Rates'!C128</f>
        <v>Rate Rider Calculation for Forgone Revenue - fixed</v>
      </c>
      <c r="C18" s="389" t="str">
        <f t="shared" si="0"/>
        <v>General Service 50 to 1,499 KW.Rate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-0.62</v>
      </c>
      <c r="K18" s="409">
        <f t="shared" si="3"/>
        <v>1</v>
      </c>
      <c r="L18" s="394">
        <f t="shared" si="4"/>
        <v>-0.62</v>
      </c>
      <c r="M18" s="138"/>
      <c r="N18" s="395">
        <f t="shared" si="5"/>
        <v>-0.62</v>
      </c>
      <c r="O18" s="396" t="str">
        <f t="shared" si="6"/>
        <v/>
      </c>
      <c r="P18" s="53"/>
      <c r="Q18" s="391">
        <f>IFERROR(VLOOKUP($C18,'Proposed Rates'!$B:$J,Q$11,FALSE),0)</f>
        <v>-0.62</v>
      </c>
      <c r="R18" s="409">
        <f t="shared" si="7"/>
        <v>1</v>
      </c>
      <c r="S18" s="394">
        <f t="shared" si="8"/>
        <v>-0.62</v>
      </c>
      <c r="T18" s="138"/>
      <c r="U18" s="395">
        <f t="shared" si="9"/>
        <v>0</v>
      </c>
      <c r="V18" s="396">
        <f t="shared" si="10"/>
        <v>0</v>
      </c>
      <c r="W18" s="53"/>
      <c r="X18" s="391">
        <f>IFERROR(VLOOKUP($C18,'Proposed Rates'!$B:$J,X$11,FALSE),0)</f>
        <v>0</v>
      </c>
      <c r="Y18" s="409">
        <f t="shared" si="11"/>
        <v>1</v>
      </c>
      <c r="Z18" s="394">
        <f t="shared" si="12"/>
        <v>0</v>
      </c>
      <c r="AA18" s="138"/>
      <c r="AB18" s="395">
        <f t="shared" si="13"/>
        <v>0.62</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row>
    <row r="19" spans="1:44" ht="12" customHeight="1">
      <c r="A19" s="545"/>
      <c r="B19" s="328" t="s">
        <v>62</v>
      </c>
      <c r="C19" s="389" t="str">
        <f t="shared" si="0"/>
        <v>General Service 50 to 1,499 KW.Distribution Volumetric Rate</v>
      </c>
      <c r="D19" s="390" t="s">
        <v>406</v>
      </c>
      <c r="E19" s="328"/>
      <c r="F19" s="408">
        <f>IFERROR(VLOOKUP($C19,'Proposed Rates'!$B:$J,F$11,FALSE),0)</f>
        <v>6.5552999999999999</v>
      </c>
      <c r="G19" s="409">
        <f t="shared" si="1"/>
        <v>250</v>
      </c>
      <c r="H19" s="394">
        <f t="shared" si="2"/>
        <v>1638.825</v>
      </c>
      <c r="I19" s="138"/>
      <c r="J19" s="408">
        <f>IFERROR(VLOOKUP($C19,'Proposed Rates'!$B:$J,J$11,FALSE),0)</f>
        <v>7.6543000000000001</v>
      </c>
      <c r="K19" s="409">
        <f t="shared" si="3"/>
        <v>250</v>
      </c>
      <c r="L19" s="394">
        <f t="shared" si="4"/>
        <v>1913.575</v>
      </c>
      <c r="M19" s="138"/>
      <c r="N19" s="395">
        <f t="shared" si="5"/>
        <v>274.75</v>
      </c>
      <c r="O19" s="396">
        <f t="shared" si="6"/>
        <v>0.16765060332860432</v>
      </c>
      <c r="P19" s="53"/>
      <c r="Q19" s="408">
        <f>IFERROR(VLOOKUP($C19,'Proposed Rates'!$B:$J,Q$11,FALSE),0)</f>
        <v>8.0783000000000005</v>
      </c>
      <c r="R19" s="409">
        <f t="shared" si="7"/>
        <v>250</v>
      </c>
      <c r="S19" s="394">
        <f t="shared" si="8"/>
        <v>2019.575</v>
      </c>
      <c r="T19" s="138"/>
      <c r="U19" s="395">
        <f t="shared" si="9"/>
        <v>106</v>
      </c>
      <c r="V19" s="396">
        <f t="shared" si="10"/>
        <v>5.5393700273049136E-2</v>
      </c>
      <c r="W19" s="53"/>
      <c r="X19" s="408">
        <f>IFERROR(VLOOKUP($C19,'Proposed Rates'!$B:$J,X$11,FALSE),0)</f>
        <v>8.7073</v>
      </c>
      <c r="Y19" s="409">
        <f t="shared" si="11"/>
        <v>250</v>
      </c>
      <c r="Z19" s="394">
        <f t="shared" si="12"/>
        <v>2176.8249999999998</v>
      </c>
      <c r="AA19" s="138"/>
      <c r="AB19" s="395">
        <f t="shared" si="13"/>
        <v>157.24999999999977</v>
      </c>
      <c r="AC19" s="396">
        <f t="shared" si="14"/>
        <v>7.7862916702771512E-2</v>
      </c>
      <c r="AD19" s="53"/>
      <c r="AE19" s="408">
        <f>IFERROR(VLOOKUP($C19,'Proposed Rates'!$B:$J,AE$11,FALSE),0)</f>
        <v>9.0386000000000006</v>
      </c>
      <c r="AF19" s="409">
        <f t="shared" si="15"/>
        <v>250</v>
      </c>
      <c r="AG19" s="394">
        <f t="shared" si="16"/>
        <v>2259.65</v>
      </c>
      <c r="AH19" s="138"/>
      <c r="AI19" s="395">
        <f t="shared" si="17"/>
        <v>82.825000000000273</v>
      </c>
      <c r="AJ19" s="396">
        <f t="shared" si="18"/>
        <v>3.8048533988722238E-2</v>
      </c>
      <c r="AK19" s="53"/>
      <c r="AL19" s="408">
        <f>IFERROR(VLOOKUP($C19,'Proposed Rates'!$B:$J,AL$11,FALSE),0)</f>
        <v>9.3415999999999997</v>
      </c>
      <c r="AM19" s="409">
        <f t="shared" si="19"/>
        <v>250</v>
      </c>
      <c r="AN19" s="394">
        <f t="shared" si="20"/>
        <v>2335.4</v>
      </c>
      <c r="AO19" s="138"/>
      <c r="AP19" s="395">
        <f t="shared" si="21"/>
        <v>75.75</v>
      </c>
      <c r="AQ19" s="396">
        <f t="shared" si="22"/>
        <v>3.3522890713163542E-2</v>
      </c>
      <c r="AR19" s="397"/>
    </row>
    <row r="20" spans="1:44" ht="12" customHeight="1">
      <c r="A20" s="545"/>
      <c r="B20" s="328" t="s">
        <v>338</v>
      </c>
      <c r="C20" s="389" t="str">
        <f t="shared" si="0"/>
        <v>General Service 50 to 1,499 KW.Smart Meter Disposition Rider</v>
      </c>
      <c r="D20" s="390" t="s">
        <v>337</v>
      </c>
      <c r="E20" s="328"/>
      <c r="F20" s="391">
        <f>IFERROR(VLOOKUP($C20,'Proposed Rates'!$B:$J,F$11,FALSE),0)</f>
        <v>0</v>
      </c>
      <c r="G20" s="409">
        <f t="shared" si="1"/>
        <v>127750</v>
      </c>
      <c r="H20" s="394">
        <f t="shared" si="2"/>
        <v>0</v>
      </c>
      <c r="I20" s="138"/>
      <c r="J20" s="391">
        <f>IFERROR(VLOOKUP($C20,'Proposed Rates'!$B:$J,J$11,FALSE),0)</f>
        <v>0</v>
      </c>
      <c r="K20" s="409">
        <f t="shared" si="3"/>
        <v>127750</v>
      </c>
      <c r="L20" s="394">
        <f t="shared" si="4"/>
        <v>0</v>
      </c>
      <c r="M20" s="138"/>
      <c r="N20" s="395">
        <f t="shared" si="5"/>
        <v>0</v>
      </c>
      <c r="O20" s="396" t="str">
        <f t="shared" si="6"/>
        <v/>
      </c>
      <c r="P20" s="53"/>
      <c r="Q20" s="391">
        <f>IFERROR(VLOOKUP($C20,'Proposed Rates'!$B:$J,Q$11,FALSE),0)</f>
        <v>0</v>
      </c>
      <c r="R20" s="409">
        <f t="shared" si="7"/>
        <v>127750</v>
      </c>
      <c r="S20" s="394">
        <f t="shared" si="8"/>
        <v>0</v>
      </c>
      <c r="T20" s="138"/>
      <c r="U20" s="395">
        <f t="shared" si="9"/>
        <v>0</v>
      </c>
      <c r="V20" s="396" t="str">
        <f t="shared" si="10"/>
        <v/>
      </c>
      <c r="W20" s="53"/>
      <c r="X20" s="391">
        <f>IFERROR(VLOOKUP($C20,'Proposed Rates'!$B:$J,X$11,FALSE),0)</f>
        <v>0</v>
      </c>
      <c r="Y20" s="409">
        <f t="shared" si="11"/>
        <v>127750</v>
      </c>
      <c r="Z20" s="394">
        <f t="shared" si="12"/>
        <v>0</v>
      </c>
      <c r="AA20" s="138"/>
      <c r="AB20" s="395">
        <f t="shared" si="13"/>
        <v>0</v>
      </c>
      <c r="AC20" s="396" t="str">
        <f t="shared" si="14"/>
        <v/>
      </c>
      <c r="AD20" s="53"/>
      <c r="AE20" s="391">
        <f>IFERROR(VLOOKUP($C20,'Proposed Rates'!$B:$J,AE$11,FALSE),0)</f>
        <v>0</v>
      </c>
      <c r="AF20" s="409">
        <f t="shared" si="15"/>
        <v>127750</v>
      </c>
      <c r="AG20" s="394">
        <f t="shared" si="16"/>
        <v>0</v>
      </c>
      <c r="AH20" s="138"/>
      <c r="AI20" s="395">
        <f t="shared" si="17"/>
        <v>0</v>
      </c>
      <c r="AJ20" s="396" t="str">
        <f t="shared" si="18"/>
        <v/>
      </c>
      <c r="AK20" s="53"/>
      <c r="AL20" s="391">
        <f>IFERROR(VLOOKUP($C20,'Proposed Rates'!$B:$J,AL$11,FALSE),0)</f>
        <v>0</v>
      </c>
      <c r="AM20" s="409">
        <f t="shared" si="19"/>
        <v>127750</v>
      </c>
      <c r="AN20" s="394">
        <f t="shared" si="20"/>
        <v>0</v>
      </c>
      <c r="AO20" s="138"/>
      <c r="AP20" s="395">
        <f t="shared" si="21"/>
        <v>0</v>
      </c>
      <c r="AQ20" s="396" t="str">
        <f t="shared" si="22"/>
        <v/>
      </c>
      <c r="AR20" s="397"/>
    </row>
    <row r="21" spans="1:44" ht="12" customHeight="1">
      <c r="A21" s="545"/>
      <c r="B21" s="328" t="s">
        <v>269</v>
      </c>
      <c r="C21" s="389" t="str">
        <f t="shared" si="0"/>
        <v>General Service 50 to 1,499 KW.LRAM Rate Rider</v>
      </c>
      <c r="D21" s="390" t="s">
        <v>406</v>
      </c>
      <c r="E21" s="328"/>
      <c r="F21" s="408">
        <f>'Proposed Rates'!E79+'Proposed Rates'!E92</f>
        <v>-0.2477</v>
      </c>
      <c r="G21" s="409">
        <f t="shared" si="1"/>
        <v>250</v>
      </c>
      <c r="H21" s="394">
        <f t="shared" si="2"/>
        <v>-61.925000000000004</v>
      </c>
      <c r="I21" s="138"/>
      <c r="J21" s="408">
        <f>'Proposed Rates'!F79+'Proposed Rates'!F92</f>
        <v>0</v>
      </c>
      <c r="K21" s="409">
        <f t="shared" si="3"/>
        <v>250</v>
      </c>
      <c r="L21" s="394">
        <f t="shared" si="4"/>
        <v>0</v>
      </c>
      <c r="M21" s="138"/>
      <c r="N21" s="395">
        <f t="shared" si="5"/>
        <v>61.925000000000004</v>
      </c>
      <c r="O21" s="396">
        <f t="shared" si="6"/>
        <v>-1</v>
      </c>
      <c r="P21" s="53"/>
      <c r="Q21" s="408">
        <f>'Proposed Rates'!G79+'Proposed Rates'!G92</f>
        <v>2.9499999999999998E-2</v>
      </c>
      <c r="R21" s="409">
        <f t="shared" si="7"/>
        <v>250</v>
      </c>
      <c r="S21" s="394">
        <f t="shared" si="8"/>
        <v>7.375</v>
      </c>
      <c r="T21" s="138"/>
      <c r="U21" s="395">
        <f t="shared" si="9"/>
        <v>7.375</v>
      </c>
      <c r="V21" s="396" t="str">
        <f t="shared" si="10"/>
        <v/>
      </c>
      <c r="W21" s="53"/>
      <c r="X21" s="408">
        <f>IFERROR(VLOOKUP($C21,'Proposed Rates'!$B:$J,X$11,FALSE),0)</f>
        <v>0</v>
      </c>
      <c r="Y21" s="409">
        <f t="shared" si="11"/>
        <v>250</v>
      </c>
      <c r="Z21" s="394">
        <f t="shared" si="12"/>
        <v>0</v>
      </c>
      <c r="AA21" s="138"/>
      <c r="AB21" s="395">
        <f t="shared" si="13"/>
        <v>-7.375</v>
      </c>
      <c r="AC21" s="396">
        <f t="shared" si="14"/>
        <v>-1</v>
      </c>
      <c r="AD21" s="53"/>
      <c r="AE21" s="408">
        <f>IFERROR(VLOOKUP($C21,'Proposed Rates'!$B:$J,AE$11,FALSE),0)</f>
        <v>0</v>
      </c>
      <c r="AF21" s="409">
        <f t="shared" si="15"/>
        <v>250</v>
      </c>
      <c r="AG21" s="394">
        <f t="shared" si="16"/>
        <v>0</v>
      </c>
      <c r="AH21" s="138"/>
      <c r="AI21" s="395">
        <f t="shared" si="17"/>
        <v>0</v>
      </c>
      <c r="AJ21" s="396" t="str">
        <f t="shared" si="18"/>
        <v/>
      </c>
      <c r="AK21" s="53"/>
      <c r="AL21" s="408">
        <f>IFERROR(VLOOKUP($C21,'Proposed Rates'!$B:$J,AL$11,FALSE),0)</f>
        <v>0</v>
      </c>
      <c r="AM21" s="409">
        <f t="shared" si="19"/>
        <v>250</v>
      </c>
      <c r="AN21" s="394">
        <f t="shared" si="20"/>
        <v>0</v>
      </c>
      <c r="AO21" s="138"/>
      <c r="AP21" s="395">
        <f t="shared" si="21"/>
        <v>0</v>
      </c>
      <c r="AQ21" s="396" t="str">
        <f t="shared" si="22"/>
        <v/>
      </c>
      <c r="AR21" s="397"/>
    </row>
    <row r="22" spans="1:44" ht="12" customHeight="1">
      <c r="A22" s="545"/>
      <c r="B22" s="398" t="s">
        <v>265</v>
      </c>
      <c r="C22" s="389" t="str">
        <f t="shared" si="0"/>
        <v>General Service 50 to 1,499 KW.Deferral/Variance Account Disposition Rate Rider Group 2</v>
      </c>
      <c r="D22" s="390" t="s">
        <v>406</v>
      </c>
      <c r="E22" s="328"/>
      <c r="F22" s="391">
        <f>IFERROR(VLOOKUP($C22,'Proposed Rates'!$B:$J,F$11,FALSE),0)</f>
        <v>0</v>
      </c>
      <c r="G22" s="409">
        <f t="shared" si="1"/>
        <v>250</v>
      </c>
      <c r="H22" s="394">
        <f t="shared" si="2"/>
        <v>0</v>
      </c>
      <c r="I22" s="138"/>
      <c r="J22" s="391">
        <f>IFERROR(VLOOKUP($C22,'Proposed Rates'!$B:$J,J$11,FALSE),0)</f>
        <v>-0.26340000000000002</v>
      </c>
      <c r="K22" s="409">
        <f t="shared" si="3"/>
        <v>250</v>
      </c>
      <c r="L22" s="394">
        <f t="shared" si="4"/>
        <v>-65.850000000000009</v>
      </c>
      <c r="M22" s="138"/>
      <c r="N22" s="395">
        <f t="shared" si="5"/>
        <v>-65.850000000000009</v>
      </c>
      <c r="O22" s="396" t="str">
        <f t="shared" si="6"/>
        <v/>
      </c>
      <c r="P22" s="53"/>
      <c r="Q22" s="391">
        <f>IFERROR(VLOOKUP($C22,'Proposed Rates'!$B:$J,Q$11,FALSE),0)</f>
        <v>0</v>
      </c>
      <c r="R22" s="409">
        <f t="shared" si="7"/>
        <v>250</v>
      </c>
      <c r="S22" s="394">
        <f t="shared" si="8"/>
        <v>0</v>
      </c>
      <c r="T22" s="138"/>
      <c r="U22" s="395">
        <f t="shared" si="9"/>
        <v>65.850000000000009</v>
      </c>
      <c r="V22" s="396">
        <f t="shared" si="10"/>
        <v>-1</v>
      </c>
      <c r="W22" s="53"/>
      <c r="X22" s="391">
        <f>IFERROR(VLOOKUP($C22,'Proposed Rates'!$B:$J,X$11,FALSE),0)</f>
        <v>0</v>
      </c>
      <c r="Y22" s="409">
        <f t="shared" si="11"/>
        <v>250</v>
      </c>
      <c r="Z22" s="394">
        <f t="shared" si="12"/>
        <v>0</v>
      </c>
      <c r="AA22" s="138"/>
      <c r="AB22" s="395">
        <f t="shared" si="13"/>
        <v>0</v>
      </c>
      <c r="AC22" s="396" t="str">
        <f t="shared" si="14"/>
        <v/>
      </c>
      <c r="AD22" s="53"/>
      <c r="AE22" s="391">
        <f>IFERROR(VLOOKUP($C22,'Proposed Rates'!$B:$J,AE$11,FALSE),0)</f>
        <v>0</v>
      </c>
      <c r="AF22" s="409">
        <f t="shared" si="15"/>
        <v>250</v>
      </c>
      <c r="AG22" s="394">
        <f t="shared" si="16"/>
        <v>0</v>
      </c>
      <c r="AH22" s="138"/>
      <c r="AI22" s="395">
        <f t="shared" si="17"/>
        <v>0</v>
      </c>
      <c r="AJ22" s="396" t="str">
        <f t="shared" si="18"/>
        <v/>
      </c>
      <c r="AK22" s="53"/>
      <c r="AL22" s="391">
        <f>IFERROR(VLOOKUP($C22,'Proposed Rates'!$B:$J,AL$11,FALSE),0)</f>
        <v>0</v>
      </c>
      <c r="AM22" s="409">
        <f t="shared" si="19"/>
        <v>250</v>
      </c>
      <c r="AN22" s="394">
        <f t="shared" si="20"/>
        <v>0</v>
      </c>
      <c r="AO22" s="138"/>
      <c r="AP22" s="395">
        <f t="shared" si="21"/>
        <v>0</v>
      </c>
      <c r="AQ22" s="396" t="str">
        <f t="shared" si="22"/>
        <v/>
      </c>
      <c r="AR22" s="397"/>
    </row>
    <row r="23" spans="1:44" ht="12" customHeight="1">
      <c r="A23" s="545"/>
      <c r="B23" s="398"/>
      <c r="C23" s="389" t="str">
        <f t="shared" si="0"/>
        <v>General Service 50 to 1,499 KW.</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row>
    <row r="24" spans="1:44" ht="12" customHeight="1">
      <c r="A24" s="545"/>
      <c r="B24" s="398"/>
      <c r="C24" s="389" t="str">
        <f t="shared" si="0"/>
        <v>General Service 50 to 1,499 KW.</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row>
    <row r="25" spans="1:44" ht="12" customHeight="1">
      <c r="A25" s="545"/>
      <c r="B25" s="398"/>
      <c r="C25" s="389" t="str">
        <f t="shared" si="0"/>
        <v>General Service 50 to 1,499 KW.</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row>
    <row r="26" spans="1:44" ht="12" customHeight="1">
      <c r="A26" s="545"/>
      <c r="B26" s="398"/>
      <c r="C26" s="389" t="str">
        <f t="shared" si="0"/>
        <v>General Service 50 to 1,499 KW.</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row>
    <row r="27" spans="1:44" ht="12" customHeight="1">
      <c r="A27" s="545"/>
      <c r="B27" s="398"/>
      <c r="C27" s="389" t="str">
        <f t="shared" si="0"/>
        <v>General Service 50 to 1,499 KW.</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row>
    <row r="28" spans="1:44" ht="12" customHeight="1">
      <c r="A28" s="545"/>
      <c r="B28" s="398"/>
      <c r="C28" s="389" t="str">
        <f t="shared" si="0"/>
        <v>General Service 50 to 1,499 KW.</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row>
    <row r="29" spans="1:44" ht="12" customHeight="1">
      <c r="A29" s="545"/>
      <c r="B29" s="399" t="s">
        <v>339</v>
      </c>
      <c r="C29" s="400"/>
      <c r="D29" s="400"/>
      <c r="E29" s="400"/>
      <c r="F29" s="401"/>
      <c r="G29" s="494"/>
      <c r="H29" s="403">
        <f>SUM(H15:H28)</f>
        <v>1776.9</v>
      </c>
      <c r="I29" s="404"/>
      <c r="J29" s="401"/>
      <c r="K29" s="494"/>
      <c r="L29" s="403">
        <f>SUM(L15:L28)</f>
        <v>2160.2800000000002</v>
      </c>
      <c r="M29" s="404"/>
      <c r="N29" s="405">
        <f t="shared" si="5"/>
        <v>383.38000000000011</v>
      </c>
      <c r="O29" s="406">
        <f t="shared" si="6"/>
        <v>0.21575778040407456</v>
      </c>
      <c r="P29" s="314"/>
      <c r="Q29" s="401"/>
      <c r="R29" s="494"/>
      <c r="S29" s="403">
        <f>SUM(S15:S28)</f>
        <v>2339.5050000000001</v>
      </c>
      <c r="T29" s="404"/>
      <c r="U29" s="405">
        <f t="shared" si="9"/>
        <v>179.22499999999991</v>
      </c>
      <c r="V29" s="406">
        <f t="shared" si="10"/>
        <v>8.2963782472642383E-2</v>
      </c>
      <c r="W29" s="314"/>
      <c r="X29" s="401"/>
      <c r="Y29" s="494"/>
      <c r="Z29" s="403">
        <f>SUM(Z15:Z28)</f>
        <v>2376.8249999999998</v>
      </c>
      <c r="AA29" s="404"/>
      <c r="AB29" s="405">
        <f t="shared" si="13"/>
        <v>37.319999999999709</v>
      </c>
      <c r="AC29" s="406">
        <f t="shared" si="14"/>
        <v>1.5952092429808745E-2</v>
      </c>
      <c r="AD29" s="314"/>
      <c r="AE29" s="401"/>
      <c r="AF29" s="494"/>
      <c r="AG29" s="403">
        <f>SUM(AG15:AG28)</f>
        <v>2459.65</v>
      </c>
      <c r="AH29" s="404"/>
      <c r="AI29" s="405">
        <f t="shared" si="17"/>
        <v>82.825000000000273</v>
      </c>
      <c r="AJ29" s="406">
        <f t="shared" si="18"/>
        <v>3.4846907113481339E-2</v>
      </c>
      <c r="AK29" s="314"/>
      <c r="AL29" s="401"/>
      <c r="AM29" s="494"/>
      <c r="AN29" s="403">
        <f>SUM(AN15:AN28)</f>
        <v>2535.4</v>
      </c>
      <c r="AO29" s="404"/>
      <c r="AP29" s="405">
        <f t="shared" si="21"/>
        <v>75.75</v>
      </c>
      <c r="AQ29" s="406">
        <f t="shared" si="22"/>
        <v>3.0797064623015468E-2</v>
      </c>
      <c r="AR29" s="407"/>
    </row>
    <row r="30" spans="1:44" ht="12" customHeight="1">
      <c r="A30" s="545"/>
      <c r="B30" s="398" t="s">
        <v>262</v>
      </c>
      <c r="C30" s="389" t="str">
        <f t="shared" ref="C30:C38" si="23">D$6&amp;"."&amp;B30</f>
        <v>General Service 50 to 1,499 KW.DVA Disposition Rate Rider Group 1 -2025</v>
      </c>
      <c r="D30" s="390" t="s">
        <v>406</v>
      </c>
      <c r="E30" s="328"/>
      <c r="F30" s="408">
        <f>IFERROR(VLOOKUP($C30,'Proposed Rates'!$B:$J,F$11,FALSE),0)</f>
        <v>0.35310000000000002</v>
      </c>
      <c r="G30" s="409">
        <f t="shared" ref="G30:G36" si="24">IF($D30="Monthly",1,IF($D30="per KW",$F$10,IF($D30="per kWh",$F$9,0)))</f>
        <v>250</v>
      </c>
      <c r="H30" s="394">
        <f t="shared" ref="H30:H38" si="25">G30*F30</f>
        <v>88.275000000000006</v>
      </c>
      <c r="I30" s="138"/>
      <c r="J30" s="408">
        <f>IFERROR(VLOOKUP($C30,'Proposed Rates'!$B:$J,J$11,FALSE),0)</f>
        <v>1.2999999999999999E-2</v>
      </c>
      <c r="K30" s="409">
        <f t="shared" ref="K30:K36" si="26">IF($D30="Monthly",1,IF($D30="per KW",$F$10,IF($D30="per kWh",$F$9,0)))</f>
        <v>250</v>
      </c>
      <c r="L30" s="394">
        <f t="shared" ref="L30:L38" si="27">K30*J30</f>
        <v>3.25</v>
      </c>
      <c r="M30" s="138"/>
      <c r="N30" s="395">
        <f t="shared" si="5"/>
        <v>-85.025000000000006</v>
      </c>
      <c r="O30" s="396">
        <f t="shared" si="6"/>
        <v>-0.96318323421127161</v>
      </c>
      <c r="P30" s="53"/>
      <c r="Q30" s="408">
        <f>IFERROR(VLOOKUP($C30,'Proposed Rates'!$B:$J,Q$11,FALSE),0)</f>
        <v>0</v>
      </c>
      <c r="R30" s="409">
        <f t="shared" ref="R30:R36" si="28">IF($D30="Monthly",1,IF($D30="per KW",$F$10,IF($D30="per kWh",$F$9,0)))</f>
        <v>250</v>
      </c>
      <c r="S30" s="394">
        <f t="shared" ref="S30:S38" si="29">R30*Q30</f>
        <v>0</v>
      </c>
      <c r="T30" s="138"/>
      <c r="U30" s="395">
        <f t="shared" si="9"/>
        <v>-3.25</v>
      </c>
      <c r="V30" s="396">
        <f t="shared" si="10"/>
        <v>-1</v>
      </c>
      <c r="W30" s="53"/>
      <c r="X30" s="408">
        <f>IFERROR(VLOOKUP($C30,'Proposed Rates'!$B:$J,X$11,FALSE),0)</f>
        <v>0</v>
      </c>
      <c r="Y30" s="409">
        <f t="shared" ref="Y30:Y36" si="30">IF($D30="Monthly",1,IF($D30="per KW",$F$10,IF($D30="per kWh",$F$9,0)))</f>
        <v>250</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250</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250</v>
      </c>
      <c r="AN30" s="394">
        <f t="shared" ref="AN30:AN38" si="35">AM30*AL30</f>
        <v>0</v>
      </c>
      <c r="AO30" s="138"/>
      <c r="AP30" s="395">
        <f t="shared" si="21"/>
        <v>0</v>
      </c>
      <c r="AQ30" s="396" t="str">
        <f t="shared" si="22"/>
        <v/>
      </c>
      <c r="AR30" s="397"/>
    </row>
    <row r="31" spans="1:44" ht="12" customHeight="1">
      <c r="A31" s="545"/>
      <c r="B31" s="398" t="s">
        <v>264</v>
      </c>
      <c r="C31" s="389" t="str">
        <f t="shared" si="23"/>
        <v>General Service 50 to 1,499 KW.DVA Disposition Rate Rider Group 1 - 2024</v>
      </c>
      <c r="D31" s="390" t="s">
        <v>406</v>
      </c>
      <c r="E31" s="328"/>
      <c r="F31" s="408">
        <f>IFERROR(VLOOKUP($C31,'Proposed Rates'!$B:$J,F$11,FALSE),0)</f>
        <v>0</v>
      </c>
      <c r="G31" s="409">
        <f t="shared" si="24"/>
        <v>250</v>
      </c>
      <c r="H31" s="394">
        <f t="shared" si="25"/>
        <v>0</v>
      </c>
      <c r="I31" s="138"/>
      <c r="J31" s="408">
        <f>IFERROR(VLOOKUP($C31,'Proposed Rates'!$B:$J,J$11,FALSE),0)</f>
        <v>0</v>
      </c>
      <c r="K31" s="409">
        <f t="shared" si="26"/>
        <v>250</v>
      </c>
      <c r="L31" s="394">
        <f t="shared" si="27"/>
        <v>0</v>
      </c>
      <c r="M31" s="138"/>
      <c r="N31" s="395">
        <f t="shared" si="5"/>
        <v>0</v>
      </c>
      <c r="O31" s="396" t="str">
        <f t="shared" si="6"/>
        <v/>
      </c>
      <c r="P31" s="53"/>
      <c r="Q31" s="408">
        <f>IFERROR(VLOOKUP($C31,'Proposed Rates'!$B:$J,Q$11,FALSE),0)</f>
        <v>0</v>
      </c>
      <c r="R31" s="409">
        <f t="shared" si="28"/>
        <v>250</v>
      </c>
      <c r="S31" s="394">
        <f t="shared" si="29"/>
        <v>0</v>
      </c>
      <c r="T31" s="138"/>
      <c r="U31" s="395">
        <f t="shared" si="9"/>
        <v>0</v>
      </c>
      <c r="V31" s="396" t="str">
        <f t="shared" si="10"/>
        <v/>
      </c>
      <c r="W31" s="53"/>
      <c r="X31" s="408">
        <f>IFERROR(VLOOKUP($C31,'Proposed Rates'!$B:$J,X$11,FALSE),0)</f>
        <v>0</v>
      </c>
      <c r="Y31" s="409">
        <f t="shared" si="30"/>
        <v>250</v>
      </c>
      <c r="Z31" s="394">
        <f t="shared" si="31"/>
        <v>0</v>
      </c>
      <c r="AA31" s="138"/>
      <c r="AB31" s="395">
        <f t="shared" si="13"/>
        <v>0</v>
      </c>
      <c r="AC31" s="396" t="str">
        <f t="shared" si="14"/>
        <v/>
      </c>
      <c r="AD31" s="53"/>
      <c r="AE31" s="408">
        <f>IFERROR(VLOOKUP($C31,'Proposed Rates'!$B:$J,AE$11,FALSE),0)</f>
        <v>0</v>
      </c>
      <c r="AF31" s="409">
        <f t="shared" si="32"/>
        <v>250</v>
      </c>
      <c r="AG31" s="394">
        <f t="shared" si="33"/>
        <v>0</v>
      </c>
      <c r="AH31" s="138"/>
      <c r="AI31" s="395">
        <f t="shared" si="17"/>
        <v>0</v>
      </c>
      <c r="AJ31" s="396" t="str">
        <f t="shared" si="18"/>
        <v/>
      </c>
      <c r="AK31" s="53"/>
      <c r="AL31" s="408">
        <f>IFERROR(VLOOKUP($C31,'Proposed Rates'!$B:$J,AL$11,FALSE),0)</f>
        <v>0</v>
      </c>
      <c r="AM31" s="409">
        <f t="shared" si="34"/>
        <v>250</v>
      </c>
      <c r="AN31" s="394">
        <f t="shared" si="35"/>
        <v>0</v>
      </c>
      <c r="AO31" s="138"/>
      <c r="AP31" s="395">
        <f t="shared" si="21"/>
        <v>0</v>
      </c>
      <c r="AQ31" s="396" t="str">
        <f t="shared" si="22"/>
        <v/>
      </c>
      <c r="AR31" s="397"/>
    </row>
    <row r="32" spans="1:44" ht="12" customHeight="1">
      <c r="A32" s="545"/>
      <c r="B32" s="398" t="s">
        <v>272</v>
      </c>
      <c r="C32" s="389" t="str">
        <f t="shared" si="23"/>
        <v>General Service 50 to 1,499 KW.CBR Class B Rate Riders</v>
      </c>
      <c r="D32" s="390" t="s">
        <v>337</v>
      </c>
      <c r="E32" s="328"/>
      <c r="F32" s="408">
        <f>IFERROR(VLOOKUP($C32,'Proposed Rates'!$B:$J,F$11,FALSE),0)</f>
        <v>2.0000000000000001E-4</v>
      </c>
      <c r="G32" s="409">
        <f t="shared" si="24"/>
        <v>127750</v>
      </c>
      <c r="H32" s="394">
        <f t="shared" si="25"/>
        <v>25.55</v>
      </c>
      <c r="I32" s="479"/>
      <c r="J32" s="408">
        <f>IFERROR(VLOOKUP($C32,'Proposed Rates'!$B:$J,J$11,FALSE),0)</f>
        <v>6.9999999999999999E-4</v>
      </c>
      <c r="K32" s="409">
        <f t="shared" si="26"/>
        <v>127750</v>
      </c>
      <c r="L32" s="394">
        <f t="shared" si="27"/>
        <v>89.424999999999997</v>
      </c>
      <c r="M32" s="411"/>
      <c r="N32" s="395">
        <f t="shared" si="5"/>
        <v>63.875</v>
      </c>
      <c r="O32" s="396">
        <f t="shared" si="6"/>
        <v>2.5</v>
      </c>
      <c r="P32" s="53"/>
      <c r="Q32" s="408">
        <f>IFERROR(VLOOKUP($C32,'Proposed Rates'!$B:$J,Q$11,FALSE),0)</f>
        <v>0</v>
      </c>
      <c r="R32" s="409">
        <f t="shared" si="28"/>
        <v>127750</v>
      </c>
      <c r="S32" s="394">
        <f t="shared" si="29"/>
        <v>0</v>
      </c>
      <c r="T32" s="411"/>
      <c r="U32" s="395">
        <f t="shared" si="9"/>
        <v>-89.424999999999997</v>
      </c>
      <c r="V32" s="396">
        <f t="shared" si="10"/>
        <v>-1</v>
      </c>
      <c r="W32" s="53"/>
      <c r="X32" s="408">
        <f>IFERROR(VLOOKUP($C32,'Proposed Rates'!$B:$J,X$11,FALSE),0)</f>
        <v>0</v>
      </c>
      <c r="Y32" s="409">
        <f t="shared" si="30"/>
        <v>127750</v>
      </c>
      <c r="Z32" s="394">
        <f t="shared" si="31"/>
        <v>0</v>
      </c>
      <c r="AA32" s="138"/>
      <c r="AB32" s="395">
        <f t="shared" si="13"/>
        <v>0</v>
      </c>
      <c r="AC32" s="396" t="str">
        <f t="shared" si="14"/>
        <v/>
      </c>
      <c r="AD32" s="53"/>
      <c r="AE32" s="408">
        <f>IFERROR(VLOOKUP($C32,'Proposed Rates'!$B:$J,AE$11,FALSE),0)</f>
        <v>0</v>
      </c>
      <c r="AF32" s="409">
        <f t="shared" si="32"/>
        <v>127750</v>
      </c>
      <c r="AG32" s="394">
        <f t="shared" si="33"/>
        <v>0</v>
      </c>
      <c r="AH32" s="138"/>
      <c r="AI32" s="395">
        <f t="shared" si="17"/>
        <v>0</v>
      </c>
      <c r="AJ32" s="396" t="str">
        <f t="shared" si="18"/>
        <v/>
      </c>
      <c r="AK32" s="53"/>
      <c r="AL32" s="408">
        <f>IFERROR(VLOOKUP($C32,'Proposed Rates'!$B:$J,AL$11,FALSE),0)</f>
        <v>0</v>
      </c>
      <c r="AM32" s="409">
        <f t="shared" si="34"/>
        <v>127750</v>
      </c>
      <c r="AN32" s="394">
        <f t="shared" si="35"/>
        <v>0</v>
      </c>
      <c r="AO32" s="411"/>
      <c r="AP32" s="395">
        <f t="shared" si="21"/>
        <v>0</v>
      </c>
      <c r="AQ32" s="396" t="str">
        <f t="shared" si="22"/>
        <v/>
      </c>
      <c r="AR32" s="397"/>
    </row>
    <row r="33" spans="1:44" ht="12" customHeight="1">
      <c r="A33" s="545"/>
      <c r="B33" s="398" t="s">
        <v>279</v>
      </c>
      <c r="C33" s="389" t="str">
        <f t="shared" si="23"/>
        <v>General Service 50 to 1,499 KW.GA Rate Riders</v>
      </c>
      <c r="D33" s="390" t="s">
        <v>337</v>
      </c>
      <c r="E33" s="328"/>
      <c r="F33" s="408">
        <f>IFERROR(VLOOKUP($C33,'Proposed Rates'!$B:$J,F$11,FALSE),0)</f>
        <v>3.8999999999999998E-3</v>
      </c>
      <c r="G33" s="409">
        <f t="shared" si="24"/>
        <v>127750</v>
      </c>
      <c r="H33" s="394">
        <f t="shared" si="25"/>
        <v>498.22499999999997</v>
      </c>
      <c r="I33" s="479"/>
      <c r="J33" s="408">
        <f>IFERROR(VLOOKUP($C33,'Proposed Rates'!$B:$J,J$11,FALSE),0)</f>
        <v>4.4999999999999997E-3</v>
      </c>
      <c r="K33" s="409">
        <f t="shared" si="26"/>
        <v>127750</v>
      </c>
      <c r="L33" s="394">
        <f t="shared" si="27"/>
        <v>574.875</v>
      </c>
      <c r="M33" s="411"/>
      <c r="N33" s="395">
        <f t="shared" si="5"/>
        <v>76.650000000000034</v>
      </c>
      <c r="O33" s="396">
        <f t="shared" si="6"/>
        <v>0.15384615384615394</v>
      </c>
      <c r="P33" s="53"/>
      <c r="Q33" s="408">
        <f>IFERROR(VLOOKUP($C33,'Proposed Rates'!$B:$J,Q$11,FALSE),0)</f>
        <v>4.4999999999999997E-3</v>
      </c>
      <c r="R33" s="409">
        <f t="shared" si="28"/>
        <v>127750</v>
      </c>
      <c r="S33" s="394">
        <f t="shared" si="29"/>
        <v>574.875</v>
      </c>
      <c r="T33" s="411"/>
      <c r="U33" s="395">
        <f t="shared" si="9"/>
        <v>0</v>
      </c>
      <c r="V33" s="396">
        <f t="shared" si="10"/>
        <v>0</v>
      </c>
      <c r="W33" s="53"/>
      <c r="X33" s="408">
        <f>IFERROR(VLOOKUP($C33,'Proposed Rates'!$B:$J,X$11,FALSE),0)</f>
        <v>0</v>
      </c>
      <c r="Y33" s="409">
        <f t="shared" si="30"/>
        <v>127750</v>
      </c>
      <c r="Z33" s="394">
        <f t="shared" si="31"/>
        <v>0</v>
      </c>
      <c r="AA33" s="411"/>
      <c r="AB33" s="395">
        <f t="shared" si="13"/>
        <v>-574.875</v>
      </c>
      <c r="AC33" s="396">
        <f t="shared" si="14"/>
        <v>-1</v>
      </c>
      <c r="AD33" s="53"/>
      <c r="AE33" s="408">
        <f>IFERROR(VLOOKUP($C33,'Proposed Rates'!$B:$J,AE$11,FALSE),0)</f>
        <v>0</v>
      </c>
      <c r="AF33" s="409">
        <f t="shared" si="32"/>
        <v>127750</v>
      </c>
      <c r="AG33" s="394">
        <f t="shared" si="33"/>
        <v>0</v>
      </c>
      <c r="AH33" s="411"/>
      <c r="AI33" s="395">
        <f t="shared" si="17"/>
        <v>0</v>
      </c>
      <c r="AJ33" s="396" t="str">
        <f t="shared" si="18"/>
        <v/>
      </c>
      <c r="AK33" s="53"/>
      <c r="AL33" s="408">
        <f>IFERROR(VLOOKUP($C33,'Proposed Rates'!$B:$J,AL$11,FALSE),0)</f>
        <v>0</v>
      </c>
      <c r="AM33" s="409">
        <f t="shared" si="34"/>
        <v>127750</v>
      </c>
      <c r="AN33" s="394">
        <f t="shared" si="35"/>
        <v>0</v>
      </c>
      <c r="AO33" s="411"/>
      <c r="AP33" s="395">
        <f t="shared" si="21"/>
        <v>0</v>
      </c>
      <c r="AQ33" s="396" t="str">
        <f t="shared" si="22"/>
        <v/>
      </c>
      <c r="AR33" s="397"/>
    </row>
    <row r="34" spans="1:44" ht="12" customHeight="1">
      <c r="A34" s="545"/>
      <c r="B34" s="398" t="s">
        <v>282</v>
      </c>
      <c r="C34" s="389" t="str">
        <f t="shared" si="23"/>
        <v>General Service 50 to 1,499 KW.Total Deferral/Variance Account Rate RidersYr2</v>
      </c>
      <c r="D34" s="390" t="s">
        <v>406</v>
      </c>
      <c r="E34" s="328"/>
      <c r="F34" s="408">
        <f>IFERROR(VLOOKUP($C34,'Proposed Rates'!$B:$J,F$11,FALSE),0)</f>
        <v>-0.30499999999999999</v>
      </c>
      <c r="G34" s="409">
        <f t="shared" si="24"/>
        <v>250</v>
      </c>
      <c r="H34" s="394">
        <f t="shared" si="25"/>
        <v>-76.25</v>
      </c>
      <c r="I34" s="479"/>
      <c r="J34" s="408">
        <f>IFERROR(VLOOKUP($C34,'Proposed Rates'!$B:$J,J$11,FALSE),0)</f>
        <v>-0.37569999999999998</v>
      </c>
      <c r="K34" s="409">
        <f t="shared" si="26"/>
        <v>250</v>
      </c>
      <c r="L34" s="394">
        <f t="shared" si="27"/>
        <v>-93.924999999999997</v>
      </c>
      <c r="M34" s="411"/>
      <c r="N34" s="395">
        <f t="shared" si="5"/>
        <v>-17.674999999999997</v>
      </c>
      <c r="O34" s="396">
        <f t="shared" si="6"/>
        <v>0.23180327868852454</v>
      </c>
      <c r="P34" s="53"/>
      <c r="Q34" s="408">
        <f>IFERROR(VLOOKUP($C34,'Proposed Rates'!$B:$J,Q$11,FALSE),0)</f>
        <v>0</v>
      </c>
      <c r="R34" s="409">
        <f t="shared" si="28"/>
        <v>250</v>
      </c>
      <c r="S34" s="394">
        <f t="shared" si="29"/>
        <v>0</v>
      </c>
      <c r="T34" s="411"/>
      <c r="U34" s="395">
        <f t="shared" si="9"/>
        <v>93.924999999999997</v>
      </c>
      <c r="V34" s="396">
        <f t="shared" si="10"/>
        <v>-1</v>
      </c>
      <c r="W34" s="53"/>
      <c r="X34" s="408">
        <f>IFERROR(VLOOKUP($C34,'Proposed Rates'!$B:$J,X$11,FALSE),0)</f>
        <v>0</v>
      </c>
      <c r="Y34" s="409">
        <f t="shared" si="30"/>
        <v>250</v>
      </c>
      <c r="Z34" s="394">
        <f t="shared" si="31"/>
        <v>0</v>
      </c>
      <c r="AA34" s="411"/>
      <c r="AB34" s="395">
        <f t="shared" si="13"/>
        <v>0</v>
      </c>
      <c r="AC34" s="396" t="str">
        <f t="shared" si="14"/>
        <v/>
      </c>
      <c r="AD34" s="53"/>
      <c r="AE34" s="408">
        <f>IFERROR(VLOOKUP($C34,'Proposed Rates'!$B:$J,AE$11,FALSE),0)</f>
        <v>0</v>
      </c>
      <c r="AF34" s="409">
        <f t="shared" si="32"/>
        <v>250</v>
      </c>
      <c r="AG34" s="394">
        <f t="shared" si="33"/>
        <v>0</v>
      </c>
      <c r="AH34" s="411"/>
      <c r="AI34" s="395">
        <f t="shared" si="17"/>
        <v>0</v>
      </c>
      <c r="AJ34" s="396" t="str">
        <f t="shared" si="18"/>
        <v/>
      </c>
      <c r="AK34" s="53"/>
      <c r="AL34" s="408">
        <f>IFERROR(VLOOKUP($C34,'Proposed Rates'!$B:$J,AL$11,FALSE),0)</f>
        <v>0</v>
      </c>
      <c r="AM34" s="409">
        <f t="shared" si="34"/>
        <v>250</v>
      </c>
      <c r="AN34" s="394">
        <f t="shared" si="35"/>
        <v>0</v>
      </c>
      <c r="AO34" s="411"/>
      <c r="AP34" s="395">
        <f t="shared" si="21"/>
        <v>0</v>
      </c>
      <c r="AQ34" s="396" t="str">
        <f t="shared" si="22"/>
        <v/>
      </c>
      <c r="AR34" s="397"/>
    </row>
    <row r="35" spans="1:44" ht="12" customHeight="1">
      <c r="A35" s="545"/>
      <c r="B35" s="398" t="s">
        <v>284</v>
      </c>
      <c r="C35" s="389" t="str">
        <f t="shared" si="23"/>
        <v>General Service 50 to 1,499 KW.Total Deferral/Variance Account Rate Riders</v>
      </c>
      <c r="D35" s="390" t="s">
        <v>406</v>
      </c>
      <c r="E35" s="328"/>
      <c r="F35" s="408">
        <f>IFERROR(VLOOKUP($C35,'Proposed Rates'!$B:$J,F$11,FALSE),0)</f>
        <v>0</v>
      </c>
      <c r="G35" s="409">
        <f t="shared" si="24"/>
        <v>250</v>
      </c>
      <c r="H35" s="394">
        <f t="shared" si="25"/>
        <v>0</v>
      </c>
      <c r="I35" s="138"/>
      <c r="J35" s="408">
        <f>IFERROR(VLOOKUP($C35,'Proposed Rates'!$B:$J,J$11,FALSE),0)</f>
        <v>0</v>
      </c>
      <c r="K35" s="409">
        <f t="shared" si="26"/>
        <v>250</v>
      </c>
      <c r="L35" s="394">
        <f t="shared" si="27"/>
        <v>0</v>
      </c>
      <c r="M35" s="138"/>
      <c r="N35" s="395">
        <f t="shared" si="5"/>
        <v>0</v>
      </c>
      <c r="O35" s="396" t="str">
        <f t="shared" si="6"/>
        <v/>
      </c>
      <c r="P35" s="53"/>
      <c r="Q35" s="408">
        <f>IFERROR(VLOOKUP($C35,'Proposed Rates'!$B:$J,Q$11,FALSE),0)</f>
        <v>0</v>
      </c>
      <c r="R35" s="409">
        <f t="shared" si="28"/>
        <v>250</v>
      </c>
      <c r="S35" s="394">
        <f t="shared" si="29"/>
        <v>0</v>
      </c>
      <c r="T35" s="138"/>
      <c r="U35" s="395">
        <f t="shared" si="9"/>
        <v>0</v>
      </c>
      <c r="V35" s="396" t="str">
        <f t="shared" si="10"/>
        <v/>
      </c>
      <c r="W35" s="53"/>
      <c r="X35" s="408">
        <f>IFERROR(VLOOKUP($C35,'Proposed Rates'!$B:$J,X$11,FALSE),0)</f>
        <v>0</v>
      </c>
      <c r="Y35" s="409">
        <f t="shared" si="30"/>
        <v>250</v>
      </c>
      <c r="Z35" s="394">
        <f t="shared" si="31"/>
        <v>0</v>
      </c>
      <c r="AA35" s="138"/>
      <c r="AB35" s="395"/>
      <c r="AC35" s="396"/>
      <c r="AD35" s="53"/>
      <c r="AE35" s="408">
        <f>IFERROR(VLOOKUP($C35,'Proposed Rates'!$B:$J,AE$11,FALSE),0)</f>
        <v>0</v>
      </c>
      <c r="AF35" s="409">
        <f t="shared" si="32"/>
        <v>250</v>
      </c>
      <c r="AG35" s="394">
        <f t="shared" si="33"/>
        <v>0</v>
      </c>
      <c r="AH35" s="138"/>
      <c r="AI35" s="395">
        <f t="shared" si="17"/>
        <v>0</v>
      </c>
      <c r="AJ35" s="396" t="str">
        <f t="shared" si="18"/>
        <v/>
      </c>
      <c r="AK35" s="53"/>
      <c r="AL35" s="408">
        <f>IFERROR(VLOOKUP($C35,'Proposed Rates'!$B:$J,AL$11,FALSE),0)</f>
        <v>0</v>
      </c>
      <c r="AM35" s="409">
        <f t="shared" si="34"/>
        <v>250</v>
      </c>
      <c r="AN35" s="394">
        <f t="shared" si="35"/>
        <v>0</v>
      </c>
      <c r="AO35" s="138"/>
      <c r="AP35" s="395">
        <f t="shared" si="21"/>
        <v>0</v>
      </c>
      <c r="AQ35" s="396" t="str">
        <f t="shared" si="22"/>
        <v/>
      </c>
      <c r="AR35" s="397"/>
    </row>
    <row r="36" spans="1:44" ht="12" customHeight="1">
      <c r="A36" s="545"/>
      <c r="B36" s="328" t="s">
        <v>300</v>
      </c>
      <c r="C36" s="389" t="str">
        <f t="shared" si="23"/>
        <v>General Service 50 to 1,499 KW.Low Voltage Service Charge</v>
      </c>
      <c r="D36" s="390" t="s">
        <v>406</v>
      </c>
      <c r="E36" s="328"/>
      <c r="F36" s="408">
        <f>IFERROR(VLOOKUP($C36,'Proposed Rates'!$B:$J,F$11,FALSE),0)</f>
        <v>2.0629999999999999E-2</v>
      </c>
      <c r="G36" s="409">
        <f t="shared" si="24"/>
        <v>250</v>
      </c>
      <c r="H36" s="394">
        <f t="shared" si="25"/>
        <v>5.1574999999999998</v>
      </c>
      <c r="I36" s="138"/>
      <c r="J36" s="408">
        <f>IFERROR(VLOOKUP($C36,'Proposed Rates'!$B:$J,J$11,FALSE),0)</f>
        <v>2.332E-2</v>
      </c>
      <c r="K36" s="409">
        <f t="shared" si="26"/>
        <v>250</v>
      </c>
      <c r="L36" s="394">
        <f t="shared" si="27"/>
        <v>5.83</v>
      </c>
      <c r="M36" s="138"/>
      <c r="N36" s="395">
        <f t="shared" si="5"/>
        <v>0.67250000000000032</v>
      </c>
      <c r="O36" s="396">
        <f t="shared" si="6"/>
        <v>0.13039263208919058</v>
      </c>
      <c r="P36" s="53"/>
      <c r="Q36" s="408">
        <f>IFERROR(VLOOKUP($C36,'Proposed Rates'!$B:$J,Q$11,FALSE),0)</f>
        <v>2.392E-2</v>
      </c>
      <c r="R36" s="409">
        <f t="shared" si="28"/>
        <v>250</v>
      </c>
      <c r="S36" s="394">
        <f t="shared" si="29"/>
        <v>5.98</v>
      </c>
      <c r="T36" s="138"/>
      <c r="U36" s="395">
        <f t="shared" si="9"/>
        <v>0.15000000000000036</v>
      </c>
      <c r="V36" s="396">
        <f t="shared" si="10"/>
        <v>2.5728987993138996E-2</v>
      </c>
      <c r="W36" s="53"/>
      <c r="X36" s="408">
        <f>IFERROR(VLOOKUP($C36,'Proposed Rates'!$B:$J,X$11,FALSE),0)</f>
        <v>2.4209999999999999E-2</v>
      </c>
      <c r="Y36" s="409">
        <f t="shared" si="30"/>
        <v>250</v>
      </c>
      <c r="Z36" s="394">
        <f t="shared" si="31"/>
        <v>6.0524999999999993</v>
      </c>
      <c r="AA36" s="138"/>
      <c r="AB36" s="395">
        <f t="shared" ref="AB36:AB46" si="36">Z36-S36</f>
        <v>7.2499999999998899E-2</v>
      </c>
      <c r="AC36" s="396">
        <f t="shared" ref="AC36:AC46" si="37">IF((S36)=0,"",(AB36/S36))</f>
        <v>1.2123745819397808E-2</v>
      </c>
      <c r="AD36" s="53"/>
      <c r="AE36" s="408">
        <f>IFERROR(VLOOKUP($C36,'Proposed Rates'!$B:$J,AE$11,FALSE),0)</f>
        <v>2.46E-2</v>
      </c>
      <c r="AF36" s="409">
        <f t="shared" si="32"/>
        <v>250</v>
      </c>
      <c r="AG36" s="394">
        <f t="shared" si="33"/>
        <v>6.15</v>
      </c>
      <c r="AH36" s="138"/>
      <c r="AI36" s="395">
        <f t="shared" si="17"/>
        <v>9.750000000000103E-2</v>
      </c>
      <c r="AJ36" s="396">
        <f t="shared" si="18"/>
        <v>1.6109045848822973E-2</v>
      </c>
      <c r="AK36" s="53"/>
      <c r="AL36" s="408">
        <f>IFERROR(VLOOKUP($C36,'Proposed Rates'!$B:$J,AL$11,FALSE),0)</f>
        <v>2.504E-2</v>
      </c>
      <c r="AM36" s="409">
        <f t="shared" si="34"/>
        <v>250</v>
      </c>
      <c r="AN36" s="394">
        <f t="shared" si="35"/>
        <v>6.26</v>
      </c>
      <c r="AO36" s="138"/>
      <c r="AP36" s="395">
        <f t="shared" si="21"/>
        <v>0.10999999999999943</v>
      </c>
      <c r="AQ36" s="396">
        <f t="shared" si="22"/>
        <v>1.7886178861788525E-2</v>
      </c>
      <c r="AR36" s="397"/>
    </row>
    <row r="37" spans="1:44" ht="12" customHeight="1">
      <c r="A37" s="545"/>
      <c r="B37" s="328" t="s">
        <v>341</v>
      </c>
      <c r="C37" s="389" t="str">
        <f t="shared" si="23"/>
        <v>General Service 50 to 1,499 KW.Line Losses on Cost of Power</v>
      </c>
      <c r="D37" s="390" t="s">
        <v>337</v>
      </c>
      <c r="E37" s="328"/>
      <c r="F37" s="424"/>
      <c r="G37" s="415">
        <f>$F$9*(1+F$65)-$F$9</f>
        <v>4317.9500000000116</v>
      </c>
      <c r="H37" s="394">
        <f t="shared" si="25"/>
        <v>0</v>
      </c>
      <c r="I37" s="138"/>
      <c r="J37" s="424"/>
      <c r="K37" s="415">
        <f>$F$9*(1+J$65)-$F$9</f>
        <v>4241.2999999999884</v>
      </c>
      <c r="L37" s="394">
        <f t="shared" si="27"/>
        <v>0</v>
      </c>
      <c r="M37" s="138"/>
      <c r="N37" s="395">
        <f t="shared" si="5"/>
        <v>0</v>
      </c>
      <c r="O37" s="396" t="str">
        <f t="shared" si="6"/>
        <v/>
      </c>
      <c r="P37" s="53"/>
      <c r="Q37" s="424"/>
      <c r="R37" s="415">
        <f>$F$9*(1+Q$65)-$F$9</f>
        <v>4241.2999999999884</v>
      </c>
      <c r="S37" s="394">
        <f t="shared" si="29"/>
        <v>0</v>
      </c>
      <c r="T37" s="138"/>
      <c r="U37" s="395">
        <f t="shared" si="9"/>
        <v>0</v>
      </c>
      <c r="V37" s="396" t="str">
        <f t="shared" si="10"/>
        <v/>
      </c>
      <c r="W37" s="53"/>
      <c r="X37" s="424"/>
      <c r="Y37" s="415">
        <f>$F$9*(1+X$65)-$F$9</f>
        <v>4241.2999999999884</v>
      </c>
      <c r="Z37" s="394">
        <f t="shared" si="31"/>
        <v>0</v>
      </c>
      <c r="AA37" s="138"/>
      <c r="AB37" s="395">
        <f t="shared" si="36"/>
        <v>0</v>
      </c>
      <c r="AC37" s="396" t="str">
        <f t="shared" si="37"/>
        <v/>
      </c>
      <c r="AD37" s="53"/>
      <c r="AE37" s="424"/>
      <c r="AF37" s="415">
        <f>$F$9*(1+AE$65)-$F$9</f>
        <v>4241.2999999999884</v>
      </c>
      <c r="AG37" s="394">
        <f t="shared" si="33"/>
        <v>0</v>
      </c>
      <c r="AH37" s="138"/>
      <c r="AI37" s="395">
        <f t="shared" si="17"/>
        <v>0</v>
      </c>
      <c r="AJ37" s="396" t="str">
        <f t="shared" si="18"/>
        <v/>
      </c>
      <c r="AK37" s="53"/>
      <c r="AL37" s="424"/>
      <c r="AM37" s="415">
        <f>$F$9*(1+AL$65)-$F$9</f>
        <v>4241.2999999999884</v>
      </c>
      <c r="AN37" s="394">
        <f t="shared" si="35"/>
        <v>0</v>
      </c>
      <c r="AO37" s="138"/>
      <c r="AP37" s="395">
        <f t="shared" si="21"/>
        <v>0</v>
      </c>
      <c r="AQ37" s="396" t="str">
        <f t="shared" si="22"/>
        <v/>
      </c>
      <c r="AR37" s="397"/>
    </row>
    <row r="38" spans="1:44" ht="12" customHeight="1">
      <c r="A38" s="545"/>
      <c r="B38" s="328" t="s">
        <v>302</v>
      </c>
      <c r="C38" s="389" t="str">
        <f t="shared" si="23"/>
        <v>General Service 50 to 1,499 KW.Smart Meter Entity Charge</v>
      </c>
      <c r="D38" s="390" t="s">
        <v>335</v>
      </c>
      <c r="E38" s="328"/>
      <c r="F38" s="408">
        <f>IFERROR(VLOOKUP($C38,'Proposed Rates'!$B:$J,F$11,FALSE),0)</f>
        <v>0</v>
      </c>
      <c r="G38" s="409">
        <f>IF($D38="Monthly",1,IF($D38="per KW",$F$10,IF($D38="per kWh",$F$9,0)))</f>
        <v>1</v>
      </c>
      <c r="H38" s="394">
        <f t="shared" si="25"/>
        <v>0</v>
      </c>
      <c r="I38" s="138"/>
      <c r="J38" s="408">
        <f>IFERROR(VLOOKUP($C38,'Proposed Rates'!$B:$J,J$11,FALSE),0)</f>
        <v>0</v>
      </c>
      <c r="K38" s="409">
        <f>IF($D38="Monthly",1,IF($D38="per KW",$F$10,IF($D38="per kWh",$F$9,0)))</f>
        <v>1</v>
      </c>
      <c r="L38" s="394">
        <f t="shared" si="27"/>
        <v>0</v>
      </c>
      <c r="M38" s="138"/>
      <c r="N38" s="395">
        <f t="shared" si="5"/>
        <v>0</v>
      </c>
      <c r="O38" s="396" t="str">
        <f t="shared" si="6"/>
        <v/>
      </c>
      <c r="P38" s="53"/>
      <c r="Q38" s="408">
        <f>IFERROR(VLOOKUP($C38,'Proposed Rates'!$B:$J,Q$11,FALSE),0)</f>
        <v>0</v>
      </c>
      <c r="R38" s="409">
        <f>IF($D38="Monthly",1,IF($D38="per KW",$F$10,IF($D38="per kWh",$F$9,0)))</f>
        <v>1</v>
      </c>
      <c r="S38" s="394">
        <f t="shared" si="29"/>
        <v>0</v>
      </c>
      <c r="T38" s="138"/>
      <c r="U38" s="395">
        <f t="shared" si="9"/>
        <v>0</v>
      </c>
      <c r="V38" s="396" t="str">
        <f t="shared" si="10"/>
        <v/>
      </c>
      <c r="W38" s="53"/>
      <c r="X38" s="408">
        <f>IFERROR(VLOOKUP($C38,'Proposed Rates'!$B:$J,X$11,FALSE),0)</f>
        <v>0</v>
      </c>
      <c r="Y38" s="409">
        <f>IF($D38="Monthly",1,IF($D38="per KW",$F$10,IF($D38="per kWh",$F$9,0)))</f>
        <v>1</v>
      </c>
      <c r="Z38" s="394">
        <f t="shared" si="31"/>
        <v>0</v>
      </c>
      <c r="AA38" s="138"/>
      <c r="AB38" s="395">
        <f t="shared" si="36"/>
        <v>0</v>
      </c>
      <c r="AC38" s="396" t="str">
        <f t="shared" si="37"/>
        <v/>
      </c>
      <c r="AD38" s="53"/>
      <c r="AE38" s="408">
        <f>IFERROR(VLOOKUP($C38,'Proposed Rates'!$B:$J,AE$11,FALSE),0)</f>
        <v>0</v>
      </c>
      <c r="AF38" s="409">
        <f>IF($D38="Monthly",1,IF($D38="per KW",$F$10,IF($D38="per kWh",$F$9,0)))</f>
        <v>1</v>
      </c>
      <c r="AG38" s="394">
        <f t="shared" si="33"/>
        <v>0</v>
      </c>
      <c r="AH38" s="138"/>
      <c r="AI38" s="395">
        <f t="shared" si="17"/>
        <v>0</v>
      </c>
      <c r="AJ38" s="396" t="str">
        <f t="shared" si="18"/>
        <v/>
      </c>
      <c r="AK38" s="53"/>
      <c r="AL38" s="408">
        <f>IFERROR(VLOOKUP($C38,'Proposed Rates'!$B:$J,AL$11,FALSE),0)</f>
        <v>0</v>
      </c>
      <c r="AM38" s="409">
        <f>IF($D38="Monthly",1,IF($D38="per KW",$F$10,IF($D38="per kWh",$F$9,0)))</f>
        <v>1</v>
      </c>
      <c r="AN38" s="394">
        <f t="shared" si="35"/>
        <v>0</v>
      </c>
      <c r="AO38" s="138"/>
      <c r="AP38" s="395">
        <f t="shared" si="21"/>
        <v>0</v>
      </c>
      <c r="AQ38" s="396" t="str">
        <f t="shared" si="22"/>
        <v/>
      </c>
      <c r="AR38" s="397"/>
    </row>
    <row r="39" spans="1:44" ht="12" customHeight="1">
      <c r="A39" s="545"/>
      <c r="B39" s="399" t="s">
        <v>342</v>
      </c>
      <c r="C39" s="416"/>
      <c r="D39" s="416"/>
      <c r="E39" s="416"/>
      <c r="F39" s="417"/>
      <c r="G39" s="495"/>
      <c r="H39" s="403">
        <f>SUM(H30:H38)+H29</f>
        <v>2317.8575000000001</v>
      </c>
      <c r="I39" s="419"/>
      <c r="J39" s="417"/>
      <c r="K39" s="495"/>
      <c r="L39" s="403">
        <f>SUM(L30:L38)+L29</f>
        <v>2739.7350000000001</v>
      </c>
      <c r="M39" s="419"/>
      <c r="N39" s="405">
        <f t="shared" si="5"/>
        <v>421.87750000000005</v>
      </c>
      <c r="O39" s="406">
        <f t="shared" si="6"/>
        <v>0.18201183636181259</v>
      </c>
      <c r="P39" s="53"/>
      <c r="Q39" s="417"/>
      <c r="R39" s="495"/>
      <c r="S39" s="403">
        <f>SUM(S30:S38)+S29</f>
        <v>2920.36</v>
      </c>
      <c r="T39" s="419"/>
      <c r="U39" s="405">
        <f t="shared" si="9"/>
        <v>180.625</v>
      </c>
      <c r="V39" s="406">
        <f t="shared" si="10"/>
        <v>6.5927909086097747E-2</v>
      </c>
      <c r="W39" s="53"/>
      <c r="X39" s="417"/>
      <c r="Y39" s="495"/>
      <c r="Z39" s="403">
        <f>SUM(Z30:Z38)+Z29</f>
        <v>2382.8774999999996</v>
      </c>
      <c r="AA39" s="419"/>
      <c r="AB39" s="405">
        <f t="shared" si="36"/>
        <v>-537.48250000000053</v>
      </c>
      <c r="AC39" s="406">
        <f t="shared" si="37"/>
        <v>-0.18404665863112785</v>
      </c>
      <c r="AD39" s="53"/>
      <c r="AE39" s="417"/>
      <c r="AF39" s="495"/>
      <c r="AG39" s="403">
        <f>SUM(AG30:AG38)+AG29</f>
        <v>2465.8000000000002</v>
      </c>
      <c r="AH39" s="419"/>
      <c r="AI39" s="405">
        <f t="shared" si="17"/>
        <v>82.922500000000582</v>
      </c>
      <c r="AJ39" s="406">
        <f t="shared" si="18"/>
        <v>3.4799313015461596E-2</v>
      </c>
      <c r="AK39" s="53"/>
      <c r="AL39" s="417"/>
      <c r="AM39" s="495"/>
      <c r="AN39" s="403">
        <f>SUM(AN30:AN38)+AN29</f>
        <v>2541.6600000000003</v>
      </c>
      <c r="AO39" s="419"/>
      <c r="AP39" s="405">
        <f t="shared" si="21"/>
        <v>75.860000000000127</v>
      </c>
      <c r="AQ39" s="406">
        <f t="shared" si="22"/>
        <v>3.0764863330359365E-2</v>
      </c>
      <c r="AR39" s="407"/>
    </row>
    <row r="40" spans="1:44" ht="12" customHeight="1">
      <c r="A40" s="545"/>
      <c r="B40" s="138" t="s">
        <v>285</v>
      </c>
      <c r="C40" s="389" t="str">
        <f t="shared" ref="C40:C41" si="38">D$6&amp;"."&amp;B40</f>
        <v>General Service 50 to 1,499 KW.RTSR - Network</v>
      </c>
      <c r="D40" s="420" t="s">
        <v>406</v>
      </c>
      <c r="E40" s="138"/>
      <c r="F40" s="408">
        <f>IFERROR(VLOOKUP($C40,'Proposed Rates'!$B:$J,F$11,FALSE),0)</f>
        <v>4.8479999999999999</v>
      </c>
      <c r="G40" s="409">
        <f t="shared" ref="G40:G41" si="39">IF($D40="Monthly",1,IF($D40="per KW",$F$10,IF($D40="per kWh",$F$9,0)))</f>
        <v>250</v>
      </c>
      <c r="H40" s="394">
        <f t="shared" ref="H40:H41" si="40">G40*F40</f>
        <v>1212</v>
      </c>
      <c r="I40" s="138"/>
      <c r="J40" s="408">
        <f>IFERROR(VLOOKUP($C40,'Proposed Rates'!$B:$J,J$11,FALSE),0)</f>
        <v>4.5787000000000004</v>
      </c>
      <c r="K40" s="409">
        <f t="shared" ref="K40:K41" si="41">IF($D40="Monthly",1,IF($D40="per KW",$F$10,IF($D40="per kWh",$F$9,0)))</f>
        <v>250</v>
      </c>
      <c r="L40" s="394">
        <f t="shared" ref="L40:L41" si="42">K40*J40</f>
        <v>1144.6750000000002</v>
      </c>
      <c r="M40" s="138"/>
      <c r="N40" s="395">
        <f t="shared" si="5"/>
        <v>-67.324999999999818</v>
      </c>
      <c r="O40" s="396">
        <f t="shared" si="6"/>
        <v>-5.5548679867986651E-2</v>
      </c>
      <c r="P40" s="53"/>
      <c r="Q40" s="408">
        <f>IFERROR(VLOOKUP($C40,'Proposed Rates'!$B:$J,Q$11,FALSE),0)</f>
        <v>4.5787000000000004</v>
      </c>
      <c r="R40" s="409">
        <f t="shared" ref="R40:R41" si="43">IF($D40="Monthly",1,IF($D40="per KW",$F$10,IF($D40="per kWh",$F$9,0)))</f>
        <v>250</v>
      </c>
      <c r="S40" s="394">
        <f t="shared" ref="S40:S41" si="44">R40*Q40</f>
        <v>1144.6750000000002</v>
      </c>
      <c r="T40" s="138"/>
      <c r="U40" s="395">
        <f t="shared" si="9"/>
        <v>0</v>
      </c>
      <c r="V40" s="396">
        <f t="shared" si="10"/>
        <v>0</v>
      </c>
      <c r="W40" s="53"/>
      <c r="X40" s="408">
        <f>IFERROR(VLOOKUP($C40,'Proposed Rates'!$B:$J,X$11,FALSE),0)</f>
        <v>4.5787000000000004</v>
      </c>
      <c r="Y40" s="409">
        <f t="shared" ref="Y40:Y41" si="45">IF($D40="Monthly",1,IF($D40="per KW",$F$10,IF($D40="per kWh",$F$9,0)))</f>
        <v>250</v>
      </c>
      <c r="Z40" s="394">
        <f t="shared" ref="Z40:Z41" si="46">Y40*X40</f>
        <v>1144.6750000000002</v>
      </c>
      <c r="AA40" s="138"/>
      <c r="AB40" s="395">
        <f t="shared" si="36"/>
        <v>0</v>
      </c>
      <c r="AC40" s="396">
        <f t="shared" si="37"/>
        <v>0</v>
      </c>
      <c r="AD40" s="53"/>
      <c r="AE40" s="408">
        <f>IFERROR(VLOOKUP($C40,'Proposed Rates'!$B:$J,AE$11,FALSE),0)</f>
        <v>4.5787000000000004</v>
      </c>
      <c r="AF40" s="409">
        <f t="shared" ref="AF40:AF41" si="47">IF($D40="Monthly",1,IF($D40="per KW",$F$10,IF($D40="per kWh",$F$9,0)))</f>
        <v>250</v>
      </c>
      <c r="AG40" s="394">
        <f t="shared" ref="AG40:AG41" si="48">AF40*AE40</f>
        <v>1144.6750000000002</v>
      </c>
      <c r="AH40" s="138"/>
      <c r="AI40" s="395">
        <f t="shared" si="17"/>
        <v>0</v>
      </c>
      <c r="AJ40" s="396">
        <f t="shared" si="18"/>
        <v>0</v>
      </c>
      <c r="AK40" s="53"/>
      <c r="AL40" s="408">
        <f>IFERROR(VLOOKUP($C40,'Proposed Rates'!$B:$J,AL$11,FALSE),0)</f>
        <v>4.5787000000000004</v>
      </c>
      <c r="AM40" s="409">
        <f t="shared" ref="AM40:AM41" si="49">IF($D40="Monthly",1,IF($D40="per KW",$F$10,IF($D40="per kWh",$F$9,0)))</f>
        <v>250</v>
      </c>
      <c r="AN40" s="394">
        <f t="shared" ref="AN40:AN41" si="50">AM40*AL40</f>
        <v>1144.6750000000002</v>
      </c>
      <c r="AO40" s="138"/>
      <c r="AP40" s="395">
        <f t="shared" si="21"/>
        <v>0</v>
      </c>
      <c r="AQ40" s="396">
        <f t="shared" si="22"/>
        <v>0</v>
      </c>
      <c r="AR40" s="397"/>
    </row>
    <row r="41" spans="1:44" ht="12" customHeight="1">
      <c r="A41" s="545"/>
      <c r="B41" s="138" t="s">
        <v>288</v>
      </c>
      <c r="C41" s="389" t="str">
        <f t="shared" si="38"/>
        <v>General Service 50 to 1,499 KW.RTSR - Line and Transformation Connection</v>
      </c>
      <c r="D41" s="420" t="s">
        <v>406</v>
      </c>
      <c r="E41" s="138"/>
      <c r="F41" s="408">
        <f>IFERROR(VLOOKUP($C41,'Proposed Rates'!$B:$J,F$11,FALSE),0)</f>
        <v>2.8187000000000002</v>
      </c>
      <c r="G41" s="409">
        <f t="shared" si="39"/>
        <v>250</v>
      </c>
      <c r="H41" s="394">
        <f t="shared" si="40"/>
        <v>704.67500000000007</v>
      </c>
      <c r="I41" s="138"/>
      <c r="J41" s="408">
        <f>IFERROR(VLOOKUP($C41,'Proposed Rates'!$B:$J,J$11,FALSE),0)</f>
        <v>2.5918000000000001</v>
      </c>
      <c r="K41" s="409">
        <f t="shared" si="41"/>
        <v>250</v>
      </c>
      <c r="L41" s="394">
        <f t="shared" si="42"/>
        <v>647.95000000000005</v>
      </c>
      <c r="M41" s="138"/>
      <c r="N41" s="395">
        <f t="shared" si="5"/>
        <v>-56.725000000000023</v>
      </c>
      <c r="O41" s="396">
        <f t="shared" si="6"/>
        <v>-8.0498101961897356E-2</v>
      </c>
      <c r="P41" s="53"/>
      <c r="Q41" s="408">
        <f>IFERROR(VLOOKUP($C41,'Proposed Rates'!$B:$J,Q$11,FALSE),0)</f>
        <v>2.5918000000000001</v>
      </c>
      <c r="R41" s="409">
        <f t="shared" si="43"/>
        <v>250</v>
      </c>
      <c r="S41" s="394">
        <f t="shared" si="44"/>
        <v>647.95000000000005</v>
      </c>
      <c r="T41" s="138"/>
      <c r="U41" s="395">
        <f t="shared" si="9"/>
        <v>0</v>
      </c>
      <c r="V41" s="396">
        <f t="shared" si="10"/>
        <v>0</v>
      </c>
      <c r="W41" s="53"/>
      <c r="X41" s="408">
        <f>IFERROR(VLOOKUP($C41,'Proposed Rates'!$B:$J,X$11,FALSE),0)</f>
        <v>2.5918000000000001</v>
      </c>
      <c r="Y41" s="409">
        <f t="shared" si="45"/>
        <v>250</v>
      </c>
      <c r="Z41" s="394">
        <f t="shared" si="46"/>
        <v>647.95000000000005</v>
      </c>
      <c r="AA41" s="138"/>
      <c r="AB41" s="395">
        <f t="shared" si="36"/>
        <v>0</v>
      </c>
      <c r="AC41" s="396">
        <f t="shared" si="37"/>
        <v>0</v>
      </c>
      <c r="AD41" s="53"/>
      <c r="AE41" s="408">
        <f>IFERROR(VLOOKUP($C41,'Proposed Rates'!$B:$J,AE$11,FALSE),0)</f>
        <v>2.5918000000000001</v>
      </c>
      <c r="AF41" s="409">
        <f t="shared" si="47"/>
        <v>250</v>
      </c>
      <c r="AG41" s="394">
        <f t="shared" si="48"/>
        <v>647.95000000000005</v>
      </c>
      <c r="AH41" s="138"/>
      <c r="AI41" s="395">
        <f t="shared" si="17"/>
        <v>0</v>
      </c>
      <c r="AJ41" s="396">
        <f t="shared" si="18"/>
        <v>0</v>
      </c>
      <c r="AK41" s="53"/>
      <c r="AL41" s="408">
        <f>IFERROR(VLOOKUP($C41,'Proposed Rates'!$B:$J,AL$11,FALSE),0)</f>
        <v>2.5918000000000001</v>
      </c>
      <c r="AM41" s="409">
        <f t="shared" si="49"/>
        <v>250</v>
      </c>
      <c r="AN41" s="394">
        <f t="shared" si="50"/>
        <v>647.95000000000005</v>
      </c>
      <c r="AO41" s="138"/>
      <c r="AP41" s="395">
        <f t="shared" si="21"/>
        <v>0</v>
      </c>
      <c r="AQ41" s="396">
        <f t="shared" si="22"/>
        <v>0</v>
      </c>
      <c r="AR41" s="397"/>
    </row>
    <row r="42" spans="1:44" ht="12" customHeight="1">
      <c r="A42" s="545"/>
      <c r="B42" s="399" t="s">
        <v>343</v>
      </c>
      <c r="C42" s="421"/>
      <c r="D42" s="421"/>
      <c r="E42" s="421"/>
      <c r="F42" s="422"/>
      <c r="G42" s="495"/>
      <c r="H42" s="403">
        <f>SUM(H39:H41)</f>
        <v>4234.5325000000003</v>
      </c>
      <c r="I42" s="404"/>
      <c r="J42" s="422"/>
      <c r="K42" s="495"/>
      <c r="L42" s="403">
        <f>SUM(L39:L41)</f>
        <v>4532.3600000000006</v>
      </c>
      <c r="M42" s="404"/>
      <c r="N42" s="405">
        <f t="shared" si="5"/>
        <v>297.82750000000033</v>
      </c>
      <c r="O42" s="406">
        <f t="shared" si="6"/>
        <v>7.0333029679191347E-2</v>
      </c>
      <c r="P42" s="53"/>
      <c r="Q42" s="422"/>
      <c r="R42" s="495"/>
      <c r="S42" s="403">
        <f>SUM(S39:S41)</f>
        <v>4712.9850000000006</v>
      </c>
      <c r="T42" s="404"/>
      <c r="U42" s="405">
        <f t="shared" si="9"/>
        <v>180.625</v>
      </c>
      <c r="V42" s="406">
        <f t="shared" si="10"/>
        <v>3.9852306524636165E-2</v>
      </c>
      <c r="W42" s="53"/>
      <c r="X42" s="422"/>
      <c r="Y42" s="495"/>
      <c r="Z42" s="403">
        <f>SUM(Z39:Z41)</f>
        <v>4175.5024999999996</v>
      </c>
      <c r="AA42" s="404"/>
      <c r="AB42" s="405">
        <f t="shared" si="36"/>
        <v>-537.48250000000098</v>
      </c>
      <c r="AC42" s="406">
        <f t="shared" si="37"/>
        <v>-0.11404290486814639</v>
      </c>
      <c r="AD42" s="53"/>
      <c r="AE42" s="422"/>
      <c r="AF42" s="495"/>
      <c r="AG42" s="403">
        <f>SUM(AG39:AG41)</f>
        <v>4258.4250000000002</v>
      </c>
      <c r="AH42" s="404"/>
      <c r="AI42" s="405">
        <f t="shared" si="17"/>
        <v>82.922500000000582</v>
      </c>
      <c r="AJ42" s="406">
        <f t="shared" si="18"/>
        <v>1.9859286397266099E-2</v>
      </c>
      <c r="AK42" s="53"/>
      <c r="AL42" s="422"/>
      <c r="AM42" s="495"/>
      <c r="AN42" s="403">
        <f>SUM(AN39:AN41)</f>
        <v>4334.2850000000008</v>
      </c>
      <c r="AO42" s="404"/>
      <c r="AP42" s="405">
        <f t="shared" si="21"/>
        <v>75.860000000000582</v>
      </c>
      <c r="AQ42" s="406">
        <f t="shared" si="22"/>
        <v>1.781409793526963E-2</v>
      </c>
      <c r="AR42" s="407"/>
    </row>
    <row r="43" spans="1:44" ht="12" customHeight="1">
      <c r="A43" s="545"/>
      <c r="B43" s="328" t="s">
        <v>289</v>
      </c>
      <c r="C43" s="389" t="str">
        <f t="shared" ref="C43:C45" si="51">D$6&amp;"."&amp;B43</f>
        <v>General Service 50 to 1,499 KW.Wholesale Market Service Charge (WMSC)</v>
      </c>
      <c r="D43" s="390" t="s">
        <v>337</v>
      </c>
      <c r="E43" s="328"/>
      <c r="F43" s="408">
        <f>IFERROR(VLOOKUP($C43,'Proposed Rates'!$B:$J,F$11,FALSE),0)</f>
        <v>4.4999999999999997E-3</v>
      </c>
      <c r="G43" s="415">
        <f t="shared" ref="G43:G44" si="52">$F$9+G$37</f>
        <v>132067.95000000001</v>
      </c>
      <c r="H43" s="394">
        <f t="shared" ref="H43:H46" si="53">G43*F43</f>
        <v>594.30577500000004</v>
      </c>
      <c r="I43" s="138"/>
      <c r="J43" s="408">
        <f>IFERROR(VLOOKUP($C43,'Proposed Rates'!$B:$J,J$11,FALSE),0)</f>
        <v>4.7000000000000002E-3</v>
      </c>
      <c r="K43" s="415">
        <f t="shared" ref="K43:K44" si="54">$F$9+K$37</f>
        <v>131991.29999999999</v>
      </c>
      <c r="L43" s="394">
        <f t="shared" ref="L43:L46" si="55">K43*J43</f>
        <v>620.35910999999999</v>
      </c>
      <c r="M43" s="138"/>
      <c r="N43" s="395">
        <f t="shared" si="5"/>
        <v>26.053334999999947</v>
      </c>
      <c r="O43" s="396">
        <f t="shared" si="6"/>
        <v>4.3838266589282165E-2</v>
      </c>
      <c r="P43" s="53"/>
      <c r="Q43" s="408">
        <f>IFERROR(VLOOKUP($C43,'Proposed Rates'!$B:$J,Q$11,FALSE),0)</f>
        <v>4.7000000000000002E-3</v>
      </c>
      <c r="R43" s="415">
        <f t="shared" ref="R43:R44" si="56">$F$9+R$37</f>
        <v>131991.29999999999</v>
      </c>
      <c r="S43" s="394">
        <f t="shared" ref="S43:S46" si="57">R43*Q43</f>
        <v>620.35910999999999</v>
      </c>
      <c r="T43" s="138"/>
      <c r="U43" s="395">
        <f t="shared" si="9"/>
        <v>0</v>
      </c>
      <c r="V43" s="396">
        <f t="shared" si="10"/>
        <v>0</v>
      </c>
      <c r="W43" s="53"/>
      <c r="X43" s="408">
        <f>IFERROR(VLOOKUP($C43,'Proposed Rates'!$B:$J,X$11,FALSE),0)</f>
        <v>4.7000000000000002E-3</v>
      </c>
      <c r="Y43" s="415">
        <f t="shared" ref="Y43:Y44" si="58">$F$9+Y$37</f>
        <v>131991.29999999999</v>
      </c>
      <c r="Z43" s="394">
        <f t="shared" ref="Z43:Z46" si="59">Y43*X43</f>
        <v>620.35910999999999</v>
      </c>
      <c r="AA43" s="138"/>
      <c r="AB43" s="395">
        <f t="shared" si="36"/>
        <v>0</v>
      </c>
      <c r="AC43" s="396">
        <f t="shared" si="37"/>
        <v>0</v>
      </c>
      <c r="AD43" s="53"/>
      <c r="AE43" s="408">
        <f>IFERROR(VLOOKUP($C43,'Proposed Rates'!$B:$J,AE$11,FALSE),0)</f>
        <v>4.7000000000000002E-3</v>
      </c>
      <c r="AF43" s="415">
        <f t="shared" ref="AF43:AF44" si="60">$F$9+AF$37</f>
        <v>131991.29999999999</v>
      </c>
      <c r="AG43" s="394">
        <f t="shared" ref="AG43:AG46" si="61">AF43*AE43</f>
        <v>620.35910999999999</v>
      </c>
      <c r="AH43" s="138"/>
      <c r="AI43" s="395">
        <f t="shared" si="17"/>
        <v>0</v>
      </c>
      <c r="AJ43" s="396">
        <f t="shared" si="18"/>
        <v>0</v>
      </c>
      <c r="AK43" s="53"/>
      <c r="AL43" s="408">
        <f>IFERROR(VLOOKUP($C43,'Proposed Rates'!$B:$J,AL$11,FALSE),0)</f>
        <v>4.7000000000000002E-3</v>
      </c>
      <c r="AM43" s="415">
        <f t="shared" ref="AM43:AM44" si="62">$F$9+AM$37</f>
        <v>131991.29999999999</v>
      </c>
      <c r="AN43" s="394">
        <f t="shared" ref="AN43:AN46" si="63">AM43*AL43</f>
        <v>620.35910999999999</v>
      </c>
      <c r="AO43" s="138"/>
      <c r="AP43" s="395">
        <f t="shared" si="21"/>
        <v>0</v>
      </c>
      <c r="AQ43" s="396">
        <f t="shared" si="22"/>
        <v>0</v>
      </c>
      <c r="AR43" s="397"/>
    </row>
    <row r="44" spans="1:44" ht="12" customHeight="1">
      <c r="A44" s="545"/>
      <c r="B44" s="328" t="s">
        <v>290</v>
      </c>
      <c r="C44" s="389" t="str">
        <f t="shared" si="51"/>
        <v>General Service 50 to 1,499 KW.Rural and Remote Rate Protection (RRRP)</v>
      </c>
      <c r="D44" s="390" t="s">
        <v>337</v>
      </c>
      <c r="E44" s="328"/>
      <c r="F44" s="408">
        <f>IFERROR(VLOOKUP($C44,'Proposed Rates'!$B:$J,F$11,FALSE),0)</f>
        <v>1.5E-3</v>
      </c>
      <c r="G44" s="415">
        <f t="shared" si="52"/>
        <v>132067.95000000001</v>
      </c>
      <c r="H44" s="394">
        <f t="shared" si="53"/>
        <v>198.10192500000002</v>
      </c>
      <c r="I44" s="138"/>
      <c r="J44" s="408">
        <f>IFERROR(VLOOKUP($C44,'Proposed Rates'!$B:$J,J$11,FALSE),0)</f>
        <v>5.9999999999999995E-4</v>
      </c>
      <c r="K44" s="415">
        <f t="shared" si="54"/>
        <v>131991.29999999999</v>
      </c>
      <c r="L44" s="394">
        <f t="shared" si="55"/>
        <v>79.19477999999998</v>
      </c>
      <c r="M44" s="138"/>
      <c r="N44" s="395">
        <f t="shared" si="5"/>
        <v>-118.90714500000004</v>
      </c>
      <c r="O44" s="396">
        <f t="shared" si="6"/>
        <v>-0.60023215322112611</v>
      </c>
      <c r="P44" s="53"/>
      <c r="Q44" s="408">
        <f>IFERROR(VLOOKUP($C44,'Proposed Rates'!$B:$J,Q$11,FALSE),0)</f>
        <v>5.9999999999999995E-4</v>
      </c>
      <c r="R44" s="415">
        <f t="shared" si="56"/>
        <v>131991.29999999999</v>
      </c>
      <c r="S44" s="394">
        <f t="shared" si="57"/>
        <v>79.19477999999998</v>
      </c>
      <c r="T44" s="138"/>
      <c r="U44" s="395">
        <f t="shared" si="9"/>
        <v>0</v>
      </c>
      <c r="V44" s="396">
        <f t="shared" si="10"/>
        <v>0</v>
      </c>
      <c r="W44" s="53"/>
      <c r="X44" s="408">
        <f>IFERROR(VLOOKUP($C44,'Proposed Rates'!$B:$J,X$11,FALSE),0)</f>
        <v>5.9999999999999995E-4</v>
      </c>
      <c r="Y44" s="415">
        <f t="shared" si="58"/>
        <v>131991.29999999999</v>
      </c>
      <c r="Z44" s="394">
        <f t="shared" si="59"/>
        <v>79.19477999999998</v>
      </c>
      <c r="AA44" s="138"/>
      <c r="AB44" s="395">
        <f t="shared" si="36"/>
        <v>0</v>
      </c>
      <c r="AC44" s="396">
        <f t="shared" si="37"/>
        <v>0</v>
      </c>
      <c r="AD44" s="53"/>
      <c r="AE44" s="408">
        <f>IFERROR(VLOOKUP($C44,'Proposed Rates'!$B:$J,AE$11,FALSE),0)</f>
        <v>5.9999999999999995E-4</v>
      </c>
      <c r="AF44" s="415">
        <f t="shared" si="60"/>
        <v>131991.29999999999</v>
      </c>
      <c r="AG44" s="394">
        <f t="shared" si="61"/>
        <v>79.19477999999998</v>
      </c>
      <c r="AH44" s="138"/>
      <c r="AI44" s="395">
        <f t="shared" si="17"/>
        <v>0</v>
      </c>
      <c r="AJ44" s="396">
        <f t="shared" si="18"/>
        <v>0</v>
      </c>
      <c r="AK44" s="53"/>
      <c r="AL44" s="408">
        <f>IFERROR(VLOOKUP($C44,'Proposed Rates'!$B:$J,AL$11,FALSE),0)</f>
        <v>5.9999999999999995E-4</v>
      </c>
      <c r="AM44" s="415">
        <f t="shared" si="62"/>
        <v>131991.29999999999</v>
      </c>
      <c r="AN44" s="394">
        <f t="shared" si="63"/>
        <v>79.19477999999998</v>
      </c>
      <c r="AO44" s="138"/>
      <c r="AP44" s="395">
        <f t="shared" si="21"/>
        <v>0</v>
      </c>
      <c r="AQ44" s="396">
        <f t="shared" si="22"/>
        <v>0</v>
      </c>
      <c r="AR44" s="397"/>
    </row>
    <row r="45" spans="1:44" ht="12" customHeight="1">
      <c r="A45" s="545"/>
      <c r="B45" s="328" t="s">
        <v>291</v>
      </c>
      <c r="C45" s="389" t="str">
        <f t="shared" si="51"/>
        <v>General Service 50 to 1,499 KW.Standard Supply Service Charge</v>
      </c>
      <c r="D45" s="390" t="s">
        <v>335</v>
      </c>
      <c r="E45" s="328"/>
      <c r="F45" s="391">
        <f>IFERROR(VLOOKUP($C45,'Proposed Rates'!$B:$J,F$11,FALSE),0)</f>
        <v>0.25</v>
      </c>
      <c r="G45" s="409">
        <f>IF($D45="Monthly",1,IF($D45="per KW",$F$10,IF($D45="per kWh",$F$9,0)))</f>
        <v>1</v>
      </c>
      <c r="H45" s="394">
        <f t="shared" si="53"/>
        <v>0.25</v>
      </c>
      <c r="I45" s="138"/>
      <c r="J45" s="391">
        <f>IFERROR(VLOOKUP($C45,'Proposed Rates'!$B:$J,J$11,FALSE),0)</f>
        <v>0.25</v>
      </c>
      <c r="K45" s="409">
        <f>IF($D45="Monthly",1,IF($D45="per KW",$F$10,IF($D45="per kWh",$F$9,0)))</f>
        <v>1</v>
      </c>
      <c r="L45" s="394">
        <f t="shared" si="55"/>
        <v>0.25</v>
      </c>
      <c r="M45" s="138"/>
      <c r="N45" s="395">
        <f t="shared" si="5"/>
        <v>0</v>
      </c>
      <c r="O45" s="396">
        <f t="shared" si="6"/>
        <v>0</v>
      </c>
      <c r="P45" s="53"/>
      <c r="Q45" s="391">
        <f>IFERROR(VLOOKUP($C45,'Proposed Rates'!$B:$J,Q$11,FALSE),0)</f>
        <v>0.25</v>
      </c>
      <c r="R45" s="409">
        <f>IF($D45="Monthly",1,IF($D45="per KW",$F$10,IF($D45="per kWh",$F$9,0)))</f>
        <v>1</v>
      </c>
      <c r="S45" s="394">
        <f t="shared" si="57"/>
        <v>0.25</v>
      </c>
      <c r="T45" s="138"/>
      <c r="U45" s="395">
        <f t="shared" si="9"/>
        <v>0</v>
      </c>
      <c r="V45" s="396">
        <f t="shared" si="10"/>
        <v>0</v>
      </c>
      <c r="W45" s="53"/>
      <c r="X45" s="391">
        <f>IFERROR(VLOOKUP($C45,'Proposed Rates'!$B:$J,X$11,FALSE),0)</f>
        <v>0.25</v>
      </c>
      <c r="Y45" s="409">
        <f>IF($D45="Monthly",1,IF($D45="per KW",$F$10,IF($D45="per kWh",$F$9,0)))</f>
        <v>1</v>
      </c>
      <c r="Z45" s="394">
        <f t="shared" si="59"/>
        <v>0.25</v>
      </c>
      <c r="AA45" s="138"/>
      <c r="AB45" s="395">
        <f t="shared" si="36"/>
        <v>0</v>
      </c>
      <c r="AC45" s="396">
        <f t="shared" si="37"/>
        <v>0</v>
      </c>
      <c r="AD45" s="53"/>
      <c r="AE45" s="391">
        <f>IFERROR(VLOOKUP($C45,'Proposed Rates'!$B:$J,AE$11,FALSE),0)</f>
        <v>0.25</v>
      </c>
      <c r="AF45" s="409">
        <f>IF($D45="Monthly",1,IF($D45="per KW",$F$10,IF($D45="per kWh",$F$9,0)))</f>
        <v>1</v>
      </c>
      <c r="AG45" s="394">
        <f t="shared" si="61"/>
        <v>0.25</v>
      </c>
      <c r="AH45" s="138"/>
      <c r="AI45" s="395">
        <f t="shared" si="17"/>
        <v>0</v>
      </c>
      <c r="AJ45" s="396">
        <f t="shared" si="18"/>
        <v>0</v>
      </c>
      <c r="AK45" s="53"/>
      <c r="AL45" s="391">
        <f>IFERROR(VLOOKUP($C45,'Proposed Rates'!$B:$J,AL$11,FALSE),0)</f>
        <v>0.25</v>
      </c>
      <c r="AM45" s="409">
        <f>IF($D45="Monthly",1,IF($D45="per KW",$F$10,IF($D45="per kWh",$F$9,0)))</f>
        <v>1</v>
      </c>
      <c r="AN45" s="394">
        <f t="shared" si="63"/>
        <v>0.25</v>
      </c>
      <c r="AO45" s="138"/>
      <c r="AP45" s="395">
        <f t="shared" si="21"/>
        <v>0</v>
      </c>
      <c r="AQ45" s="396">
        <f t="shared" si="22"/>
        <v>0</v>
      </c>
      <c r="AR45" s="397"/>
    </row>
    <row r="46" spans="1:44" ht="12" customHeight="1">
      <c r="A46" s="545"/>
      <c r="B46" s="328" t="s">
        <v>298</v>
      </c>
      <c r="C46" s="389" t="str">
        <f>B46</f>
        <v>Average IESO Wholesale Market Price</v>
      </c>
      <c r="D46" s="390" t="s">
        <v>337</v>
      </c>
      <c r="E46" s="328"/>
      <c r="F46" s="408">
        <f>IFERROR(VLOOKUP($C46,'Proposed Rates'!$B:$J,F$11,FALSE),0)</f>
        <v>0.10453</v>
      </c>
      <c r="G46" s="415">
        <f>$F$9+G$37</f>
        <v>132067.95000000001</v>
      </c>
      <c r="H46" s="394">
        <f t="shared" si="53"/>
        <v>13805.062813500001</v>
      </c>
      <c r="I46" s="138"/>
      <c r="J46" s="408">
        <f>IFERROR(VLOOKUP($C46,'Proposed Rates'!$B:$J,J$11,FALSE),0)</f>
        <v>0.10453</v>
      </c>
      <c r="K46" s="415">
        <f>$F$9+K$37</f>
        <v>131991.29999999999</v>
      </c>
      <c r="L46" s="394">
        <f t="shared" si="55"/>
        <v>13797.050588999999</v>
      </c>
      <c r="M46" s="138"/>
      <c r="N46" s="395">
        <f t="shared" si="5"/>
        <v>-8.0122245000020484</v>
      </c>
      <c r="O46" s="396">
        <f t="shared" si="6"/>
        <v>-5.8038305281500613E-4</v>
      </c>
      <c r="P46" s="53"/>
      <c r="Q46" s="408">
        <f>IFERROR(VLOOKUP($C46,'Proposed Rates'!$B:$J,Q$11,FALSE),0)</f>
        <v>0.10453</v>
      </c>
      <c r="R46" s="415">
        <f>$F$9+R$37</f>
        <v>131991.29999999999</v>
      </c>
      <c r="S46" s="394">
        <f t="shared" si="57"/>
        <v>13797.050588999999</v>
      </c>
      <c r="T46" s="138"/>
      <c r="U46" s="395">
        <f t="shared" si="9"/>
        <v>0</v>
      </c>
      <c r="V46" s="396">
        <f t="shared" si="10"/>
        <v>0</v>
      </c>
      <c r="W46" s="53"/>
      <c r="X46" s="408">
        <f>IFERROR(VLOOKUP($C46,'Proposed Rates'!$B:$J,X$11,FALSE),0)</f>
        <v>0.10453</v>
      </c>
      <c r="Y46" s="415">
        <f>$F$9+Y$37</f>
        <v>131991.29999999999</v>
      </c>
      <c r="Z46" s="394">
        <f t="shared" si="59"/>
        <v>13797.050588999999</v>
      </c>
      <c r="AA46" s="138"/>
      <c r="AB46" s="395">
        <f t="shared" si="36"/>
        <v>0</v>
      </c>
      <c r="AC46" s="396">
        <f t="shared" si="37"/>
        <v>0</v>
      </c>
      <c r="AD46" s="53"/>
      <c r="AE46" s="408">
        <f>IFERROR(VLOOKUP($C46,'Proposed Rates'!$B:$J,AE$11,FALSE),0)</f>
        <v>0.10453</v>
      </c>
      <c r="AF46" s="415">
        <f>$F$9+AF$37</f>
        <v>131991.29999999999</v>
      </c>
      <c r="AG46" s="394">
        <f t="shared" si="61"/>
        <v>13797.050588999999</v>
      </c>
      <c r="AH46" s="138"/>
      <c r="AI46" s="395">
        <f t="shared" si="17"/>
        <v>0</v>
      </c>
      <c r="AJ46" s="396">
        <f t="shared" si="18"/>
        <v>0</v>
      </c>
      <c r="AK46" s="53"/>
      <c r="AL46" s="408">
        <f>IFERROR(VLOOKUP($C46,'Proposed Rates'!$B:$J,AL$11,FALSE),0)</f>
        <v>0.10453</v>
      </c>
      <c r="AM46" s="415">
        <f>$F$9+AM$37</f>
        <v>131991.29999999999</v>
      </c>
      <c r="AN46" s="394">
        <f t="shared" si="63"/>
        <v>13797.050588999999</v>
      </c>
      <c r="AO46" s="138"/>
      <c r="AP46" s="395">
        <f t="shared" si="21"/>
        <v>0</v>
      </c>
      <c r="AQ46" s="396">
        <f t="shared" si="22"/>
        <v>0</v>
      </c>
      <c r="AR46" s="397"/>
    </row>
    <row r="47" spans="1:44" ht="12" customHeight="1">
      <c r="A47" s="545"/>
      <c r="B47" s="328"/>
      <c r="C47" s="389" t="str">
        <f t="shared" ref="C47:C50" si="64">D$6&amp;"."&amp;B47</f>
        <v>General Service 50 to 1,499 KW.</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row>
    <row r="48" spans="1:44" ht="12" customHeight="1">
      <c r="A48" s="545"/>
      <c r="B48" s="53"/>
      <c r="C48" s="389" t="str">
        <f t="shared" si="64"/>
        <v>General Service 50 to 1,499 KW.</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row>
    <row r="49" spans="1:44" ht="12" customHeight="1">
      <c r="A49" s="545"/>
      <c r="B49" s="328"/>
      <c r="C49" s="389" t="str">
        <f t="shared" si="64"/>
        <v>General Service 50 to 1,499 KW.</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row>
    <row r="50" spans="1:44" ht="12" customHeight="1">
      <c r="A50" s="545"/>
      <c r="B50" s="328"/>
      <c r="C50" s="389" t="str">
        <f t="shared" si="64"/>
        <v>General Service 50 to 1,499 KW.</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row>
    <row r="51" spans="1:44" ht="12" customHeight="1">
      <c r="A51" s="545"/>
      <c r="B51" s="428"/>
      <c r="C51" s="429"/>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row>
    <row r="52" spans="1:44" ht="12" customHeight="1">
      <c r="A52" s="545"/>
      <c r="B52" s="438" t="s">
        <v>344</v>
      </c>
      <c r="C52" s="328"/>
      <c r="D52" s="328"/>
      <c r="E52" s="328"/>
      <c r="F52" s="439"/>
      <c r="G52" s="483"/>
      <c r="H52" s="441">
        <f>SUM(H43:H48,H42)</f>
        <v>18832.253013500002</v>
      </c>
      <c r="I52" s="476"/>
      <c r="J52" s="440"/>
      <c r="K52" s="440"/>
      <c r="L52" s="441">
        <f>SUM(L43:L48,L42)</f>
        <v>19029.214478999998</v>
      </c>
      <c r="M52" s="443"/>
      <c r="N52" s="442">
        <f t="shared" ref="N52:N56" si="65">L52-H52</f>
        <v>196.96146549999685</v>
      </c>
      <c r="O52" s="444">
        <f t="shared" ref="O52:O56" si="66">IF((H52)=0,"",(N52/H52))</f>
        <v>1.0458730846426286E-2</v>
      </c>
      <c r="P52" s="53"/>
      <c r="Q52" s="440"/>
      <c r="R52" s="440"/>
      <c r="S52" s="441">
        <f>SUM(S43:S48,S42)</f>
        <v>19209.839478999998</v>
      </c>
      <c r="T52" s="443"/>
      <c r="U52" s="442">
        <f t="shared" ref="U52:U56" si="67">S52-L52</f>
        <v>180.625</v>
      </c>
      <c r="V52" s="444">
        <f t="shared" ref="V52:V56" si="68">IF((L52)=0,"",(U52/L52))</f>
        <v>9.4919840332522223E-3</v>
      </c>
      <c r="W52" s="53"/>
      <c r="X52" s="440"/>
      <c r="Y52" s="440"/>
      <c r="Z52" s="441">
        <f>SUM(Z43:Z48,Z42)</f>
        <v>18672.356978999996</v>
      </c>
      <c r="AA52" s="443"/>
      <c r="AB52" s="442">
        <f t="shared" ref="AB52:AB56" si="69">Z52-S52</f>
        <v>-537.48250000000189</v>
      </c>
      <c r="AC52" s="444">
        <f t="shared" ref="AC52:AC56" si="70">IF((S52)=0,"",(AB52/S52))</f>
        <v>-2.7979541452575505E-2</v>
      </c>
      <c r="AD52" s="53"/>
      <c r="AE52" s="440"/>
      <c r="AF52" s="440"/>
      <c r="AG52" s="441">
        <f>SUM(AG43:AG48,AG42)</f>
        <v>18755.279478999997</v>
      </c>
      <c r="AH52" s="443"/>
      <c r="AI52" s="442">
        <f t="shared" ref="AI52:AI56" si="71">AG52-Z52</f>
        <v>82.922500000000582</v>
      </c>
      <c r="AJ52" s="444">
        <f t="shared" ref="AJ52:AJ56" si="72">IF((Z52)=0,"",(AI52/Z52))</f>
        <v>4.4409230229081409E-3</v>
      </c>
      <c r="AK52" s="53"/>
      <c r="AL52" s="440"/>
      <c r="AM52" s="440"/>
      <c r="AN52" s="441">
        <f>SUM(AN43:AN48,AN42)</f>
        <v>18831.139478999998</v>
      </c>
      <c r="AO52" s="443"/>
      <c r="AP52" s="442">
        <f t="shared" ref="AP52:AP56" si="73">AN52-AG52</f>
        <v>75.860000000000582</v>
      </c>
      <c r="AQ52" s="444">
        <f t="shared" ref="AQ52:AQ56" si="74">IF((AG52)=0,"",(AP52/AG52))</f>
        <v>4.0447277837123074E-3</v>
      </c>
      <c r="AR52" s="445"/>
    </row>
    <row r="53" spans="1:44" ht="12" customHeight="1">
      <c r="A53" s="545"/>
      <c r="B53" s="446" t="s">
        <v>345</v>
      </c>
      <c r="C53" s="328"/>
      <c r="D53" s="328"/>
      <c r="E53" s="328"/>
      <c r="F53" s="439">
        <v>0.13</v>
      </c>
      <c r="G53" s="138"/>
      <c r="H53" s="484">
        <f>H52*F53</f>
        <v>2448.1928917550003</v>
      </c>
      <c r="I53" s="411"/>
      <c r="J53" s="447">
        <v>0.13</v>
      </c>
      <c r="K53" s="411"/>
      <c r="L53" s="394">
        <f>L52*J53</f>
        <v>2473.7978822699997</v>
      </c>
      <c r="M53" s="138"/>
      <c r="N53" s="395">
        <f t="shared" si="65"/>
        <v>25.604990514999372</v>
      </c>
      <c r="O53" s="396">
        <f t="shared" si="66"/>
        <v>1.0458730846426196E-2</v>
      </c>
      <c r="P53" s="53"/>
      <c r="Q53" s="447">
        <v>0.13</v>
      </c>
      <c r="R53" s="411"/>
      <c r="S53" s="394">
        <f>S52*Q53</f>
        <v>2497.27913227</v>
      </c>
      <c r="T53" s="138"/>
      <c r="U53" s="395">
        <f t="shared" si="67"/>
        <v>23.481250000000273</v>
      </c>
      <c r="V53" s="396">
        <f t="shared" si="68"/>
        <v>9.4919840332523334E-3</v>
      </c>
      <c r="W53" s="53"/>
      <c r="X53" s="447">
        <v>0.13</v>
      </c>
      <c r="Y53" s="411"/>
      <c r="Z53" s="394">
        <f>Z52*X53</f>
        <v>2427.4064072699998</v>
      </c>
      <c r="AA53" s="138"/>
      <c r="AB53" s="395">
        <f t="shared" si="69"/>
        <v>-69.872725000000173</v>
      </c>
      <c r="AC53" s="396">
        <f t="shared" si="70"/>
        <v>-2.7979541452575474E-2</v>
      </c>
      <c r="AD53" s="53"/>
      <c r="AE53" s="447">
        <v>0.13</v>
      </c>
      <c r="AF53" s="411"/>
      <c r="AG53" s="394">
        <f>AG52*AE53</f>
        <v>2438.1863322699996</v>
      </c>
      <c r="AH53" s="138"/>
      <c r="AI53" s="395">
        <f t="shared" si="71"/>
        <v>10.779924999999821</v>
      </c>
      <c r="AJ53" s="396">
        <f t="shared" si="72"/>
        <v>4.4409230229080351E-3</v>
      </c>
      <c r="AK53" s="53"/>
      <c r="AL53" s="447">
        <v>0.13</v>
      </c>
      <c r="AM53" s="411"/>
      <c r="AN53" s="394">
        <f>AN52*AL53</f>
        <v>2448.0481322699998</v>
      </c>
      <c r="AO53" s="138"/>
      <c r="AP53" s="395">
        <f t="shared" si="73"/>
        <v>9.8618000000001302</v>
      </c>
      <c r="AQ53" s="396">
        <f t="shared" si="74"/>
        <v>4.04472778371233E-3</v>
      </c>
      <c r="AR53" s="397"/>
    </row>
    <row r="54" spans="1:44" ht="12" customHeight="1">
      <c r="A54" s="545"/>
      <c r="B54" s="448" t="s">
        <v>413</v>
      </c>
      <c r="C54" s="328"/>
      <c r="D54" s="328"/>
      <c r="E54" s="328"/>
      <c r="F54" s="449"/>
      <c r="G54" s="138"/>
      <c r="H54" s="484">
        <f>H52+H53</f>
        <v>21280.445905255001</v>
      </c>
      <c r="I54" s="411"/>
      <c r="J54" s="411"/>
      <c r="K54" s="411"/>
      <c r="L54" s="394">
        <f>L52+L53</f>
        <v>21503.012361269997</v>
      </c>
      <c r="M54" s="138"/>
      <c r="N54" s="395">
        <f t="shared" si="65"/>
        <v>222.56645601499622</v>
      </c>
      <c r="O54" s="396">
        <f t="shared" si="66"/>
        <v>1.0458730846426276E-2</v>
      </c>
      <c r="P54" s="53"/>
      <c r="Q54" s="411"/>
      <c r="R54" s="411"/>
      <c r="S54" s="394">
        <f>S52+S53</f>
        <v>21707.118611269998</v>
      </c>
      <c r="T54" s="138"/>
      <c r="U54" s="395">
        <f t="shared" si="67"/>
        <v>204.10625000000073</v>
      </c>
      <c r="V54" s="396">
        <f t="shared" si="68"/>
        <v>9.491984033252257E-3</v>
      </c>
      <c r="W54" s="53"/>
      <c r="X54" s="411"/>
      <c r="Y54" s="411"/>
      <c r="Z54" s="394">
        <f>Z52+Z53</f>
        <v>21099.763386269995</v>
      </c>
      <c r="AA54" s="138"/>
      <c r="AB54" s="395">
        <f t="shared" si="69"/>
        <v>-607.35522500000297</v>
      </c>
      <c r="AC54" s="396">
        <f t="shared" si="70"/>
        <v>-2.7979541452575543E-2</v>
      </c>
      <c r="AD54" s="53"/>
      <c r="AE54" s="411"/>
      <c r="AF54" s="411"/>
      <c r="AG54" s="394">
        <f>AG52+AG53</f>
        <v>21193.465811269998</v>
      </c>
      <c r="AH54" s="138"/>
      <c r="AI54" s="395">
        <f t="shared" si="71"/>
        <v>93.702425000003132</v>
      </c>
      <c r="AJ54" s="396">
        <f t="shared" si="72"/>
        <v>4.440923022908258E-3</v>
      </c>
      <c r="AK54" s="53"/>
      <c r="AL54" s="411"/>
      <c r="AM54" s="411"/>
      <c r="AN54" s="394">
        <f>AN52+AN53</f>
        <v>21279.187611269997</v>
      </c>
      <c r="AO54" s="138"/>
      <c r="AP54" s="395">
        <f t="shared" si="73"/>
        <v>85.721799999999348</v>
      </c>
      <c r="AQ54" s="396">
        <f t="shared" si="74"/>
        <v>4.0447277837122458E-3</v>
      </c>
      <c r="AR54" s="397"/>
    </row>
    <row r="55" spans="1:44" ht="12" customHeight="1">
      <c r="A55" s="545"/>
      <c r="B55" s="626" t="s">
        <v>304</v>
      </c>
      <c r="C55" s="616"/>
      <c r="D55" s="616"/>
      <c r="E55" s="328"/>
      <c r="F55" s="449"/>
      <c r="G55" s="138"/>
      <c r="H55" s="486">
        <f>F55*H52</f>
        <v>0</v>
      </c>
      <c r="I55" s="411"/>
      <c r="J55" s="411"/>
      <c r="K55" s="411"/>
      <c r="L55" s="506">
        <f>J55*L52</f>
        <v>0</v>
      </c>
      <c r="M55" s="138"/>
      <c r="N55" s="451">
        <f t="shared" si="65"/>
        <v>0</v>
      </c>
      <c r="O55" s="453" t="str">
        <f t="shared" si="66"/>
        <v/>
      </c>
      <c r="P55" s="53"/>
      <c r="Q55" s="411"/>
      <c r="R55" s="411"/>
      <c r="S55" s="506">
        <f>Q55*S52</f>
        <v>0</v>
      </c>
      <c r="T55" s="138"/>
      <c r="U55" s="451">
        <f t="shared" si="67"/>
        <v>0</v>
      </c>
      <c r="V55" s="453" t="str">
        <f t="shared" si="68"/>
        <v/>
      </c>
      <c r="W55" s="53"/>
      <c r="X55" s="411"/>
      <c r="Y55" s="411"/>
      <c r="Z55" s="506">
        <f>X55*Z52</f>
        <v>0</v>
      </c>
      <c r="AA55" s="138"/>
      <c r="AB55" s="451">
        <f t="shared" si="69"/>
        <v>0</v>
      </c>
      <c r="AC55" s="453" t="str">
        <f t="shared" si="70"/>
        <v/>
      </c>
      <c r="AD55" s="53"/>
      <c r="AE55" s="411"/>
      <c r="AF55" s="411"/>
      <c r="AG55" s="506">
        <f>AE55*AG52</f>
        <v>0</v>
      </c>
      <c r="AH55" s="138"/>
      <c r="AI55" s="451">
        <f t="shared" si="71"/>
        <v>0</v>
      </c>
      <c r="AJ55" s="453" t="str">
        <f t="shared" si="72"/>
        <v/>
      </c>
      <c r="AK55" s="53"/>
      <c r="AL55" s="411"/>
      <c r="AM55" s="411"/>
      <c r="AN55" s="506">
        <f>AL55*AN52</f>
        <v>0</v>
      </c>
      <c r="AO55" s="138"/>
      <c r="AP55" s="451">
        <f t="shared" si="73"/>
        <v>0</v>
      </c>
      <c r="AQ55" s="453" t="str">
        <f t="shared" si="74"/>
        <v/>
      </c>
      <c r="AR55" s="454"/>
    </row>
    <row r="56" spans="1:44" ht="12" customHeight="1">
      <c r="A56" s="545"/>
      <c r="B56" s="627" t="s">
        <v>347</v>
      </c>
      <c r="C56" s="608"/>
      <c r="D56" s="600"/>
      <c r="E56" s="455"/>
      <c r="F56" s="456"/>
      <c r="G56" s="487"/>
      <c r="H56" s="488">
        <f>H54-H55</f>
        <v>21280.445905255001</v>
      </c>
      <c r="I56" s="457"/>
      <c r="J56" s="457"/>
      <c r="K56" s="457"/>
      <c r="L56" s="458">
        <f>L54-L55</f>
        <v>21503.012361269997</v>
      </c>
      <c r="M56" s="459"/>
      <c r="N56" s="460">
        <f t="shared" si="65"/>
        <v>222.56645601499622</v>
      </c>
      <c r="O56" s="461">
        <f t="shared" si="66"/>
        <v>1.0458730846426276E-2</v>
      </c>
      <c r="P56" s="53"/>
      <c r="Q56" s="457"/>
      <c r="R56" s="457"/>
      <c r="S56" s="458">
        <f>S54-S55</f>
        <v>21707.118611269998</v>
      </c>
      <c r="T56" s="459"/>
      <c r="U56" s="460">
        <f t="shared" si="67"/>
        <v>204.10625000000073</v>
      </c>
      <c r="V56" s="461">
        <f t="shared" si="68"/>
        <v>9.491984033252257E-3</v>
      </c>
      <c r="W56" s="53"/>
      <c r="X56" s="457"/>
      <c r="Y56" s="457"/>
      <c r="Z56" s="458">
        <f>Z54-Z55</f>
        <v>21099.763386269995</v>
      </c>
      <c r="AA56" s="459"/>
      <c r="AB56" s="460">
        <f t="shared" si="69"/>
        <v>-607.35522500000297</v>
      </c>
      <c r="AC56" s="461">
        <f t="shared" si="70"/>
        <v>-2.7979541452575543E-2</v>
      </c>
      <c r="AD56" s="53"/>
      <c r="AE56" s="457"/>
      <c r="AF56" s="457"/>
      <c r="AG56" s="458">
        <f>AG54-AG55</f>
        <v>21193.465811269998</v>
      </c>
      <c r="AH56" s="459"/>
      <c r="AI56" s="460">
        <f t="shared" si="71"/>
        <v>93.702425000003132</v>
      </c>
      <c r="AJ56" s="461">
        <f t="shared" si="72"/>
        <v>4.440923022908258E-3</v>
      </c>
      <c r="AK56" s="53"/>
      <c r="AL56" s="457"/>
      <c r="AM56" s="457"/>
      <c r="AN56" s="458">
        <f>AN54-AN55</f>
        <v>21279.187611269997</v>
      </c>
      <c r="AO56" s="459"/>
      <c r="AP56" s="460">
        <f t="shared" si="73"/>
        <v>85.721799999999348</v>
      </c>
      <c r="AQ56" s="461">
        <f t="shared" si="74"/>
        <v>4.0447277837122458E-3</v>
      </c>
      <c r="AR56" s="462"/>
    </row>
    <row r="57" spans="1:44" ht="12" customHeight="1">
      <c r="A57" s="545"/>
      <c r="B57" s="428"/>
      <c r="C57" s="429"/>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row>
    <row r="58" spans="1:44" ht="12" customHeight="1">
      <c r="A58" s="545"/>
      <c r="B58" s="508" t="s">
        <v>348</v>
      </c>
      <c r="C58" s="509"/>
      <c r="D58" s="509"/>
      <c r="E58" s="509"/>
      <c r="F58" s="510"/>
      <c r="G58" s="511"/>
      <c r="H58" s="512">
        <f>SUM(H49:H50,H42,H43:H45)</f>
        <v>5027.1902</v>
      </c>
      <c r="I58" s="513"/>
      <c r="J58" s="514"/>
      <c r="K58" s="514"/>
      <c r="L58" s="512">
        <f>SUM(L49:L50,L42,L43:L45)</f>
        <v>5232.1638900000007</v>
      </c>
      <c r="M58" s="515"/>
      <c r="N58" s="516">
        <f t="shared" ref="N58:N62" si="75">L58-H58</f>
        <v>204.97369000000072</v>
      </c>
      <c r="O58" s="517">
        <f t="shared" ref="O58:O62" si="76">IF((H58)=0,"",(N58/H58))</f>
        <v>4.0773012725876322E-2</v>
      </c>
      <c r="P58" s="507"/>
      <c r="Q58" s="514"/>
      <c r="R58" s="514"/>
      <c r="S58" s="512">
        <f>SUM(S49:S50,S42,S43:S45)</f>
        <v>5412.7888900000007</v>
      </c>
      <c r="T58" s="515"/>
      <c r="U58" s="516">
        <f t="shared" ref="U58:U62" si="77">S58-L58</f>
        <v>180.625</v>
      </c>
      <c r="V58" s="517">
        <f t="shared" ref="V58:V62" si="78">IF((L58)=0,"",(U58/L58))</f>
        <v>3.4522045524074736E-2</v>
      </c>
      <c r="W58" s="507"/>
      <c r="X58" s="514"/>
      <c r="Y58" s="514"/>
      <c r="Z58" s="512">
        <f>SUM(Z49:Z50,Z42,Z43:Z45)</f>
        <v>4875.3063899999997</v>
      </c>
      <c r="AA58" s="515"/>
      <c r="AB58" s="516">
        <f t="shared" ref="AB58:AB62" si="79">Z58-S58</f>
        <v>-537.48250000000098</v>
      </c>
      <c r="AC58" s="517">
        <f t="shared" ref="AC58:AC62" si="80">IF((S58)=0,"",(AB58/S58))</f>
        <v>-9.9298626072963456E-2</v>
      </c>
      <c r="AD58" s="507"/>
      <c r="AE58" s="514"/>
      <c r="AF58" s="514"/>
      <c r="AG58" s="512">
        <f>SUM(AG49:AG50,AG42,AG43:AG45)</f>
        <v>4958.2288900000003</v>
      </c>
      <c r="AH58" s="515"/>
      <c r="AI58" s="516">
        <f t="shared" ref="AI58:AI62" si="81">AG58-Z58</f>
        <v>82.922500000000582</v>
      </c>
      <c r="AJ58" s="517">
        <f t="shared" ref="AJ58:AJ62" si="82">IF((Z58)=0,"",(AI58/Z58))</f>
        <v>1.7008674607628217E-2</v>
      </c>
      <c r="AK58" s="507"/>
      <c r="AL58" s="514"/>
      <c r="AM58" s="514"/>
      <c r="AN58" s="512">
        <f>SUM(AN49:AN50,AN42,AN43:AN45)</f>
        <v>5034.0888900000009</v>
      </c>
      <c r="AO58" s="515"/>
      <c r="AP58" s="516">
        <f t="shared" ref="AP58:AP62" si="83">AN58-AG58</f>
        <v>75.860000000000582</v>
      </c>
      <c r="AQ58" s="517">
        <f t="shared" ref="AQ58:AQ62" si="84">IF((AG58)=0,"",(AP58/AG58))</f>
        <v>1.5299818076773091E-2</v>
      </c>
      <c r="AR58" s="518"/>
    </row>
    <row r="59" spans="1:44" ht="12" customHeight="1">
      <c r="A59" s="545"/>
      <c r="B59" s="519" t="s">
        <v>345</v>
      </c>
      <c r="C59" s="509"/>
      <c r="D59" s="509"/>
      <c r="E59" s="509"/>
      <c r="F59" s="510">
        <v>0.13</v>
      </c>
      <c r="G59" s="511"/>
      <c r="H59" s="520">
        <f>H58*F59</f>
        <v>653.53472599999998</v>
      </c>
      <c r="I59" s="521"/>
      <c r="J59" s="510">
        <v>0.13</v>
      </c>
      <c r="K59" s="522"/>
      <c r="L59" s="523">
        <f>L58*J59</f>
        <v>680.18130570000017</v>
      </c>
      <c r="M59" s="524"/>
      <c r="N59" s="525">
        <f t="shared" si="75"/>
        <v>26.646579700000188</v>
      </c>
      <c r="O59" s="526">
        <f t="shared" si="76"/>
        <v>4.0773012725876467E-2</v>
      </c>
      <c r="P59" s="507"/>
      <c r="Q59" s="510">
        <v>0.13</v>
      </c>
      <c r="R59" s="522"/>
      <c r="S59" s="523">
        <f>S58*Q59</f>
        <v>703.6625557000001</v>
      </c>
      <c r="T59" s="524"/>
      <c r="U59" s="525">
        <f t="shared" si="77"/>
        <v>23.481249999999932</v>
      </c>
      <c r="V59" s="526">
        <f t="shared" si="78"/>
        <v>3.4522045524074632E-2</v>
      </c>
      <c r="W59" s="507"/>
      <c r="X59" s="510">
        <v>0.13</v>
      </c>
      <c r="Y59" s="522"/>
      <c r="Z59" s="523">
        <f>Z58*X59</f>
        <v>633.78983070000004</v>
      </c>
      <c r="AA59" s="524"/>
      <c r="AB59" s="525">
        <f t="shared" si="79"/>
        <v>-69.872725000000059</v>
      </c>
      <c r="AC59" s="526">
        <f t="shared" si="80"/>
        <v>-9.9298626072963359E-2</v>
      </c>
      <c r="AD59" s="507"/>
      <c r="AE59" s="510">
        <v>0.13</v>
      </c>
      <c r="AF59" s="522"/>
      <c r="AG59" s="523">
        <f>AG58*AE59</f>
        <v>644.56975570000009</v>
      </c>
      <c r="AH59" s="524"/>
      <c r="AI59" s="525">
        <f t="shared" si="81"/>
        <v>10.779925000000048</v>
      </c>
      <c r="AJ59" s="526">
        <f t="shared" si="82"/>
        <v>1.7008674607628171E-2</v>
      </c>
      <c r="AK59" s="507"/>
      <c r="AL59" s="510">
        <v>0.13</v>
      </c>
      <c r="AM59" s="522"/>
      <c r="AN59" s="523">
        <f>AN58*AL59</f>
        <v>654.4315557000001</v>
      </c>
      <c r="AO59" s="524"/>
      <c r="AP59" s="525">
        <f t="shared" si="83"/>
        <v>9.8618000000000166</v>
      </c>
      <c r="AQ59" s="526">
        <f t="shared" si="84"/>
        <v>1.5299818076772997E-2</v>
      </c>
      <c r="AR59" s="527"/>
    </row>
    <row r="60" spans="1:44" ht="12" customHeight="1">
      <c r="A60" s="545"/>
      <c r="B60" s="528" t="s">
        <v>414</v>
      </c>
      <c r="C60" s="509"/>
      <c r="D60" s="509"/>
      <c r="E60" s="509"/>
      <c r="F60" s="529"/>
      <c r="G60" s="524"/>
      <c r="H60" s="520">
        <f>H58+H59</f>
        <v>5680.7249259999999</v>
      </c>
      <c r="I60" s="521"/>
      <c r="J60" s="521"/>
      <c r="K60" s="521"/>
      <c r="L60" s="523">
        <f>L58+L59</f>
        <v>5912.3451957000007</v>
      </c>
      <c r="M60" s="524"/>
      <c r="N60" s="525">
        <f t="shared" si="75"/>
        <v>231.62026970000079</v>
      </c>
      <c r="O60" s="526">
        <f t="shared" si="76"/>
        <v>4.0773012725876315E-2</v>
      </c>
      <c r="P60" s="507"/>
      <c r="Q60" s="521"/>
      <c r="R60" s="521"/>
      <c r="S60" s="523">
        <f>S58+S59</f>
        <v>6116.4514457000005</v>
      </c>
      <c r="T60" s="524"/>
      <c r="U60" s="525">
        <f t="shared" si="77"/>
        <v>204.10624999999982</v>
      </c>
      <c r="V60" s="526">
        <f t="shared" si="78"/>
        <v>3.4522045524074708E-2</v>
      </c>
      <c r="W60" s="507"/>
      <c r="X60" s="521"/>
      <c r="Y60" s="521"/>
      <c r="Z60" s="523">
        <f>Z58+Z59</f>
        <v>5509.0962206999993</v>
      </c>
      <c r="AA60" s="524"/>
      <c r="AB60" s="525">
        <f t="shared" si="79"/>
        <v>-607.35522500000116</v>
      </c>
      <c r="AC60" s="526">
        <f t="shared" si="80"/>
        <v>-9.929862607296347E-2</v>
      </c>
      <c r="AD60" s="507"/>
      <c r="AE60" s="521"/>
      <c r="AF60" s="521"/>
      <c r="AG60" s="523">
        <f>AG58+AG59</f>
        <v>5602.7986457000006</v>
      </c>
      <c r="AH60" s="524"/>
      <c r="AI60" s="525">
        <f t="shared" si="81"/>
        <v>93.702425000001313</v>
      </c>
      <c r="AJ60" s="526">
        <f t="shared" si="82"/>
        <v>1.7008674607628338E-2</v>
      </c>
      <c r="AK60" s="507"/>
      <c r="AL60" s="521"/>
      <c r="AM60" s="521"/>
      <c r="AN60" s="523">
        <f>AN58+AN59</f>
        <v>5688.5204457000009</v>
      </c>
      <c r="AO60" s="524"/>
      <c r="AP60" s="525">
        <f t="shared" si="83"/>
        <v>85.721800000000258</v>
      </c>
      <c r="AQ60" s="526">
        <f t="shared" si="84"/>
        <v>1.5299818076773018E-2</v>
      </c>
      <c r="AR60" s="527"/>
    </row>
    <row r="61" spans="1:44" ht="12" customHeight="1">
      <c r="A61" s="545"/>
      <c r="B61" s="636" t="s">
        <v>304</v>
      </c>
      <c r="C61" s="616"/>
      <c r="D61" s="616"/>
      <c r="E61" s="509"/>
      <c r="F61" s="529"/>
      <c r="G61" s="524"/>
      <c r="H61" s="530">
        <f>F61*H58</f>
        <v>0</v>
      </c>
      <c r="I61" s="521"/>
      <c r="J61" s="521"/>
      <c r="K61" s="521"/>
      <c r="L61" s="531">
        <f>J61*L58</f>
        <v>0</v>
      </c>
      <c r="M61" s="524"/>
      <c r="N61" s="532">
        <f t="shared" si="75"/>
        <v>0</v>
      </c>
      <c r="O61" s="533" t="str">
        <f t="shared" si="76"/>
        <v/>
      </c>
      <c r="P61" s="507"/>
      <c r="Q61" s="521"/>
      <c r="R61" s="521"/>
      <c r="S61" s="531">
        <f>Q61*S58</f>
        <v>0</v>
      </c>
      <c r="T61" s="524"/>
      <c r="U61" s="532">
        <f t="shared" si="77"/>
        <v>0</v>
      </c>
      <c r="V61" s="533" t="str">
        <f t="shared" si="78"/>
        <v/>
      </c>
      <c r="W61" s="507"/>
      <c r="X61" s="521"/>
      <c r="Y61" s="521"/>
      <c r="Z61" s="531">
        <f>X61*Z58</f>
        <v>0</v>
      </c>
      <c r="AA61" s="524"/>
      <c r="AB61" s="532">
        <f t="shared" si="79"/>
        <v>0</v>
      </c>
      <c r="AC61" s="533" t="str">
        <f t="shared" si="80"/>
        <v/>
      </c>
      <c r="AD61" s="507"/>
      <c r="AE61" s="521"/>
      <c r="AF61" s="521"/>
      <c r="AG61" s="531">
        <f>AE61*AG58</f>
        <v>0</v>
      </c>
      <c r="AH61" s="524"/>
      <c r="AI61" s="532">
        <f t="shared" si="81"/>
        <v>0</v>
      </c>
      <c r="AJ61" s="533" t="str">
        <f t="shared" si="82"/>
        <v/>
      </c>
      <c r="AK61" s="507"/>
      <c r="AL61" s="521"/>
      <c r="AM61" s="521"/>
      <c r="AN61" s="531">
        <f>AL61*AN58</f>
        <v>0</v>
      </c>
      <c r="AO61" s="524"/>
      <c r="AP61" s="532">
        <f t="shared" si="83"/>
        <v>0</v>
      </c>
      <c r="AQ61" s="533" t="str">
        <f t="shared" si="84"/>
        <v/>
      </c>
      <c r="AR61" s="534"/>
    </row>
    <row r="62" spans="1:44" ht="12" customHeight="1">
      <c r="A62" s="545"/>
      <c r="B62" s="637" t="s">
        <v>350</v>
      </c>
      <c r="C62" s="608"/>
      <c r="D62" s="600"/>
      <c r="E62" s="535"/>
      <c r="F62" s="536"/>
      <c r="G62" s="537"/>
      <c r="H62" s="538">
        <f>H60-H61</f>
        <v>5680.7249259999999</v>
      </c>
      <c r="I62" s="539"/>
      <c r="J62" s="539"/>
      <c r="K62" s="539"/>
      <c r="L62" s="540">
        <f>L60-L61</f>
        <v>5912.3451957000007</v>
      </c>
      <c r="M62" s="541"/>
      <c r="N62" s="542">
        <f t="shared" si="75"/>
        <v>231.62026970000079</v>
      </c>
      <c r="O62" s="543">
        <f t="shared" si="76"/>
        <v>4.0773012725876315E-2</v>
      </c>
      <c r="P62" s="507"/>
      <c r="Q62" s="539"/>
      <c r="R62" s="539"/>
      <c r="S62" s="540">
        <f>S60-S61</f>
        <v>6116.4514457000005</v>
      </c>
      <c r="T62" s="541"/>
      <c r="U62" s="542">
        <f t="shared" si="77"/>
        <v>204.10624999999982</v>
      </c>
      <c r="V62" s="543">
        <f t="shared" si="78"/>
        <v>3.4522045524074708E-2</v>
      </c>
      <c r="W62" s="507"/>
      <c r="X62" s="539"/>
      <c r="Y62" s="539"/>
      <c r="Z62" s="540">
        <f>Z60-Z61</f>
        <v>5509.0962206999993</v>
      </c>
      <c r="AA62" s="541"/>
      <c r="AB62" s="542">
        <f t="shared" si="79"/>
        <v>-607.35522500000116</v>
      </c>
      <c r="AC62" s="543">
        <f t="shared" si="80"/>
        <v>-9.929862607296347E-2</v>
      </c>
      <c r="AD62" s="507"/>
      <c r="AE62" s="539"/>
      <c r="AF62" s="539"/>
      <c r="AG62" s="540">
        <f>AG60-AG61</f>
        <v>5602.7986457000006</v>
      </c>
      <c r="AH62" s="541"/>
      <c r="AI62" s="542">
        <f t="shared" si="81"/>
        <v>93.702425000001313</v>
      </c>
      <c r="AJ62" s="543">
        <f t="shared" si="82"/>
        <v>1.7008674607628338E-2</v>
      </c>
      <c r="AK62" s="507"/>
      <c r="AL62" s="539"/>
      <c r="AM62" s="539"/>
      <c r="AN62" s="540">
        <f>AN60-AN61</f>
        <v>5688.5204457000009</v>
      </c>
      <c r="AO62" s="541"/>
      <c r="AP62" s="542">
        <f t="shared" si="83"/>
        <v>85.721800000000258</v>
      </c>
      <c r="AQ62" s="543">
        <f t="shared" si="84"/>
        <v>1.5299818076773018E-2</v>
      </c>
      <c r="AR62" s="544"/>
    </row>
    <row r="63" spans="1:44" ht="12" customHeight="1">
      <c r="A63" s="545"/>
      <c r="B63" s="428"/>
      <c r="C63" s="429"/>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row>
    <row r="64" spans="1:44" ht="12" customHeight="1">
      <c r="A64" s="545"/>
      <c r="B64" s="53"/>
      <c r="C64" s="53"/>
      <c r="D64" s="53"/>
      <c r="E64" s="53"/>
      <c r="F64" s="53"/>
      <c r="G64" s="53"/>
      <c r="H64" s="53">
        <v>17559.439999999999</v>
      </c>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 customHeight="1">
      <c r="A65" s="545"/>
      <c r="B65" s="314" t="s">
        <v>351</v>
      </c>
      <c r="C65" s="53"/>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473" t="s">
        <v>415</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474"/>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1A00-000000000000}">
      <formula1>"TOU,non-TOU"</formula1>
    </dataValidation>
    <dataValidation type="list" allowBlank="1" showErrorMessage="1" sqref="E15:E28 E30:E38 E40:E41 E43:E51 E57 E63" xr:uid="{00000000-0002-0000-1A00-000001000000}">
      <formula1>#REF!</formula1>
    </dataValidation>
    <dataValidation type="list" allowBlank="1" showInputMessage="1" showErrorMessage="1" prompt="Select Charge Unit - monthly, per kWh, per kW" sqref="D15:D28 D30:D38 D40:D41 D43:D51 D57 D63" xr:uid="{00000000-0002-0000-1A00-000002000000}">
      <formula1>"Monthly,per kWh,per kW"</formula1>
    </dataValidation>
  </dataValidations>
  <pageMargins left="0.74803149606299213" right="0.74803149606299213" top="0.98425196850393704" bottom="0.98425196850393704"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X1000"/>
  <sheetViews>
    <sheetView showGridLines="0" workbookViewId="0"/>
  </sheetViews>
  <sheetFormatPr defaultColWidth="12.5703125" defaultRowHeight="15" customHeight="1"/>
  <cols>
    <col min="1" max="1" width="3" customWidth="1"/>
    <col min="2" max="2" width="26.42578125" customWidth="1"/>
    <col min="3" max="3" width="3.28515625" customWidth="1"/>
    <col min="4" max="4" width="11.42578125" customWidth="1"/>
    <col min="5" max="5" width="1.42578125" customWidth="1"/>
    <col min="6" max="6" width="9.42578125" customWidth="1"/>
    <col min="7" max="7" width="8.7109375" customWidth="1"/>
    <col min="8" max="8" width="12.28515625" customWidth="1"/>
    <col min="9" max="9" width="0.7109375" customWidth="1"/>
    <col min="10" max="10" width="9.28515625" customWidth="1"/>
    <col min="11" max="11" width="8.7109375" customWidth="1"/>
    <col min="12" max="12" width="12.28515625" customWidth="1"/>
    <col min="13" max="13" width="0.42578125" customWidth="1"/>
    <col min="14" max="14" width="9.42578125" customWidth="1"/>
    <col min="15" max="15" width="10" customWidth="1"/>
    <col min="16" max="16" width="0.42578125" customWidth="1"/>
    <col min="17" max="17" width="9.28515625" customWidth="1"/>
    <col min="18" max="18" width="8.7109375" customWidth="1"/>
    <col min="19" max="19" width="12.28515625" customWidth="1"/>
    <col min="20" max="20" width="0.42578125" customWidth="1"/>
    <col min="21" max="21" width="9.42578125" customWidth="1"/>
    <col min="22" max="22" width="10" customWidth="1"/>
    <col min="23" max="23" width="0.42578125" customWidth="1"/>
    <col min="24" max="24" width="9.28515625" customWidth="1"/>
    <col min="25" max="25" width="8.7109375" customWidth="1"/>
    <col min="26" max="26" width="12.28515625" customWidth="1"/>
    <col min="27" max="27" width="0.42578125" customWidth="1"/>
    <col min="28" max="28" width="9.42578125" customWidth="1"/>
    <col min="29" max="29" width="10" customWidth="1"/>
    <col min="30" max="30" width="0.42578125" customWidth="1"/>
    <col min="31" max="31" width="10.42578125" customWidth="1"/>
    <col min="32" max="32" width="8.710937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8.7109375" customWidth="1"/>
    <col min="40" max="40" width="12.28515625" customWidth="1"/>
    <col min="41" max="41" width="1.28515625" customWidth="1"/>
    <col min="42" max="42" width="9.42578125" customWidth="1"/>
    <col min="43" max="43" width="10" customWidth="1"/>
    <col min="44" max="44" width="1.28515625" customWidth="1"/>
    <col min="45" max="50" width="12.42578125" customWidth="1"/>
  </cols>
  <sheetData>
    <row r="1" spans="1:50" ht="12" customHeight="1">
      <c r="A1" s="53"/>
      <c r="B1" s="53"/>
      <c r="C1" s="53"/>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3"/>
      <c r="AT1" s="3"/>
      <c r="AU1" s="3"/>
      <c r="AV1" s="3"/>
      <c r="AW1" s="3"/>
      <c r="AX1" s="3"/>
    </row>
    <row r="2" spans="1:50" ht="12" customHeight="1">
      <c r="A2" s="53"/>
      <c r="B2" s="53"/>
      <c r="C2" s="373"/>
      <c r="D2" s="373"/>
      <c r="E2" s="373"/>
      <c r="F2" s="373" t="s">
        <v>320</v>
      </c>
      <c r="G2" s="373"/>
      <c r="H2" s="373"/>
      <c r="I2" s="373"/>
      <c r="J2" s="373"/>
      <c r="K2" s="373"/>
      <c r="L2" s="373"/>
      <c r="M2" s="373"/>
      <c r="N2" s="373"/>
      <c r="O2" s="373"/>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3"/>
      <c r="AT2" s="3"/>
      <c r="AU2" s="3"/>
      <c r="AV2" s="3"/>
      <c r="AW2" s="3"/>
      <c r="AX2" s="3"/>
    </row>
    <row r="3" spans="1:50" ht="12" customHeight="1">
      <c r="A3" s="53"/>
      <c r="B3" s="53"/>
      <c r="C3" s="373"/>
      <c r="D3" s="373"/>
      <c r="E3" s="373"/>
      <c r="F3" s="373" t="s">
        <v>322</v>
      </c>
      <c r="G3" s="373"/>
      <c r="H3" s="373"/>
      <c r="I3" s="373"/>
      <c r="J3" s="373"/>
      <c r="K3" s="373"/>
      <c r="L3" s="373"/>
      <c r="M3" s="373"/>
      <c r="N3" s="373"/>
      <c r="O3" s="373"/>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c r="AU3" s="3"/>
      <c r="AV3" s="3"/>
      <c r="AW3" s="3"/>
      <c r="AX3" s="3"/>
    </row>
    <row r="4" spans="1:50" ht="12" customHeight="1">
      <c r="A4" s="53"/>
      <c r="B4" s="53"/>
      <c r="C4" s="53"/>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c r="AU4" s="3"/>
      <c r="AV4" s="3"/>
      <c r="AW4" s="3"/>
      <c r="AX4" s="3"/>
    </row>
    <row r="5" spans="1:50" ht="12" customHeight="1">
      <c r="A5" s="53"/>
      <c r="B5" s="53"/>
      <c r="C5" s="53"/>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c r="AU5" s="3"/>
      <c r="AV5" s="3"/>
      <c r="AW5" s="3"/>
      <c r="AX5" s="3"/>
    </row>
    <row r="6" spans="1:50" ht="12" customHeight="1">
      <c r="A6" s="53"/>
      <c r="B6" s="327" t="s">
        <v>323</v>
      </c>
      <c r="C6" s="53"/>
      <c r="D6" s="499" t="s">
        <v>249</v>
      </c>
      <c r="E6" s="500"/>
      <c r="F6" s="500"/>
      <c r="G6" s="500"/>
      <c r="H6" s="500"/>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c r="AW6" s="3"/>
      <c r="AX6" s="3"/>
    </row>
    <row r="7" spans="1:50"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c r="AV7" s="3"/>
      <c r="AW7" s="3"/>
      <c r="AX7" s="3"/>
    </row>
    <row r="8" spans="1:50" ht="12" customHeight="1">
      <c r="A8" s="53"/>
      <c r="B8" s="327" t="s">
        <v>324</v>
      </c>
      <c r="C8" s="53"/>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3"/>
      <c r="AT8" s="3"/>
      <c r="AU8" s="3"/>
      <c r="AV8" s="3"/>
      <c r="AW8" s="3"/>
      <c r="AX8" s="3"/>
    </row>
    <row r="9" spans="1:50" ht="12" customHeight="1">
      <c r="A9" s="53"/>
      <c r="B9" s="377"/>
      <c r="C9" s="53"/>
      <c r="D9" s="314" t="s">
        <v>326</v>
      </c>
      <c r="E9" s="314"/>
      <c r="F9" s="380">
        <v>51000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3"/>
      <c r="AT9" s="3"/>
      <c r="AU9" s="3"/>
      <c r="AV9" s="3"/>
      <c r="AW9" s="3"/>
      <c r="AX9" s="3"/>
    </row>
    <row r="10" spans="1:50" ht="12" customHeight="1">
      <c r="A10" s="53"/>
      <c r="B10" s="53"/>
      <c r="C10" s="53"/>
      <c r="D10" s="53"/>
      <c r="E10" s="53"/>
      <c r="F10" s="380">
        <v>250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3"/>
      <c r="AT10" s="3"/>
      <c r="AU10" s="3"/>
      <c r="AV10" s="3"/>
      <c r="AW10" s="3"/>
      <c r="AX10" s="3"/>
    </row>
    <row r="11" spans="1:50" ht="12" customHeight="1">
      <c r="A11" s="545"/>
      <c r="B11" s="53"/>
      <c r="C11" s="53"/>
      <c r="D11" s="3"/>
      <c r="E11" s="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c r="AS11" s="3"/>
      <c r="AT11" s="3"/>
      <c r="AU11" s="3"/>
      <c r="AV11" s="3"/>
      <c r="AW11" s="3"/>
      <c r="AX11" s="3"/>
    </row>
    <row r="12" spans="1:50" ht="12" customHeight="1">
      <c r="A12" s="545"/>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c r="AS12" s="3"/>
      <c r="AT12" s="3"/>
      <c r="AU12" s="3"/>
      <c r="AV12" s="3"/>
      <c r="AW12" s="3"/>
      <c r="AX12" s="3"/>
    </row>
    <row r="13" spans="1:50" ht="12" customHeight="1">
      <c r="A13" s="545"/>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c r="AS13" s="3"/>
      <c r="AT13" s="3"/>
      <c r="AU13" s="3"/>
      <c r="AV13" s="3"/>
      <c r="AW13" s="3"/>
      <c r="AX13" s="3"/>
    </row>
    <row r="14" spans="1:50" ht="12" customHeight="1">
      <c r="A14" s="545"/>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c r="AS14" s="3"/>
      <c r="AT14" s="3"/>
      <c r="AU14" s="3"/>
      <c r="AV14" s="3"/>
      <c r="AW14" s="3"/>
      <c r="AX14" s="3"/>
    </row>
    <row r="15" spans="1:50" ht="12" customHeight="1">
      <c r="A15" s="545"/>
      <c r="B15" s="328" t="s">
        <v>246</v>
      </c>
      <c r="C15" s="389" t="str">
        <f t="shared" ref="C15:C28" si="0">D$6&amp;"."&amp;B15</f>
        <v>General Service 50 to 1,499 KW.Monthly Service Charge</v>
      </c>
      <c r="D15" s="390" t="s">
        <v>335</v>
      </c>
      <c r="E15" s="328"/>
      <c r="F15" s="391">
        <f>VLOOKUP($C15,'Proposed Rates'!$B:$J,F$11,FALSE)</f>
        <v>200</v>
      </c>
      <c r="G15" s="409">
        <f t="shared" ref="G15:G28" si="1">IF($D15="Monthly",1,IF($D15="per KW",$F$10,IF($D15="per kWh",$F$9,0)))</f>
        <v>1</v>
      </c>
      <c r="H15" s="394">
        <f t="shared" ref="H15:H28" si="2">G15*F15</f>
        <v>200</v>
      </c>
      <c r="I15" s="138"/>
      <c r="J15" s="391">
        <f>VLOOKUP($C15,'Proposed Rates'!$B:$J,J$11,FALSE)</f>
        <v>200</v>
      </c>
      <c r="K15" s="409">
        <f t="shared" ref="K15:K28" si="3">IF($D15="Monthly",1,IF($D15="per KW",$F$10,IF($D15="per kWh",$F$9,0)))</f>
        <v>1</v>
      </c>
      <c r="L15" s="394">
        <f t="shared" ref="L15:L28" si="4">K15*J15</f>
        <v>200</v>
      </c>
      <c r="M15" s="138"/>
      <c r="N15" s="395">
        <f t="shared" ref="N15:N46" si="5">L15-H15</f>
        <v>0</v>
      </c>
      <c r="O15" s="396">
        <f t="shared" ref="O15:O46" si="6">IF((H15)=0,"",(N15/H15))</f>
        <v>0</v>
      </c>
      <c r="P15" s="53"/>
      <c r="Q15" s="391">
        <f>VLOOKUP($C15,'Proposed Rates'!$B:$J,Q$11,FALSE)</f>
        <v>200</v>
      </c>
      <c r="R15" s="409">
        <f t="shared" ref="R15:R28" si="7">IF($D15="Monthly",1,IF($D15="per KW",$F$10,IF($D15="per kWh",$F$9,0)))</f>
        <v>1</v>
      </c>
      <c r="S15" s="394">
        <f t="shared" ref="S15:S28" si="8">R15*Q15</f>
        <v>200</v>
      </c>
      <c r="T15" s="138"/>
      <c r="U15" s="395">
        <f t="shared" ref="U15:U46" si="9">S15-L15</f>
        <v>0</v>
      </c>
      <c r="V15" s="396">
        <f t="shared" ref="V15:V46" si="10">IF((L15)=0,"",(U15/L15))</f>
        <v>0</v>
      </c>
      <c r="W15" s="53"/>
      <c r="X15" s="391">
        <f>VLOOKUP($C15,'Proposed Rates'!$B:$J,X$11,FALSE)</f>
        <v>200</v>
      </c>
      <c r="Y15" s="409">
        <f t="shared" ref="Y15:Y28" si="11">IF($D15="Monthly",1,IF($D15="per KW",$F$10,IF($D15="per kWh",$F$9,0)))</f>
        <v>1</v>
      </c>
      <c r="Z15" s="394">
        <f t="shared" ref="Z15:Z28" si="12">Y15*X15</f>
        <v>200</v>
      </c>
      <c r="AA15" s="138"/>
      <c r="AB15" s="395">
        <f t="shared" ref="AB15:AB34" si="13">Z15-S15</f>
        <v>0</v>
      </c>
      <c r="AC15" s="396">
        <f t="shared" ref="AC15:AC34" si="14">IF((S15)=0,"",(AB15/S15))</f>
        <v>0</v>
      </c>
      <c r="AD15" s="53"/>
      <c r="AE15" s="391">
        <f>VLOOKUP($C15,'Proposed Rates'!$B:$J,AE$11,FALSE)</f>
        <v>200</v>
      </c>
      <c r="AF15" s="409">
        <f t="shared" ref="AF15:AF28" si="15">IF($D15="Monthly",1,IF($D15="per KW",$F$10,IF($D15="per kWh",$F$9,0)))</f>
        <v>1</v>
      </c>
      <c r="AG15" s="394">
        <f t="shared" ref="AG15:AG28" si="16">AF15*AE15</f>
        <v>200</v>
      </c>
      <c r="AH15" s="138"/>
      <c r="AI15" s="395">
        <f t="shared" ref="AI15:AI46" si="17">AG15-Z15</f>
        <v>0</v>
      </c>
      <c r="AJ15" s="396">
        <f t="shared" ref="AJ15:AJ46" si="18">IF((Z15)=0,"",(AI15/Z15))</f>
        <v>0</v>
      </c>
      <c r="AK15" s="53"/>
      <c r="AL15" s="391">
        <f>VLOOKUP($C15,'Proposed Rates'!$B:$J,AL$11,FALSE)</f>
        <v>200</v>
      </c>
      <c r="AM15" s="409">
        <f t="shared" ref="AM15:AM28" si="19">IF($D15="Monthly",1,IF($D15="per KW",$F$10,IF($D15="per kWh",$F$9,0)))</f>
        <v>1</v>
      </c>
      <c r="AN15" s="394">
        <f t="shared" ref="AN15:AN28" si="20">AM15*AL15</f>
        <v>200</v>
      </c>
      <c r="AO15" s="138"/>
      <c r="AP15" s="395">
        <f t="shared" ref="AP15:AP46" si="21">AN15-AG15</f>
        <v>0</v>
      </c>
      <c r="AQ15" s="396">
        <f t="shared" ref="AQ15:AQ46" si="22">IF((AG15)=0,"",(AP15/AG15))</f>
        <v>0</v>
      </c>
      <c r="AR15" s="397"/>
      <c r="AS15" s="3"/>
      <c r="AT15" s="3"/>
      <c r="AU15" s="3"/>
      <c r="AV15" s="3"/>
      <c r="AW15" s="3"/>
      <c r="AX15" s="3"/>
    </row>
    <row r="16" spans="1:50" ht="12" customHeight="1">
      <c r="A16" s="545"/>
      <c r="B16" s="328" t="s">
        <v>336</v>
      </c>
      <c r="C16" s="389" t="str">
        <f t="shared" si="0"/>
        <v>General Service 50 to 1,499 KW.Smart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c r="AS16" s="3"/>
      <c r="AT16" s="3"/>
      <c r="AU16" s="3"/>
      <c r="AV16" s="3"/>
      <c r="AW16" s="3"/>
      <c r="AX16" s="3"/>
    </row>
    <row r="17" spans="1:50" ht="12" customHeight="1">
      <c r="A17" s="545"/>
      <c r="B17" s="398" t="str">
        <f>'Proposed Rates'!C115</f>
        <v>Rate Rider Calculation for Forgone Revenue - variable</v>
      </c>
      <c r="C17" s="389" t="str">
        <f t="shared" si="0"/>
        <v>General Service 50 to 1,499 KW.Rate Rider Calculation for Forgone Revenue - variable</v>
      </c>
      <c r="D17" s="390" t="s">
        <v>406</v>
      </c>
      <c r="E17" s="328"/>
      <c r="F17" s="391">
        <f>IFERROR(VLOOKUP($C17,'Proposed Rates'!$B:$J,F$11,FALSE),0)</f>
        <v>0</v>
      </c>
      <c r="G17" s="409">
        <f t="shared" si="1"/>
        <v>250</v>
      </c>
      <c r="H17" s="394">
        <f t="shared" si="2"/>
        <v>0</v>
      </c>
      <c r="I17" s="138"/>
      <c r="J17" s="391">
        <f>IFERROR(VLOOKUP($C17,'Proposed Rates'!$B:$J,J$11,FALSE),0)</f>
        <v>0.45269999999999999</v>
      </c>
      <c r="K17" s="409">
        <f t="shared" si="3"/>
        <v>250</v>
      </c>
      <c r="L17" s="394">
        <f t="shared" si="4"/>
        <v>113.175</v>
      </c>
      <c r="M17" s="138"/>
      <c r="N17" s="395">
        <f t="shared" si="5"/>
        <v>113.175</v>
      </c>
      <c r="O17" s="396" t="str">
        <f t="shared" si="6"/>
        <v/>
      </c>
      <c r="P17" s="53"/>
      <c r="Q17" s="391">
        <f>IFERROR(VLOOKUP($C17,'Proposed Rates'!$B:$J,Q$11,FALSE),0)</f>
        <v>0.45269999999999999</v>
      </c>
      <c r="R17" s="409">
        <f t="shared" si="7"/>
        <v>250</v>
      </c>
      <c r="S17" s="394">
        <f t="shared" si="8"/>
        <v>113.175</v>
      </c>
      <c r="T17" s="138"/>
      <c r="U17" s="395">
        <f t="shared" si="9"/>
        <v>0</v>
      </c>
      <c r="V17" s="396">
        <f t="shared" si="10"/>
        <v>0</v>
      </c>
      <c r="W17" s="53"/>
      <c r="X17" s="391">
        <f>IFERROR(VLOOKUP($C17,'Proposed Rates'!$B:$J,X$11,FALSE),0)</f>
        <v>0</v>
      </c>
      <c r="Y17" s="409">
        <f t="shared" si="11"/>
        <v>250</v>
      </c>
      <c r="Z17" s="394">
        <f t="shared" si="12"/>
        <v>0</v>
      </c>
      <c r="AA17" s="138"/>
      <c r="AB17" s="395">
        <f t="shared" si="13"/>
        <v>-113.175</v>
      </c>
      <c r="AC17" s="396">
        <f t="shared" si="14"/>
        <v>-1</v>
      </c>
      <c r="AD17" s="53"/>
      <c r="AE17" s="391">
        <f>IFERROR(VLOOKUP($C17,'Proposed Rates'!$B:$J,AE$11,FALSE),0)</f>
        <v>0</v>
      </c>
      <c r="AF17" s="409">
        <f t="shared" si="15"/>
        <v>250</v>
      </c>
      <c r="AG17" s="394">
        <f t="shared" si="16"/>
        <v>0</v>
      </c>
      <c r="AH17" s="138"/>
      <c r="AI17" s="395">
        <f t="shared" si="17"/>
        <v>0</v>
      </c>
      <c r="AJ17" s="396" t="str">
        <f t="shared" si="18"/>
        <v/>
      </c>
      <c r="AK17" s="53"/>
      <c r="AL17" s="391">
        <f>IFERROR(VLOOKUP($C17,'Proposed Rates'!$B:$J,AL$11,FALSE),0)</f>
        <v>0</v>
      </c>
      <c r="AM17" s="409">
        <f t="shared" si="19"/>
        <v>250</v>
      </c>
      <c r="AN17" s="394">
        <f t="shared" si="20"/>
        <v>0</v>
      </c>
      <c r="AO17" s="138"/>
      <c r="AP17" s="395">
        <f t="shared" si="21"/>
        <v>0</v>
      </c>
      <c r="AQ17" s="396" t="str">
        <f t="shared" si="22"/>
        <v/>
      </c>
      <c r="AR17" s="397"/>
      <c r="AS17" s="3"/>
      <c r="AT17" s="3"/>
      <c r="AU17" s="3"/>
      <c r="AV17" s="3"/>
      <c r="AW17" s="3"/>
      <c r="AX17" s="3"/>
    </row>
    <row r="18" spans="1:50" ht="12" customHeight="1">
      <c r="A18" s="545"/>
      <c r="B18" s="398" t="str">
        <f>'Proposed Rates'!C128</f>
        <v>Rate Rider Calculation for Forgone Revenue - fixed</v>
      </c>
      <c r="C18" s="389" t="str">
        <f t="shared" si="0"/>
        <v>General Service 50 to 1,499 KW.Rate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-0.62</v>
      </c>
      <c r="K18" s="409">
        <f t="shared" si="3"/>
        <v>1</v>
      </c>
      <c r="L18" s="394">
        <f t="shared" si="4"/>
        <v>-0.62</v>
      </c>
      <c r="M18" s="138"/>
      <c r="N18" s="395">
        <f t="shared" si="5"/>
        <v>-0.62</v>
      </c>
      <c r="O18" s="396" t="str">
        <f t="shared" si="6"/>
        <v/>
      </c>
      <c r="P18" s="53"/>
      <c r="Q18" s="391">
        <f>IFERROR(VLOOKUP($C18,'Proposed Rates'!$B:$J,Q$11,FALSE),0)</f>
        <v>-0.62</v>
      </c>
      <c r="R18" s="409">
        <f t="shared" si="7"/>
        <v>1</v>
      </c>
      <c r="S18" s="394">
        <f t="shared" si="8"/>
        <v>-0.62</v>
      </c>
      <c r="T18" s="138"/>
      <c r="U18" s="395">
        <f t="shared" si="9"/>
        <v>0</v>
      </c>
      <c r="V18" s="396">
        <f t="shared" si="10"/>
        <v>0</v>
      </c>
      <c r="W18" s="53"/>
      <c r="X18" s="391">
        <f>IFERROR(VLOOKUP($C18,'Proposed Rates'!$B:$J,X$11,FALSE),0)</f>
        <v>0</v>
      </c>
      <c r="Y18" s="409">
        <f t="shared" si="11"/>
        <v>1</v>
      </c>
      <c r="Z18" s="394">
        <f t="shared" si="12"/>
        <v>0</v>
      </c>
      <c r="AA18" s="138"/>
      <c r="AB18" s="395">
        <f t="shared" si="13"/>
        <v>0.62</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c r="AS18" s="3"/>
      <c r="AT18" s="3"/>
      <c r="AU18" s="3"/>
      <c r="AV18" s="3"/>
      <c r="AW18" s="3"/>
      <c r="AX18" s="3"/>
    </row>
    <row r="19" spans="1:50" ht="12" customHeight="1">
      <c r="A19" s="545"/>
      <c r="B19" s="328" t="s">
        <v>62</v>
      </c>
      <c r="C19" s="389" t="str">
        <f t="shared" si="0"/>
        <v>General Service 50 to 1,499 KW.Distribution Volumetric Rate</v>
      </c>
      <c r="D19" s="390" t="s">
        <v>406</v>
      </c>
      <c r="E19" s="328"/>
      <c r="F19" s="408">
        <f>IFERROR(VLOOKUP($C19,'Proposed Rates'!$B:$J,F$11,FALSE),0)</f>
        <v>6.5552999999999999</v>
      </c>
      <c r="G19" s="409">
        <f t="shared" si="1"/>
        <v>250</v>
      </c>
      <c r="H19" s="394">
        <f t="shared" si="2"/>
        <v>1638.825</v>
      </c>
      <c r="I19" s="138"/>
      <c r="J19" s="408">
        <f>IFERROR(VLOOKUP($C19,'Proposed Rates'!$B:$J,J$11,FALSE),0)</f>
        <v>7.6543000000000001</v>
      </c>
      <c r="K19" s="409">
        <f t="shared" si="3"/>
        <v>250</v>
      </c>
      <c r="L19" s="394">
        <f t="shared" si="4"/>
        <v>1913.575</v>
      </c>
      <c r="M19" s="138"/>
      <c r="N19" s="395">
        <f t="shared" si="5"/>
        <v>274.75</v>
      </c>
      <c r="O19" s="396">
        <f t="shared" si="6"/>
        <v>0.16765060332860432</v>
      </c>
      <c r="P19" s="53"/>
      <c r="Q19" s="408">
        <f>IFERROR(VLOOKUP($C19,'Proposed Rates'!$B:$J,Q$11,FALSE),0)</f>
        <v>8.0783000000000005</v>
      </c>
      <c r="R19" s="409">
        <f t="shared" si="7"/>
        <v>250</v>
      </c>
      <c r="S19" s="394">
        <f t="shared" si="8"/>
        <v>2019.575</v>
      </c>
      <c r="T19" s="138"/>
      <c r="U19" s="395">
        <f t="shared" si="9"/>
        <v>106</v>
      </c>
      <c r="V19" s="396">
        <f t="shared" si="10"/>
        <v>5.5393700273049136E-2</v>
      </c>
      <c r="W19" s="53"/>
      <c r="X19" s="408">
        <f>IFERROR(VLOOKUP($C19,'Proposed Rates'!$B:$J,X$11,FALSE),0)</f>
        <v>8.7073</v>
      </c>
      <c r="Y19" s="409">
        <f t="shared" si="11"/>
        <v>250</v>
      </c>
      <c r="Z19" s="394">
        <f t="shared" si="12"/>
        <v>2176.8249999999998</v>
      </c>
      <c r="AA19" s="138"/>
      <c r="AB19" s="395">
        <f t="shared" si="13"/>
        <v>157.24999999999977</v>
      </c>
      <c r="AC19" s="396">
        <f t="shared" si="14"/>
        <v>7.7862916702771512E-2</v>
      </c>
      <c r="AD19" s="53"/>
      <c r="AE19" s="408">
        <f>IFERROR(VLOOKUP($C19,'Proposed Rates'!$B:$J,AE$11,FALSE),0)</f>
        <v>9.0386000000000006</v>
      </c>
      <c r="AF19" s="409">
        <f t="shared" si="15"/>
        <v>250</v>
      </c>
      <c r="AG19" s="394">
        <f t="shared" si="16"/>
        <v>2259.65</v>
      </c>
      <c r="AH19" s="138"/>
      <c r="AI19" s="395">
        <f t="shared" si="17"/>
        <v>82.825000000000273</v>
      </c>
      <c r="AJ19" s="396">
        <f t="shared" si="18"/>
        <v>3.8048533988722238E-2</v>
      </c>
      <c r="AK19" s="53"/>
      <c r="AL19" s="408">
        <f>IFERROR(VLOOKUP($C19,'Proposed Rates'!$B:$J,AL$11,FALSE),0)</f>
        <v>9.3415999999999997</v>
      </c>
      <c r="AM19" s="409">
        <f t="shared" si="19"/>
        <v>250</v>
      </c>
      <c r="AN19" s="394">
        <f t="shared" si="20"/>
        <v>2335.4</v>
      </c>
      <c r="AO19" s="138"/>
      <c r="AP19" s="395">
        <f t="shared" si="21"/>
        <v>75.75</v>
      </c>
      <c r="AQ19" s="396">
        <f t="shared" si="22"/>
        <v>3.3522890713163542E-2</v>
      </c>
      <c r="AR19" s="397"/>
      <c r="AS19" s="3"/>
      <c r="AT19" s="3"/>
      <c r="AU19" s="3"/>
      <c r="AV19" s="3"/>
      <c r="AW19" s="3"/>
      <c r="AX19" s="3"/>
    </row>
    <row r="20" spans="1:50" ht="12" customHeight="1">
      <c r="A20" s="545"/>
      <c r="B20" s="328" t="s">
        <v>338</v>
      </c>
      <c r="C20" s="389" t="str">
        <f t="shared" si="0"/>
        <v>General Service 50 to 1,499 KW.Smart Meter Disposition Rider</v>
      </c>
      <c r="D20" s="390" t="s">
        <v>337</v>
      </c>
      <c r="E20" s="328"/>
      <c r="F20" s="391">
        <f>IFERROR(VLOOKUP($C20,'Proposed Rates'!$B:$J,F$11,FALSE),0)</f>
        <v>0</v>
      </c>
      <c r="G20" s="409">
        <f t="shared" si="1"/>
        <v>51000</v>
      </c>
      <c r="H20" s="394">
        <f t="shared" si="2"/>
        <v>0</v>
      </c>
      <c r="I20" s="138"/>
      <c r="J20" s="391">
        <f>IFERROR(VLOOKUP($C20,'Proposed Rates'!$B:$J,J$11,FALSE),0)</f>
        <v>0</v>
      </c>
      <c r="K20" s="409">
        <f t="shared" si="3"/>
        <v>51000</v>
      </c>
      <c r="L20" s="394">
        <f t="shared" si="4"/>
        <v>0</v>
      </c>
      <c r="M20" s="138"/>
      <c r="N20" s="395">
        <f t="shared" si="5"/>
        <v>0</v>
      </c>
      <c r="O20" s="396" t="str">
        <f t="shared" si="6"/>
        <v/>
      </c>
      <c r="P20" s="53"/>
      <c r="Q20" s="391">
        <f>IFERROR(VLOOKUP($C20,'Proposed Rates'!$B:$J,Q$11,FALSE),0)</f>
        <v>0</v>
      </c>
      <c r="R20" s="409">
        <f t="shared" si="7"/>
        <v>51000</v>
      </c>
      <c r="S20" s="394">
        <f t="shared" si="8"/>
        <v>0</v>
      </c>
      <c r="T20" s="138"/>
      <c r="U20" s="395">
        <f t="shared" si="9"/>
        <v>0</v>
      </c>
      <c r="V20" s="396" t="str">
        <f t="shared" si="10"/>
        <v/>
      </c>
      <c r="W20" s="53"/>
      <c r="X20" s="391">
        <f>IFERROR(VLOOKUP($C20,'Proposed Rates'!$B:$J,X$11,FALSE),0)</f>
        <v>0</v>
      </c>
      <c r="Y20" s="409">
        <f t="shared" si="11"/>
        <v>51000</v>
      </c>
      <c r="Z20" s="394">
        <f t="shared" si="12"/>
        <v>0</v>
      </c>
      <c r="AA20" s="138"/>
      <c r="AB20" s="395">
        <f t="shared" si="13"/>
        <v>0</v>
      </c>
      <c r="AC20" s="396" t="str">
        <f t="shared" si="14"/>
        <v/>
      </c>
      <c r="AD20" s="53"/>
      <c r="AE20" s="391">
        <f>IFERROR(VLOOKUP($C20,'Proposed Rates'!$B:$J,AE$11,FALSE),0)</f>
        <v>0</v>
      </c>
      <c r="AF20" s="409">
        <f t="shared" si="15"/>
        <v>51000</v>
      </c>
      <c r="AG20" s="394">
        <f t="shared" si="16"/>
        <v>0</v>
      </c>
      <c r="AH20" s="138"/>
      <c r="AI20" s="395">
        <f t="shared" si="17"/>
        <v>0</v>
      </c>
      <c r="AJ20" s="396" t="str">
        <f t="shared" si="18"/>
        <v/>
      </c>
      <c r="AK20" s="53"/>
      <c r="AL20" s="391">
        <f>IFERROR(VLOOKUP($C20,'Proposed Rates'!$B:$J,AL$11,FALSE),0)</f>
        <v>0</v>
      </c>
      <c r="AM20" s="409">
        <f t="shared" si="19"/>
        <v>51000</v>
      </c>
      <c r="AN20" s="394">
        <f t="shared" si="20"/>
        <v>0</v>
      </c>
      <c r="AO20" s="138"/>
      <c r="AP20" s="395">
        <f t="shared" si="21"/>
        <v>0</v>
      </c>
      <c r="AQ20" s="396" t="str">
        <f t="shared" si="22"/>
        <v/>
      </c>
      <c r="AR20" s="397"/>
      <c r="AS20" s="3"/>
      <c r="AT20" s="3"/>
      <c r="AU20" s="3"/>
      <c r="AV20" s="3"/>
      <c r="AW20" s="3"/>
      <c r="AX20" s="3"/>
    </row>
    <row r="21" spans="1:50" ht="12" customHeight="1">
      <c r="A21" s="545"/>
      <c r="B21" s="328" t="s">
        <v>269</v>
      </c>
      <c r="C21" s="389" t="str">
        <f t="shared" si="0"/>
        <v>General Service 50 to 1,499 KW.LRAM Rate Rider</v>
      </c>
      <c r="D21" s="390" t="s">
        <v>406</v>
      </c>
      <c r="E21" s="328"/>
      <c r="F21" s="408">
        <f>'Proposed Rates'!E79+'Proposed Rates'!E92</f>
        <v>-0.2477</v>
      </c>
      <c r="G21" s="409">
        <f t="shared" si="1"/>
        <v>250</v>
      </c>
      <c r="H21" s="394">
        <f t="shared" si="2"/>
        <v>-61.925000000000004</v>
      </c>
      <c r="I21" s="138"/>
      <c r="J21" s="408">
        <f>'Proposed Rates'!F79+'Proposed Rates'!F92</f>
        <v>0</v>
      </c>
      <c r="K21" s="409">
        <f t="shared" si="3"/>
        <v>250</v>
      </c>
      <c r="L21" s="394">
        <f t="shared" si="4"/>
        <v>0</v>
      </c>
      <c r="M21" s="138"/>
      <c r="N21" s="395">
        <f t="shared" si="5"/>
        <v>61.925000000000004</v>
      </c>
      <c r="O21" s="396">
        <f t="shared" si="6"/>
        <v>-1</v>
      </c>
      <c r="P21" s="53"/>
      <c r="Q21" s="408">
        <f>'Proposed Rates'!G79+'Proposed Rates'!G92</f>
        <v>2.9499999999999998E-2</v>
      </c>
      <c r="R21" s="409">
        <f t="shared" si="7"/>
        <v>250</v>
      </c>
      <c r="S21" s="394">
        <f t="shared" si="8"/>
        <v>7.375</v>
      </c>
      <c r="T21" s="138"/>
      <c r="U21" s="395">
        <f t="shared" si="9"/>
        <v>7.375</v>
      </c>
      <c r="V21" s="396" t="str">
        <f t="shared" si="10"/>
        <v/>
      </c>
      <c r="W21" s="53"/>
      <c r="X21" s="408">
        <f>IFERROR(VLOOKUP($C21,'Proposed Rates'!$B:$J,X$11,FALSE),0)</f>
        <v>0</v>
      </c>
      <c r="Y21" s="409">
        <f t="shared" si="11"/>
        <v>250</v>
      </c>
      <c r="Z21" s="394">
        <f t="shared" si="12"/>
        <v>0</v>
      </c>
      <c r="AA21" s="138"/>
      <c r="AB21" s="395">
        <f t="shared" si="13"/>
        <v>-7.375</v>
      </c>
      <c r="AC21" s="396">
        <f t="shared" si="14"/>
        <v>-1</v>
      </c>
      <c r="AD21" s="53"/>
      <c r="AE21" s="408">
        <f>IFERROR(VLOOKUP($C21,'Proposed Rates'!$B:$J,AE$11,FALSE),0)</f>
        <v>0</v>
      </c>
      <c r="AF21" s="409">
        <f t="shared" si="15"/>
        <v>250</v>
      </c>
      <c r="AG21" s="394">
        <f t="shared" si="16"/>
        <v>0</v>
      </c>
      <c r="AH21" s="138"/>
      <c r="AI21" s="395">
        <f t="shared" si="17"/>
        <v>0</v>
      </c>
      <c r="AJ21" s="396" t="str">
        <f t="shared" si="18"/>
        <v/>
      </c>
      <c r="AK21" s="53"/>
      <c r="AL21" s="408">
        <f>IFERROR(VLOOKUP($C21,'Proposed Rates'!$B:$J,AL$11,FALSE),0)</f>
        <v>0</v>
      </c>
      <c r="AM21" s="409">
        <f t="shared" si="19"/>
        <v>250</v>
      </c>
      <c r="AN21" s="394">
        <f t="shared" si="20"/>
        <v>0</v>
      </c>
      <c r="AO21" s="138"/>
      <c r="AP21" s="395">
        <f t="shared" si="21"/>
        <v>0</v>
      </c>
      <c r="AQ21" s="396" t="str">
        <f t="shared" si="22"/>
        <v/>
      </c>
      <c r="AR21" s="397"/>
      <c r="AS21" s="3"/>
      <c r="AT21" s="3"/>
      <c r="AU21" s="3"/>
      <c r="AV21" s="3"/>
      <c r="AW21" s="3"/>
      <c r="AX21" s="3"/>
    </row>
    <row r="22" spans="1:50" ht="12" customHeight="1">
      <c r="A22" s="545"/>
      <c r="B22" s="398" t="s">
        <v>265</v>
      </c>
      <c r="C22" s="389" t="str">
        <f t="shared" si="0"/>
        <v>General Service 50 to 1,499 KW.Deferral/Variance Account Disposition Rate Rider Group 2</v>
      </c>
      <c r="D22" s="390" t="s">
        <v>406</v>
      </c>
      <c r="E22" s="328"/>
      <c r="F22" s="391">
        <f>IFERROR(VLOOKUP($C22,'Proposed Rates'!$B:$J,F$11,FALSE),0)</f>
        <v>0</v>
      </c>
      <c r="G22" s="409">
        <f t="shared" si="1"/>
        <v>250</v>
      </c>
      <c r="H22" s="394">
        <f t="shared" si="2"/>
        <v>0</v>
      </c>
      <c r="I22" s="138"/>
      <c r="J22" s="391">
        <f>IFERROR(VLOOKUP($C22,'Proposed Rates'!$B:$J,J$11,FALSE),0)</f>
        <v>-0.26340000000000002</v>
      </c>
      <c r="K22" s="409">
        <f t="shared" si="3"/>
        <v>250</v>
      </c>
      <c r="L22" s="394">
        <f t="shared" si="4"/>
        <v>-65.850000000000009</v>
      </c>
      <c r="M22" s="138"/>
      <c r="N22" s="395">
        <f t="shared" si="5"/>
        <v>-65.850000000000009</v>
      </c>
      <c r="O22" s="396" t="str">
        <f t="shared" si="6"/>
        <v/>
      </c>
      <c r="P22" s="53"/>
      <c r="Q22" s="391">
        <f>IFERROR(VLOOKUP($C22,'Proposed Rates'!$B:$J,Q$11,FALSE),0)</f>
        <v>0</v>
      </c>
      <c r="R22" s="409">
        <f t="shared" si="7"/>
        <v>250</v>
      </c>
      <c r="S22" s="394">
        <f t="shared" si="8"/>
        <v>0</v>
      </c>
      <c r="T22" s="138"/>
      <c r="U22" s="395">
        <f t="shared" si="9"/>
        <v>65.850000000000009</v>
      </c>
      <c r="V22" s="396">
        <f t="shared" si="10"/>
        <v>-1</v>
      </c>
      <c r="W22" s="53"/>
      <c r="X22" s="391">
        <f>IFERROR(VLOOKUP($C22,'Proposed Rates'!$B:$J,X$11,FALSE),0)</f>
        <v>0</v>
      </c>
      <c r="Y22" s="409">
        <f t="shared" si="11"/>
        <v>250</v>
      </c>
      <c r="Z22" s="394">
        <f t="shared" si="12"/>
        <v>0</v>
      </c>
      <c r="AA22" s="138"/>
      <c r="AB22" s="395">
        <f t="shared" si="13"/>
        <v>0</v>
      </c>
      <c r="AC22" s="396" t="str">
        <f t="shared" si="14"/>
        <v/>
      </c>
      <c r="AD22" s="53"/>
      <c r="AE22" s="391">
        <f>IFERROR(VLOOKUP($C22,'Proposed Rates'!$B:$J,AE$11,FALSE),0)</f>
        <v>0</v>
      </c>
      <c r="AF22" s="409">
        <f t="shared" si="15"/>
        <v>250</v>
      </c>
      <c r="AG22" s="394">
        <f t="shared" si="16"/>
        <v>0</v>
      </c>
      <c r="AH22" s="138"/>
      <c r="AI22" s="395">
        <f t="shared" si="17"/>
        <v>0</v>
      </c>
      <c r="AJ22" s="396" t="str">
        <f t="shared" si="18"/>
        <v/>
      </c>
      <c r="AK22" s="53"/>
      <c r="AL22" s="391">
        <f>IFERROR(VLOOKUP($C22,'Proposed Rates'!$B:$J,AL$11,FALSE),0)</f>
        <v>0</v>
      </c>
      <c r="AM22" s="409">
        <f t="shared" si="19"/>
        <v>250</v>
      </c>
      <c r="AN22" s="394">
        <f t="shared" si="20"/>
        <v>0</v>
      </c>
      <c r="AO22" s="138"/>
      <c r="AP22" s="395">
        <f t="shared" si="21"/>
        <v>0</v>
      </c>
      <c r="AQ22" s="396" t="str">
        <f t="shared" si="22"/>
        <v/>
      </c>
      <c r="AR22" s="397"/>
      <c r="AS22" s="3"/>
      <c r="AT22" s="3"/>
      <c r="AU22" s="3"/>
      <c r="AV22" s="3"/>
      <c r="AW22" s="3"/>
      <c r="AX22" s="3"/>
    </row>
    <row r="23" spans="1:50" ht="12" customHeight="1">
      <c r="A23" s="545"/>
      <c r="B23" s="398"/>
      <c r="C23" s="389" t="str">
        <f t="shared" si="0"/>
        <v>General Service 50 to 1,499 KW.</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c r="AS23" s="3"/>
      <c r="AT23" s="3"/>
      <c r="AU23" s="3"/>
      <c r="AV23" s="3"/>
      <c r="AW23" s="3"/>
      <c r="AX23" s="3"/>
    </row>
    <row r="24" spans="1:50" ht="12" customHeight="1">
      <c r="A24" s="545"/>
      <c r="B24" s="398"/>
      <c r="C24" s="389" t="str">
        <f t="shared" si="0"/>
        <v>General Service 50 to 1,499 KW.</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c r="AS24" s="3"/>
      <c r="AT24" s="3"/>
      <c r="AU24" s="3"/>
      <c r="AV24" s="3"/>
      <c r="AW24" s="3"/>
      <c r="AX24" s="3"/>
    </row>
    <row r="25" spans="1:50" ht="12" customHeight="1">
      <c r="A25" s="545"/>
      <c r="B25" s="398"/>
      <c r="C25" s="389" t="str">
        <f t="shared" si="0"/>
        <v>General Service 50 to 1,499 KW.</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c r="AS25" s="3"/>
      <c r="AT25" s="3"/>
      <c r="AU25" s="3"/>
      <c r="AV25" s="3"/>
      <c r="AW25" s="3"/>
      <c r="AX25" s="3"/>
    </row>
    <row r="26" spans="1:50" ht="12" customHeight="1">
      <c r="A26" s="545"/>
      <c r="B26" s="398"/>
      <c r="C26" s="389" t="str">
        <f t="shared" si="0"/>
        <v>General Service 50 to 1,499 KW.</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c r="AS26" s="3"/>
      <c r="AT26" s="3"/>
      <c r="AU26" s="3"/>
      <c r="AV26" s="3"/>
      <c r="AW26" s="3"/>
      <c r="AX26" s="3"/>
    </row>
    <row r="27" spans="1:50" ht="12" customHeight="1">
      <c r="A27" s="545"/>
      <c r="B27" s="398"/>
      <c r="C27" s="389" t="str">
        <f t="shared" si="0"/>
        <v>General Service 50 to 1,499 KW.</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c r="AS27" s="3"/>
      <c r="AT27" s="3"/>
      <c r="AU27" s="3"/>
      <c r="AV27" s="3"/>
      <c r="AW27" s="3"/>
      <c r="AX27" s="3"/>
    </row>
    <row r="28" spans="1:50" ht="12" customHeight="1">
      <c r="A28" s="545"/>
      <c r="B28" s="398"/>
      <c r="C28" s="389" t="str">
        <f t="shared" si="0"/>
        <v>General Service 50 to 1,499 KW.</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c r="AS28" s="3"/>
      <c r="AT28" s="3"/>
      <c r="AU28" s="3"/>
      <c r="AV28" s="3"/>
      <c r="AW28" s="3"/>
      <c r="AX28" s="3"/>
    </row>
    <row r="29" spans="1:50" ht="12" customHeight="1">
      <c r="A29" s="545"/>
      <c r="B29" s="399" t="s">
        <v>339</v>
      </c>
      <c r="C29" s="400"/>
      <c r="D29" s="400"/>
      <c r="E29" s="400"/>
      <c r="F29" s="401"/>
      <c r="G29" s="494"/>
      <c r="H29" s="403">
        <f>SUM(H15:H28)</f>
        <v>1776.9</v>
      </c>
      <c r="I29" s="404"/>
      <c r="J29" s="401"/>
      <c r="K29" s="494"/>
      <c r="L29" s="403">
        <f>SUM(L15:L28)</f>
        <v>2160.2800000000002</v>
      </c>
      <c r="M29" s="404"/>
      <c r="N29" s="405">
        <f t="shared" si="5"/>
        <v>383.38000000000011</v>
      </c>
      <c r="O29" s="406">
        <f t="shared" si="6"/>
        <v>0.21575778040407456</v>
      </c>
      <c r="P29" s="314"/>
      <c r="Q29" s="401"/>
      <c r="R29" s="494"/>
      <c r="S29" s="403">
        <f>SUM(S15:S28)</f>
        <v>2339.5050000000001</v>
      </c>
      <c r="T29" s="404"/>
      <c r="U29" s="405">
        <f t="shared" si="9"/>
        <v>179.22499999999991</v>
      </c>
      <c r="V29" s="406">
        <f t="shared" si="10"/>
        <v>8.2963782472642383E-2</v>
      </c>
      <c r="W29" s="314"/>
      <c r="X29" s="401"/>
      <c r="Y29" s="494"/>
      <c r="Z29" s="403">
        <f>SUM(Z15:Z28)</f>
        <v>2376.8249999999998</v>
      </c>
      <c r="AA29" s="404"/>
      <c r="AB29" s="405">
        <f t="shared" si="13"/>
        <v>37.319999999999709</v>
      </c>
      <c r="AC29" s="406">
        <f t="shared" si="14"/>
        <v>1.5952092429808745E-2</v>
      </c>
      <c r="AD29" s="314"/>
      <c r="AE29" s="401"/>
      <c r="AF29" s="494"/>
      <c r="AG29" s="403">
        <f>SUM(AG15:AG28)</f>
        <v>2459.65</v>
      </c>
      <c r="AH29" s="404"/>
      <c r="AI29" s="405">
        <f t="shared" si="17"/>
        <v>82.825000000000273</v>
      </c>
      <c r="AJ29" s="406">
        <f t="shared" si="18"/>
        <v>3.4846907113481339E-2</v>
      </c>
      <c r="AK29" s="314"/>
      <c r="AL29" s="401"/>
      <c r="AM29" s="494"/>
      <c r="AN29" s="403">
        <f>SUM(AN15:AN28)</f>
        <v>2535.4</v>
      </c>
      <c r="AO29" s="404"/>
      <c r="AP29" s="405">
        <f t="shared" si="21"/>
        <v>75.75</v>
      </c>
      <c r="AQ29" s="406">
        <f t="shared" si="22"/>
        <v>3.0797064623015468E-2</v>
      </c>
      <c r="AR29" s="407"/>
      <c r="AS29" s="3"/>
      <c r="AT29" s="3"/>
      <c r="AU29" s="3"/>
      <c r="AV29" s="3"/>
      <c r="AW29" s="3"/>
      <c r="AX29" s="3"/>
    </row>
    <row r="30" spans="1:50" ht="12" customHeight="1">
      <c r="A30" s="545"/>
      <c r="B30" s="398" t="s">
        <v>262</v>
      </c>
      <c r="C30" s="389" t="str">
        <f t="shared" ref="C30:C38" si="23">D$6&amp;"."&amp;B30</f>
        <v>General Service 50 to 1,499 KW.DVA Disposition Rate Rider Group 1 -2025</v>
      </c>
      <c r="D30" s="390" t="s">
        <v>406</v>
      </c>
      <c r="E30" s="328"/>
      <c r="F30" s="408">
        <f>IFERROR(VLOOKUP($C30,'Proposed Rates'!$B:$J,F$11,FALSE),0)</f>
        <v>0.35310000000000002</v>
      </c>
      <c r="G30" s="409">
        <f t="shared" ref="G30:G36" si="24">IF($D30="Monthly",1,IF($D30="per KW",$F$10,IF($D30="per kWh",$F$9,0)))</f>
        <v>250</v>
      </c>
      <c r="H30" s="394">
        <f t="shared" ref="H30:H38" si="25">G30*F30</f>
        <v>88.275000000000006</v>
      </c>
      <c r="I30" s="138"/>
      <c r="J30" s="408">
        <f>IFERROR(VLOOKUP($C30,'Proposed Rates'!$B:$J,J$11,FALSE),0)</f>
        <v>1.2999999999999999E-2</v>
      </c>
      <c r="K30" s="409">
        <f t="shared" ref="K30:K36" si="26">IF($D30="Monthly",1,IF($D30="per KW",$F$10,IF($D30="per kWh",$F$9,0)))</f>
        <v>250</v>
      </c>
      <c r="L30" s="394">
        <f t="shared" ref="L30:L38" si="27">K30*J30</f>
        <v>3.25</v>
      </c>
      <c r="M30" s="138"/>
      <c r="N30" s="395">
        <f t="shared" si="5"/>
        <v>-85.025000000000006</v>
      </c>
      <c r="O30" s="396">
        <f t="shared" si="6"/>
        <v>-0.96318323421127161</v>
      </c>
      <c r="P30" s="53"/>
      <c r="Q30" s="408">
        <f>IFERROR(VLOOKUP($C30,'Proposed Rates'!$B:$J,Q$11,FALSE),0)</f>
        <v>0</v>
      </c>
      <c r="R30" s="409">
        <f t="shared" ref="R30:R36" si="28">IF($D30="Monthly",1,IF($D30="per KW",$F$10,IF($D30="per kWh",$F$9,0)))</f>
        <v>250</v>
      </c>
      <c r="S30" s="394">
        <f t="shared" ref="S30:S38" si="29">R30*Q30</f>
        <v>0</v>
      </c>
      <c r="T30" s="138"/>
      <c r="U30" s="395">
        <f t="shared" si="9"/>
        <v>-3.25</v>
      </c>
      <c r="V30" s="396">
        <f t="shared" si="10"/>
        <v>-1</v>
      </c>
      <c r="W30" s="53"/>
      <c r="X30" s="408">
        <f>IFERROR(VLOOKUP($C30,'Proposed Rates'!$B:$J,X$11,FALSE),0)</f>
        <v>0</v>
      </c>
      <c r="Y30" s="409">
        <f t="shared" ref="Y30:Y36" si="30">IF($D30="Monthly",1,IF($D30="per KW",$F$10,IF($D30="per kWh",$F$9,0)))</f>
        <v>250</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250</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250</v>
      </c>
      <c r="AN30" s="394">
        <f t="shared" ref="AN30:AN38" si="35">AM30*AL30</f>
        <v>0</v>
      </c>
      <c r="AO30" s="138"/>
      <c r="AP30" s="395">
        <f t="shared" si="21"/>
        <v>0</v>
      </c>
      <c r="AQ30" s="396" t="str">
        <f t="shared" si="22"/>
        <v/>
      </c>
      <c r="AR30" s="397"/>
      <c r="AS30" s="3"/>
      <c r="AT30" s="3"/>
      <c r="AU30" s="3"/>
      <c r="AV30" s="3"/>
      <c r="AW30" s="3"/>
      <c r="AX30" s="3"/>
    </row>
    <row r="31" spans="1:50" ht="12" customHeight="1">
      <c r="A31" s="545"/>
      <c r="B31" s="398" t="s">
        <v>264</v>
      </c>
      <c r="C31" s="389" t="str">
        <f t="shared" si="23"/>
        <v>General Service 50 to 1,499 KW.DVA Disposition Rate Rider Group 1 - 2024</v>
      </c>
      <c r="D31" s="390" t="s">
        <v>406</v>
      </c>
      <c r="E31" s="328"/>
      <c r="F31" s="408">
        <f>IFERROR(VLOOKUP($C31,'Proposed Rates'!$B:$J,F$11,FALSE),0)</f>
        <v>0</v>
      </c>
      <c r="G31" s="409">
        <f t="shared" si="24"/>
        <v>250</v>
      </c>
      <c r="H31" s="394">
        <f t="shared" si="25"/>
        <v>0</v>
      </c>
      <c r="I31" s="138"/>
      <c r="J31" s="408">
        <f>IFERROR(VLOOKUP($C31,'Proposed Rates'!$B:$J,J$11,FALSE),0)</f>
        <v>0</v>
      </c>
      <c r="K31" s="409">
        <f t="shared" si="26"/>
        <v>250</v>
      </c>
      <c r="L31" s="394">
        <f t="shared" si="27"/>
        <v>0</v>
      </c>
      <c r="M31" s="138"/>
      <c r="N31" s="395">
        <f t="shared" si="5"/>
        <v>0</v>
      </c>
      <c r="O31" s="396" t="str">
        <f t="shared" si="6"/>
        <v/>
      </c>
      <c r="P31" s="53"/>
      <c r="Q31" s="408">
        <f>IFERROR(VLOOKUP($C31,'Proposed Rates'!$B:$J,Q$11,FALSE),0)</f>
        <v>0</v>
      </c>
      <c r="R31" s="409">
        <f t="shared" si="28"/>
        <v>250</v>
      </c>
      <c r="S31" s="394">
        <f t="shared" si="29"/>
        <v>0</v>
      </c>
      <c r="T31" s="138"/>
      <c r="U31" s="395">
        <f t="shared" si="9"/>
        <v>0</v>
      </c>
      <c r="V31" s="396" t="str">
        <f t="shared" si="10"/>
        <v/>
      </c>
      <c r="W31" s="53"/>
      <c r="X31" s="408">
        <f>IFERROR(VLOOKUP($C31,'Proposed Rates'!$B:$J,X$11,FALSE),0)</f>
        <v>0</v>
      </c>
      <c r="Y31" s="409">
        <f t="shared" si="30"/>
        <v>250</v>
      </c>
      <c r="Z31" s="394">
        <f t="shared" si="31"/>
        <v>0</v>
      </c>
      <c r="AA31" s="138"/>
      <c r="AB31" s="395">
        <f t="shared" si="13"/>
        <v>0</v>
      </c>
      <c r="AC31" s="396" t="str">
        <f t="shared" si="14"/>
        <v/>
      </c>
      <c r="AD31" s="53"/>
      <c r="AE31" s="408">
        <f>IFERROR(VLOOKUP($C31,'Proposed Rates'!$B:$J,AE$11,FALSE),0)</f>
        <v>0</v>
      </c>
      <c r="AF31" s="409">
        <f t="shared" si="32"/>
        <v>250</v>
      </c>
      <c r="AG31" s="394">
        <f t="shared" si="33"/>
        <v>0</v>
      </c>
      <c r="AH31" s="138"/>
      <c r="AI31" s="395">
        <f t="shared" si="17"/>
        <v>0</v>
      </c>
      <c r="AJ31" s="396" t="str">
        <f t="shared" si="18"/>
        <v/>
      </c>
      <c r="AK31" s="53"/>
      <c r="AL31" s="408">
        <f>IFERROR(VLOOKUP($C31,'Proposed Rates'!$B:$J,AL$11,FALSE),0)</f>
        <v>0</v>
      </c>
      <c r="AM31" s="409">
        <f t="shared" si="34"/>
        <v>250</v>
      </c>
      <c r="AN31" s="394">
        <f t="shared" si="35"/>
        <v>0</v>
      </c>
      <c r="AO31" s="138"/>
      <c r="AP31" s="395">
        <f t="shared" si="21"/>
        <v>0</v>
      </c>
      <c r="AQ31" s="396" t="str">
        <f t="shared" si="22"/>
        <v/>
      </c>
      <c r="AR31" s="397"/>
      <c r="AS31" s="3"/>
      <c r="AT31" s="3"/>
      <c r="AU31" s="3"/>
      <c r="AV31" s="3"/>
      <c r="AW31" s="3"/>
      <c r="AX31" s="3"/>
    </row>
    <row r="32" spans="1:50" ht="12" customHeight="1">
      <c r="A32" s="545"/>
      <c r="B32" s="398" t="s">
        <v>272</v>
      </c>
      <c r="C32" s="389" t="str">
        <f t="shared" si="23"/>
        <v>General Service 50 to 1,499 KW.CBR Class B Rate Riders</v>
      </c>
      <c r="D32" s="390" t="s">
        <v>337</v>
      </c>
      <c r="E32" s="328"/>
      <c r="F32" s="408">
        <f>IFERROR(VLOOKUP($C32,'Proposed Rates'!$B:$J,F$11,FALSE),0)</f>
        <v>2.0000000000000001E-4</v>
      </c>
      <c r="G32" s="409">
        <f t="shared" si="24"/>
        <v>51000</v>
      </c>
      <c r="H32" s="394">
        <f t="shared" si="25"/>
        <v>10.200000000000001</v>
      </c>
      <c r="I32" s="479"/>
      <c r="J32" s="408">
        <f>IFERROR(VLOOKUP($C32,'Proposed Rates'!$B:$J,J$11,FALSE),0)</f>
        <v>6.9999999999999999E-4</v>
      </c>
      <c r="K32" s="409">
        <f t="shared" si="26"/>
        <v>51000</v>
      </c>
      <c r="L32" s="394">
        <f t="shared" si="27"/>
        <v>35.700000000000003</v>
      </c>
      <c r="M32" s="411"/>
      <c r="N32" s="395">
        <f t="shared" si="5"/>
        <v>25.5</v>
      </c>
      <c r="O32" s="396">
        <f t="shared" si="6"/>
        <v>2.4999999999999996</v>
      </c>
      <c r="P32" s="53"/>
      <c r="Q32" s="408">
        <f>IFERROR(VLOOKUP($C32,'Proposed Rates'!$B:$J,Q$11,FALSE),0)</f>
        <v>0</v>
      </c>
      <c r="R32" s="409">
        <f t="shared" si="28"/>
        <v>51000</v>
      </c>
      <c r="S32" s="394">
        <f t="shared" si="29"/>
        <v>0</v>
      </c>
      <c r="T32" s="411"/>
      <c r="U32" s="395">
        <f t="shared" si="9"/>
        <v>-35.700000000000003</v>
      </c>
      <c r="V32" s="396">
        <f t="shared" si="10"/>
        <v>-1</v>
      </c>
      <c r="W32" s="53"/>
      <c r="X32" s="408">
        <f>IFERROR(VLOOKUP($C32,'Proposed Rates'!$B:$J,X$11,FALSE),0)</f>
        <v>0</v>
      </c>
      <c r="Y32" s="409">
        <f t="shared" si="30"/>
        <v>51000</v>
      </c>
      <c r="Z32" s="394">
        <f t="shared" si="31"/>
        <v>0</v>
      </c>
      <c r="AA32" s="138"/>
      <c r="AB32" s="395">
        <f t="shared" si="13"/>
        <v>0</v>
      </c>
      <c r="AC32" s="396" t="str">
        <f t="shared" si="14"/>
        <v/>
      </c>
      <c r="AD32" s="53"/>
      <c r="AE32" s="408">
        <f>IFERROR(VLOOKUP($C32,'Proposed Rates'!$B:$J,AE$11,FALSE),0)</f>
        <v>0</v>
      </c>
      <c r="AF32" s="409">
        <f t="shared" si="32"/>
        <v>51000</v>
      </c>
      <c r="AG32" s="394">
        <f t="shared" si="33"/>
        <v>0</v>
      </c>
      <c r="AH32" s="138"/>
      <c r="AI32" s="395">
        <f t="shared" si="17"/>
        <v>0</v>
      </c>
      <c r="AJ32" s="396" t="str">
        <f t="shared" si="18"/>
        <v/>
      </c>
      <c r="AK32" s="53"/>
      <c r="AL32" s="408">
        <f>IFERROR(VLOOKUP($C32,'Proposed Rates'!$B:$J,AL$11,FALSE),0)</f>
        <v>0</v>
      </c>
      <c r="AM32" s="409">
        <f t="shared" si="34"/>
        <v>51000</v>
      </c>
      <c r="AN32" s="394">
        <f t="shared" si="35"/>
        <v>0</v>
      </c>
      <c r="AO32" s="411"/>
      <c r="AP32" s="395">
        <f t="shared" si="21"/>
        <v>0</v>
      </c>
      <c r="AQ32" s="396" t="str">
        <f t="shared" si="22"/>
        <v/>
      </c>
      <c r="AR32" s="397"/>
      <c r="AS32" s="3"/>
      <c r="AT32" s="3"/>
      <c r="AU32" s="3"/>
      <c r="AV32" s="3"/>
      <c r="AW32" s="3"/>
      <c r="AX32" s="3"/>
    </row>
    <row r="33" spans="1:50" ht="12" customHeight="1">
      <c r="A33" s="545"/>
      <c r="B33" s="398" t="s">
        <v>279</v>
      </c>
      <c r="C33" s="389" t="str">
        <f t="shared" si="23"/>
        <v>General Service 50 to 1,499 KW.GA Rate Riders</v>
      </c>
      <c r="D33" s="390" t="s">
        <v>337</v>
      </c>
      <c r="E33" s="328"/>
      <c r="F33" s="408">
        <f>IFERROR(VLOOKUP($C33,'Proposed Rates'!$B:$J,F$11,FALSE),0)</f>
        <v>3.8999999999999998E-3</v>
      </c>
      <c r="G33" s="409">
        <f t="shared" si="24"/>
        <v>51000</v>
      </c>
      <c r="H33" s="394">
        <f t="shared" si="25"/>
        <v>198.89999999999998</v>
      </c>
      <c r="I33" s="479"/>
      <c r="J33" s="408">
        <f>IFERROR(VLOOKUP($C33,'Proposed Rates'!$B:$J,J$11,FALSE),0)</f>
        <v>4.4999999999999997E-3</v>
      </c>
      <c r="K33" s="409">
        <f t="shared" si="26"/>
        <v>51000</v>
      </c>
      <c r="L33" s="394">
        <f t="shared" si="27"/>
        <v>229.49999999999997</v>
      </c>
      <c r="M33" s="411"/>
      <c r="N33" s="395">
        <f t="shared" si="5"/>
        <v>30.599999999999994</v>
      </c>
      <c r="O33" s="396">
        <f t="shared" si="6"/>
        <v>0.15384615384615383</v>
      </c>
      <c r="P33" s="53"/>
      <c r="Q33" s="408">
        <f>IFERROR(VLOOKUP($C33,'Proposed Rates'!$B:$J,Q$11,FALSE),0)</f>
        <v>4.4999999999999997E-3</v>
      </c>
      <c r="R33" s="409">
        <f t="shared" si="28"/>
        <v>51000</v>
      </c>
      <c r="S33" s="394">
        <f t="shared" si="29"/>
        <v>229.49999999999997</v>
      </c>
      <c r="T33" s="411"/>
      <c r="U33" s="395">
        <f t="shared" si="9"/>
        <v>0</v>
      </c>
      <c r="V33" s="396">
        <f t="shared" si="10"/>
        <v>0</v>
      </c>
      <c r="W33" s="53"/>
      <c r="X33" s="408">
        <f>IFERROR(VLOOKUP($C33,'Proposed Rates'!$B:$J,X$11,FALSE),0)</f>
        <v>0</v>
      </c>
      <c r="Y33" s="409">
        <f t="shared" si="30"/>
        <v>51000</v>
      </c>
      <c r="Z33" s="394">
        <f t="shared" si="31"/>
        <v>0</v>
      </c>
      <c r="AA33" s="411"/>
      <c r="AB33" s="395">
        <f t="shared" si="13"/>
        <v>-229.49999999999997</v>
      </c>
      <c r="AC33" s="396">
        <f t="shared" si="14"/>
        <v>-1</v>
      </c>
      <c r="AD33" s="53"/>
      <c r="AE33" s="408">
        <f>IFERROR(VLOOKUP($C33,'Proposed Rates'!$B:$J,AE$11,FALSE),0)</f>
        <v>0</v>
      </c>
      <c r="AF33" s="409">
        <f t="shared" si="32"/>
        <v>51000</v>
      </c>
      <c r="AG33" s="394">
        <f t="shared" si="33"/>
        <v>0</v>
      </c>
      <c r="AH33" s="411"/>
      <c r="AI33" s="395">
        <f t="shared" si="17"/>
        <v>0</v>
      </c>
      <c r="AJ33" s="396" t="str">
        <f t="shared" si="18"/>
        <v/>
      </c>
      <c r="AK33" s="53"/>
      <c r="AL33" s="408">
        <f>IFERROR(VLOOKUP($C33,'Proposed Rates'!$B:$J,AL$11,FALSE),0)</f>
        <v>0</v>
      </c>
      <c r="AM33" s="409">
        <f t="shared" si="34"/>
        <v>51000</v>
      </c>
      <c r="AN33" s="394">
        <f t="shared" si="35"/>
        <v>0</v>
      </c>
      <c r="AO33" s="411"/>
      <c r="AP33" s="395">
        <f t="shared" si="21"/>
        <v>0</v>
      </c>
      <c r="AQ33" s="396" t="str">
        <f t="shared" si="22"/>
        <v/>
      </c>
      <c r="AR33" s="397"/>
      <c r="AS33" s="3"/>
      <c r="AT33" s="3"/>
      <c r="AU33" s="3"/>
      <c r="AV33" s="3"/>
      <c r="AW33" s="3"/>
      <c r="AX33" s="3"/>
    </row>
    <row r="34" spans="1:50" ht="12" customHeight="1">
      <c r="A34" s="545"/>
      <c r="B34" s="398" t="s">
        <v>282</v>
      </c>
      <c r="C34" s="389" t="str">
        <f t="shared" si="23"/>
        <v>General Service 50 to 1,499 KW.Total Deferral/Variance Account Rate RidersYr2</v>
      </c>
      <c r="D34" s="390" t="s">
        <v>406</v>
      </c>
      <c r="E34" s="328"/>
      <c r="F34" s="408">
        <f>IFERROR(VLOOKUP($C34,'Proposed Rates'!$B:$J,F$11,FALSE),0)</f>
        <v>-0.30499999999999999</v>
      </c>
      <c r="G34" s="409">
        <f t="shared" si="24"/>
        <v>250</v>
      </c>
      <c r="H34" s="394">
        <f t="shared" si="25"/>
        <v>-76.25</v>
      </c>
      <c r="I34" s="479"/>
      <c r="J34" s="408">
        <f>IFERROR(VLOOKUP($C34,'Proposed Rates'!$B:$J,J$11,FALSE),0)</f>
        <v>-0.37569999999999998</v>
      </c>
      <c r="K34" s="409">
        <f t="shared" si="26"/>
        <v>250</v>
      </c>
      <c r="L34" s="394">
        <f t="shared" si="27"/>
        <v>-93.924999999999997</v>
      </c>
      <c r="M34" s="411"/>
      <c r="N34" s="395">
        <f t="shared" si="5"/>
        <v>-17.674999999999997</v>
      </c>
      <c r="O34" s="396">
        <f t="shared" si="6"/>
        <v>0.23180327868852454</v>
      </c>
      <c r="P34" s="53"/>
      <c r="Q34" s="408">
        <f>IFERROR(VLOOKUP($C34,'Proposed Rates'!$B:$J,Q$11,FALSE),0)</f>
        <v>0</v>
      </c>
      <c r="R34" s="409">
        <f t="shared" si="28"/>
        <v>250</v>
      </c>
      <c r="S34" s="394">
        <f t="shared" si="29"/>
        <v>0</v>
      </c>
      <c r="T34" s="411"/>
      <c r="U34" s="395">
        <f t="shared" si="9"/>
        <v>93.924999999999997</v>
      </c>
      <c r="V34" s="396">
        <f t="shared" si="10"/>
        <v>-1</v>
      </c>
      <c r="W34" s="53"/>
      <c r="X34" s="408">
        <f>IFERROR(VLOOKUP($C34,'Proposed Rates'!$B:$J,X$11,FALSE),0)</f>
        <v>0</v>
      </c>
      <c r="Y34" s="409">
        <f t="shared" si="30"/>
        <v>250</v>
      </c>
      <c r="Z34" s="394">
        <f t="shared" si="31"/>
        <v>0</v>
      </c>
      <c r="AA34" s="411"/>
      <c r="AB34" s="395">
        <f t="shared" si="13"/>
        <v>0</v>
      </c>
      <c r="AC34" s="396" t="str">
        <f t="shared" si="14"/>
        <v/>
      </c>
      <c r="AD34" s="53"/>
      <c r="AE34" s="408">
        <f>IFERROR(VLOOKUP($C34,'Proposed Rates'!$B:$J,AE$11,FALSE),0)</f>
        <v>0</v>
      </c>
      <c r="AF34" s="409">
        <f t="shared" si="32"/>
        <v>250</v>
      </c>
      <c r="AG34" s="394">
        <f t="shared" si="33"/>
        <v>0</v>
      </c>
      <c r="AH34" s="411"/>
      <c r="AI34" s="395">
        <f t="shared" si="17"/>
        <v>0</v>
      </c>
      <c r="AJ34" s="396" t="str">
        <f t="shared" si="18"/>
        <v/>
      </c>
      <c r="AK34" s="53"/>
      <c r="AL34" s="408">
        <f>IFERROR(VLOOKUP($C34,'Proposed Rates'!$B:$J,AL$11,FALSE),0)</f>
        <v>0</v>
      </c>
      <c r="AM34" s="409">
        <f t="shared" si="34"/>
        <v>250</v>
      </c>
      <c r="AN34" s="394">
        <f t="shared" si="35"/>
        <v>0</v>
      </c>
      <c r="AO34" s="411"/>
      <c r="AP34" s="395">
        <f t="shared" si="21"/>
        <v>0</v>
      </c>
      <c r="AQ34" s="396" t="str">
        <f t="shared" si="22"/>
        <v/>
      </c>
      <c r="AR34" s="397"/>
      <c r="AS34" s="3"/>
      <c r="AT34" s="3"/>
      <c r="AU34" s="3"/>
      <c r="AV34" s="3"/>
      <c r="AW34" s="3"/>
      <c r="AX34" s="3"/>
    </row>
    <row r="35" spans="1:50" ht="12" customHeight="1">
      <c r="A35" s="545"/>
      <c r="B35" s="398" t="s">
        <v>284</v>
      </c>
      <c r="C35" s="389" t="str">
        <f t="shared" si="23"/>
        <v>General Service 50 to 1,499 KW.Total Deferral/Variance Account Rate Riders</v>
      </c>
      <c r="D35" s="390" t="s">
        <v>406</v>
      </c>
      <c r="E35" s="328"/>
      <c r="F35" s="408">
        <f>IFERROR(VLOOKUP($C35,'Proposed Rates'!$B:$J,F$11,FALSE),0)</f>
        <v>0</v>
      </c>
      <c r="G35" s="409">
        <f t="shared" si="24"/>
        <v>250</v>
      </c>
      <c r="H35" s="394">
        <f t="shared" si="25"/>
        <v>0</v>
      </c>
      <c r="I35" s="138"/>
      <c r="J35" s="408">
        <f>IFERROR(VLOOKUP($C35,'Proposed Rates'!$B:$J,J$11,FALSE),0)</f>
        <v>0</v>
      </c>
      <c r="K35" s="409">
        <f t="shared" si="26"/>
        <v>250</v>
      </c>
      <c r="L35" s="394">
        <f t="shared" si="27"/>
        <v>0</v>
      </c>
      <c r="M35" s="138"/>
      <c r="N35" s="395">
        <f t="shared" si="5"/>
        <v>0</v>
      </c>
      <c r="O35" s="396" t="str">
        <f t="shared" si="6"/>
        <v/>
      </c>
      <c r="P35" s="53"/>
      <c r="Q35" s="408">
        <f>IFERROR(VLOOKUP($C35,'Proposed Rates'!$B:$J,Q$11,FALSE),0)</f>
        <v>0</v>
      </c>
      <c r="R35" s="409">
        <f t="shared" si="28"/>
        <v>250</v>
      </c>
      <c r="S35" s="394">
        <f t="shared" si="29"/>
        <v>0</v>
      </c>
      <c r="T35" s="138"/>
      <c r="U35" s="395">
        <f t="shared" si="9"/>
        <v>0</v>
      </c>
      <c r="V35" s="396" t="str">
        <f t="shared" si="10"/>
        <v/>
      </c>
      <c r="W35" s="53"/>
      <c r="X35" s="408">
        <f>IFERROR(VLOOKUP($C35,'Proposed Rates'!$B:$J,X$11,FALSE),0)</f>
        <v>0</v>
      </c>
      <c r="Y35" s="409">
        <f t="shared" si="30"/>
        <v>250</v>
      </c>
      <c r="Z35" s="394">
        <f t="shared" si="31"/>
        <v>0</v>
      </c>
      <c r="AA35" s="138"/>
      <c r="AB35" s="395"/>
      <c r="AC35" s="396"/>
      <c r="AD35" s="53"/>
      <c r="AE35" s="408">
        <f>IFERROR(VLOOKUP($C35,'Proposed Rates'!$B:$J,AE$11,FALSE),0)</f>
        <v>0</v>
      </c>
      <c r="AF35" s="409">
        <f t="shared" si="32"/>
        <v>250</v>
      </c>
      <c r="AG35" s="394">
        <f t="shared" si="33"/>
        <v>0</v>
      </c>
      <c r="AH35" s="138"/>
      <c r="AI35" s="395">
        <f t="shared" si="17"/>
        <v>0</v>
      </c>
      <c r="AJ35" s="396" t="str">
        <f t="shared" si="18"/>
        <v/>
      </c>
      <c r="AK35" s="53"/>
      <c r="AL35" s="408">
        <f>IFERROR(VLOOKUP($C35,'Proposed Rates'!$B:$J,AL$11,FALSE),0)</f>
        <v>0</v>
      </c>
      <c r="AM35" s="409">
        <f t="shared" si="34"/>
        <v>250</v>
      </c>
      <c r="AN35" s="394">
        <f t="shared" si="35"/>
        <v>0</v>
      </c>
      <c r="AO35" s="138"/>
      <c r="AP35" s="395">
        <f t="shared" si="21"/>
        <v>0</v>
      </c>
      <c r="AQ35" s="396" t="str">
        <f t="shared" si="22"/>
        <v/>
      </c>
      <c r="AR35" s="397"/>
      <c r="AS35" s="3"/>
      <c r="AT35" s="3"/>
      <c r="AU35" s="3"/>
      <c r="AV35" s="3"/>
      <c r="AW35" s="3"/>
      <c r="AX35" s="3"/>
    </row>
    <row r="36" spans="1:50" ht="12" customHeight="1">
      <c r="A36" s="545"/>
      <c r="B36" s="328" t="s">
        <v>300</v>
      </c>
      <c r="C36" s="389" t="str">
        <f t="shared" si="23"/>
        <v>General Service 50 to 1,499 KW.Low Voltage Service Charge</v>
      </c>
      <c r="D36" s="390" t="s">
        <v>406</v>
      </c>
      <c r="E36" s="328"/>
      <c r="F36" s="408">
        <f>IFERROR(VLOOKUP($C36,'Proposed Rates'!$B:$J,F$11,FALSE),0)</f>
        <v>2.0629999999999999E-2</v>
      </c>
      <c r="G36" s="409">
        <f t="shared" si="24"/>
        <v>250</v>
      </c>
      <c r="H36" s="394">
        <f t="shared" si="25"/>
        <v>5.1574999999999998</v>
      </c>
      <c r="I36" s="138"/>
      <c r="J36" s="408">
        <f>IFERROR(VLOOKUP($C36,'Proposed Rates'!$B:$J,J$11,FALSE),0)</f>
        <v>2.332E-2</v>
      </c>
      <c r="K36" s="409">
        <f t="shared" si="26"/>
        <v>250</v>
      </c>
      <c r="L36" s="394">
        <f t="shared" si="27"/>
        <v>5.83</v>
      </c>
      <c r="M36" s="138"/>
      <c r="N36" s="395">
        <f t="shared" si="5"/>
        <v>0.67250000000000032</v>
      </c>
      <c r="O36" s="396">
        <f t="shared" si="6"/>
        <v>0.13039263208919058</v>
      </c>
      <c r="P36" s="53"/>
      <c r="Q36" s="408">
        <f>IFERROR(VLOOKUP($C36,'Proposed Rates'!$B:$J,Q$11,FALSE),0)</f>
        <v>2.392E-2</v>
      </c>
      <c r="R36" s="409">
        <f t="shared" si="28"/>
        <v>250</v>
      </c>
      <c r="S36" s="394">
        <f t="shared" si="29"/>
        <v>5.98</v>
      </c>
      <c r="T36" s="138"/>
      <c r="U36" s="395">
        <f t="shared" si="9"/>
        <v>0.15000000000000036</v>
      </c>
      <c r="V36" s="396">
        <f t="shared" si="10"/>
        <v>2.5728987993138996E-2</v>
      </c>
      <c r="W36" s="53"/>
      <c r="X36" s="408">
        <f>IFERROR(VLOOKUP($C36,'Proposed Rates'!$B:$J,X$11,FALSE),0)</f>
        <v>2.4209999999999999E-2</v>
      </c>
      <c r="Y36" s="409">
        <f t="shared" si="30"/>
        <v>250</v>
      </c>
      <c r="Z36" s="394">
        <f t="shared" si="31"/>
        <v>6.0524999999999993</v>
      </c>
      <c r="AA36" s="138"/>
      <c r="AB36" s="395">
        <f t="shared" ref="AB36:AB46" si="36">Z36-S36</f>
        <v>7.2499999999998899E-2</v>
      </c>
      <c r="AC36" s="396">
        <f t="shared" ref="AC36:AC46" si="37">IF((S36)=0,"",(AB36/S36))</f>
        <v>1.2123745819397808E-2</v>
      </c>
      <c r="AD36" s="53"/>
      <c r="AE36" s="408">
        <f>IFERROR(VLOOKUP($C36,'Proposed Rates'!$B:$J,AE$11,FALSE),0)</f>
        <v>2.46E-2</v>
      </c>
      <c r="AF36" s="409">
        <f t="shared" si="32"/>
        <v>250</v>
      </c>
      <c r="AG36" s="394">
        <f t="shared" si="33"/>
        <v>6.15</v>
      </c>
      <c r="AH36" s="138"/>
      <c r="AI36" s="395">
        <f t="shared" si="17"/>
        <v>9.750000000000103E-2</v>
      </c>
      <c r="AJ36" s="396">
        <f t="shared" si="18"/>
        <v>1.6109045848822973E-2</v>
      </c>
      <c r="AK36" s="53"/>
      <c r="AL36" s="408">
        <f>IFERROR(VLOOKUP($C36,'Proposed Rates'!$B:$J,AL$11,FALSE),0)</f>
        <v>2.504E-2</v>
      </c>
      <c r="AM36" s="409">
        <f t="shared" si="34"/>
        <v>250</v>
      </c>
      <c r="AN36" s="394">
        <f t="shared" si="35"/>
        <v>6.26</v>
      </c>
      <c r="AO36" s="138"/>
      <c r="AP36" s="395">
        <f t="shared" si="21"/>
        <v>0.10999999999999943</v>
      </c>
      <c r="AQ36" s="396">
        <f t="shared" si="22"/>
        <v>1.7886178861788525E-2</v>
      </c>
      <c r="AR36" s="397"/>
      <c r="AS36" s="3"/>
      <c r="AT36" s="3"/>
      <c r="AU36" s="3"/>
      <c r="AV36" s="3"/>
      <c r="AW36" s="3"/>
      <c r="AX36" s="3"/>
    </row>
    <row r="37" spans="1:50" ht="12" customHeight="1">
      <c r="A37" s="545"/>
      <c r="B37" s="328" t="s">
        <v>341</v>
      </c>
      <c r="C37" s="389" t="str">
        <f t="shared" si="23"/>
        <v>General Service 50 to 1,499 KW.Line Losses on Cost of Power</v>
      </c>
      <c r="D37" s="390" t="s">
        <v>337</v>
      </c>
      <c r="E37" s="328"/>
      <c r="F37" s="424"/>
      <c r="G37" s="415">
        <f>$F$9*(1+F$65)-$F$9</f>
        <v>1723.8000000000029</v>
      </c>
      <c r="H37" s="394">
        <f t="shared" si="25"/>
        <v>0</v>
      </c>
      <c r="I37" s="138"/>
      <c r="J37" s="424"/>
      <c r="K37" s="415">
        <f>$F$9*(1+J$65)-$F$9</f>
        <v>1693.1999999999971</v>
      </c>
      <c r="L37" s="394">
        <f t="shared" si="27"/>
        <v>0</v>
      </c>
      <c r="M37" s="138"/>
      <c r="N37" s="395">
        <f t="shared" si="5"/>
        <v>0</v>
      </c>
      <c r="O37" s="396" t="str">
        <f t="shared" si="6"/>
        <v/>
      </c>
      <c r="P37" s="53"/>
      <c r="Q37" s="424"/>
      <c r="R37" s="415">
        <f>$F$9*(1+Q$65)-$F$9</f>
        <v>1693.1999999999971</v>
      </c>
      <c r="S37" s="394">
        <f t="shared" si="29"/>
        <v>0</v>
      </c>
      <c r="T37" s="138"/>
      <c r="U37" s="395">
        <f t="shared" si="9"/>
        <v>0</v>
      </c>
      <c r="V37" s="396" t="str">
        <f t="shared" si="10"/>
        <v/>
      </c>
      <c r="W37" s="53"/>
      <c r="X37" s="424"/>
      <c r="Y37" s="415">
        <f>$F$9*(1+X$65)-$F$9</f>
        <v>1693.1999999999971</v>
      </c>
      <c r="Z37" s="394">
        <f t="shared" si="31"/>
        <v>0</v>
      </c>
      <c r="AA37" s="138"/>
      <c r="AB37" s="395">
        <f t="shared" si="36"/>
        <v>0</v>
      </c>
      <c r="AC37" s="396" t="str">
        <f t="shared" si="37"/>
        <v/>
      </c>
      <c r="AD37" s="53"/>
      <c r="AE37" s="424"/>
      <c r="AF37" s="415">
        <f>$F$9*(1+AE$65)-$F$9</f>
        <v>1693.1999999999971</v>
      </c>
      <c r="AG37" s="394">
        <f t="shared" si="33"/>
        <v>0</v>
      </c>
      <c r="AH37" s="138"/>
      <c r="AI37" s="395">
        <f t="shared" si="17"/>
        <v>0</v>
      </c>
      <c r="AJ37" s="396" t="str">
        <f t="shared" si="18"/>
        <v/>
      </c>
      <c r="AK37" s="53"/>
      <c r="AL37" s="424"/>
      <c r="AM37" s="415">
        <f>$F$9*(1+AL$65)-$F$9</f>
        <v>1693.1999999999971</v>
      </c>
      <c r="AN37" s="394">
        <f t="shared" si="35"/>
        <v>0</v>
      </c>
      <c r="AO37" s="138"/>
      <c r="AP37" s="395">
        <f t="shared" si="21"/>
        <v>0</v>
      </c>
      <c r="AQ37" s="396" t="str">
        <f t="shared" si="22"/>
        <v/>
      </c>
      <c r="AR37" s="397"/>
      <c r="AS37" s="3"/>
      <c r="AT37" s="3"/>
      <c r="AU37" s="3"/>
      <c r="AV37" s="3"/>
      <c r="AW37" s="3"/>
      <c r="AX37" s="3"/>
    </row>
    <row r="38" spans="1:50" ht="12" customHeight="1">
      <c r="A38" s="545"/>
      <c r="B38" s="328" t="s">
        <v>302</v>
      </c>
      <c r="C38" s="389" t="str">
        <f t="shared" si="23"/>
        <v>General Service 50 to 1,499 KW.Smart Meter Entity Charge</v>
      </c>
      <c r="D38" s="390" t="s">
        <v>335</v>
      </c>
      <c r="E38" s="328"/>
      <c r="F38" s="408">
        <f>IFERROR(VLOOKUP($C38,'Proposed Rates'!$B:$J,F$11,FALSE),0)</f>
        <v>0</v>
      </c>
      <c r="G38" s="409">
        <f>IF($D38="Monthly",1,IF($D38="per KW",$F$10,IF($D38="per kWh",$F$9,0)))</f>
        <v>1</v>
      </c>
      <c r="H38" s="394">
        <f t="shared" si="25"/>
        <v>0</v>
      </c>
      <c r="I38" s="138"/>
      <c r="J38" s="408">
        <f>IFERROR(VLOOKUP($C38,'Proposed Rates'!$B:$J,J$11,FALSE),0)</f>
        <v>0</v>
      </c>
      <c r="K38" s="409">
        <f>IF($D38="Monthly",1,IF($D38="per KW",$F$10,IF($D38="per kWh",$F$9,0)))</f>
        <v>1</v>
      </c>
      <c r="L38" s="394">
        <f t="shared" si="27"/>
        <v>0</v>
      </c>
      <c r="M38" s="138"/>
      <c r="N38" s="395">
        <f t="shared" si="5"/>
        <v>0</v>
      </c>
      <c r="O38" s="396" t="str">
        <f t="shared" si="6"/>
        <v/>
      </c>
      <c r="P38" s="53"/>
      <c r="Q38" s="408">
        <f>IFERROR(VLOOKUP($C38,'Proposed Rates'!$B:$J,Q$11,FALSE),0)</f>
        <v>0</v>
      </c>
      <c r="R38" s="409">
        <f>IF($D38="Monthly",1,IF($D38="per KW",$F$10,IF($D38="per kWh",$F$9,0)))</f>
        <v>1</v>
      </c>
      <c r="S38" s="394">
        <f t="shared" si="29"/>
        <v>0</v>
      </c>
      <c r="T38" s="138"/>
      <c r="U38" s="395">
        <f t="shared" si="9"/>
        <v>0</v>
      </c>
      <c r="V38" s="396" t="str">
        <f t="shared" si="10"/>
        <v/>
      </c>
      <c r="W38" s="53"/>
      <c r="X38" s="408">
        <f>IFERROR(VLOOKUP($C38,'Proposed Rates'!$B:$J,X$11,FALSE),0)</f>
        <v>0</v>
      </c>
      <c r="Y38" s="409">
        <f>IF($D38="Monthly",1,IF($D38="per KW",$F$10,IF($D38="per kWh",$F$9,0)))</f>
        <v>1</v>
      </c>
      <c r="Z38" s="394">
        <f t="shared" si="31"/>
        <v>0</v>
      </c>
      <c r="AA38" s="138"/>
      <c r="AB38" s="395">
        <f t="shared" si="36"/>
        <v>0</v>
      </c>
      <c r="AC38" s="396" t="str">
        <f t="shared" si="37"/>
        <v/>
      </c>
      <c r="AD38" s="53"/>
      <c r="AE38" s="408">
        <f>IFERROR(VLOOKUP($C38,'Proposed Rates'!$B:$J,AE$11,FALSE),0)</f>
        <v>0</v>
      </c>
      <c r="AF38" s="409">
        <f>IF($D38="Monthly",1,IF($D38="per KW",$F$10,IF($D38="per kWh",$F$9,0)))</f>
        <v>1</v>
      </c>
      <c r="AG38" s="394">
        <f t="shared" si="33"/>
        <v>0</v>
      </c>
      <c r="AH38" s="138"/>
      <c r="AI38" s="395">
        <f t="shared" si="17"/>
        <v>0</v>
      </c>
      <c r="AJ38" s="396" t="str">
        <f t="shared" si="18"/>
        <v/>
      </c>
      <c r="AK38" s="53"/>
      <c r="AL38" s="408">
        <f>IFERROR(VLOOKUP($C38,'Proposed Rates'!$B:$J,AL$11,FALSE),0)</f>
        <v>0</v>
      </c>
      <c r="AM38" s="409">
        <f>IF($D38="Monthly",1,IF($D38="per KW",$F$10,IF($D38="per kWh",$F$9,0)))</f>
        <v>1</v>
      </c>
      <c r="AN38" s="394">
        <f t="shared" si="35"/>
        <v>0</v>
      </c>
      <c r="AO38" s="138"/>
      <c r="AP38" s="395">
        <f t="shared" si="21"/>
        <v>0</v>
      </c>
      <c r="AQ38" s="396" t="str">
        <f t="shared" si="22"/>
        <v/>
      </c>
      <c r="AR38" s="397"/>
      <c r="AS38" s="3"/>
      <c r="AT38" s="3"/>
      <c r="AU38" s="3"/>
      <c r="AV38" s="3"/>
      <c r="AW38" s="3"/>
      <c r="AX38" s="3"/>
    </row>
    <row r="39" spans="1:50" ht="12" customHeight="1">
      <c r="A39" s="545"/>
      <c r="B39" s="399" t="s">
        <v>342</v>
      </c>
      <c r="C39" s="416"/>
      <c r="D39" s="416"/>
      <c r="E39" s="416"/>
      <c r="F39" s="417"/>
      <c r="G39" s="495"/>
      <c r="H39" s="403">
        <f>SUM(H30:H38)+H29</f>
        <v>2003.1825000000001</v>
      </c>
      <c r="I39" s="419"/>
      <c r="J39" s="417"/>
      <c r="K39" s="495"/>
      <c r="L39" s="403">
        <f>SUM(L30:L38)+L29</f>
        <v>2340.6350000000002</v>
      </c>
      <c r="M39" s="419"/>
      <c r="N39" s="405">
        <f t="shared" si="5"/>
        <v>337.4525000000001</v>
      </c>
      <c r="O39" s="406">
        <f t="shared" si="6"/>
        <v>0.16845819090372449</v>
      </c>
      <c r="P39" s="53"/>
      <c r="Q39" s="417"/>
      <c r="R39" s="495"/>
      <c r="S39" s="403">
        <f>SUM(S30:S38)+S29</f>
        <v>2574.9850000000001</v>
      </c>
      <c r="T39" s="419"/>
      <c r="U39" s="405">
        <f t="shared" si="9"/>
        <v>234.34999999999991</v>
      </c>
      <c r="V39" s="406">
        <f t="shared" si="10"/>
        <v>0.10012240268132361</v>
      </c>
      <c r="W39" s="53"/>
      <c r="X39" s="417"/>
      <c r="Y39" s="495"/>
      <c r="Z39" s="403">
        <f>SUM(Z30:Z38)+Z29</f>
        <v>2382.8774999999996</v>
      </c>
      <c r="AA39" s="419"/>
      <c r="AB39" s="405">
        <f t="shared" si="36"/>
        <v>-192.10750000000053</v>
      </c>
      <c r="AC39" s="406">
        <f t="shared" si="37"/>
        <v>-7.4605288962848529E-2</v>
      </c>
      <c r="AD39" s="53"/>
      <c r="AE39" s="417"/>
      <c r="AF39" s="495"/>
      <c r="AG39" s="403">
        <f>SUM(AG30:AG38)+AG29</f>
        <v>2465.8000000000002</v>
      </c>
      <c r="AH39" s="419"/>
      <c r="AI39" s="405">
        <f t="shared" si="17"/>
        <v>82.922500000000582</v>
      </c>
      <c r="AJ39" s="406">
        <f t="shared" si="18"/>
        <v>3.4799313015461596E-2</v>
      </c>
      <c r="AK39" s="53"/>
      <c r="AL39" s="417"/>
      <c r="AM39" s="495"/>
      <c r="AN39" s="403">
        <f>SUM(AN30:AN38)+AN29</f>
        <v>2541.6600000000003</v>
      </c>
      <c r="AO39" s="419"/>
      <c r="AP39" s="405">
        <f t="shared" si="21"/>
        <v>75.860000000000127</v>
      </c>
      <c r="AQ39" s="406">
        <f t="shared" si="22"/>
        <v>3.0764863330359365E-2</v>
      </c>
      <c r="AR39" s="407"/>
      <c r="AS39" s="3"/>
      <c r="AT39" s="3"/>
      <c r="AU39" s="3"/>
      <c r="AV39" s="3"/>
      <c r="AW39" s="3"/>
      <c r="AX39" s="3"/>
    </row>
    <row r="40" spans="1:50" ht="12" customHeight="1">
      <c r="A40" s="545"/>
      <c r="B40" s="138" t="s">
        <v>285</v>
      </c>
      <c r="C40" s="389" t="str">
        <f t="shared" ref="C40:C41" si="38">D$6&amp;"."&amp;B40</f>
        <v>General Service 50 to 1,499 KW.RTSR - Network</v>
      </c>
      <c r="D40" s="420" t="s">
        <v>406</v>
      </c>
      <c r="E40" s="138"/>
      <c r="F40" s="408">
        <f>IFERROR(VLOOKUP($C40,'Proposed Rates'!$B:$J,F$11,FALSE),0)</f>
        <v>4.8479999999999999</v>
      </c>
      <c r="G40" s="409">
        <f t="shared" ref="G40:G41" si="39">IF($D40="Monthly",1,IF($D40="per KW",$F$10,IF($D40="per kWh",$F$9,0)))</f>
        <v>250</v>
      </c>
      <c r="H40" s="394">
        <f t="shared" ref="H40:H41" si="40">G40*F40</f>
        <v>1212</v>
      </c>
      <c r="I40" s="138"/>
      <c r="J40" s="408">
        <f>IFERROR(VLOOKUP($C40,'Proposed Rates'!$B:$J,J$11,FALSE),0)</f>
        <v>4.5787000000000004</v>
      </c>
      <c r="K40" s="409">
        <f t="shared" ref="K40:K41" si="41">IF($D40="Monthly",1,IF($D40="per KW",$F$10,IF($D40="per kWh",$F$9,0)))</f>
        <v>250</v>
      </c>
      <c r="L40" s="394">
        <f t="shared" ref="L40:L41" si="42">K40*J40</f>
        <v>1144.6750000000002</v>
      </c>
      <c r="M40" s="138"/>
      <c r="N40" s="395">
        <f t="shared" si="5"/>
        <v>-67.324999999999818</v>
      </c>
      <c r="O40" s="396">
        <f t="shared" si="6"/>
        <v>-5.5548679867986651E-2</v>
      </c>
      <c r="P40" s="53"/>
      <c r="Q40" s="408">
        <f>IFERROR(VLOOKUP($C40,'Proposed Rates'!$B:$J,Q$11,FALSE),0)</f>
        <v>4.5787000000000004</v>
      </c>
      <c r="R40" s="409">
        <f t="shared" ref="R40:R41" si="43">IF($D40="Monthly",1,IF($D40="per KW",$F$10,IF($D40="per kWh",$F$9,0)))</f>
        <v>250</v>
      </c>
      <c r="S40" s="394">
        <f t="shared" ref="S40:S41" si="44">R40*Q40</f>
        <v>1144.6750000000002</v>
      </c>
      <c r="T40" s="138"/>
      <c r="U40" s="395">
        <f t="shared" si="9"/>
        <v>0</v>
      </c>
      <c r="V40" s="396">
        <f t="shared" si="10"/>
        <v>0</v>
      </c>
      <c r="W40" s="53"/>
      <c r="X40" s="408">
        <f>IFERROR(VLOOKUP($C40,'Proposed Rates'!$B:$J,X$11,FALSE),0)</f>
        <v>4.5787000000000004</v>
      </c>
      <c r="Y40" s="409">
        <f t="shared" ref="Y40:Y41" si="45">IF($D40="Monthly",1,IF($D40="per KW",$F$10,IF($D40="per kWh",$F$9,0)))</f>
        <v>250</v>
      </c>
      <c r="Z40" s="394">
        <f t="shared" ref="Z40:Z41" si="46">Y40*X40</f>
        <v>1144.6750000000002</v>
      </c>
      <c r="AA40" s="138"/>
      <c r="AB40" s="395">
        <f t="shared" si="36"/>
        <v>0</v>
      </c>
      <c r="AC40" s="396">
        <f t="shared" si="37"/>
        <v>0</v>
      </c>
      <c r="AD40" s="53"/>
      <c r="AE40" s="408">
        <f>IFERROR(VLOOKUP($C40,'Proposed Rates'!$B:$J,AE$11,FALSE),0)</f>
        <v>4.5787000000000004</v>
      </c>
      <c r="AF40" s="409">
        <f t="shared" ref="AF40:AF41" si="47">IF($D40="Monthly",1,IF($D40="per KW",$F$10,IF($D40="per kWh",$F$9,0)))</f>
        <v>250</v>
      </c>
      <c r="AG40" s="394">
        <f t="shared" ref="AG40:AG41" si="48">AF40*AE40</f>
        <v>1144.6750000000002</v>
      </c>
      <c r="AH40" s="138"/>
      <c r="AI40" s="395">
        <f t="shared" si="17"/>
        <v>0</v>
      </c>
      <c r="AJ40" s="396">
        <f t="shared" si="18"/>
        <v>0</v>
      </c>
      <c r="AK40" s="53"/>
      <c r="AL40" s="408">
        <f>IFERROR(VLOOKUP($C40,'Proposed Rates'!$B:$J,AL$11,FALSE),0)</f>
        <v>4.5787000000000004</v>
      </c>
      <c r="AM40" s="409">
        <f t="shared" ref="AM40:AM41" si="49">IF($D40="Monthly",1,IF($D40="per KW",$F$10,IF($D40="per kWh",$F$9,0)))</f>
        <v>250</v>
      </c>
      <c r="AN40" s="394">
        <f t="shared" ref="AN40:AN41" si="50">AM40*AL40</f>
        <v>1144.6750000000002</v>
      </c>
      <c r="AO40" s="138"/>
      <c r="AP40" s="395">
        <f t="shared" si="21"/>
        <v>0</v>
      </c>
      <c r="AQ40" s="396">
        <f t="shared" si="22"/>
        <v>0</v>
      </c>
      <c r="AR40" s="397"/>
      <c r="AS40" s="3"/>
      <c r="AT40" s="3"/>
      <c r="AU40" s="3"/>
      <c r="AV40" s="3"/>
      <c r="AW40" s="3"/>
      <c r="AX40" s="3"/>
    </row>
    <row r="41" spans="1:50" ht="12" customHeight="1">
      <c r="A41" s="545"/>
      <c r="B41" s="138" t="s">
        <v>288</v>
      </c>
      <c r="C41" s="389" t="str">
        <f t="shared" si="38"/>
        <v>General Service 50 to 1,499 KW.RTSR - Line and Transformation Connection</v>
      </c>
      <c r="D41" s="420" t="s">
        <v>406</v>
      </c>
      <c r="E41" s="138"/>
      <c r="F41" s="408">
        <f>IFERROR(VLOOKUP($C41,'Proposed Rates'!$B:$J,F$11,FALSE),0)</f>
        <v>2.8187000000000002</v>
      </c>
      <c r="G41" s="409">
        <f t="shared" si="39"/>
        <v>250</v>
      </c>
      <c r="H41" s="394">
        <f t="shared" si="40"/>
        <v>704.67500000000007</v>
      </c>
      <c r="I41" s="138"/>
      <c r="J41" s="408">
        <f>IFERROR(VLOOKUP($C41,'Proposed Rates'!$B:$J,J$11,FALSE),0)</f>
        <v>2.5918000000000001</v>
      </c>
      <c r="K41" s="409">
        <f t="shared" si="41"/>
        <v>250</v>
      </c>
      <c r="L41" s="394">
        <f t="shared" si="42"/>
        <v>647.95000000000005</v>
      </c>
      <c r="M41" s="138"/>
      <c r="N41" s="395">
        <f t="shared" si="5"/>
        <v>-56.725000000000023</v>
      </c>
      <c r="O41" s="396">
        <f t="shared" si="6"/>
        <v>-8.0498101961897356E-2</v>
      </c>
      <c r="P41" s="53"/>
      <c r="Q41" s="408">
        <f>IFERROR(VLOOKUP($C41,'Proposed Rates'!$B:$J,Q$11,FALSE),0)</f>
        <v>2.5918000000000001</v>
      </c>
      <c r="R41" s="409">
        <f t="shared" si="43"/>
        <v>250</v>
      </c>
      <c r="S41" s="394">
        <f t="shared" si="44"/>
        <v>647.95000000000005</v>
      </c>
      <c r="T41" s="138"/>
      <c r="U41" s="395">
        <f t="shared" si="9"/>
        <v>0</v>
      </c>
      <c r="V41" s="396">
        <f t="shared" si="10"/>
        <v>0</v>
      </c>
      <c r="W41" s="53"/>
      <c r="X41" s="408">
        <f>IFERROR(VLOOKUP($C41,'Proposed Rates'!$B:$J,X$11,FALSE),0)</f>
        <v>2.5918000000000001</v>
      </c>
      <c r="Y41" s="409">
        <f t="shared" si="45"/>
        <v>250</v>
      </c>
      <c r="Z41" s="394">
        <f t="shared" si="46"/>
        <v>647.95000000000005</v>
      </c>
      <c r="AA41" s="138"/>
      <c r="AB41" s="395">
        <f t="shared" si="36"/>
        <v>0</v>
      </c>
      <c r="AC41" s="396">
        <f t="shared" si="37"/>
        <v>0</v>
      </c>
      <c r="AD41" s="53"/>
      <c r="AE41" s="408">
        <f>IFERROR(VLOOKUP($C41,'Proposed Rates'!$B:$J,AE$11,FALSE),0)</f>
        <v>2.5918000000000001</v>
      </c>
      <c r="AF41" s="409">
        <f t="shared" si="47"/>
        <v>250</v>
      </c>
      <c r="AG41" s="394">
        <f t="shared" si="48"/>
        <v>647.95000000000005</v>
      </c>
      <c r="AH41" s="138"/>
      <c r="AI41" s="395">
        <f t="shared" si="17"/>
        <v>0</v>
      </c>
      <c r="AJ41" s="396">
        <f t="shared" si="18"/>
        <v>0</v>
      </c>
      <c r="AK41" s="53"/>
      <c r="AL41" s="408">
        <f>IFERROR(VLOOKUP($C41,'Proposed Rates'!$B:$J,AL$11,FALSE),0)</f>
        <v>2.5918000000000001</v>
      </c>
      <c r="AM41" s="409">
        <f t="shared" si="49"/>
        <v>250</v>
      </c>
      <c r="AN41" s="394">
        <f t="shared" si="50"/>
        <v>647.95000000000005</v>
      </c>
      <c r="AO41" s="138"/>
      <c r="AP41" s="395">
        <f t="shared" si="21"/>
        <v>0</v>
      </c>
      <c r="AQ41" s="396">
        <f t="shared" si="22"/>
        <v>0</v>
      </c>
      <c r="AR41" s="397"/>
      <c r="AS41" s="3"/>
      <c r="AT41" s="3"/>
      <c r="AU41" s="3"/>
      <c r="AV41" s="3"/>
      <c r="AW41" s="3"/>
      <c r="AX41" s="3"/>
    </row>
    <row r="42" spans="1:50" ht="12" customHeight="1">
      <c r="A42" s="545"/>
      <c r="B42" s="399" t="s">
        <v>343</v>
      </c>
      <c r="C42" s="421"/>
      <c r="D42" s="421"/>
      <c r="E42" s="421"/>
      <c r="F42" s="422"/>
      <c r="G42" s="495"/>
      <c r="H42" s="403">
        <f>SUM(H39:H41)</f>
        <v>3919.8575000000001</v>
      </c>
      <c r="I42" s="404"/>
      <c r="J42" s="422"/>
      <c r="K42" s="495"/>
      <c r="L42" s="403">
        <f>SUM(L39:L41)</f>
        <v>4133.26</v>
      </c>
      <c r="M42" s="404"/>
      <c r="N42" s="405">
        <f t="shared" si="5"/>
        <v>213.40250000000015</v>
      </c>
      <c r="O42" s="406">
        <f t="shared" si="6"/>
        <v>5.4441392321021909E-2</v>
      </c>
      <c r="P42" s="53"/>
      <c r="Q42" s="422"/>
      <c r="R42" s="495"/>
      <c r="S42" s="403">
        <f>SUM(S39:S41)</f>
        <v>4367.6100000000006</v>
      </c>
      <c r="T42" s="404"/>
      <c r="U42" s="405">
        <f t="shared" si="9"/>
        <v>234.35000000000036</v>
      </c>
      <c r="V42" s="406">
        <f t="shared" si="10"/>
        <v>5.6698586587826644E-2</v>
      </c>
      <c r="W42" s="53"/>
      <c r="X42" s="422"/>
      <c r="Y42" s="495"/>
      <c r="Z42" s="403">
        <f>SUM(Z39:Z41)</f>
        <v>4175.5024999999996</v>
      </c>
      <c r="AA42" s="404"/>
      <c r="AB42" s="405">
        <f t="shared" si="36"/>
        <v>-192.10750000000098</v>
      </c>
      <c r="AC42" s="406">
        <f t="shared" si="37"/>
        <v>-4.3984581956722543E-2</v>
      </c>
      <c r="AD42" s="53"/>
      <c r="AE42" s="422"/>
      <c r="AF42" s="495"/>
      <c r="AG42" s="403">
        <f>SUM(AG39:AG41)</f>
        <v>4258.4250000000002</v>
      </c>
      <c r="AH42" s="404"/>
      <c r="AI42" s="405">
        <f t="shared" si="17"/>
        <v>82.922500000000582</v>
      </c>
      <c r="AJ42" s="406">
        <f t="shared" si="18"/>
        <v>1.9859286397266099E-2</v>
      </c>
      <c r="AK42" s="53"/>
      <c r="AL42" s="422"/>
      <c r="AM42" s="495"/>
      <c r="AN42" s="403">
        <f>SUM(AN39:AN41)</f>
        <v>4334.2850000000008</v>
      </c>
      <c r="AO42" s="404"/>
      <c r="AP42" s="405">
        <f t="shared" si="21"/>
        <v>75.860000000000582</v>
      </c>
      <c r="AQ42" s="406">
        <f t="shared" si="22"/>
        <v>1.781409793526963E-2</v>
      </c>
      <c r="AR42" s="407"/>
      <c r="AS42" s="3"/>
      <c r="AT42" s="3"/>
      <c r="AU42" s="3"/>
      <c r="AV42" s="3"/>
      <c r="AW42" s="3"/>
      <c r="AX42" s="3"/>
    </row>
    <row r="43" spans="1:50" ht="12" customHeight="1">
      <c r="A43" s="545"/>
      <c r="B43" s="328" t="s">
        <v>289</v>
      </c>
      <c r="C43" s="389" t="str">
        <f t="shared" ref="C43:C45" si="51">D$6&amp;"."&amp;B43</f>
        <v>General Service 50 to 1,499 KW.Wholesale Market Service Charge (WMSC)</v>
      </c>
      <c r="D43" s="390" t="s">
        <v>337</v>
      </c>
      <c r="E43" s="328"/>
      <c r="F43" s="408">
        <f>IFERROR(VLOOKUP($C43,'Proposed Rates'!$B:$J,F$11,FALSE),0)</f>
        <v>4.4999999999999997E-3</v>
      </c>
      <c r="G43" s="415">
        <f t="shared" ref="G43:G44" si="52">$F$9+G$37</f>
        <v>52723.8</v>
      </c>
      <c r="H43" s="394">
        <f t="shared" ref="H43:H46" si="53">G43*F43</f>
        <v>237.25710000000001</v>
      </c>
      <c r="I43" s="138"/>
      <c r="J43" s="408">
        <f>IFERROR(VLOOKUP($C43,'Proposed Rates'!$B:$J,J$11,FALSE),0)</f>
        <v>4.7000000000000002E-3</v>
      </c>
      <c r="K43" s="415">
        <f t="shared" ref="K43:K44" si="54">$F$9+K$37</f>
        <v>52693.2</v>
      </c>
      <c r="L43" s="394">
        <f t="shared" ref="L43:L46" si="55">K43*J43</f>
        <v>247.65804</v>
      </c>
      <c r="M43" s="138"/>
      <c r="N43" s="395">
        <f t="shared" si="5"/>
        <v>10.400939999999991</v>
      </c>
      <c r="O43" s="396">
        <f t="shared" si="6"/>
        <v>4.3838266589282221E-2</v>
      </c>
      <c r="P43" s="53"/>
      <c r="Q43" s="408">
        <f>IFERROR(VLOOKUP($C43,'Proposed Rates'!$B:$J,Q$11,FALSE),0)</f>
        <v>4.7000000000000002E-3</v>
      </c>
      <c r="R43" s="415">
        <f t="shared" ref="R43:R44" si="56">$F$9+R$37</f>
        <v>52693.2</v>
      </c>
      <c r="S43" s="394">
        <f t="shared" ref="S43:S46" si="57">R43*Q43</f>
        <v>247.65804</v>
      </c>
      <c r="T43" s="138"/>
      <c r="U43" s="395">
        <f t="shared" si="9"/>
        <v>0</v>
      </c>
      <c r="V43" s="396">
        <f t="shared" si="10"/>
        <v>0</v>
      </c>
      <c r="W43" s="53"/>
      <c r="X43" s="408">
        <f>IFERROR(VLOOKUP($C43,'Proposed Rates'!$B:$J,X$11,FALSE),0)</f>
        <v>4.7000000000000002E-3</v>
      </c>
      <c r="Y43" s="415">
        <f t="shared" ref="Y43:Y44" si="58">$F$9+Y$37</f>
        <v>52693.2</v>
      </c>
      <c r="Z43" s="394">
        <f t="shared" ref="Z43:Z46" si="59">Y43*X43</f>
        <v>247.65804</v>
      </c>
      <c r="AA43" s="138"/>
      <c r="AB43" s="395">
        <f t="shared" si="36"/>
        <v>0</v>
      </c>
      <c r="AC43" s="396">
        <f t="shared" si="37"/>
        <v>0</v>
      </c>
      <c r="AD43" s="53"/>
      <c r="AE43" s="408">
        <f>IFERROR(VLOOKUP($C43,'Proposed Rates'!$B:$J,AE$11,FALSE),0)</f>
        <v>4.7000000000000002E-3</v>
      </c>
      <c r="AF43" s="415">
        <f t="shared" ref="AF43:AF44" si="60">$F$9+AF$37</f>
        <v>52693.2</v>
      </c>
      <c r="AG43" s="394">
        <f t="shared" ref="AG43:AG46" si="61">AF43*AE43</f>
        <v>247.65804</v>
      </c>
      <c r="AH43" s="138"/>
      <c r="AI43" s="395">
        <f t="shared" si="17"/>
        <v>0</v>
      </c>
      <c r="AJ43" s="396">
        <f t="shared" si="18"/>
        <v>0</v>
      </c>
      <c r="AK43" s="53"/>
      <c r="AL43" s="408">
        <f>IFERROR(VLOOKUP($C43,'Proposed Rates'!$B:$J,AL$11,FALSE),0)</f>
        <v>4.7000000000000002E-3</v>
      </c>
      <c r="AM43" s="415">
        <f t="shared" ref="AM43:AM44" si="62">$F$9+AM$37</f>
        <v>52693.2</v>
      </c>
      <c r="AN43" s="394">
        <f t="shared" ref="AN43:AN46" si="63">AM43*AL43</f>
        <v>247.65804</v>
      </c>
      <c r="AO43" s="138"/>
      <c r="AP43" s="395">
        <f t="shared" si="21"/>
        <v>0</v>
      </c>
      <c r="AQ43" s="396">
        <f t="shared" si="22"/>
        <v>0</v>
      </c>
      <c r="AR43" s="397"/>
      <c r="AS43" s="3"/>
      <c r="AT43" s="3"/>
      <c r="AU43" s="3"/>
      <c r="AV43" s="3"/>
      <c r="AW43" s="3"/>
      <c r="AX43" s="3"/>
    </row>
    <row r="44" spans="1:50" ht="12" customHeight="1">
      <c r="A44" s="545"/>
      <c r="B44" s="328" t="s">
        <v>290</v>
      </c>
      <c r="C44" s="389" t="str">
        <f t="shared" si="51"/>
        <v>General Service 50 to 1,499 KW.Rural and Remote Rate Protection (RRRP)</v>
      </c>
      <c r="D44" s="390" t="s">
        <v>337</v>
      </c>
      <c r="E44" s="328"/>
      <c r="F44" s="408">
        <f>IFERROR(VLOOKUP($C44,'Proposed Rates'!$B:$J,F$11,FALSE),0)</f>
        <v>1.5E-3</v>
      </c>
      <c r="G44" s="415">
        <f t="shared" si="52"/>
        <v>52723.8</v>
      </c>
      <c r="H44" s="394">
        <f t="shared" si="53"/>
        <v>79.085700000000003</v>
      </c>
      <c r="I44" s="138"/>
      <c r="J44" s="408">
        <f>IFERROR(VLOOKUP($C44,'Proposed Rates'!$B:$J,J$11,FALSE),0)</f>
        <v>5.9999999999999995E-4</v>
      </c>
      <c r="K44" s="415">
        <f t="shared" si="54"/>
        <v>52693.2</v>
      </c>
      <c r="L44" s="394">
        <f t="shared" si="55"/>
        <v>31.615919999999996</v>
      </c>
      <c r="M44" s="138"/>
      <c r="N44" s="395">
        <f t="shared" si="5"/>
        <v>-47.469780000000007</v>
      </c>
      <c r="O44" s="396">
        <f t="shared" si="6"/>
        <v>-0.600232153221126</v>
      </c>
      <c r="P44" s="53"/>
      <c r="Q44" s="408">
        <f>IFERROR(VLOOKUP($C44,'Proposed Rates'!$B:$J,Q$11,FALSE),0)</f>
        <v>5.9999999999999995E-4</v>
      </c>
      <c r="R44" s="415">
        <f t="shared" si="56"/>
        <v>52693.2</v>
      </c>
      <c r="S44" s="394">
        <f t="shared" si="57"/>
        <v>31.615919999999996</v>
      </c>
      <c r="T44" s="138"/>
      <c r="U44" s="395">
        <f t="shared" si="9"/>
        <v>0</v>
      </c>
      <c r="V44" s="396">
        <f t="shared" si="10"/>
        <v>0</v>
      </c>
      <c r="W44" s="53"/>
      <c r="X44" s="408">
        <f>IFERROR(VLOOKUP($C44,'Proposed Rates'!$B:$J,X$11,FALSE),0)</f>
        <v>5.9999999999999995E-4</v>
      </c>
      <c r="Y44" s="415">
        <f t="shared" si="58"/>
        <v>52693.2</v>
      </c>
      <c r="Z44" s="394">
        <f t="shared" si="59"/>
        <v>31.615919999999996</v>
      </c>
      <c r="AA44" s="138"/>
      <c r="AB44" s="395">
        <f t="shared" si="36"/>
        <v>0</v>
      </c>
      <c r="AC44" s="396">
        <f t="shared" si="37"/>
        <v>0</v>
      </c>
      <c r="AD44" s="53"/>
      <c r="AE44" s="408">
        <f>IFERROR(VLOOKUP($C44,'Proposed Rates'!$B:$J,AE$11,FALSE),0)</f>
        <v>5.9999999999999995E-4</v>
      </c>
      <c r="AF44" s="415">
        <f t="shared" si="60"/>
        <v>52693.2</v>
      </c>
      <c r="AG44" s="394">
        <f t="shared" si="61"/>
        <v>31.615919999999996</v>
      </c>
      <c r="AH44" s="138"/>
      <c r="AI44" s="395">
        <f t="shared" si="17"/>
        <v>0</v>
      </c>
      <c r="AJ44" s="396">
        <f t="shared" si="18"/>
        <v>0</v>
      </c>
      <c r="AK44" s="53"/>
      <c r="AL44" s="408">
        <f>IFERROR(VLOOKUP($C44,'Proposed Rates'!$B:$J,AL$11,FALSE),0)</f>
        <v>5.9999999999999995E-4</v>
      </c>
      <c r="AM44" s="415">
        <f t="shared" si="62"/>
        <v>52693.2</v>
      </c>
      <c r="AN44" s="394">
        <f t="shared" si="63"/>
        <v>31.615919999999996</v>
      </c>
      <c r="AO44" s="138"/>
      <c r="AP44" s="395">
        <f t="shared" si="21"/>
        <v>0</v>
      </c>
      <c r="AQ44" s="396">
        <f t="shared" si="22"/>
        <v>0</v>
      </c>
      <c r="AR44" s="397"/>
      <c r="AS44" s="3"/>
      <c r="AT44" s="3"/>
      <c r="AU44" s="3"/>
      <c r="AV44" s="3"/>
      <c r="AW44" s="3"/>
      <c r="AX44" s="3"/>
    </row>
    <row r="45" spans="1:50" ht="12" customHeight="1">
      <c r="A45" s="545"/>
      <c r="B45" s="328" t="s">
        <v>291</v>
      </c>
      <c r="C45" s="389" t="str">
        <f t="shared" si="51"/>
        <v>General Service 50 to 1,499 KW.Standard Supply Service Charge</v>
      </c>
      <c r="D45" s="390" t="s">
        <v>335</v>
      </c>
      <c r="E45" s="328"/>
      <c r="F45" s="391">
        <f>IFERROR(VLOOKUP($C45,'Proposed Rates'!$B:$J,F$11,FALSE),0)</f>
        <v>0.25</v>
      </c>
      <c r="G45" s="409">
        <f>IF($D45="Monthly",1,IF($D45="per KW",$F$10,IF($D45="per kWh",$F$9,0)))</f>
        <v>1</v>
      </c>
      <c r="H45" s="394">
        <f t="shared" si="53"/>
        <v>0.25</v>
      </c>
      <c r="I45" s="138"/>
      <c r="J45" s="391">
        <f>IFERROR(VLOOKUP($C45,'Proposed Rates'!$B:$J,J$11,FALSE),0)</f>
        <v>0.25</v>
      </c>
      <c r="K45" s="409">
        <f>IF($D45="Monthly",1,IF($D45="per KW",$F$10,IF($D45="per kWh",$F$9,0)))</f>
        <v>1</v>
      </c>
      <c r="L45" s="394">
        <f t="shared" si="55"/>
        <v>0.25</v>
      </c>
      <c r="M45" s="138"/>
      <c r="N45" s="395">
        <f t="shared" si="5"/>
        <v>0</v>
      </c>
      <c r="O45" s="396">
        <f t="shared" si="6"/>
        <v>0</v>
      </c>
      <c r="P45" s="53"/>
      <c r="Q45" s="391">
        <f>IFERROR(VLOOKUP($C45,'Proposed Rates'!$B:$J,Q$11,FALSE),0)</f>
        <v>0.25</v>
      </c>
      <c r="R45" s="409">
        <f>IF($D45="Monthly",1,IF($D45="per KW",$F$10,IF($D45="per kWh",$F$9,0)))</f>
        <v>1</v>
      </c>
      <c r="S45" s="394">
        <f t="shared" si="57"/>
        <v>0.25</v>
      </c>
      <c r="T45" s="138"/>
      <c r="U45" s="395">
        <f t="shared" si="9"/>
        <v>0</v>
      </c>
      <c r="V45" s="396">
        <f t="shared" si="10"/>
        <v>0</v>
      </c>
      <c r="W45" s="53"/>
      <c r="X45" s="391">
        <f>IFERROR(VLOOKUP($C45,'Proposed Rates'!$B:$J,X$11,FALSE),0)</f>
        <v>0.25</v>
      </c>
      <c r="Y45" s="409">
        <f>IF($D45="Monthly",1,IF($D45="per KW",$F$10,IF($D45="per kWh",$F$9,0)))</f>
        <v>1</v>
      </c>
      <c r="Z45" s="394">
        <f t="shared" si="59"/>
        <v>0.25</v>
      </c>
      <c r="AA45" s="138"/>
      <c r="AB45" s="395">
        <f t="shared" si="36"/>
        <v>0</v>
      </c>
      <c r="AC45" s="396">
        <f t="shared" si="37"/>
        <v>0</v>
      </c>
      <c r="AD45" s="53"/>
      <c r="AE45" s="391">
        <f>IFERROR(VLOOKUP($C45,'Proposed Rates'!$B:$J,AE$11,FALSE),0)</f>
        <v>0.25</v>
      </c>
      <c r="AF45" s="409">
        <f>IF($D45="Monthly",1,IF($D45="per KW",$F$10,IF($D45="per kWh",$F$9,0)))</f>
        <v>1</v>
      </c>
      <c r="AG45" s="394">
        <f t="shared" si="61"/>
        <v>0.25</v>
      </c>
      <c r="AH45" s="138"/>
      <c r="AI45" s="395">
        <f t="shared" si="17"/>
        <v>0</v>
      </c>
      <c r="AJ45" s="396">
        <f t="shared" si="18"/>
        <v>0</v>
      </c>
      <c r="AK45" s="53"/>
      <c r="AL45" s="391">
        <f>IFERROR(VLOOKUP($C45,'Proposed Rates'!$B:$J,AL$11,FALSE),0)</f>
        <v>0.25</v>
      </c>
      <c r="AM45" s="409">
        <f>IF($D45="Monthly",1,IF($D45="per KW",$F$10,IF($D45="per kWh",$F$9,0)))</f>
        <v>1</v>
      </c>
      <c r="AN45" s="394">
        <f t="shared" si="63"/>
        <v>0.25</v>
      </c>
      <c r="AO45" s="138"/>
      <c r="AP45" s="395">
        <f t="shared" si="21"/>
        <v>0</v>
      </c>
      <c r="AQ45" s="396">
        <f t="shared" si="22"/>
        <v>0</v>
      </c>
      <c r="AR45" s="397"/>
      <c r="AS45" s="3"/>
      <c r="AT45" s="3"/>
      <c r="AU45" s="3"/>
      <c r="AV45" s="3"/>
      <c r="AW45" s="3"/>
      <c r="AX45" s="3"/>
    </row>
    <row r="46" spans="1:50" ht="12" customHeight="1">
      <c r="A46" s="545"/>
      <c r="B46" s="328" t="s">
        <v>298</v>
      </c>
      <c r="C46" s="389" t="str">
        <f>B46</f>
        <v>Average IESO Wholesale Market Price</v>
      </c>
      <c r="D46" s="390" t="s">
        <v>337</v>
      </c>
      <c r="E46" s="328"/>
      <c r="F46" s="408">
        <f>IFERROR(VLOOKUP($C46,'Proposed Rates'!$B:$J,F$11,FALSE),0)</f>
        <v>0.10453</v>
      </c>
      <c r="G46" s="415">
        <f>$F$9+G$37</f>
        <v>52723.8</v>
      </c>
      <c r="H46" s="394">
        <f t="shared" si="53"/>
        <v>5511.2188139999998</v>
      </c>
      <c r="I46" s="138"/>
      <c r="J46" s="408">
        <f>IFERROR(VLOOKUP($C46,'Proposed Rates'!$B:$J,J$11,FALSE),0)</f>
        <v>0.10453</v>
      </c>
      <c r="K46" s="415">
        <f>$F$9+K$37</f>
        <v>52693.2</v>
      </c>
      <c r="L46" s="394">
        <f t="shared" si="55"/>
        <v>5508.0201959999995</v>
      </c>
      <c r="M46" s="138"/>
      <c r="N46" s="395">
        <f t="shared" si="5"/>
        <v>-3.1986180000003515</v>
      </c>
      <c r="O46" s="396">
        <f t="shared" si="6"/>
        <v>-5.8038305281492156E-4</v>
      </c>
      <c r="P46" s="53"/>
      <c r="Q46" s="408">
        <f>IFERROR(VLOOKUP($C46,'Proposed Rates'!$B:$J,Q$11,FALSE),0)</f>
        <v>0.10453</v>
      </c>
      <c r="R46" s="415">
        <f>$F$9+R$37</f>
        <v>52693.2</v>
      </c>
      <c r="S46" s="394">
        <f t="shared" si="57"/>
        <v>5508.0201959999995</v>
      </c>
      <c r="T46" s="138"/>
      <c r="U46" s="395">
        <f t="shared" si="9"/>
        <v>0</v>
      </c>
      <c r="V46" s="396">
        <f t="shared" si="10"/>
        <v>0</v>
      </c>
      <c r="W46" s="53"/>
      <c r="X46" s="408">
        <f>IFERROR(VLOOKUP($C46,'Proposed Rates'!$B:$J,X$11,FALSE),0)</f>
        <v>0.10453</v>
      </c>
      <c r="Y46" s="415">
        <f>$F$9+Y$37</f>
        <v>52693.2</v>
      </c>
      <c r="Z46" s="394">
        <f t="shared" si="59"/>
        <v>5508.0201959999995</v>
      </c>
      <c r="AA46" s="138"/>
      <c r="AB46" s="395">
        <f t="shared" si="36"/>
        <v>0</v>
      </c>
      <c r="AC46" s="396">
        <f t="shared" si="37"/>
        <v>0</v>
      </c>
      <c r="AD46" s="53"/>
      <c r="AE46" s="408">
        <f>IFERROR(VLOOKUP($C46,'Proposed Rates'!$B:$J,AE$11,FALSE),0)</f>
        <v>0.10453</v>
      </c>
      <c r="AF46" s="415">
        <f>$F$9+AF$37</f>
        <v>52693.2</v>
      </c>
      <c r="AG46" s="394">
        <f t="shared" si="61"/>
        <v>5508.0201959999995</v>
      </c>
      <c r="AH46" s="138"/>
      <c r="AI46" s="395">
        <f t="shared" si="17"/>
        <v>0</v>
      </c>
      <c r="AJ46" s="396">
        <f t="shared" si="18"/>
        <v>0</v>
      </c>
      <c r="AK46" s="53"/>
      <c r="AL46" s="408">
        <f>IFERROR(VLOOKUP($C46,'Proposed Rates'!$B:$J,AL$11,FALSE),0)</f>
        <v>0.10453</v>
      </c>
      <c r="AM46" s="415">
        <f>$F$9+AM$37</f>
        <v>52693.2</v>
      </c>
      <c r="AN46" s="394">
        <f t="shared" si="63"/>
        <v>5508.0201959999995</v>
      </c>
      <c r="AO46" s="138"/>
      <c r="AP46" s="395">
        <f t="shared" si="21"/>
        <v>0</v>
      </c>
      <c r="AQ46" s="396">
        <f t="shared" si="22"/>
        <v>0</v>
      </c>
      <c r="AR46" s="397"/>
      <c r="AS46" s="3"/>
      <c r="AT46" s="3"/>
      <c r="AU46" s="3"/>
      <c r="AV46" s="3"/>
      <c r="AW46" s="3"/>
      <c r="AX46" s="3"/>
    </row>
    <row r="47" spans="1:50" ht="12" customHeight="1">
      <c r="A47" s="545"/>
      <c r="B47" s="328"/>
      <c r="C47" s="389" t="str">
        <f t="shared" ref="C47:C50" si="64">D$6&amp;"."&amp;B47</f>
        <v>General Service 50 to 1,499 KW.</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c r="AS47" s="3"/>
      <c r="AT47" s="3"/>
      <c r="AU47" s="3"/>
      <c r="AV47" s="3"/>
      <c r="AW47" s="3"/>
      <c r="AX47" s="3"/>
    </row>
    <row r="48" spans="1:50" ht="12" customHeight="1">
      <c r="A48" s="545"/>
      <c r="B48" s="53"/>
      <c r="C48" s="389" t="str">
        <f t="shared" si="64"/>
        <v>General Service 50 to 1,499 KW.</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c r="AS48" s="3"/>
      <c r="AT48" s="3"/>
      <c r="AU48" s="3"/>
      <c r="AV48" s="3"/>
      <c r="AW48" s="3"/>
      <c r="AX48" s="3"/>
    </row>
    <row r="49" spans="1:50" ht="12" customHeight="1">
      <c r="A49" s="545"/>
      <c r="B49" s="328"/>
      <c r="C49" s="389" t="str">
        <f t="shared" si="64"/>
        <v>General Service 50 to 1,499 KW.</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c r="AS49" s="3"/>
      <c r="AT49" s="3"/>
      <c r="AU49" s="3"/>
      <c r="AV49" s="3"/>
      <c r="AW49" s="3"/>
      <c r="AX49" s="3"/>
    </row>
    <row r="50" spans="1:50" ht="12" customHeight="1">
      <c r="A50" s="545"/>
      <c r="B50" s="328"/>
      <c r="C50" s="389" t="str">
        <f t="shared" si="64"/>
        <v>General Service 50 to 1,499 KW.</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c r="AS50" s="3"/>
      <c r="AT50" s="3"/>
      <c r="AU50" s="3"/>
      <c r="AV50" s="3"/>
      <c r="AW50" s="3"/>
      <c r="AX50" s="3"/>
    </row>
    <row r="51" spans="1:50" ht="12" customHeight="1">
      <c r="A51" s="545"/>
      <c r="B51" s="428"/>
      <c r="C51" s="429"/>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c r="AS51" s="3"/>
      <c r="AT51" s="3"/>
      <c r="AU51" s="3"/>
      <c r="AV51" s="3"/>
      <c r="AW51" s="3"/>
      <c r="AX51" s="3"/>
    </row>
    <row r="52" spans="1:50" ht="12" customHeight="1">
      <c r="A52" s="545"/>
      <c r="B52" s="438" t="s">
        <v>344</v>
      </c>
      <c r="C52" s="328"/>
      <c r="D52" s="328"/>
      <c r="E52" s="328"/>
      <c r="F52" s="439"/>
      <c r="G52" s="483"/>
      <c r="H52" s="441">
        <f>SUM(H43:H48,H42)</f>
        <v>9747.6691140000003</v>
      </c>
      <c r="I52" s="476"/>
      <c r="J52" s="440"/>
      <c r="K52" s="440"/>
      <c r="L52" s="441">
        <f>SUM(L43:L48,L42)</f>
        <v>9920.8041560000001</v>
      </c>
      <c r="M52" s="443"/>
      <c r="N52" s="442">
        <f t="shared" ref="N52:N56" si="65">L52-H52</f>
        <v>173.13504199999988</v>
      </c>
      <c r="O52" s="444">
        <f t="shared" ref="O52:O56" si="66">IF((H52)=0,"",(N52/H52))</f>
        <v>1.7761686406787883E-2</v>
      </c>
      <c r="P52" s="53"/>
      <c r="Q52" s="440"/>
      <c r="R52" s="440"/>
      <c r="S52" s="441">
        <f>SUM(S43:S48,S42)</f>
        <v>10155.154156000001</v>
      </c>
      <c r="T52" s="443"/>
      <c r="U52" s="442">
        <f t="shared" ref="U52:U56" si="67">S52-L52</f>
        <v>234.35000000000036</v>
      </c>
      <c r="V52" s="444">
        <f t="shared" ref="V52:V56" si="68">IF((L52)=0,"",(U52/L52))</f>
        <v>2.3622077032764314E-2</v>
      </c>
      <c r="W52" s="53"/>
      <c r="X52" s="440"/>
      <c r="Y52" s="440"/>
      <c r="Z52" s="441">
        <f>SUM(Z43:Z48,Z42)</f>
        <v>9963.0466559999986</v>
      </c>
      <c r="AA52" s="443"/>
      <c r="AB52" s="442">
        <f t="shared" ref="AB52:AB56" si="69">Z52-S52</f>
        <v>-192.10750000000189</v>
      </c>
      <c r="AC52" s="444">
        <f t="shared" ref="AC52:AC56" si="70">IF((S52)=0,"",(AB52/S52))</f>
        <v>-1.8917241141681581E-2</v>
      </c>
      <c r="AD52" s="53"/>
      <c r="AE52" s="440"/>
      <c r="AF52" s="440"/>
      <c r="AG52" s="441">
        <f>SUM(AG43:AG48,AG42)</f>
        <v>10045.969155999999</v>
      </c>
      <c r="AH52" s="443"/>
      <c r="AI52" s="442">
        <f t="shared" ref="AI52:AI56" si="71">AG52-Z52</f>
        <v>82.922500000000582</v>
      </c>
      <c r="AJ52" s="444">
        <f t="shared" ref="AJ52:AJ56" si="72">IF((Z52)=0,"",(AI52/Z52))</f>
        <v>8.3230062914603099E-3</v>
      </c>
      <c r="AK52" s="53"/>
      <c r="AL52" s="440"/>
      <c r="AM52" s="440"/>
      <c r="AN52" s="441">
        <f>SUM(AN43:AN48,AN42)</f>
        <v>10121.829156</v>
      </c>
      <c r="AO52" s="443"/>
      <c r="AP52" s="442">
        <f t="shared" ref="AP52:AP56" si="73">AN52-AG52</f>
        <v>75.860000000000582</v>
      </c>
      <c r="AQ52" s="444">
        <f t="shared" ref="AQ52:AQ56" si="74">IF((AG52)=0,"",(AP52/AG52))</f>
        <v>7.5512873692920772E-3</v>
      </c>
      <c r="AR52" s="445"/>
      <c r="AS52" s="3"/>
      <c r="AT52" s="3"/>
      <c r="AU52" s="3"/>
      <c r="AV52" s="3"/>
      <c r="AW52" s="3"/>
      <c r="AX52" s="3"/>
    </row>
    <row r="53" spans="1:50" ht="12" customHeight="1">
      <c r="A53" s="545"/>
      <c r="B53" s="446" t="s">
        <v>345</v>
      </c>
      <c r="C53" s="328"/>
      <c r="D53" s="328"/>
      <c r="E53" s="328"/>
      <c r="F53" s="439">
        <v>0.13</v>
      </c>
      <c r="G53" s="138"/>
      <c r="H53" s="484">
        <f>H52*F53</f>
        <v>1267.1969848200001</v>
      </c>
      <c r="I53" s="411"/>
      <c r="J53" s="447">
        <v>0.13</v>
      </c>
      <c r="K53" s="411"/>
      <c r="L53" s="394">
        <f>L52*J53</f>
        <v>1289.7045402800002</v>
      </c>
      <c r="M53" s="138"/>
      <c r="N53" s="395">
        <f t="shared" si="65"/>
        <v>22.507555460000049</v>
      </c>
      <c r="O53" s="396">
        <f t="shared" si="66"/>
        <v>1.7761686406787932E-2</v>
      </c>
      <c r="P53" s="53"/>
      <c r="Q53" s="447">
        <v>0.13</v>
      </c>
      <c r="R53" s="411"/>
      <c r="S53" s="394">
        <f>S52*Q53</f>
        <v>1320.1700402800002</v>
      </c>
      <c r="T53" s="138"/>
      <c r="U53" s="395">
        <f t="shared" si="67"/>
        <v>30.46550000000002</v>
      </c>
      <c r="V53" s="396">
        <f t="shared" si="68"/>
        <v>2.362207703276429E-2</v>
      </c>
      <c r="W53" s="53"/>
      <c r="X53" s="447">
        <v>0.13</v>
      </c>
      <c r="Y53" s="411"/>
      <c r="Z53" s="394">
        <f>Z52*X53</f>
        <v>1295.1960652799999</v>
      </c>
      <c r="AA53" s="138"/>
      <c r="AB53" s="395">
        <f t="shared" si="69"/>
        <v>-24.973975000000337</v>
      </c>
      <c r="AC53" s="396">
        <f t="shared" si="70"/>
        <v>-1.8917241141681647E-2</v>
      </c>
      <c r="AD53" s="53"/>
      <c r="AE53" s="447">
        <v>0.13</v>
      </c>
      <c r="AF53" s="411"/>
      <c r="AG53" s="394">
        <f>AG52*AE53</f>
        <v>1305.9759902799999</v>
      </c>
      <c r="AH53" s="138"/>
      <c r="AI53" s="395">
        <f t="shared" si="71"/>
        <v>10.779925000000048</v>
      </c>
      <c r="AJ53" s="396">
        <f t="shared" si="72"/>
        <v>8.3230062914602873E-3</v>
      </c>
      <c r="AK53" s="53"/>
      <c r="AL53" s="447">
        <v>0.13</v>
      </c>
      <c r="AM53" s="411"/>
      <c r="AN53" s="394">
        <f>AN52*AL53</f>
        <v>1315.83779028</v>
      </c>
      <c r="AO53" s="138"/>
      <c r="AP53" s="395">
        <f t="shared" si="73"/>
        <v>9.8618000000001302</v>
      </c>
      <c r="AQ53" s="396">
        <f t="shared" si="74"/>
        <v>7.5512873692921189E-3</v>
      </c>
      <c r="AR53" s="397"/>
      <c r="AS53" s="3"/>
      <c r="AT53" s="3"/>
      <c r="AU53" s="3"/>
      <c r="AV53" s="3"/>
      <c r="AW53" s="3"/>
      <c r="AX53" s="3"/>
    </row>
    <row r="54" spans="1:50" ht="12" customHeight="1">
      <c r="A54" s="545"/>
      <c r="B54" s="448" t="s">
        <v>416</v>
      </c>
      <c r="C54" s="328"/>
      <c r="D54" s="328"/>
      <c r="E54" s="328"/>
      <c r="F54" s="449"/>
      <c r="G54" s="138"/>
      <c r="H54" s="484">
        <f>H52+H53</f>
        <v>11014.866098820001</v>
      </c>
      <c r="I54" s="411"/>
      <c r="J54" s="411"/>
      <c r="K54" s="411"/>
      <c r="L54" s="394">
        <f>L52+L53</f>
        <v>11210.50869628</v>
      </c>
      <c r="M54" s="138"/>
      <c r="N54" s="395">
        <f t="shared" si="65"/>
        <v>195.6425974599988</v>
      </c>
      <c r="O54" s="396">
        <f t="shared" si="66"/>
        <v>1.7761686406787783E-2</v>
      </c>
      <c r="P54" s="53"/>
      <c r="Q54" s="411"/>
      <c r="R54" s="411"/>
      <c r="S54" s="394">
        <f>S52+S53</f>
        <v>11475.32419628</v>
      </c>
      <c r="T54" s="138"/>
      <c r="U54" s="395">
        <f t="shared" si="67"/>
        <v>264.81550000000061</v>
      </c>
      <c r="V54" s="396">
        <f t="shared" si="68"/>
        <v>2.3622077032764335E-2</v>
      </c>
      <c r="W54" s="53"/>
      <c r="X54" s="411"/>
      <c r="Y54" s="411"/>
      <c r="Z54" s="394">
        <f>Z52+Z53</f>
        <v>11258.242721279999</v>
      </c>
      <c r="AA54" s="138"/>
      <c r="AB54" s="395">
        <f t="shared" si="69"/>
        <v>-217.08147500000086</v>
      </c>
      <c r="AC54" s="396">
        <f t="shared" si="70"/>
        <v>-1.891724114168147E-2</v>
      </c>
      <c r="AD54" s="53"/>
      <c r="AE54" s="411"/>
      <c r="AF54" s="411"/>
      <c r="AG54" s="394">
        <f>AG52+AG53</f>
        <v>11351.945146279999</v>
      </c>
      <c r="AH54" s="138"/>
      <c r="AI54" s="395">
        <f t="shared" si="71"/>
        <v>93.702424999999494</v>
      </c>
      <c r="AJ54" s="396">
        <f t="shared" si="72"/>
        <v>8.3230062914602058E-3</v>
      </c>
      <c r="AK54" s="53"/>
      <c r="AL54" s="411"/>
      <c r="AM54" s="411"/>
      <c r="AN54" s="394">
        <f>AN52+AN53</f>
        <v>11437.66694628</v>
      </c>
      <c r="AO54" s="138"/>
      <c r="AP54" s="395">
        <f t="shared" si="73"/>
        <v>85.721800000001167</v>
      </c>
      <c r="AQ54" s="396">
        <f t="shared" si="74"/>
        <v>7.5512873692921223E-3</v>
      </c>
      <c r="AR54" s="397"/>
      <c r="AS54" s="3"/>
      <c r="AT54" s="3"/>
      <c r="AU54" s="3"/>
      <c r="AV54" s="3"/>
      <c r="AW54" s="3"/>
      <c r="AX54" s="3"/>
    </row>
    <row r="55" spans="1:50" ht="12" customHeight="1">
      <c r="A55" s="545"/>
      <c r="B55" s="626" t="s">
        <v>304</v>
      </c>
      <c r="C55" s="616"/>
      <c r="D55" s="616"/>
      <c r="E55" s="328"/>
      <c r="F55" s="449"/>
      <c r="G55" s="138"/>
      <c r="H55" s="486">
        <f>F55*H52</f>
        <v>0</v>
      </c>
      <c r="I55" s="411"/>
      <c r="J55" s="411"/>
      <c r="K55" s="411"/>
      <c r="L55" s="506">
        <f>J55*L52</f>
        <v>0</v>
      </c>
      <c r="M55" s="138"/>
      <c r="N55" s="451">
        <f t="shared" si="65"/>
        <v>0</v>
      </c>
      <c r="O55" s="453" t="str">
        <f t="shared" si="66"/>
        <v/>
      </c>
      <c r="P55" s="53"/>
      <c r="Q55" s="411"/>
      <c r="R55" s="411"/>
      <c r="S55" s="506">
        <f>Q55*S52</f>
        <v>0</v>
      </c>
      <c r="T55" s="138"/>
      <c r="U55" s="451">
        <f t="shared" si="67"/>
        <v>0</v>
      </c>
      <c r="V55" s="453" t="str">
        <f t="shared" si="68"/>
        <v/>
      </c>
      <c r="W55" s="53"/>
      <c r="X55" s="411"/>
      <c r="Y55" s="411"/>
      <c r="Z55" s="506">
        <f>X55*Z52</f>
        <v>0</v>
      </c>
      <c r="AA55" s="138"/>
      <c r="AB55" s="451">
        <f t="shared" si="69"/>
        <v>0</v>
      </c>
      <c r="AC55" s="453" t="str">
        <f t="shared" si="70"/>
        <v/>
      </c>
      <c r="AD55" s="53"/>
      <c r="AE55" s="411"/>
      <c r="AF55" s="411"/>
      <c r="AG55" s="506">
        <f>AE55*AG52</f>
        <v>0</v>
      </c>
      <c r="AH55" s="138"/>
      <c r="AI55" s="451">
        <f t="shared" si="71"/>
        <v>0</v>
      </c>
      <c r="AJ55" s="453" t="str">
        <f t="shared" si="72"/>
        <v/>
      </c>
      <c r="AK55" s="53"/>
      <c r="AL55" s="411"/>
      <c r="AM55" s="411"/>
      <c r="AN55" s="506">
        <f>AL55*AN52</f>
        <v>0</v>
      </c>
      <c r="AO55" s="138"/>
      <c r="AP55" s="451">
        <f t="shared" si="73"/>
        <v>0</v>
      </c>
      <c r="AQ55" s="453" t="str">
        <f t="shared" si="74"/>
        <v/>
      </c>
      <c r="AR55" s="454"/>
      <c r="AS55" s="3"/>
      <c r="AT55" s="3"/>
      <c r="AU55" s="3"/>
      <c r="AV55" s="3"/>
      <c r="AW55" s="3"/>
      <c r="AX55" s="3"/>
    </row>
    <row r="56" spans="1:50" ht="12" customHeight="1">
      <c r="A56" s="545"/>
      <c r="B56" s="627" t="s">
        <v>347</v>
      </c>
      <c r="C56" s="608"/>
      <c r="D56" s="600"/>
      <c r="E56" s="455"/>
      <c r="F56" s="456"/>
      <c r="G56" s="487"/>
      <c r="H56" s="488">
        <f>H54-H55</f>
        <v>11014.866098820001</v>
      </c>
      <c r="I56" s="457"/>
      <c r="J56" s="457"/>
      <c r="K56" s="457"/>
      <c r="L56" s="458">
        <f>L54-L55</f>
        <v>11210.50869628</v>
      </c>
      <c r="M56" s="459"/>
      <c r="N56" s="460">
        <f t="shared" si="65"/>
        <v>195.6425974599988</v>
      </c>
      <c r="O56" s="461">
        <f t="shared" si="66"/>
        <v>1.7761686406787783E-2</v>
      </c>
      <c r="P56" s="53"/>
      <c r="Q56" s="457"/>
      <c r="R56" s="457"/>
      <c r="S56" s="458">
        <f>S54-S55</f>
        <v>11475.32419628</v>
      </c>
      <c r="T56" s="459"/>
      <c r="U56" s="460">
        <f t="shared" si="67"/>
        <v>264.81550000000061</v>
      </c>
      <c r="V56" s="461">
        <f t="shared" si="68"/>
        <v>2.3622077032764335E-2</v>
      </c>
      <c r="W56" s="53"/>
      <c r="X56" s="457"/>
      <c r="Y56" s="457"/>
      <c r="Z56" s="458">
        <f>Z54-Z55</f>
        <v>11258.242721279999</v>
      </c>
      <c r="AA56" s="459"/>
      <c r="AB56" s="460">
        <f t="shared" si="69"/>
        <v>-217.08147500000086</v>
      </c>
      <c r="AC56" s="461">
        <f t="shared" si="70"/>
        <v>-1.891724114168147E-2</v>
      </c>
      <c r="AD56" s="53"/>
      <c r="AE56" s="457"/>
      <c r="AF56" s="457"/>
      <c r="AG56" s="458">
        <f>AG54-AG55</f>
        <v>11351.945146279999</v>
      </c>
      <c r="AH56" s="459"/>
      <c r="AI56" s="460">
        <f t="shared" si="71"/>
        <v>93.702424999999494</v>
      </c>
      <c r="AJ56" s="461">
        <f t="shared" si="72"/>
        <v>8.3230062914602058E-3</v>
      </c>
      <c r="AK56" s="53"/>
      <c r="AL56" s="457"/>
      <c r="AM56" s="457"/>
      <c r="AN56" s="458">
        <f>AN54-AN55</f>
        <v>11437.66694628</v>
      </c>
      <c r="AO56" s="459"/>
      <c r="AP56" s="460">
        <f t="shared" si="73"/>
        <v>85.721800000001167</v>
      </c>
      <c r="AQ56" s="461">
        <f t="shared" si="74"/>
        <v>7.5512873692921223E-3</v>
      </c>
      <c r="AR56" s="462"/>
      <c r="AS56" s="3"/>
      <c r="AT56" s="3"/>
      <c r="AU56" s="3"/>
      <c r="AV56" s="3"/>
      <c r="AW56" s="3"/>
      <c r="AX56" s="3"/>
    </row>
    <row r="57" spans="1:50" ht="12" customHeight="1">
      <c r="A57" s="545"/>
      <c r="B57" s="428"/>
      <c r="C57" s="429"/>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c r="AS57" s="3"/>
      <c r="AT57" s="3"/>
      <c r="AU57" s="3"/>
      <c r="AV57" s="3"/>
      <c r="AW57" s="3"/>
      <c r="AX57" s="3"/>
    </row>
    <row r="58" spans="1:50" ht="12" customHeight="1">
      <c r="A58" s="545"/>
      <c r="B58" s="508" t="s">
        <v>348</v>
      </c>
      <c r="C58" s="509"/>
      <c r="D58" s="509"/>
      <c r="E58" s="509"/>
      <c r="F58" s="510"/>
      <c r="G58" s="511"/>
      <c r="H58" s="512">
        <f>SUM(H49:H50,H42,H43:H45)</f>
        <v>4236.4502999999995</v>
      </c>
      <c r="I58" s="513"/>
      <c r="J58" s="514"/>
      <c r="K58" s="514"/>
      <c r="L58" s="512">
        <f>SUM(L49:L50,L42,L43:L45)</f>
        <v>4412.7839600000007</v>
      </c>
      <c r="M58" s="515"/>
      <c r="N58" s="516">
        <f t="shared" ref="N58:N62" si="75">L58-H58</f>
        <v>176.33366000000115</v>
      </c>
      <c r="O58" s="517">
        <f t="shared" ref="O58:O62" si="76">IF((H58)=0,"",(N58/H58))</f>
        <v>4.162297383731875E-2</v>
      </c>
      <c r="P58" s="507"/>
      <c r="Q58" s="514"/>
      <c r="R58" s="514"/>
      <c r="S58" s="512">
        <f>SUM(S49:S50,S42,S43:S45)</f>
        <v>4647.133960000001</v>
      </c>
      <c r="T58" s="515"/>
      <c r="U58" s="516">
        <f t="shared" ref="U58:U62" si="77">S58-L58</f>
        <v>234.35000000000036</v>
      </c>
      <c r="V58" s="517">
        <f t="shared" ref="V58:V62" si="78">IF((L58)=0,"",(U58/L58))</f>
        <v>5.3107063958780419E-2</v>
      </c>
      <c r="W58" s="507"/>
      <c r="X58" s="514"/>
      <c r="Y58" s="514"/>
      <c r="Z58" s="512">
        <f>SUM(Z49:Z50,Z42,Z43:Z45)</f>
        <v>4455.02646</v>
      </c>
      <c r="AA58" s="515"/>
      <c r="AB58" s="516">
        <f t="shared" ref="AB58:AB62" si="79">Z58-S58</f>
        <v>-192.10750000000098</v>
      </c>
      <c r="AC58" s="517">
        <f t="shared" ref="AC58:AC62" si="80">IF((S58)=0,"",(AB58/S58))</f>
        <v>-4.1338920214815784E-2</v>
      </c>
      <c r="AD58" s="507"/>
      <c r="AE58" s="514"/>
      <c r="AF58" s="514"/>
      <c r="AG58" s="512">
        <f>SUM(AG49:AG50,AG42,AG43:AG45)</f>
        <v>4537.9489600000006</v>
      </c>
      <c r="AH58" s="515"/>
      <c r="AI58" s="516">
        <f t="shared" ref="AI58:AI62" si="81">AG58-Z58</f>
        <v>82.922500000000582</v>
      </c>
      <c r="AJ58" s="517">
        <f t="shared" ref="AJ58:AJ62" si="82">IF((Z58)=0,"",(AI58/Z58))</f>
        <v>1.8613245228626674E-2</v>
      </c>
      <c r="AK58" s="507"/>
      <c r="AL58" s="514"/>
      <c r="AM58" s="514"/>
      <c r="AN58" s="512">
        <f>SUM(AN49:AN50,AN42,AN43:AN45)</f>
        <v>4613.8089600000012</v>
      </c>
      <c r="AO58" s="515"/>
      <c r="AP58" s="516">
        <f t="shared" ref="AP58:AP62" si="83">AN58-AG58</f>
        <v>75.860000000000582</v>
      </c>
      <c r="AQ58" s="517">
        <f t="shared" ref="AQ58:AQ62" si="84">IF((AG58)=0,"",(AP58/AG58))</f>
        <v>1.6716803266998526E-2</v>
      </c>
      <c r="AR58" s="518"/>
      <c r="AS58" s="3"/>
      <c r="AT58" s="3"/>
      <c r="AU58" s="3"/>
      <c r="AV58" s="3"/>
      <c r="AW58" s="3"/>
      <c r="AX58" s="3"/>
    </row>
    <row r="59" spans="1:50" ht="12" customHeight="1">
      <c r="A59" s="545"/>
      <c r="B59" s="519" t="s">
        <v>345</v>
      </c>
      <c r="C59" s="509"/>
      <c r="D59" s="509"/>
      <c r="E59" s="509"/>
      <c r="F59" s="510">
        <v>0.13</v>
      </c>
      <c r="G59" s="511"/>
      <c r="H59" s="520">
        <f>H58*F59</f>
        <v>550.73853899999995</v>
      </c>
      <c r="I59" s="521"/>
      <c r="J59" s="510">
        <v>0.13</v>
      </c>
      <c r="K59" s="522"/>
      <c r="L59" s="523">
        <f>L58*J59</f>
        <v>573.66191480000009</v>
      </c>
      <c r="M59" s="524"/>
      <c r="N59" s="525">
        <f t="shared" si="75"/>
        <v>22.923375800000144</v>
      </c>
      <c r="O59" s="526">
        <f t="shared" si="76"/>
        <v>4.1622973837318743E-2</v>
      </c>
      <c r="P59" s="507"/>
      <c r="Q59" s="510">
        <v>0.13</v>
      </c>
      <c r="R59" s="522"/>
      <c r="S59" s="523">
        <f>S58*Q59</f>
        <v>604.12741480000011</v>
      </c>
      <c r="T59" s="524"/>
      <c r="U59" s="525">
        <f t="shared" si="77"/>
        <v>30.46550000000002</v>
      </c>
      <c r="V59" s="526">
        <f t="shared" si="78"/>
        <v>5.3107063958780371E-2</v>
      </c>
      <c r="W59" s="507"/>
      <c r="X59" s="510">
        <v>0.13</v>
      </c>
      <c r="Y59" s="522"/>
      <c r="Z59" s="523">
        <f>Z58*X59</f>
        <v>579.1534398</v>
      </c>
      <c r="AA59" s="524"/>
      <c r="AB59" s="525">
        <f t="shared" si="79"/>
        <v>-24.97397500000011</v>
      </c>
      <c r="AC59" s="526">
        <f t="shared" si="80"/>
        <v>-4.1338920214815757E-2</v>
      </c>
      <c r="AD59" s="507"/>
      <c r="AE59" s="510">
        <v>0.13</v>
      </c>
      <c r="AF59" s="522"/>
      <c r="AG59" s="523">
        <f>AG58*AE59</f>
        <v>589.93336480000005</v>
      </c>
      <c r="AH59" s="524"/>
      <c r="AI59" s="525">
        <f t="shared" si="81"/>
        <v>10.779925000000048</v>
      </c>
      <c r="AJ59" s="526">
        <f t="shared" si="82"/>
        <v>1.8613245228626629E-2</v>
      </c>
      <c r="AK59" s="507"/>
      <c r="AL59" s="510">
        <v>0.13</v>
      </c>
      <c r="AM59" s="522"/>
      <c r="AN59" s="523">
        <f>AN58*AL59</f>
        <v>599.79516480000018</v>
      </c>
      <c r="AO59" s="524"/>
      <c r="AP59" s="525">
        <f t="shared" si="83"/>
        <v>9.8618000000001302</v>
      </c>
      <c r="AQ59" s="526">
        <f t="shared" si="84"/>
        <v>1.671680326699862E-2</v>
      </c>
      <c r="AR59" s="527"/>
      <c r="AS59" s="3"/>
      <c r="AT59" s="3"/>
      <c r="AU59" s="3"/>
      <c r="AV59" s="3"/>
      <c r="AW59" s="3"/>
      <c r="AX59" s="3"/>
    </row>
    <row r="60" spans="1:50" ht="12" customHeight="1">
      <c r="A60" s="545"/>
      <c r="B60" s="528" t="s">
        <v>417</v>
      </c>
      <c r="C60" s="509"/>
      <c r="D60" s="509"/>
      <c r="E60" s="509"/>
      <c r="F60" s="529"/>
      <c r="G60" s="524"/>
      <c r="H60" s="520">
        <f>H58+H59</f>
        <v>4787.1888389999995</v>
      </c>
      <c r="I60" s="521"/>
      <c r="J60" s="521"/>
      <c r="K60" s="521"/>
      <c r="L60" s="523">
        <f>L58+L59</f>
        <v>4986.4458748000006</v>
      </c>
      <c r="M60" s="524"/>
      <c r="N60" s="525">
        <f t="shared" si="75"/>
        <v>199.25703580000118</v>
      </c>
      <c r="O60" s="526">
        <f t="shared" si="76"/>
        <v>4.1622973837318722E-2</v>
      </c>
      <c r="P60" s="507"/>
      <c r="Q60" s="521"/>
      <c r="R60" s="521"/>
      <c r="S60" s="523">
        <f>S58+S59</f>
        <v>5251.2613748000012</v>
      </c>
      <c r="T60" s="524"/>
      <c r="U60" s="525">
        <f t="shared" si="77"/>
        <v>264.81550000000061</v>
      </c>
      <c r="V60" s="526">
        <f t="shared" si="78"/>
        <v>5.3107063958780461E-2</v>
      </c>
      <c r="W60" s="507"/>
      <c r="X60" s="521"/>
      <c r="Y60" s="521"/>
      <c r="Z60" s="523">
        <f>Z58+Z59</f>
        <v>5034.1798998000004</v>
      </c>
      <c r="AA60" s="524"/>
      <c r="AB60" s="525">
        <f t="shared" si="79"/>
        <v>-217.08147500000086</v>
      </c>
      <c r="AC60" s="526">
        <f t="shared" si="80"/>
        <v>-4.1338920214815743E-2</v>
      </c>
      <c r="AD60" s="507"/>
      <c r="AE60" s="521"/>
      <c r="AF60" s="521"/>
      <c r="AG60" s="523">
        <f>AG58+AG59</f>
        <v>5127.8823248000008</v>
      </c>
      <c r="AH60" s="524"/>
      <c r="AI60" s="525">
        <f t="shared" si="81"/>
        <v>93.702425000000403</v>
      </c>
      <c r="AJ60" s="526">
        <f t="shared" si="82"/>
        <v>1.8613245228626622E-2</v>
      </c>
      <c r="AK60" s="507"/>
      <c r="AL60" s="521"/>
      <c r="AM60" s="521"/>
      <c r="AN60" s="523">
        <f>AN58+AN59</f>
        <v>5213.604124800001</v>
      </c>
      <c r="AO60" s="524"/>
      <c r="AP60" s="525">
        <f t="shared" si="83"/>
        <v>85.721800000000258</v>
      </c>
      <c r="AQ60" s="526">
        <f t="shared" si="84"/>
        <v>1.671680326699845E-2</v>
      </c>
      <c r="AR60" s="527"/>
      <c r="AS60" s="3"/>
      <c r="AT60" s="3"/>
      <c r="AU60" s="3"/>
      <c r="AV60" s="3"/>
      <c r="AW60" s="3"/>
      <c r="AX60" s="3"/>
    </row>
    <row r="61" spans="1:50" ht="12" customHeight="1">
      <c r="A61" s="545"/>
      <c r="B61" s="636" t="s">
        <v>304</v>
      </c>
      <c r="C61" s="616"/>
      <c r="D61" s="616"/>
      <c r="E61" s="509"/>
      <c r="F61" s="529"/>
      <c r="G61" s="524"/>
      <c r="H61" s="530">
        <f>F61*H58</f>
        <v>0</v>
      </c>
      <c r="I61" s="521"/>
      <c r="J61" s="521"/>
      <c r="K61" s="521"/>
      <c r="L61" s="531">
        <f>J61*L58</f>
        <v>0</v>
      </c>
      <c r="M61" s="524"/>
      <c r="N61" s="532">
        <f t="shared" si="75"/>
        <v>0</v>
      </c>
      <c r="O61" s="533" t="str">
        <f t="shared" si="76"/>
        <v/>
      </c>
      <c r="P61" s="507"/>
      <c r="Q61" s="521"/>
      <c r="R61" s="521"/>
      <c r="S61" s="531">
        <f>Q61*S58</f>
        <v>0</v>
      </c>
      <c r="T61" s="524"/>
      <c r="U61" s="532">
        <f t="shared" si="77"/>
        <v>0</v>
      </c>
      <c r="V61" s="533" t="str">
        <f t="shared" si="78"/>
        <v/>
      </c>
      <c r="W61" s="507"/>
      <c r="X61" s="521"/>
      <c r="Y61" s="521"/>
      <c r="Z61" s="531">
        <f>X61*Z58</f>
        <v>0</v>
      </c>
      <c r="AA61" s="524"/>
      <c r="AB61" s="532">
        <f t="shared" si="79"/>
        <v>0</v>
      </c>
      <c r="AC61" s="533" t="str">
        <f t="shared" si="80"/>
        <v/>
      </c>
      <c r="AD61" s="507"/>
      <c r="AE61" s="521"/>
      <c r="AF61" s="521"/>
      <c r="AG61" s="531">
        <f>AE61*AG58</f>
        <v>0</v>
      </c>
      <c r="AH61" s="524"/>
      <c r="AI61" s="532">
        <f t="shared" si="81"/>
        <v>0</v>
      </c>
      <c r="AJ61" s="533" t="str">
        <f t="shared" si="82"/>
        <v/>
      </c>
      <c r="AK61" s="507"/>
      <c r="AL61" s="521"/>
      <c r="AM61" s="521"/>
      <c r="AN61" s="531">
        <f>AL61*AN58</f>
        <v>0</v>
      </c>
      <c r="AO61" s="524"/>
      <c r="AP61" s="532">
        <f t="shared" si="83"/>
        <v>0</v>
      </c>
      <c r="AQ61" s="533" t="str">
        <f t="shared" si="84"/>
        <v/>
      </c>
      <c r="AR61" s="534"/>
      <c r="AS61" s="3"/>
      <c r="AT61" s="3"/>
      <c r="AU61" s="3"/>
      <c r="AV61" s="3"/>
      <c r="AW61" s="3"/>
      <c r="AX61" s="3"/>
    </row>
    <row r="62" spans="1:50" ht="12" customHeight="1">
      <c r="A62" s="545"/>
      <c r="B62" s="637" t="s">
        <v>350</v>
      </c>
      <c r="C62" s="608"/>
      <c r="D62" s="600"/>
      <c r="E62" s="535"/>
      <c r="F62" s="536"/>
      <c r="G62" s="537"/>
      <c r="H62" s="538">
        <f>H60-H61</f>
        <v>4787.1888389999995</v>
      </c>
      <c r="I62" s="539"/>
      <c r="J62" s="539"/>
      <c r="K62" s="539"/>
      <c r="L62" s="540">
        <f>L60-L61</f>
        <v>4986.4458748000006</v>
      </c>
      <c r="M62" s="541"/>
      <c r="N62" s="542">
        <f t="shared" si="75"/>
        <v>199.25703580000118</v>
      </c>
      <c r="O62" s="543">
        <f t="shared" si="76"/>
        <v>4.1622973837318722E-2</v>
      </c>
      <c r="P62" s="507"/>
      <c r="Q62" s="539"/>
      <c r="R62" s="539"/>
      <c r="S62" s="540">
        <f>S60-S61</f>
        <v>5251.2613748000012</v>
      </c>
      <c r="T62" s="541"/>
      <c r="U62" s="542">
        <f t="shared" si="77"/>
        <v>264.81550000000061</v>
      </c>
      <c r="V62" s="543">
        <f t="shared" si="78"/>
        <v>5.3107063958780461E-2</v>
      </c>
      <c r="W62" s="507"/>
      <c r="X62" s="539"/>
      <c r="Y62" s="539"/>
      <c r="Z62" s="540">
        <f>Z60-Z61</f>
        <v>5034.1798998000004</v>
      </c>
      <c r="AA62" s="541"/>
      <c r="AB62" s="542">
        <f t="shared" si="79"/>
        <v>-217.08147500000086</v>
      </c>
      <c r="AC62" s="543">
        <f t="shared" si="80"/>
        <v>-4.1338920214815743E-2</v>
      </c>
      <c r="AD62" s="507"/>
      <c r="AE62" s="539"/>
      <c r="AF62" s="539"/>
      <c r="AG62" s="540">
        <f>AG60-AG61</f>
        <v>5127.8823248000008</v>
      </c>
      <c r="AH62" s="541"/>
      <c r="AI62" s="542">
        <f t="shared" si="81"/>
        <v>93.702425000000403</v>
      </c>
      <c r="AJ62" s="543">
        <f t="shared" si="82"/>
        <v>1.8613245228626622E-2</v>
      </c>
      <c r="AK62" s="507"/>
      <c r="AL62" s="539"/>
      <c r="AM62" s="539"/>
      <c r="AN62" s="540">
        <f>AN60-AN61</f>
        <v>5213.604124800001</v>
      </c>
      <c r="AO62" s="541"/>
      <c r="AP62" s="542">
        <f t="shared" si="83"/>
        <v>85.721800000000258</v>
      </c>
      <c r="AQ62" s="543">
        <f t="shared" si="84"/>
        <v>1.671680326699845E-2</v>
      </c>
      <c r="AR62" s="544"/>
      <c r="AS62" s="3"/>
      <c r="AT62" s="3"/>
      <c r="AU62" s="3"/>
      <c r="AV62" s="3"/>
      <c r="AW62" s="3"/>
      <c r="AX62" s="3"/>
    </row>
    <row r="63" spans="1:50" ht="12" customHeight="1">
      <c r="A63" s="545"/>
      <c r="B63" s="428"/>
      <c r="C63" s="429"/>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c r="AS63" s="3"/>
      <c r="AT63" s="3"/>
      <c r="AU63" s="3"/>
      <c r="AV63" s="3"/>
      <c r="AW63" s="3"/>
      <c r="AX63" s="3"/>
    </row>
    <row r="64" spans="1:50" ht="12" customHeight="1">
      <c r="A64" s="545"/>
      <c r="B64" s="53"/>
      <c r="C64" s="53"/>
      <c r="D64" s="53"/>
      <c r="E64" s="53"/>
      <c r="F64" s="53"/>
      <c r="G64" s="53"/>
      <c r="H64" s="53">
        <v>17559.439999999999</v>
      </c>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3"/>
      <c r="AT64" s="3"/>
      <c r="AU64" s="3"/>
      <c r="AV64" s="3"/>
      <c r="AW64" s="3"/>
      <c r="AX64" s="3"/>
    </row>
    <row r="65" spans="1:50" ht="12" customHeight="1">
      <c r="A65" s="545"/>
      <c r="B65" s="314" t="s">
        <v>351</v>
      </c>
      <c r="C65" s="53"/>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c r="AS65" s="3"/>
      <c r="AT65" s="3"/>
      <c r="AU65" s="3"/>
      <c r="AV65" s="3"/>
      <c r="AW65" s="3"/>
      <c r="AX65" s="3"/>
    </row>
    <row r="66" spans="1:50"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3"/>
      <c r="AT66" s="3"/>
      <c r="AU66" s="3"/>
      <c r="AV66" s="3"/>
      <c r="AW66" s="3"/>
      <c r="AX66" s="3"/>
    </row>
    <row r="67" spans="1:50" ht="12" customHeight="1">
      <c r="A67" s="473" t="s">
        <v>418</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3"/>
      <c r="AT67" s="3"/>
      <c r="AU67" s="3"/>
      <c r="AV67" s="3"/>
      <c r="AW67" s="3"/>
      <c r="AX67" s="3"/>
    </row>
    <row r="68" spans="1:50"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3"/>
      <c r="AT68" s="3"/>
      <c r="AU68" s="3"/>
      <c r="AV68" s="3"/>
      <c r="AW68" s="3"/>
      <c r="AX68" s="3"/>
    </row>
    <row r="69" spans="1:50" ht="12"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3"/>
      <c r="AT69" s="3"/>
      <c r="AU69" s="3"/>
      <c r="AV69" s="3"/>
      <c r="AW69" s="3"/>
      <c r="AX69" s="3"/>
    </row>
    <row r="70" spans="1:50" ht="12"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3"/>
      <c r="AT70" s="3"/>
      <c r="AU70" s="3"/>
      <c r="AV70" s="3"/>
      <c r="AW70" s="3"/>
      <c r="AX70" s="3"/>
    </row>
    <row r="71" spans="1:50"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3"/>
      <c r="AT71" s="3"/>
      <c r="AU71" s="3"/>
      <c r="AV71" s="3"/>
      <c r="AW71" s="3"/>
      <c r="AX71" s="3"/>
    </row>
    <row r="72" spans="1:50" ht="12"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3"/>
      <c r="AT72" s="3"/>
      <c r="AU72" s="3"/>
      <c r="AV72" s="3"/>
      <c r="AW72" s="3"/>
      <c r="AX72" s="3"/>
    </row>
    <row r="73" spans="1:50" ht="12"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3"/>
      <c r="AT73" s="3"/>
      <c r="AU73" s="3"/>
      <c r="AV73" s="3"/>
      <c r="AW73" s="3"/>
      <c r="AX73" s="3"/>
    </row>
    <row r="74" spans="1:50"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3"/>
      <c r="AT74" s="3"/>
      <c r="AU74" s="3"/>
      <c r="AV74" s="3"/>
      <c r="AW74" s="3"/>
      <c r="AX74" s="3"/>
    </row>
    <row r="75" spans="1:50" ht="12"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3"/>
      <c r="AT75" s="3"/>
      <c r="AU75" s="3"/>
      <c r="AV75" s="3"/>
      <c r="AW75" s="3"/>
      <c r="AX75" s="3"/>
    </row>
    <row r="76" spans="1:50" ht="12"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3"/>
      <c r="AT76" s="3"/>
      <c r="AU76" s="3"/>
      <c r="AV76" s="3"/>
      <c r="AW76" s="3"/>
      <c r="AX76" s="3"/>
    </row>
    <row r="77" spans="1:50" ht="12"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3"/>
      <c r="AT77" s="3"/>
      <c r="AU77" s="3"/>
      <c r="AV77" s="3"/>
      <c r="AW77" s="3"/>
      <c r="AX77" s="3"/>
    </row>
    <row r="78" spans="1:50" ht="12"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3"/>
      <c r="AT78" s="3"/>
      <c r="AU78" s="3"/>
      <c r="AV78" s="3"/>
      <c r="AW78" s="3"/>
      <c r="AX78" s="3"/>
    </row>
    <row r="79" spans="1:50" ht="12"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3"/>
      <c r="AT79" s="3"/>
      <c r="AU79" s="3"/>
      <c r="AV79" s="3"/>
      <c r="AW79" s="3"/>
      <c r="AX79" s="3"/>
    </row>
    <row r="80" spans="1:50"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3"/>
      <c r="AT80" s="3"/>
      <c r="AU80" s="3"/>
      <c r="AV80" s="3"/>
      <c r="AW80" s="3"/>
      <c r="AX80" s="3"/>
    </row>
    <row r="81" spans="1:50" ht="12" customHeight="1">
      <c r="A81" s="474"/>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3"/>
      <c r="AT81" s="3"/>
      <c r="AU81" s="3"/>
      <c r="AV81" s="3"/>
      <c r="AW81" s="3"/>
      <c r="AX81" s="3"/>
    </row>
    <row r="82" spans="1:50"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3"/>
      <c r="AT82" s="3"/>
      <c r="AU82" s="3"/>
      <c r="AV82" s="3"/>
      <c r="AW82" s="3"/>
      <c r="AX82" s="3"/>
    </row>
    <row r="83" spans="1:50"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3"/>
      <c r="AT83" s="3"/>
      <c r="AU83" s="3"/>
      <c r="AV83" s="3"/>
      <c r="AW83" s="3"/>
      <c r="AX83" s="3"/>
    </row>
    <row r="84" spans="1:50"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3"/>
      <c r="AT84" s="3"/>
      <c r="AU84" s="3"/>
      <c r="AV84" s="3"/>
      <c r="AW84" s="3"/>
      <c r="AX84" s="3"/>
    </row>
    <row r="85" spans="1:50"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3"/>
      <c r="AT85" s="3"/>
      <c r="AU85" s="3"/>
      <c r="AV85" s="3"/>
      <c r="AW85" s="3"/>
      <c r="AX85" s="3"/>
    </row>
    <row r="86" spans="1:50"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3"/>
      <c r="AT86" s="3"/>
      <c r="AU86" s="3"/>
      <c r="AV86" s="3"/>
      <c r="AW86" s="3"/>
      <c r="AX86" s="3"/>
    </row>
    <row r="87" spans="1:50"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3"/>
      <c r="AT87" s="3"/>
      <c r="AU87" s="3"/>
      <c r="AV87" s="3"/>
      <c r="AW87" s="3"/>
      <c r="AX87" s="3"/>
    </row>
    <row r="88" spans="1:50"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3"/>
      <c r="AT88" s="3"/>
      <c r="AU88" s="3"/>
      <c r="AV88" s="3"/>
      <c r="AW88" s="3"/>
      <c r="AX88" s="3"/>
    </row>
    <row r="89" spans="1:50"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3"/>
      <c r="AT89" s="3"/>
      <c r="AU89" s="3"/>
      <c r="AV89" s="3"/>
      <c r="AW89" s="3"/>
      <c r="AX89" s="3"/>
    </row>
    <row r="90" spans="1:50"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3"/>
      <c r="AT90" s="3"/>
      <c r="AU90" s="3"/>
      <c r="AV90" s="3"/>
      <c r="AW90" s="3"/>
      <c r="AX90" s="3"/>
    </row>
    <row r="91" spans="1:50"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3"/>
      <c r="AT91" s="3"/>
      <c r="AU91" s="3"/>
      <c r="AV91" s="3"/>
      <c r="AW91" s="3"/>
      <c r="AX91" s="3"/>
    </row>
    <row r="92" spans="1:50"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3"/>
      <c r="AT92" s="3"/>
      <c r="AU92" s="3"/>
      <c r="AV92" s="3"/>
      <c r="AW92" s="3"/>
      <c r="AX92" s="3"/>
    </row>
    <row r="93" spans="1:50"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3"/>
      <c r="AT93" s="3"/>
      <c r="AU93" s="3"/>
      <c r="AV93" s="3"/>
      <c r="AW93" s="3"/>
      <c r="AX93" s="3"/>
    </row>
    <row r="94" spans="1:50"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3"/>
      <c r="AT94" s="3"/>
      <c r="AU94" s="3"/>
      <c r="AV94" s="3"/>
      <c r="AW94" s="3"/>
      <c r="AX94" s="3"/>
    </row>
    <row r="95" spans="1:50"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3"/>
      <c r="AT95" s="3"/>
      <c r="AU95" s="3"/>
      <c r="AV95" s="3"/>
      <c r="AW95" s="3"/>
      <c r="AX95" s="3"/>
    </row>
    <row r="96" spans="1:50"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3"/>
      <c r="AT96" s="3"/>
      <c r="AU96" s="3"/>
      <c r="AV96" s="3"/>
      <c r="AW96" s="3"/>
      <c r="AX96" s="3"/>
    </row>
    <row r="97" spans="1:50"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3"/>
      <c r="AT97" s="3"/>
      <c r="AU97" s="3"/>
      <c r="AV97" s="3"/>
      <c r="AW97" s="3"/>
      <c r="AX97" s="3"/>
    </row>
    <row r="98" spans="1:50"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3"/>
      <c r="AT98" s="3"/>
      <c r="AU98" s="3"/>
      <c r="AV98" s="3"/>
      <c r="AW98" s="3"/>
      <c r="AX98" s="3"/>
    </row>
    <row r="99" spans="1:50"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3"/>
      <c r="AT99" s="3"/>
      <c r="AU99" s="3"/>
      <c r="AV99" s="3"/>
      <c r="AW99" s="3"/>
      <c r="AX99" s="3"/>
    </row>
    <row r="100" spans="1:50"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3"/>
      <c r="AT100" s="3"/>
      <c r="AU100" s="3"/>
      <c r="AV100" s="3"/>
      <c r="AW100" s="3"/>
      <c r="AX100" s="3"/>
    </row>
    <row r="101" spans="1:50"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3"/>
      <c r="AT101" s="3"/>
      <c r="AU101" s="3"/>
      <c r="AV101" s="3"/>
      <c r="AW101" s="3"/>
      <c r="AX101" s="3"/>
    </row>
    <row r="102" spans="1:50"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3"/>
      <c r="AT102" s="3"/>
      <c r="AU102" s="3"/>
      <c r="AV102" s="3"/>
      <c r="AW102" s="3"/>
      <c r="AX102" s="3"/>
    </row>
    <row r="103" spans="1:50"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3"/>
      <c r="AT103" s="3"/>
      <c r="AU103" s="3"/>
      <c r="AV103" s="3"/>
      <c r="AW103" s="3"/>
      <c r="AX103" s="3"/>
    </row>
    <row r="104" spans="1:50"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3"/>
      <c r="AT104" s="3"/>
      <c r="AU104" s="3"/>
      <c r="AV104" s="3"/>
      <c r="AW104" s="3"/>
      <c r="AX104" s="3"/>
    </row>
    <row r="105" spans="1:50"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3"/>
      <c r="AT105" s="3"/>
      <c r="AU105" s="3"/>
      <c r="AV105" s="3"/>
      <c r="AW105" s="3"/>
      <c r="AX105" s="3"/>
    </row>
    <row r="106" spans="1:50"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3"/>
      <c r="AT106" s="3"/>
      <c r="AU106" s="3"/>
      <c r="AV106" s="3"/>
      <c r="AW106" s="3"/>
      <c r="AX106" s="3"/>
    </row>
    <row r="107" spans="1:50"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3"/>
      <c r="AT107" s="3"/>
      <c r="AU107" s="3"/>
      <c r="AV107" s="3"/>
      <c r="AW107" s="3"/>
      <c r="AX107" s="3"/>
    </row>
    <row r="108" spans="1:50"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3"/>
      <c r="AT108" s="3"/>
      <c r="AU108" s="3"/>
      <c r="AV108" s="3"/>
      <c r="AW108" s="3"/>
      <c r="AX108" s="3"/>
    </row>
    <row r="109" spans="1:50"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3"/>
      <c r="AT109" s="3"/>
      <c r="AU109" s="3"/>
      <c r="AV109" s="3"/>
      <c r="AW109" s="3"/>
      <c r="AX109" s="3"/>
    </row>
    <row r="110" spans="1:50"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3"/>
      <c r="AT110" s="3"/>
      <c r="AU110" s="3"/>
      <c r="AV110" s="3"/>
      <c r="AW110" s="3"/>
      <c r="AX110" s="3"/>
    </row>
    <row r="111" spans="1:50"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3"/>
      <c r="AT111" s="3"/>
      <c r="AU111" s="3"/>
      <c r="AV111" s="3"/>
      <c r="AW111" s="3"/>
      <c r="AX111" s="3"/>
    </row>
    <row r="112" spans="1:50"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3"/>
      <c r="AT112" s="3"/>
      <c r="AU112" s="3"/>
      <c r="AV112" s="3"/>
      <c r="AW112" s="3"/>
      <c r="AX112" s="3"/>
    </row>
    <row r="113" spans="1:50"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3"/>
      <c r="AT113" s="3"/>
      <c r="AU113" s="3"/>
      <c r="AV113" s="3"/>
      <c r="AW113" s="3"/>
      <c r="AX113" s="3"/>
    </row>
    <row r="114" spans="1:50"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3"/>
      <c r="AT114" s="3"/>
      <c r="AU114" s="3"/>
      <c r="AV114" s="3"/>
      <c r="AW114" s="3"/>
      <c r="AX114" s="3"/>
    </row>
    <row r="115" spans="1:50"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3"/>
      <c r="AT115" s="3"/>
      <c r="AU115" s="3"/>
      <c r="AV115" s="3"/>
      <c r="AW115" s="3"/>
      <c r="AX115" s="3"/>
    </row>
    <row r="116" spans="1:50"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3"/>
      <c r="AT116" s="3"/>
      <c r="AU116" s="3"/>
      <c r="AV116" s="3"/>
      <c r="AW116" s="3"/>
      <c r="AX116" s="3"/>
    </row>
    <row r="117" spans="1:50"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3"/>
      <c r="AT117" s="3"/>
      <c r="AU117" s="3"/>
      <c r="AV117" s="3"/>
      <c r="AW117" s="3"/>
      <c r="AX117" s="3"/>
    </row>
    <row r="118" spans="1:50"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3"/>
      <c r="AT118" s="3"/>
      <c r="AU118" s="3"/>
      <c r="AV118" s="3"/>
      <c r="AW118" s="3"/>
      <c r="AX118" s="3"/>
    </row>
    <row r="119" spans="1:50"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3"/>
      <c r="AT119" s="3"/>
      <c r="AU119" s="3"/>
      <c r="AV119" s="3"/>
      <c r="AW119" s="3"/>
      <c r="AX119" s="3"/>
    </row>
    <row r="120" spans="1:50"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3"/>
      <c r="AT120" s="3"/>
      <c r="AU120" s="3"/>
      <c r="AV120" s="3"/>
      <c r="AW120" s="3"/>
      <c r="AX120" s="3"/>
    </row>
    <row r="121" spans="1:50"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3"/>
      <c r="AT121" s="3"/>
      <c r="AU121" s="3"/>
      <c r="AV121" s="3"/>
      <c r="AW121" s="3"/>
      <c r="AX121" s="3"/>
    </row>
    <row r="122" spans="1:50"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3"/>
      <c r="AT122" s="3"/>
      <c r="AU122" s="3"/>
      <c r="AV122" s="3"/>
      <c r="AW122" s="3"/>
      <c r="AX122" s="3"/>
    </row>
    <row r="123" spans="1:50"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3"/>
      <c r="AT123" s="3"/>
      <c r="AU123" s="3"/>
      <c r="AV123" s="3"/>
      <c r="AW123" s="3"/>
      <c r="AX123" s="3"/>
    </row>
    <row r="124" spans="1:50"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3"/>
      <c r="AT124" s="3"/>
      <c r="AU124" s="3"/>
      <c r="AV124" s="3"/>
      <c r="AW124" s="3"/>
      <c r="AX124" s="3"/>
    </row>
    <row r="125" spans="1:50"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3"/>
      <c r="AT125" s="3"/>
      <c r="AU125" s="3"/>
      <c r="AV125" s="3"/>
      <c r="AW125" s="3"/>
      <c r="AX125" s="3"/>
    </row>
    <row r="126" spans="1:50"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3"/>
      <c r="AT126" s="3"/>
      <c r="AU126" s="3"/>
      <c r="AV126" s="3"/>
      <c r="AW126" s="3"/>
      <c r="AX126" s="3"/>
    </row>
    <row r="127" spans="1:50"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3"/>
      <c r="AT127" s="3"/>
      <c r="AU127" s="3"/>
      <c r="AV127" s="3"/>
      <c r="AW127" s="3"/>
      <c r="AX127" s="3"/>
    </row>
    <row r="128" spans="1:50"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3"/>
      <c r="AT128" s="3"/>
      <c r="AU128" s="3"/>
      <c r="AV128" s="3"/>
      <c r="AW128" s="3"/>
      <c r="AX128" s="3"/>
    </row>
    <row r="129" spans="1:50"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3"/>
      <c r="AT129" s="3"/>
      <c r="AU129" s="3"/>
      <c r="AV129" s="3"/>
      <c r="AW129" s="3"/>
      <c r="AX129" s="3"/>
    </row>
    <row r="130" spans="1:50"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3"/>
      <c r="AT130" s="3"/>
      <c r="AU130" s="3"/>
      <c r="AV130" s="3"/>
      <c r="AW130" s="3"/>
      <c r="AX130" s="3"/>
    </row>
    <row r="131" spans="1:50"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3"/>
      <c r="AT131" s="3"/>
      <c r="AU131" s="3"/>
      <c r="AV131" s="3"/>
      <c r="AW131" s="3"/>
      <c r="AX131" s="3"/>
    </row>
    <row r="132" spans="1:50"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3"/>
      <c r="AT132" s="3"/>
      <c r="AU132" s="3"/>
      <c r="AV132" s="3"/>
      <c r="AW132" s="3"/>
      <c r="AX132" s="3"/>
    </row>
    <row r="133" spans="1:50"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3"/>
      <c r="AT133" s="3"/>
      <c r="AU133" s="3"/>
      <c r="AV133" s="3"/>
      <c r="AW133" s="3"/>
      <c r="AX133" s="3"/>
    </row>
    <row r="134" spans="1:50"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3"/>
      <c r="AT134" s="3"/>
      <c r="AU134" s="3"/>
      <c r="AV134" s="3"/>
      <c r="AW134" s="3"/>
      <c r="AX134" s="3"/>
    </row>
    <row r="135" spans="1:50"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3"/>
      <c r="AT135" s="3"/>
      <c r="AU135" s="3"/>
      <c r="AV135" s="3"/>
      <c r="AW135" s="3"/>
      <c r="AX135" s="3"/>
    </row>
    <row r="136" spans="1:50"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3"/>
      <c r="AT136" s="3"/>
      <c r="AU136" s="3"/>
      <c r="AV136" s="3"/>
      <c r="AW136" s="3"/>
      <c r="AX136" s="3"/>
    </row>
    <row r="137" spans="1:50"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3"/>
      <c r="AT137" s="3"/>
      <c r="AU137" s="3"/>
      <c r="AV137" s="3"/>
      <c r="AW137" s="3"/>
      <c r="AX137" s="3"/>
    </row>
    <row r="138" spans="1:50"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3"/>
      <c r="AT138" s="3"/>
      <c r="AU138" s="3"/>
      <c r="AV138" s="3"/>
      <c r="AW138" s="3"/>
      <c r="AX138" s="3"/>
    </row>
    <row r="139" spans="1:50"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3"/>
      <c r="AT139" s="3"/>
      <c r="AU139" s="3"/>
      <c r="AV139" s="3"/>
      <c r="AW139" s="3"/>
      <c r="AX139" s="3"/>
    </row>
    <row r="140" spans="1:50"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3"/>
      <c r="AT140" s="3"/>
      <c r="AU140" s="3"/>
      <c r="AV140" s="3"/>
      <c r="AW140" s="3"/>
      <c r="AX140" s="3"/>
    </row>
    <row r="141" spans="1:50"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3"/>
      <c r="AT141" s="3"/>
      <c r="AU141" s="3"/>
      <c r="AV141" s="3"/>
      <c r="AW141" s="3"/>
      <c r="AX141" s="3"/>
    </row>
    <row r="142" spans="1:50"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3"/>
      <c r="AT142" s="3"/>
      <c r="AU142" s="3"/>
      <c r="AV142" s="3"/>
      <c r="AW142" s="3"/>
      <c r="AX142" s="3"/>
    </row>
    <row r="143" spans="1:50"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3"/>
      <c r="AT143" s="3"/>
      <c r="AU143" s="3"/>
      <c r="AV143" s="3"/>
      <c r="AW143" s="3"/>
      <c r="AX143" s="3"/>
    </row>
    <row r="144" spans="1:50"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3"/>
      <c r="AT144" s="3"/>
      <c r="AU144" s="3"/>
      <c r="AV144" s="3"/>
      <c r="AW144" s="3"/>
      <c r="AX144" s="3"/>
    </row>
    <row r="145" spans="1:50"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3"/>
      <c r="AT145" s="3"/>
      <c r="AU145" s="3"/>
      <c r="AV145" s="3"/>
      <c r="AW145" s="3"/>
      <c r="AX145" s="3"/>
    </row>
    <row r="146" spans="1:50"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3"/>
      <c r="AT146" s="3"/>
      <c r="AU146" s="3"/>
      <c r="AV146" s="3"/>
      <c r="AW146" s="3"/>
      <c r="AX146" s="3"/>
    </row>
    <row r="147" spans="1:50"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3"/>
      <c r="AT147" s="3"/>
      <c r="AU147" s="3"/>
      <c r="AV147" s="3"/>
      <c r="AW147" s="3"/>
      <c r="AX147" s="3"/>
    </row>
    <row r="148" spans="1:50"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3"/>
      <c r="AT148" s="3"/>
      <c r="AU148" s="3"/>
      <c r="AV148" s="3"/>
      <c r="AW148" s="3"/>
      <c r="AX148" s="3"/>
    </row>
    <row r="149" spans="1:50"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3"/>
      <c r="AT149" s="3"/>
      <c r="AU149" s="3"/>
      <c r="AV149" s="3"/>
      <c r="AW149" s="3"/>
      <c r="AX149" s="3"/>
    </row>
    <row r="150" spans="1:50"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3"/>
      <c r="AT150" s="3"/>
      <c r="AU150" s="3"/>
      <c r="AV150" s="3"/>
      <c r="AW150" s="3"/>
      <c r="AX150" s="3"/>
    </row>
    <row r="151" spans="1:50"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3"/>
      <c r="AT151" s="3"/>
      <c r="AU151" s="3"/>
      <c r="AV151" s="3"/>
      <c r="AW151" s="3"/>
      <c r="AX151" s="3"/>
    </row>
    <row r="152" spans="1:50"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3"/>
      <c r="AT152" s="3"/>
      <c r="AU152" s="3"/>
      <c r="AV152" s="3"/>
      <c r="AW152" s="3"/>
      <c r="AX152" s="3"/>
    </row>
    <row r="153" spans="1:50"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3"/>
      <c r="AT153" s="3"/>
      <c r="AU153" s="3"/>
      <c r="AV153" s="3"/>
      <c r="AW153" s="3"/>
      <c r="AX153" s="3"/>
    </row>
    <row r="154" spans="1:50"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3"/>
      <c r="AT154" s="3"/>
      <c r="AU154" s="3"/>
      <c r="AV154" s="3"/>
      <c r="AW154" s="3"/>
      <c r="AX154" s="3"/>
    </row>
    <row r="155" spans="1:50"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3"/>
      <c r="AT155" s="3"/>
      <c r="AU155" s="3"/>
      <c r="AV155" s="3"/>
      <c r="AW155" s="3"/>
      <c r="AX155" s="3"/>
    </row>
    <row r="156" spans="1:50"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3"/>
      <c r="AT156" s="3"/>
      <c r="AU156" s="3"/>
      <c r="AV156" s="3"/>
      <c r="AW156" s="3"/>
      <c r="AX156" s="3"/>
    </row>
    <row r="157" spans="1:50"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3"/>
      <c r="AT157" s="3"/>
      <c r="AU157" s="3"/>
      <c r="AV157" s="3"/>
      <c r="AW157" s="3"/>
      <c r="AX157" s="3"/>
    </row>
    <row r="158" spans="1:50"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3"/>
      <c r="AT158" s="3"/>
      <c r="AU158" s="3"/>
      <c r="AV158" s="3"/>
      <c r="AW158" s="3"/>
      <c r="AX158" s="3"/>
    </row>
    <row r="159" spans="1:50"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3"/>
      <c r="AT159" s="3"/>
      <c r="AU159" s="3"/>
      <c r="AV159" s="3"/>
      <c r="AW159" s="3"/>
      <c r="AX159" s="3"/>
    </row>
    <row r="160" spans="1:50"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3"/>
      <c r="AT160" s="3"/>
      <c r="AU160" s="3"/>
      <c r="AV160" s="3"/>
      <c r="AW160" s="3"/>
      <c r="AX160" s="3"/>
    </row>
    <row r="161" spans="1:50"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
      <c r="AT161" s="3"/>
      <c r="AU161" s="3"/>
      <c r="AV161" s="3"/>
      <c r="AW161" s="3"/>
      <c r="AX161" s="3"/>
    </row>
    <row r="162" spans="1:50"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3"/>
      <c r="AT162" s="3"/>
      <c r="AU162" s="3"/>
      <c r="AV162" s="3"/>
      <c r="AW162" s="3"/>
      <c r="AX162" s="3"/>
    </row>
    <row r="163" spans="1:50"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3"/>
      <c r="AT163" s="3"/>
      <c r="AU163" s="3"/>
      <c r="AV163" s="3"/>
      <c r="AW163" s="3"/>
      <c r="AX163" s="3"/>
    </row>
    <row r="164" spans="1:50"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3"/>
      <c r="AT164" s="3"/>
      <c r="AU164" s="3"/>
      <c r="AV164" s="3"/>
      <c r="AW164" s="3"/>
      <c r="AX164" s="3"/>
    </row>
    <row r="165" spans="1:50"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3"/>
      <c r="AT165" s="3"/>
      <c r="AU165" s="3"/>
      <c r="AV165" s="3"/>
      <c r="AW165" s="3"/>
      <c r="AX165" s="3"/>
    </row>
    <row r="166" spans="1:50"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3"/>
      <c r="AT166" s="3"/>
      <c r="AU166" s="3"/>
      <c r="AV166" s="3"/>
      <c r="AW166" s="3"/>
      <c r="AX166" s="3"/>
    </row>
    <row r="167" spans="1:50"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3"/>
      <c r="AT167" s="3"/>
      <c r="AU167" s="3"/>
      <c r="AV167" s="3"/>
      <c r="AW167" s="3"/>
      <c r="AX167" s="3"/>
    </row>
    <row r="168" spans="1:50"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3"/>
      <c r="AT168" s="3"/>
      <c r="AU168" s="3"/>
      <c r="AV168" s="3"/>
      <c r="AW168" s="3"/>
      <c r="AX168" s="3"/>
    </row>
    <row r="169" spans="1:50"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3"/>
      <c r="AT169" s="3"/>
      <c r="AU169" s="3"/>
      <c r="AV169" s="3"/>
      <c r="AW169" s="3"/>
      <c r="AX169" s="3"/>
    </row>
    <row r="170" spans="1:50"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3"/>
      <c r="AT170" s="3"/>
      <c r="AU170" s="3"/>
      <c r="AV170" s="3"/>
      <c r="AW170" s="3"/>
      <c r="AX170" s="3"/>
    </row>
    <row r="171" spans="1:50"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3"/>
      <c r="AT171" s="3"/>
      <c r="AU171" s="3"/>
      <c r="AV171" s="3"/>
      <c r="AW171" s="3"/>
      <c r="AX171" s="3"/>
    </row>
    <row r="172" spans="1:50"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3"/>
      <c r="AT172" s="3"/>
      <c r="AU172" s="3"/>
      <c r="AV172" s="3"/>
      <c r="AW172" s="3"/>
      <c r="AX172" s="3"/>
    </row>
    <row r="173" spans="1:50"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3"/>
      <c r="AT173" s="3"/>
      <c r="AU173" s="3"/>
      <c r="AV173" s="3"/>
      <c r="AW173" s="3"/>
      <c r="AX173" s="3"/>
    </row>
    <row r="174" spans="1:50"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3"/>
      <c r="AT174" s="3"/>
      <c r="AU174" s="3"/>
      <c r="AV174" s="3"/>
      <c r="AW174" s="3"/>
      <c r="AX174" s="3"/>
    </row>
    <row r="175" spans="1:50"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3"/>
      <c r="AT175" s="3"/>
      <c r="AU175" s="3"/>
      <c r="AV175" s="3"/>
      <c r="AW175" s="3"/>
      <c r="AX175" s="3"/>
    </row>
    <row r="176" spans="1:50"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3"/>
      <c r="AT176" s="3"/>
      <c r="AU176" s="3"/>
      <c r="AV176" s="3"/>
      <c r="AW176" s="3"/>
      <c r="AX176" s="3"/>
    </row>
    <row r="177" spans="1:50"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3"/>
      <c r="AT177" s="3"/>
      <c r="AU177" s="3"/>
      <c r="AV177" s="3"/>
      <c r="AW177" s="3"/>
      <c r="AX177" s="3"/>
    </row>
    <row r="178" spans="1:50"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3"/>
      <c r="AT178" s="3"/>
      <c r="AU178" s="3"/>
      <c r="AV178" s="3"/>
      <c r="AW178" s="3"/>
      <c r="AX178" s="3"/>
    </row>
    <row r="179" spans="1:50"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3"/>
      <c r="AT179" s="3"/>
      <c r="AU179" s="3"/>
      <c r="AV179" s="3"/>
      <c r="AW179" s="3"/>
      <c r="AX179" s="3"/>
    </row>
    <row r="180" spans="1:50"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3"/>
      <c r="AT180" s="3"/>
      <c r="AU180" s="3"/>
      <c r="AV180" s="3"/>
      <c r="AW180" s="3"/>
      <c r="AX180" s="3"/>
    </row>
    <row r="181" spans="1:50"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3"/>
      <c r="AT181" s="3"/>
      <c r="AU181" s="3"/>
      <c r="AV181" s="3"/>
      <c r="AW181" s="3"/>
      <c r="AX181" s="3"/>
    </row>
    <row r="182" spans="1:50"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3"/>
      <c r="AT182" s="3"/>
      <c r="AU182" s="3"/>
      <c r="AV182" s="3"/>
      <c r="AW182" s="3"/>
      <c r="AX182" s="3"/>
    </row>
    <row r="183" spans="1:50"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3"/>
      <c r="AT183" s="3"/>
      <c r="AU183" s="3"/>
      <c r="AV183" s="3"/>
      <c r="AW183" s="3"/>
      <c r="AX183" s="3"/>
    </row>
    <row r="184" spans="1:50"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3"/>
      <c r="AT184" s="3"/>
      <c r="AU184" s="3"/>
      <c r="AV184" s="3"/>
      <c r="AW184" s="3"/>
      <c r="AX184" s="3"/>
    </row>
    <row r="185" spans="1:50"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3"/>
      <c r="AT185" s="3"/>
      <c r="AU185" s="3"/>
      <c r="AV185" s="3"/>
      <c r="AW185" s="3"/>
      <c r="AX185" s="3"/>
    </row>
    <row r="186" spans="1:50"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3"/>
      <c r="AT186" s="3"/>
      <c r="AU186" s="3"/>
      <c r="AV186" s="3"/>
      <c r="AW186" s="3"/>
      <c r="AX186" s="3"/>
    </row>
    <row r="187" spans="1:50"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3"/>
      <c r="AT187" s="3"/>
      <c r="AU187" s="3"/>
      <c r="AV187" s="3"/>
      <c r="AW187" s="3"/>
      <c r="AX187" s="3"/>
    </row>
    <row r="188" spans="1:50"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3"/>
      <c r="AT188" s="3"/>
      <c r="AU188" s="3"/>
      <c r="AV188" s="3"/>
      <c r="AW188" s="3"/>
      <c r="AX188" s="3"/>
    </row>
    <row r="189" spans="1:50"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3"/>
      <c r="AT189" s="3"/>
      <c r="AU189" s="3"/>
      <c r="AV189" s="3"/>
      <c r="AW189" s="3"/>
      <c r="AX189" s="3"/>
    </row>
    <row r="190" spans="1:50"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3"/>
      <c r="AT190" s="3"/>
      <c r="AU190" s="3"/>
      <c r="AV190" s="3"/>
      <c r="AW190" s="3"/>
      <c r="AX190" s="3"/>
    </row>
    <row r="191" spans="1:50"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3"/>
      <c r="AT191" s="3"/>
      <c r="AU191" s="3"/>
      <c r="AV191" s="3"/>
      <c r="AW191" s="3"/>
      <c r="AX191" s="3"/>
    </row>
    <row r="192" spans="1:50"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c r="AS192" s="3"/>
      <c r="AT192" s="3"/>
      <c r="AU192" s="3"/>
      <c r="AV192" s="3"/>
      <c r="AW192" s="3"/>
      <c r="AX192" s="3"/>
    </row>
    <row r="193" spans="1:50"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c r="AS193" s="3"/>
      <c r="AT193" s="3"/>
      <c r="AU193" s="3"/>
      <c r="AV193" s="3"/>
      <c r="AW193" s="3"/>
      <c r="AX193" s="3"/>
    </row>
    <row r="194" spans="1:50"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c r="AS194" s="3"/>
      <c r="AT194" s="3"/>
      <c r="AU194" s="3"/>
      <c r="AV194" s="3"/>
      <c r="AW194" s="3"/>
      <c r="AX194" s="3"/>
    </row>
    <row r="195" spans="1:50"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c r="AS195" s="3"/>
      <c r="AT195" s="3"/>
      <c r="AU195" s="3"/>
      <c r="AV195" s="3"/>
      <c r="AW195" s="3"/>
      <c r="AX195" s="3"/>
    </row>
    <row r="196" spans="1:50"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c r="AS196" s="3"/>
      <c r="AT196" s="3"/>
      <c r="AU196" s="3"/>
      <c r="AV196" s="3"/>
      <c r="AW196" s="3"/>
      <c r="AX196" s="3"/>
    </row>
    <row r="197" spans="1:50"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c r="AS197" s="3"/>
      <c r="AT197" s="3"/>
      <c r="AU197" s="3"/>
      <c r="AV197" s="3"/>
      <c r="AW197" s="3"/>
      <c r="AX197" s="3"/>
    </row>
    <row r="198" spans="1:50"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c r="AS198" s="3"/>
      <c r="AT198" s="3"/>
      <c r="AU198" s="3"/>
      <c r="AV198" s="3"/>
      <c r="AW198" s="3"/>
      <c r="AX198" s="3"/>
    </row>
    <row r="199" spans="1:50"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c r="AS199" s="3"/>
      <c r="AT199" s="3"/>
      <c r="AU199" s="3"/>
      <c r="AV199" s="3"/>
      <c r="AW199" s="3"/>
      <c r="AX199" s="3"/>
    </row>
    <row r="200" spans="1:50"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c r="AS200" s="3"/>
      <c r="AT200" s="3"/>
      <c r="AU200" s="3"/>
      <c r="AV200" s="3"/>
      <c r="AW200" s="3"/>
      <c r="AX200" s="3"/>
    </row>
    <row r="201" spans="1:50"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c r="AS201" s="3"/>
      <c r="AT201" s="3"/>
      <c r="AU201" s="3"/>
      <c r="AV201" s="3"/>
      <c r="AW201" s="3"/>
      <c r="AX201" s="3"/>
    </row>
    <row r="202" spans="1:50"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c r="AS202" s="3"/>
      <c r="AT202" s="3"/>
      <c r="AU202" s="3"/>
      <c r="AV202" s="3"/>
      <c r="AW202" s="3"/>
      <c r="AX202" s="3"/>
    </row>
    <row r="203" spans="1:50"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c r="AS203" s="3"/>
      <c r="AT203" s="3"/>
      <c r="AU203" s="3"/>
      <c r="AV203" s="3"/>
      <c r="AW203" s="3"/>
      <c r="AX203" s="3"/>
    </row>
    <row r="204" spans="1:50"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c r="AS204" s="3"/>
      <c r="AT204" s="3"/>
      <c r="AU204" s="3"/>
      <c r="AV204" s="3"/>
      <c r="AW204" s="3"/>
      <c r="AX204" s="3"/>
    </row>
    <row r="205" spans="1:50"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c r="AS205" s="3"/>
      <c r="AT205" s="3"/>
      <c r="AU205" s="3"/>
      <c r="AV205" s="3"/>
      <c r="AW205" s="3"/>
      <c r="AX205" s="3"/>
    </row>
    <row r="206" spans="1:50"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c r="AS206" s="3"/>
      <c r="AT206" s="3"/>
      <c r="AU206" s="3"/>
      <c r="AV206" s="3"/>
      <c r="AW206" s="3"/>
      <c r="AX206" s="3"/>
    </row>
    <row r="207" spans="1:50"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c r="AS207" s="3"/>
      <c r="AT207" s="3"/>
      <c r="AU207" s="3"/>
      <c r="AV207" s="3"/>
      <c r="AW207" s="3"/>
      <c r="AX207" s="3"/>
    </row>
    <row r="208" spans="1:50"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c r="AS208" s="3"/>
      <c r="AT208" s="3"/>
      <c r="AU208" s="3"/>
      <c r="AV208" s="3"/>
      <c r="AW208" s="3"/>
      <c r="AX208" s="3"/>
    </row>
    <row r="209" spans="1:50"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c r="AS209" s="3"/>
      <c r="AT209" s="3"/>
      <c r="AU209" s="3"/>
      <c r="AV209" s="3"/>
      <c r="AW209" s="3"/>
      <c r="AX209" s="3"/>
    </row>
    <row r="210" spans="1:50"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c r="AS210" s="3"/>
      <c r="AT210" s="3"/>
      <c r="AU210" s="3"/>
      <c r="AV210" s="3"/>
      <c r="AW210" s="3"/>
      <c r="AX210" s="3"/>
    </row>
    <row r="211" spans="1:50"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c r="AS211" s="3"/>
      <c r="AT211" s="3"/>
      <c r="AU211" s="3"/>
      <c r="AV211" s="3"/>
      <c r="AW211" s="3"/>
      <c r="AX211" s="3"/>
    </row>
    <row r="212" spans="1:50"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c r="AS212" s="3"/>
      <c r="AT212" s="3"/>
      <c r="AU212" s="3"/>
      <c r="AV212" s="3"/>
      <c r="AW212" s="3"/>
      <c r="AX212" s="3"/>
    </row>
    <row r="213" spans="1:50"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c r="AS213" s="3"/>
      <c r="AT213" s="3"/>
      <c r="AU213" s="3"/>
      <c r="AV213" s="3"/>
      <c r="AW213" s="3"/>
      <c r="AX213" s="3"/>
    </row>
    <row r="214" spans="1:50"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c r="AS214" s="3"/>
      <c r="AT214" s="3"/>
      <c r="AU214" s="3"/>
      <c r="AV214" s="3"/>
      <c r="AW214" s="3"/>
      <c r="AX214" s="3"/>
    </row>
    <row r="215" spans="1:50"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c r="AS215" s="3"/>
      <c r="AT215" s="3"/>
      <c r="AU215" s="3"/>
      <c r="AV215" s="3"/>
      <c r="AW215" s="3"/>
      <c r="AX215" s="3"/>
    </row>
    <row r="216" spans="1:50"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c r="AS216" s="3"/>
      <c r="AT216" s="3"/>
      <c r="AU216" s="3"/>
      <c r="AV216" s="3"/>
      <c r="AW216" s="3"/>
      <c r="AX216" s="3"/>
    </row>
    <row r="217" spans="1:50"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c r="AS217" s="3"/>
      <c r="AT217" s="3"/>
      <c r="AU217" s="3"/>
      <c r="AV217" s="3"/>
      <c r="AW217" s="3"/>
      <c r="AX217" s="3"/>
    </row>
    <row r="218" spans="1:50"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c r="AS218" s="3"/>
      <c r="AT218" s="3"/>
      <c r="AU218" s="3"/>
      <c r="AV218" s="3"/>
      <c r="AW218" s="3"/>
      <c r="AX218" s="3"/>
    </row>
    <row r="219" spans="1:50"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c r="AS219" s="3"/>
      <c r="AT219" s="3"/>
      <c r="AU219" s="3"/>
      <c r="AV219" s="3"/>
      <c r="AW219" s="3"/>
      <c r="AX219" s="3"/>
    </row>
    <row r="220" spans="1:50"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c r="AS220" s="3"/>
      <c r="AT220" s="3"/>
      <c r="AU220" s="3"/>
      <c r="AV220" s="3"/>
      <c r="AW220" s="3"/>
      <c r="AX220" s="3"/>
    </row>
    <row r="221" spans="1:50"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c r="AS221" s="3"/>
      <c r="AT221" s="3"/>
      <c r="AU221" s="3"/>
      <c r="AV221" s="3"/>
      <c r="AW221" s="3"/>
      <c r="AX221" s="3"/>
    </row>
    <row r="222" spans="1:50"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c r="AS222" s="3"/>
      <c r="AT222" s="3"/>
      <c r="AU222" s="3"/>
      <c r="AV222" s="3"/>
      <c r="AW222" s="3"/>
      <c r="AX222" s="3"/>
    </row>
    <row r="223" spans="1:50"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c r="AS223" s="3"/>
      <c r="AT223" s="3"/>
      <c r="AU223" s="3"/>
      <c r="AV223" s="3"/>
      <c r="AW223" s="3"/>
      <c r="AX223" s="3"/>
    </row>
    <row r="224" spans="1:50"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c r="AS224" s="3"/>
      <c r="AT224" s="3"/>
      <c r="AU224" s="3"/>
      <c r="AV224" s="3"/>
      <c r="AW224" s="3"/>
      <c r="AX224" s="3"/>
    </row>
    <row r="225" spans="1:50"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c r="AS225" s="3"/>
      <c r="AT225" s="3"/>
      <c r="AU225" s="3"/>
      <c r="AV225" s="3"/>
      <c r="AW225" s="3"/>
      <c r="AX225" s="3"/>
    </row>
    <row r="226" spans="1:50"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c r="AS226" s="3"/>
      <c r="AT226" s="3"/>
      <c r="AU226" s="3"/>
      <c r="AV226" s="3"/>
      <c r="AW226" s="3"/>
      <c r="AX226" s="3"/>
    </row>
    <row r="227" spans="1:50"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c r="AS227" s="3"/>
      <c r="AT227" s="3"/>
      <c r="AU227" s="3"/>
      <c r="AV227" s="3"/>
      <c r="AW227" s="3"/>
      <c r="AX227" s="3"/>
    </row>
    <row r="228" spans="1:50"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c r="AS228" s="3"/>
      <c r="AT228" s="3"/>
      <c r="AU228" s="3"/>
      <c r="AV228" s="3"/>
      <c r="AW228" s="3"/>
      <c r="AX228" s="3"/>
    </row>
    <row r="229" spans="1:50"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c r="AS229" s="3"/>
      <c r="AT229" s="3"/>
      <c r="AU229" s="3"/>
      <c r="AV229" s="3"/>
      <c r="AW229" s="3"/>
      <c r="AX229" s="3"/>
    </row>
    <row r="230" spans="1:50"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c r="AS230" s="3"/>
      <c r="AT230" s="3"/>
      <c r="AU230" s="3"/>
      <c r="AV230" s="3"/>
      <c r="AW230" s="3"/>
      <c r="AX230" s="3"/>
    </row>
    <row r="231" spans="1:50"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c r="AS231" s="3"/>
      <c r="AT231" s="3"/>
      <c r="AU231" s="3"/>
      <c r="AV231" s="3"/>
      <c r="AW231" s="3"/>
      <c r="AX231" s="3"/>
    </row>
    <row r="232" spans="1:50"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c r="AS232" s="3"/>
      <c r="AT232" s="3"/>
      <c r="AU232" s="3"/>
      <c r="AV232" s="3"/>
      <c r="AW232" s="3"/>
      <c r="AX232" s="3"/>
    </row>
    <row r="233" spans="1:50"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c r="AS233" s="3"/>
      <c r="AT233" s="3"/>
      <c r="AU233" s="3"/>
      <c r="AV233" s="3"/>
      <c r="AW233" s="3"/>
      <c r="AX233" s="3"/>
    </row>
    <row r="234" spans="1:50"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c r="AS234" s="3"/>
      <c r="AT234" s="3"/>
      <c r="AU234" s="3"/>
      <c r="AV234" s="3"/>
      <c r="AW234" s="3"/>
      <c r="AX234" s="3"/>
    </row>
    <row r="235" spans="1:50"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c r="AS235" s="3"/>
      <c r="AT235" s="3"/>
      <c r="AU235" s="3"/>
      <c r="AV235" s="3"/>
      <c r="AW235" s="3"/>
      <c r="AX235" s="3"/>
    </row>
    <row r="236" spans="1:50"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c r="AS236" s="3"/>
      <c r="AT236" s="3"/>
      <c r="AU236" s="3"/>
      <c r="AV236" s="3"/>
      <c r="AW236" s="3"/>
      <c r="AX236" s="3"/>
    </row>
    <row r="237" spans="1:50"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c r="AS237" s="3"/>
      <c r="AT237" s="3"/>
      <c r="AU237" s="3"/>
      <c r="AV237" s="3"/>
      <c r="AW237" s="3"/>
      <c r="AX237" s="3"/>
    </row>
    <row r="238" spans="1:50"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c r="AS238" s="3"/>
      <c r="AT238" s="3"/>
      <c r="AU238" s="3"/>
      <c r="AV238" s="3"/>
      <c r="AW238" s="3"/>
      <c r="AX238" s="3"/>
    </row>
    <row r="239" spans="1:50"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c r="AS239" s="3"/>
      <c r="AT239" s="3"/>
      <c r="AU239" s="3"/>
      <c r="AV239" s="3"/>
      <c r="AW239" s="3"/>
      <c r="AX239" s="3"/>
    </row>
    <row r="240" spans="1:50"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c r="AS240" s="3"/>
      <c r="AT240" s="3"/>
      <c r="AU240" s="3"/>
      <c r="AV240" s="3"/>
      <c r="AW240" s="3"/>
      <c r="AX240" s="3"/>
    </row>
    <row r="241" spans="1:50"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c r="AS241" s="3"/>
      <c r="AT241" s="3"/>
      <c r="AU241" s="3"/>
      <c r="AV241" s="3"/>
      <c r="AW241" s="3"/>
      <c r="AX241" s="3"/>
    </row>
    <row r="242" spans="1:50"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c r="AS242" s="3"/>
      <c r="AT242" s="3"/>
      <c r="AU242" s="3"/>
      <c r="AV242" s="3"/>
      <c r="AW242" s="3"/>
      <c r="AX242" s="3"/>
    </row>
    <row r="243" spans="1:50"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c r="AS243" s="3"/>
      <c r="AT243" s="3"/>
      <c r="AU243" s="3"/>
      <c r="AV243" s="3"/>
      <c r="AW243" s="3"/>
      <c r="AX243" s="3"/>
    </row>
    <row r="244" spans="1:50"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c r="AS244" s="3"/>
      <c r="AT244" s="3"/>
      <c r="AU244" s="3"/>
      <c r="AV244" s="3"/>
      <c r="AW244" s="3"/>
      <c r="AX244" s="3"/>
    </row>
    <row r="245" spans="1:50"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c r="AS245" s="3"/>
      <c r="AT245" s="3"/>
      <c r="AU245" s="3"/>
      <c r="AV245" s="3"/>
      <c r="AW245" s="3"/>
      <c r="AX245" s="3"/>
    </row>
    <row r="246" spans="1:50"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c r="AS246" s="3"/>
      <c r="AT246" s="3"/>
      <c r="AU246" s="3"/>
      <c r="AV246" s="3"/>
      <c r="AW246" s="3"/>
      <c r="AX246" s="3"/>
    </row>
    <row r="247" spans="1:50"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c r="AS247" s="3"/>
      <c r="AT247" s="3"/>
      <c r="AU247" s="3"/>
      <c r="AV247" s="3"/>
      <c r="AW247" s="3"/>
      <c r="AX247" s="3"/>
    </row>
    <row r="248" spans="1:50"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c r="AS248" s="3"/>
      <c r="AT248" s="3"/>
      <c r="AU248" s="3"/>
      <c r="AV248" s="3"/>
      <c r="AW248" s="3"/>
      <c r="AX248" s="3"/>
    </row>
    <row r="249" spans="1:50"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c r="AS249" s="3"/>
      <c r="AT249" s="3"/>
      <c r="AU249" s="3"/>
      <c r="AV249" s="3"/>
      <c r="AW249" s="3"/>
      <c r="AX249" s="3"/>
    </row>
    <row r="250" spans="1:50"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c r="AS250" s="3"/>
      <c r="AT250" s="3"/>
      <c r="AU250" s="3"/>
      <c r="AV250" s="3"/>
      <c r="AW250" s="3"/>
      <c r="AX250" s="3"/>
    </row>
    <row r="251" spans="1:50"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c r="AS251" s="3"/>
      <c r="AT251" s="3"/>
      <c r="AU251" s="3"/>
      <c r="AV251" s="3"/>
      <c r="AW251" s="3"/>
      <c r="AX251" s="3"/>
    </row>
    <row r="252" spans="1:50"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c r="AS252" s="3"/>
      <c r="AT252" s="3"/>
      <c r="AU252" s="3"/>
      <c r="AV252" s="3"/>
      <c r="AW252" s="3"/>
      <c r="AX252" s="3"/>
    </row>
    <row r="253" spans="1:50"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c r="AS253" s="3"/>
      <c r="AT253" s="3"/>
      <c r="AU253" s="3"/>
      <c r="AV253" s="3"/>
      <c r="AW253" s="3"/>
      <c r="AX253" s="3"/>
    </row>
    <row r="254" spans="1:50"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c r="AS254" s="3"/>
      <c r="AT254" s="3"/>
      <c r="AU254" s="3"/>
      <c r="AV254" s="3"/>
      <c r="AW254" s="3"/>
      <c r="AX254" s="3"/>
    </row>
    <row r="255" spans="1:50"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c r="AS255" s="3"/>
      <c r="AT255" s="3"/>
      <c r="AU255" s="3"/>
      <c r="AV255" s="3"/>
      <c r="AW255" s="3"/>
      <c r="AX255" s="3"/>
    </row>
    <row r="256" spans="1:50"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c r="AS256" s="3"/>
      <c r="AT256" s="3"/>
      <c r="AU256" s="3"/>
      <c r="AV256" s="3"/>
      <c r="AW256" s="3"/>
      <c r="AX256" s="3"/>
    </row>
    <row r="257" spans="1:50"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c r="AS257" s="3"/>
      <c r="AT257" s="3"/>
      <c r="AU257" s="3"/>
      <c r="AV257" s="3"/>
      <c r="AW257" s="3"/>
      <c r="AX257" s="3"/>
    </row>
    <row r="258" spans="1:50"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c r="AS258" s="3"/>
      <c r="AT258" s="3"/>
      <c r="AU258" s="3"/>
      <c r="AV258" s="3"/>
      <c r="AW258" s="3"/>
      <c r="AX258" s="3"/>
    </row>
    <row r="259" spans="1:50"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c r="AS259" s="3"/>
      <c r="AT259" s="3"/>
      <c r="AU259" s="3"/>
      <c r="AV259" s="3"/>
      <c r="AW259" s="3"/>
      <c r="AX259" s="3"/>
    </row>
    <row r="260" spans="1:50"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c r="AS260" s="3"/>
      <c r="AT260" s="3"/>
      <c r="AU260" s="3"/>
      <c r="AV260" s="3"/>
      <c r="AW260" s="3"/>
      <c r="AX260" s="3"/>
    </row>
    <row r="261" spans="1:50"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c r="AS261" s="3"/>
      <c r="AT261" s="3"/>
      <c r="AU261" s="3"/>
      <c r="AV261" s="3"/>
      <c r="AW261" s="3"/>
      <c r="AX261" s="3"/>
    </row>
    <row r="262" spans="1:50"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c r="AS262" s="3"/>
      <c r="AT262" s="3"/>
      <c r="AU262" s="3"/>
      <c r="AV262" s="3"/>
      <c r="AW262" s="3"/>
      <c r="AX262" s="3"/>
    </row>
    <row r="263" spans="1:50"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c r="AS263" s="3"/>
      <c r="AT263" s="3"/>
      <c r="AU263" s="3"/>
      <c r="AV263" s="3"/>
      <c r="AW263" s="3"/>
      <c r="AX263" s="3"/>
    </row>
    <row r="264" spans="1:50"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c r="AS264" s="3"/>
      <c r="AT264" s="3"/>
      <c r="AU264" s="3"/>
      <c r="AV264" s="3"/>
      <c r="AW264" s="3"/>
      <c r="AX264" s="3"/>
    </row>
    <row r="265" spans="1:50"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c r="AS265" s="3"/>
      <c r="AT265" s="3"/>
      <c r="AU265" s="3"/>
      <c r="AV265" s="3"/>
      <c r="AW265" s="3"/>
      <c r="AX265" s="3"/>
    </row>
    <row r="266" spans="1:50"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c r="AS266" s="3"/>
      <c r="AT266" s="3"/>
      <c r="AU266" s="3"/>
      <c r="AV266" s="3"/>
      <c r="AW266" s="3"/>
      <c r="AX266" s="3"/>
    </row>
    <row r="267" spans="1:50"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c r="AS267" s="3"/>
      <c r="AT267" s="3"/>
      <c r="AU267" s="3"/>
      <c r="AV267" s="3"/>
      <c r="AW267" s="3"/>
      <c r="AX267" s="3"/>
    </row>
    <row r="268" spans="1:50"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c r="AS268" s="3"/>
      <c r="AT268" s="3"/>
      <c r="AU268" s="3"/>
      <c r="AV268" s="3"/>
      <c r="AW268" s="3"/>
      <c r="AX268" s="3"/>
    </row>
    <row r="269" spans="1:50"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c r="AS269" s="3"/>
      <c r="AT269" s="3"/>
      <c r="AU269" s="3"/>
      <c r="AV269" s="3"/>
      <c r="AW269" s="3"/>
      <c r="AX269" s="3"/>
    </row>
    <row r="270" spans="1:50"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c r="AS270" s="3"/>
      <c r="AT270" s="3"/>
      <c r="AU270" s="3"/>
      <c r="AV270" s="3"/>
      <c r="AW270" s="3"/>
      <c r="AX270" s="3"/>
    </row>
    <row r="271" spans="1:50"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c r="AS271" s="3"/>
      <c r="AT271" s="3"/>
      <c r="AU271" s="3"/>
      <c r="AV271" s="3"/>
      <c r="AW271" s="3"/>
      <c r="AX271" s="3"/>
    </row>
    <row r="272" spans="1:50"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c r="AS272" s="3"/>
      <c r="AT272" s="3"/>
      <c r="AU272" s="3"/>
      <c r="AV272" s="3"/>
      <c r="AW272" s="3"/>
      <c r="AX272" s="3"/>
    </row>
    <row r="273" spans="1:50"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c r="AS273" s="3"/>
      <c r="AT273" s="3"/>
      <c r="AU273" s="3"/>
      <c r="AV273" s="3"/>
      <c r="AW273" s="3"/>
      <c r="AX273" s="3"/>
    </row>
    <row r="274" spans="1:50"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c r="AS274" s="3"/>
      <c r="AT274" s="3"/>
      <c r="AU274" s="3"/>
      <c r="AV274" s="3"/>
      <c r="AW274" s="3"/>
      <c r="AX274" s="3"/>
    </row>
    <row r="275" spans="1:50"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c r="AS275" s="3"/>
      <c r="AT275" s="3"/>
      <c r="AU275" s="3"/>
      <c r="AV275" s="3"/>
      <c r="AW275" s="3"/>
      <c r="AX275" s="3"/>
    </row>
    <row r="276" spans="1:50"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3"/>
      <c r="AS276" s="3"/>
      <c r="AT276" s="3"/>
      <c r="AU276" s="3"/>
      <c r="AV276" s="3"/>
      <c r="AW276" s="3"/>
      <c r="AX276" s="3"/>
    </row>
    <row r="277" spans="1:50"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3"/>
      <c r="AS277" s="3"/>
      <c r="AT277" s="3"/>
      <c r="AU277" s="3"/>
      <c r="AV277" s="3"/>
      <c r="AW277" s="3"/>
      <c r="AX277" s="3"/>
    </row>
    <row r="278" spans="1:50"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3"/>
      <c r="AS278" s="3"/>
      <c r="AT278" s="3"/>
      <c r="AU278" s="3"/>
      <c r="AV278" s="3"/>
      <c r="AW278" s="3"/>
      <c r="AX278" s="3"/>
    </row>
    <row r="279" spans="1:50"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3"/>
      <c r="AS279" s="3"/>
      <c r="AT279" s="3"/>
      <c r="AU279" s="3"/>
      <c r="AV279" s="3"/>
      <c r="AW279" s="3"/>
      <c r="AX279" s="3"/>
    </row>
    <row r="280" spans="1:50"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3"/>
      <c r="AS280" s="3"/>
      <c r="AT280" s="3"/>
      <c r="AU280" s="3"/>
      <c r="AV280" s="3"/>
      <c r="AW280" s="3"/>
      <c r="AX280" s="3"/>
    </row>
    <row r="281" spans="1:50"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3"/>
      <c r="AS281" s="3"/>
      <c r="AT281" s="3"/>
      <c r="AU281" s="3"/>
      <c r="AV281" s="3"/>
      <c r="AW281" s="3"/>
      <c r="AX281" s="3"/>
    </row>
    <row r="282" spans="1:50"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3"/>
      <c r="AS282" s="3"/>
      <c r="AT282" s="3"/>
      <c r="AU282" s="3"/>
      <c r="AV282" s="3"/>
      <c r="AW282" s="3"/>
      <c r="AX282" s="3"/>
    </row>
    <row r="283" spans="1:50"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3"/>
      <c r="AS283" s="3"/>
      <c r="AT283" s="3"/>
      <c r="AU283" s="3"/>
      <c r="AV283" s="3"/>
      <c r="AW283" s="3"/>
      <c r="AX283" s="3"/>
    </row>
    <row r="284" spans="1:50"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spans="1:50"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spans="1:50"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spans="1:50"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spans="1:50"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spans="1:5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spans="1:50"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spans="1:50"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spans="1:50"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spans="1:50"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spans="1:50"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spans="1:50"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spans="1:50"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spans="1:50"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spans="1:50"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spans="1: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spans="1:50"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spans="1:50"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spans="1:50"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spans="1:50"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spans="1:50"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spans="1:50"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spans="1:50"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spans="1:50"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spans="1:50"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spans="1:5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spans="1:50"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spans="1:50"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spans="1:50"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spans="1:50"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spans="1:50"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spans="1:50"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spans="1:50"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spans="1:50"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spans="1:50"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spans="1:5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spans="1:50"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spans="1:50"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spans="1:50"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spans="1:50"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spans="1:50"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spans="1:50"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spans="1:50"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spans="1:50"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spans="1:50"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spans="1:5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spans="1:50"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spans="1:50"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spans="1:50"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spans="1:50"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spans="1:50"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spans="1:50"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spans="1:50"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spans="1:50"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spans="1:50"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spans="1:5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spans="1:50"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spans="1:50"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spans="1:50"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spans="1:50"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spans="1:50"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spans="1:50"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spans="1:50"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spans="1:50"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spans="1:50"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spans="1:5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spans="1:50"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spans="1:50"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spans="1:50"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spans="1:50"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spans="1:50"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spans="1:50"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spans="1:50"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spans="1:50"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spans="1:50"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spans="1:5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spans="1:50"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spans="1:50"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spans="1:50"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spans="1:50"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spans="1:50"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spans="1:50"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spans="1:50"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spans="1:50"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spans="1:50"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spans="1:5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spans="1:50"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spans="1:50"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spans="1:50"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spans="1:50"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spans="1:50"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spans="1:50"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spans="1:50"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spans="1:50"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spans="1:50"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spans="1:5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spans="1:50"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spans="1:50"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spans="1:50"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spans="1:50"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spans="1:50"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spans="1:50"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spans="1:50"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spans="1:50"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spans="1:50"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spans="1:5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spans="1:50"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spans="1:50"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spans="1:50"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spans="1:50"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spans="1:50"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spans="1:50"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spans="1:50"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spans="1:50"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spans="1:50"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spans="1: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spans="1:50"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spans="1:50"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spans="1:50"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spans="1:50"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spans="1:50"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spans="1:50"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spans="1:50"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spans="1:50"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spans="1:50"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spans="1:5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spans="1:50"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spans="1:50"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spans="1:50"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spans="1:50"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spans="1:50"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spans="1:50"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spans="1:50"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spans="1:50"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spans="1:50"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spans="1:5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spans="1:50"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spans="1:50"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spans="1:50"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spans="1:50"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spans="1:50"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spans="1:50"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spans="1:50"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spans="1:50"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spans="1:50"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spans="1:5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spans="1:50"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spans="1:50"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spans="1:50"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spans="1:50"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spans="1:50"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spans="1:50"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spans="1:50"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spans="1:50"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spans="1:50"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spans="1:5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spans="1:50"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spans="1:50"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spans="1:50"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spans="1:50"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spans="1:50"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spans="1:50"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spans="1:50"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spans="1:50"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spans="1:50"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spans="1:5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spans="1:50"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spans="1:50"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spans="1:50"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spans="1:50"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spans="1:50"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spans="1:50"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spans="1:50"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spans="1:50"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spans="1:50"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spans="1:5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spans="1:50"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spans="1:50"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spans="1:50"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spans="1:50"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spans="1:50"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spans="1:50"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spans="1:50"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spans="1:50"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spans="1:50"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spans="1:5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spans="1:50"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spans="1:50"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spans="1:50"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spans="1:50"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spans="1:50"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spans="1:50"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spans="1:50"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spans="1:50"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spans="1:50"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spans="1:5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spans="1:50"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spans="1:50"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spans="1:50"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spans="1:50"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spans="1:50"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spans="1:50"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spans="1:50"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spans="1:50"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spans="1:50"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spans="1:5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spans="1:50"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spans="1:50"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spans="1:50"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spans="1:50"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spans="1:50"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spans="1:50"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spans="1:50"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spans="1:50"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spans="1:50"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spans="1: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spans="1:50"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spans="1:50"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spans="1:50"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spans="1:50"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spans="1:50"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spans="1:50"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spans="1:50"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spans="1:50"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spans="1:50"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spans="1:5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spans="1:50"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spans="1:50"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spans="1:50"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spans="1:50"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spans="1:50"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spans="1:50"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spans="1:50"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spans="1:50"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spans="1:50"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spans="1:5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spans="1:50"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spans="1:50"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spans="1:50"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spans="1:50"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spans="1:50"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spans="1:50"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spans="1:50"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spans="1:50"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spans="1:50"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spans="1:5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spans="1:50"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spans="1:50"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spans="1:50"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spans="1:50"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spans="1:50"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spans="1:50"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spans="1:50"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spans="1:50"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spans="1:50"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spans="1:5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spans="1:50"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spans="1:50"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spans="1:50"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spans="1:50"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spans="1:50"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spans="1:50"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spans="1:50"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spans="1:50"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spans="1:50"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spans="1:5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spans="1:50"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spans="1:50"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spans="1:50"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spans="1:50"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spans="1:50"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spans="1:50"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spans="1:50"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spans="1:50"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spans="1:50"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spans="1:5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spans="1:50"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spans="1:50"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spans="1:50"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spans="1:50"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spans="1:50"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spans="1:50"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spans="1:50"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spans="1:50"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spans="1:50"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spans="1:5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spans="1:50"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spans="1:50"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spans="1:50"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spans="1:50"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spans="1:50"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spans="1:50"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spans="1:50"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spans="1:50"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spans="1:50"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spans="1:5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spans="1:50"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spans="1:50"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spans="1:50"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spans="1:50"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spans="1:50"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spans="1:50"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spans="1:50"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spans="1:50"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spans="1:50"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spans="1:5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spans="1:50"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spans="1:50"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spans="1:50"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spans="1:50"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spans="1:50"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spans="1:50"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spans="1:50"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spans="1:50"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spans="1:50"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spans="1: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spans="1:50"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spans="1:50"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spans="1:50"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spans="1:50"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spans="1:50"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spans="1:50"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spans="1:50"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spans="1:50"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spans="1:50"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spans="1:5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spans="1:50"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spans="1:50"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spans="1:50"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spans="1:50"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spans="1:50"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spans="1:50"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spans="1:50"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spans="1:50"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spans="1:50"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spans="1:5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spans="1:50"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spans="1:50"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spans="1:50"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spans="1:50"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spans="1:50"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spans="1:50"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spans="1:50"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spans="1:50"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spans="1:50"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spans="1:5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spans="1:50"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spans="1:50"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spans="1:50"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spans="1:50"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spans="1:50"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spans="1:50"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spans="1:50"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spans="1:50"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spans="1:50"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spans="1:5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spans="1:50"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spans="1:50"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spans="1:50"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spans="1:50"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spans="1:50"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spans="1:50"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spans="1:50"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spans="1:50"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spans="1:50"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spans="1:5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spans="1:50"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spans="1:50"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spans="1:50"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spans="1:50"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spans="1:50"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spans="1:50"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spans="1:50"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spans="1:50"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spans="1:50"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spans="1:5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spans="1:50"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spans="1:50"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spans="1:50"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spans="1:50"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spans="1:50"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spans="1:50"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spans="1:50"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spans="1:50"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spans="1:50"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spans="1:5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spans="1:50"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spans="1:50"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spans="1:50"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spans="1:50"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spans="1:50"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spans="1:50"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spans="1:50"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spans="1:50"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spans="1:50"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spans="1:5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spans="1:50"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spans="1:50"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spans="1:50"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spans="1:50"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spans="1:50"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spans="1:50"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spans="1:50"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spans="1:50"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spans="1:50"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spans="1:5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spans="1:50"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spans="1:50"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spans="1:50"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spans="1:50"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spans="1:50"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spans="1:50"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spans="1:50"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spans="1:50"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spans="1:50"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spans="1: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spans="1:50"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spans="1:50"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spans="1:50"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spans="1:50"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spans="1:50"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spans="1:50"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spans="1:50"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spans="1:50"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spans="1:50"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spans="1:5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spans="1:50"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spans="1:50"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spans="1:50"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spans="1:50"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spans="1:50"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spans="1:50"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spans="1:50"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spans="1:50"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spans="1:50"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spans="1:5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spans="1:50"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spans="1:50"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spans="1:50"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spans="1:50"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spans="1:50"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spans="1:50"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spans="1:50"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spans="1:50"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spans="1:50"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spans="1:5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spans="1:50"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spans="1:50"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spans="1:50"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spans="1:50"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spans="1:50"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spans="1:50"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spans="1:50"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spans="1:50"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spans="1:50"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spans="1:5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spans="1:50"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spans="1:50"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spans="1:50"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spans="1:50"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spans="1:50"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spans="1:50"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spans="1:50"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spans="1:50"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spans="1:50"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spans="1:5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spans="1:50"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spans="1:50"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spans="1:50"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spans="1:50"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spans="1:50"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spans="1:50"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spans="1:50"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spans="1:50"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spans="1:50"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spans="1:5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spans="1:50"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spans="1:50"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spans="1:50"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spans="1:50"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spans="1:50"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spans="1:50"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spans="1:50"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spans="1:50"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spans="1:50"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spans="1:5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spans="1:50"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spans="1:50"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spans="1:50"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spans="1:50"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spans="1:50"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spans="1:50"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spans="1:50"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spans="1:50"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spans="1:50"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spans="1:5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spans="1:50"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spans="1:50"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spans="1:50"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spans="1:50"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spans="1:50"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spans="1:50"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spans="1:50"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spans="1:50"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spans="1:50"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spans="1:5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spans="1:50"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spans="1:50"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spans="1:50"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spans="1:50"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spans="1:50"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spans="1:50"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spans="1:50"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spans="1:50"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spans="1:50"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spans="1: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spans="1:50"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spans="1:50"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spans="1:50"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spans="1:50"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spans="1:50"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spans="1:50"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spans="1:50"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spans="1:50"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spans="1:50"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spans="1:5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spans="1:50"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spans="1:50"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spans="1:50"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spans="1:50"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spans="1:50"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spans="1:50"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spans="1:50"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spans="1:50"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spans="1:50"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spans="1:5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spans="1:50"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spans="1:50"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spans="1:50"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spans="1:50"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spans="1:50"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spans="1:50"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spans="1:50"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spans="1:50"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spans="1:50"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spans="1:5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spans="1:50"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spans="1:50"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spans="1:50"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spans="1:50"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spans="1:50"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spans="1:50"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spans="1:50"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spans="1:50"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spans="1:50"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spans="1:5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spans="1:50"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spans="1:50"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spans="1:50"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spans="1:50"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spans="1:50"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spans="1:50"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spans="1:50"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spans="1:50"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spans="1:50"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spans="1:5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spans="1:50"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spans="1:50"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spans="1:50"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spans="1:50"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spans="1:50"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spans="1:50"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spans="1:50"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spans="1:50"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spans="1:50"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spans="1:5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spans="1:50"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spans="1:50"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spans="1:50"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spans="1:50"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spans="1:50"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spans="1:50"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spans="1:50"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spans="1:50"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spans="1:50"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spans="1:5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spans="1:50"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spans="1:50"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spans="1:50"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spans="1:50"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spans="1:50"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spans="1:50"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spans="1:50"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spans="1:50"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spans="1:50"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spans="1:5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spans="1:50"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spans="1:50"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spans="1:50"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spans="1:50"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spans="1:50"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spans="1:50"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spans="1:50"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spans="1:50"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spans="1:50"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spans="1:5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spans="1:50"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spans="1:50"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spans="1:50"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spans="1:50"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spans="1:50"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spans="1:50"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spans="1:50"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spans="1:50"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spans="1:50"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spans="1: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spans="1:50"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spans="1:50"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spans="1:50"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spans="1:50"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spans="1:50"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spans="1:50"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spans="1:50"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spans="1:50"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spans="1:50"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spans="1:5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spans="1:50"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spans="1:50"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spans="1:50"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spans="1:50"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spans="1:50"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spans="1:50"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spans="1:50"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spans="1:50"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spans="1:50"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spans="1:5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spans="1:50"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spans="1:50"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spans="1:50"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spans="1:50"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spans="1:50"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spans="1:50"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spans="1:50"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spans="1:50"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spans="1:50"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spans="1:5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spans="1:50"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spans="1:50"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spans="1:50"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spans="1:50"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spans="1:50"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spans="1:50"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spans="1:50"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spans="1:50"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spans="1:50"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spans="1:5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spans="1:50"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spans="1:50"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spans="1:50"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spans="1:50"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spans="1:50"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spans="1:50"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spans="1:50"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spans="1:50"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spans="1:50"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spans="1:5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1B00-000000000000}">
      <formula1>"TOU,non-TOU"</formula1>
    </dataValidation>
    <dataValidation type="list" allowBlank="1" showErrorMessage="1" sqref="E15:E28 E30:E38 E40:E41 E43:E51 E57 E63" xr:uid="{00000000-0002-0000-1B00-000001000000}">
      <formula1>#REF!</formula1>
    </dataValidation>
    <dataValidation type="list" allowBlank="1" showInputMessage="1" showErrorMessage="1" prompt="Select Charge Unit - monthly, per kWh, per kW" sqref="D15:D28 D30:D38 D40:D41 D43:D51 D57 D63" xr:uid="{00000000-0002-0000-1B00-000002000000}">
      <formula1>"Monthly,per kWh,per kW"</formula1>
    </dataValidation>
  </dataValidations>
  <pageMargins left="0.74803149606299213" right="0.74803149606299213" top="0.98425196850393704" bottom="0.98425196850393704"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9.42578125" customWidth="1"/>
    <col min="7" max="7" width="9.28515625" customWidth="1"/>
    <col min="8" max="8" width="12.28515625" customWidth="1"/>
    <col min="9" max="9" width="1.42578125" customWidth="1"/>
    <col min="10" max="11" width="9.28515625" customWidth="1"/>
    <col min="12" max="12" width="12.28515625" customWidth="1"/>
    <col min="13" max="13" width="1.42578125" customWidth="1"/>
    <col min="14" max="14" width="9.42578125" customWidth="1"/>
    <col min="15" max="15" width="10" customWidth="1"/>
    <col min="16" max="16" width="1.7109375" customWidth="1"/>
    <col min="17" max="18" width="9.28515625" customWidth="1"/>
    <col min="19" max="19" width="12.28515625" customWidth="1"/>
    <col min="20" max="20" width="0.42578125" customWidth="1"/>
    <col min="21" max="21" width="11" customWidth="1"/>
    <col min="22" max="22" width="10" customWidth="1"/>
    <col min="23" max="23" width="0.42578125" customWidth="1"/>
    <col min="24" max="25" width="9.28515625" customWidth="1"/>
    <col min="26" max="26" width="12.28515625" customWidth="1"/>
    <col min="27" max="27" width="0.42578125" customWidth="1"/>
    <col min="28" max="28" width="10.28515625" customWidth="1"/>
    <col min="29" max="29" width="10" customWidth="1"/>
    <col min="30" max="30" width="2.1406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2.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3.28515625" customWidth="1"/>
    <col min="45" max="46" width="12.42578125" customWidth="1"/>
  </cols>
  <sheetData>
    <row r="1" spans="1:46" ht="7.5" customHeight="1">
      <c r="A1" s="53"/>
      <c r="B1" s="53"/>
      <c r="C1" s="53"/>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6" ht="18.75" customHeight="1">
      <c r="A2" s="53"/>
      <c r="B2" s="53"/>
      <c r="C2" s="373"/>
      <c r="D2" s="373"/>
      <c r="E2" s="373"/>
      <c r="F2" s="373" t="s">
        <v>320</v>
      </c>
      <c r="G2" s="373"/>
      <c r="H2" s="373"/>
      <c r="I2" s="373"/>
      <c r="J2" s="373"/>
      <c r="K2" s="373"/>
      <c r="L2" s="373"/>
      <c r="M2" s="373"/>
      <c r="N2" s="373"/>
      <c r="O2" s="37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6" ht="18.75"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6" ht="7.5"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6" ht="7.5"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6" ht="12.75" customHeight="1">
      <c r="A6" s="53"/>
      <c r="B6" s="327" t="s">
        <v>323</v>
      </c>
      <c r="C6" s="53"/>
      <c r="D6" s="499" t="s">
        <v>249</v>
      </c>
      <c r="E6" s="500"/>
      <c r="F6" s="500"/>
      <c r="G6" s="500"/>
      <c r="H6" s="500"/>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row>
    <row r="7" spans="1:46" ht="7.5"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6" ht="12.75" customHeight="1">
      <c r="A8" s="53"/>
      <c r="B8" s="327" t="s">
        <v>324</v>
      </c>
      <c r="C8" s="53"/>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6" ht="12.75" customHeight="1">
      <c r="A9" s="53"/>
      <c r="B9" s="377"/>
      <c r="C9" s="53"/>
      <c r="D9" s="314" t="s">
        <v>326</v>
      </c>
      <c r="E9" s="314"/>
      <c r="F9" s="380">
        <v>255500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6" ht="12.75" customHeight="1">
      <c r="A10" s="53"/>
      <c r="B10" s="53"/>
      <c r="C10" s="53"/>
      <c r="D10" s="53"/>
      <c r="E10" s="53"/>
      <c r="F10" s="380">
        <v>500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6" ht="12.75" customHeight="1">
      <c r="A11" s="53"/>
      <c r="B11" s="53"/>
      <c r="C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6" ht="12.75"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6" ht="12.75" customHeight="1">
      <c r="A13" s="53"/>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6" ht="12.75"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6" ht="12.75" customHeight="1">
      <c r="A15" s="53"/>
      <c r="B15" s="328" t="s">
        <v>246</v>
      </c>
      <c r="C15" s="389" t="str">
        <f t="shared" ref="C15:C28" si="0">D$6&amp;"."&amp;B15</f>
        <v>General Service 50 to 1,499 KW.Monthly Service Charge</v>
      </c>
      <c r="D15" s="390" t="s">
        <v>335</v>
      </c>
      <c r="E15" s="328"/>
      <c r="F15" s="391">
        <f>VLOOKUP($C15,'Proposed Rates'!$B:$J,F$11,FALSE)</f>
        <v>200</v>
      </c>
      <c r="G15" s="409">
        <f t="shared" ref="G15:G28" si="1">IF($D15="Monthly",1,IF($D15="per KW",$F$10,IF($D15="per kWh",$F$9,0)))</f>
        <v>1</v>
      </c>
      <c r="H15" s="394">
        <f t="shared" ref="H15:H28" si="2">G15*F15</f>
        <v>200</v>
      </c>
      <c r="I15" s="138"/>
      <c r="J15" s="391">
        <f>VLOOKUP($C15,'Proposed Rates'!$B:$J,J$11,FALSE)</f>
        <v>200</v>
      </c>
      <c r="K15" s="409">
        <f t="shared" ref="K15:K28" si="3">IF($D15="Monthly",1,IF($D15="per KW",$F$10,IF($D15="per kWh",$F$9,0)))</f>
        <v>1</v>
      </c>
      <c r="L15" s="394">
        <f t="shared" ref="L15:L28" si="4">K15*J15</f>
        <v>200</v>
      </c>
      <c r="M15" s="138"/>
      <c r="N15" s="395">
        <f t="shared" ref="N15:N46" si="5">L15-H15</f>
        <v>0</v>
      </c>
      <c r="O15" s="396">
        <f t="shared" ref="O15:O46" si="6">IF((H15)=0,"",(N15/H15))</f>
        <v>0</v>
      </c>
      <c r="P15" s="53"/>
      <c r="Q15" s="391">
        <f>VLOOKUP($C15,'Proposed Rates'!$B:$J,Q$11,FALSE)</f>
        <v>200</v>
      </c>
      <c r="R15" s="409">
        <f t="shared" ref="R15:R28" si="7">IF($D15="Monthly",1,IF($D15="per KW",$F$10,IF($D15="per kWh",$F$9,0)))</f>
        <v>1</v>
      </c>
      <c r="S15" s="394">
        <f t="shared" ref="S15:S28" si="8">R15*Q15</f>
        <v>200</v>
      </c>
      <c r="T15" s="138"/>
      <c r="U15" s="395">
        <f t="shared" ref="U15:U46" si="9">S15-L15</f>
        <v>0</v>
      </c>
      <c r="V15" s="396">
        <f t="shared" ref="V15:V46" si="10">IF((L15)=0,"",(U15/L15))</f>
        <v>0</v>
      </c>
      <c r="W15" s="53"/>
      <c r="X15" s="391">
        <f>VLOOKUP($C15,'Proposed Rates'!$B:$J,X$11,FALSE)</f>
        <v>200</v>
      </c>
      <c r="Y15" s="409">
        <f t="shared" ref="Y15:Y28" si="11">IF($D15="Monthly",1,IF($D15="per KW",$F$10,IF($D15="per kWh",$F$9,0)))</f>
        <v>1</v>
      </c>
      <c r="Z15" s="394">
        <f t="shared" ref="Z15:Z28" si="12">Y15*X15</f>
        <v>200</v>
      </c>
      <c r="AA15" s="138"/>
      <c r="AB15" s="395">
        <f t="shared" ref="AB15:AB46" si="13">Z15-S15</f>
        <v>0</v>
      </c>
      <c r="AC15" s="396">
        <f t="shared" ref="AC15:AC46" si="14">IF((S15)=0,"",(AB15/S15))</f>
        <v>0</v>
      </c>
      <c r="AD15" s="53"/>
      <c r="AE15" s="391">
        <f>VLOOKUP($C15,'Proposed Rates'!$B:$J,AE$11,FALSE)</f>
        <v>200</v>
      </c>
      <c r="AF15" s="409">
        <f t="shared" ref="AF15:AF28" si="15">IF($D15="Monthly",1,IF($D15="per KW",$F$10,IF($D15="per kWh",$F$9,0)))</f>
        <v>1</v>
      </c>
      <c r="AG15" s="394">
        <f t="shared" ref="AG15:AG28" si="16">AF15*AE15</f>
        <v>200</v>
      </c>
      <c r="AH15" s="138"/>
      <c r="AI15" s="395">
        <f t="shared" ref="AI15:AI46" si="17">AG15-Z15</f>
        <v>0</v>
      </c>
      <c r="AJ15" s="396">
        <f t="shared" ref="AJ15:AJ46" si="18">IF((Z15)=0,"",(AI15/Z15))</f>
        <v>0</v>
      </c>
      <c r="AK15" s="53"/>
      <c r="AL15" s="391">
        <f>VLOOKUP($C15,'Proposed Rates'!$B:$J,AL$11,FALSE)</f>
        <v>200</v>
      </c>
      <c r="AM15" s="409">
        <f t="shared" ref="AM15:AM28" si="19">IF($D15="Monthly",1,IF($D15="per KW",$F$10,IF($D15="per kWh",$F$9,0)))</f>
        <v>1</v>
      </c>
      <c r="AN15" s="394">
        <f t="shared" ref="AN15:AN28" si="20">AM15*AL15</f>
        <v>200</v>
      </c>
      <c r="AO15" s="138"/>
      <c r="AP15" s="395">
        <f t="shared" ref="AP15:AP46" si="21">AN15-AG15</f>
        <v>0</v>
      </c>
      <c r="AQ15" s="396">
        <f t="shared" ref="AQ15:AQ46" si="22">IF((AG15)=0,"",(AP15/AG15))</f>
        <v>0</v>
      </c>
      <c r="AR15" s="397"/>
    </row>
    <row r="16" spans="1:46" ht="12.75" customHeight="1">
      <c r="A16" s="53"/>
      <c r="B16" s="328" t="s">
        <v>336</v>
      </c>
      <c r="C16" s="389" t="str">
        <f t="shared" si="0"/>
        <v>General Service 50 to 1,499 KW.Smart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row>
    <row r="17" spans="1:44" ht="12.75" customHeight="1">
      <c r="A17" s="53"/>
      <c r="B17" s="398" t="str">
        <f>'Proposed Rates'!C115</f>
        <v>Rate Rider Calculation for Forgone Revenue - variable</v>
      </c>
      <c r="C17" s="389" t="str">
        <f t="shared" si="0"/>
        <v>General Service 50 to 1,499 KW.Rate Rider Calculation for Forgone Revenue - variable</v>
      </c>
      <c r="D17" s="390" t="s">
        <v>406</v>
      </c>
      <c r="E17" s="328"/>
      <c r="F17" s="391">
        <f>IFERROR(VLOOKUP($C17,'Proposed Rates'!$B:$J,F$11,FALSE),0)</f>
        <v>0</v>
      </c>
      <c r="G17" s="409">
        <f t="shared" si="1"/>
        <v>500</v>
      </c>
      <c r="H17" s="394">
        <f t="shared" si="2"/>
        <v>0</v>
      </c>
      <c r="I17" s="138"/>
      <c r="J17" s="391">
        <f>IFERROR(VLOOKUP($C17,'Proposed Rates'!$B:$J,J$11,FALSE),0)</f>
        <v>0.45269999999999999</v>
      </c>
      <c r="K17" s="409">
        <f t="shared" si="3"/>
        <v>500</v>
      </c>
      <c r="L17" s="394">
        <f t="shared" si="4"/>
        <v>226.35</v>
      </c>
      <c r="M17" s="138"/>
      <c r="N17" s="395">
        <f t="shared" si="5"/>
        <v>226.35</v>
      </c>
      <c r="O17" s="396" t="str">
        <f t="shared" si="6"/>
        <v/>
      </c>
      <c r="P17" s="53"/>
      <c r="Q17" s="391">
        <f>IFERROR(VLOOKUP($C17,'Proposed Rates'!$B:$J,Q$11,FALSE),0)</f>
        <v>0.45269999999999999</v>
      </c>
      <c r="R17" s="409">
        <f t="shared" si="7"/>
        <v>500</v>
      </c>
      <c r="S17" s="394">
        <f t="shared" si="8"/>
        <v>226.35</v>
      </c>
      <c r="T17" s="138"/>
      <c r="U17" s="395">
        <f t="shared" si="9"/>
        <v>0</v>
      </c>
      <c r="V17" s="396">
        <f t="shared" si="10"/>
        <v>0</v>
      </c>
      <c r="W17" s="53"/>
      <c r="X17" s="391">
        <f>IFERROR(VLOOKUP($C17,'Proposed Rates'!$B:$J,X$11,FALSE),0)</f>
        <v>0</v>
      </c>
      <c r="Y17" s="409">
        <f t="shared" si="11"/>
        <v>500</v>
      </c>
      <c r="Z17" s="394">
        <f t="shared" si="12"/>
        <v>0</v>
      </c>
      <c r="AA17" s="138"/>
      <c r="AB17" s="395">
        <f t="shared" si="13"/>
        <v>-226.35</v>
      </c>
      <c r="AC17" s="396">
        <f t="shared" si="14"/>
        <v>-1</v>
      </c>
      <c r="AD17" s="53"/>
      <c r="AE17" s="391">
        <f>IFERROR(VLOOKUP($C17,'Proposed Rates'!$B:$J,AE$11,FALSE),0)</f>
        <v>0</v>
      </c>
      <c r="AF17" s="409">
        <f t="shared" si="15"/>
        <v>500</v>
      </c>
      <c r="AG17" s="394">
        <f t="shared" si="16"/>
        <v>0</v>
      </c>
      <c r="AH17" s="138"/>
      <c r="AI17" s="395">
        <f t="shared" si="17"/>
        <v>0</v>
      </c>
      <c r="AJ17" s="396" t="str">
        <f t="shared" si="18"/>
        <v/>
      </c>
      <c r="AK17" s="53"/>
      <c r="AL17" s="391">
        <f>IFERROR(VLOOKUP($C17,'Proposed Rates'!$B:$J,AL$11,FALSE),0)</f>
        <v>0</v>
      </c>
      <c r="AM17" s="409">
        <f t="shared" si="19"/>
        <v>500</v>
      </c>
      <c r="AN17" s="394">
        <f t="shared" si="20"/>
        <v>0</v>
      </c>
      <c r="AO17" s="138"/>
      <c r="AP17" s="395">
        <f t="shared" si="21"/>
        <v>0</v>
      </c>
      <c r="AQ17" s="396" t="str">
        <f t="shared" si="22"/>
        <v/>
      </c>
      <c r="AR17" s="397"/>
    </row>
    <row r="18" spans="1:44" ht="12.75" customHeight="1">
      <c r="A18" s="53"/>
      <c r="B18" s="398" t="str">
        <f>'Proposed Rates'!C128</f>
        <v>Rate Rider Calculation for Forgone Revenue - fixed</v>
      </c>
      <c r="C18" s="389" t="str">
        <f t="shared" si="0"/>
        <v>General Service 50 to 1,499 KW.Rate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-0.62</v>
      </c>
      <c r="K18" s="409">
        <f t="shared" si="3"/>
        <v>1</v>
      </c>
      <c r="L18" s="394">
        <f t="shared" si="4"/>
        <v>-0.62</v>
      </c>
      <c r="M18" s="138"/>
      <c r="N18" s="395">
        <f t="shared" si="5"/>
        <v>-0.62</v>
      </c>
      <c r="O18" s="396" t="str">
        <f t="shared" si="6"/>
        <v/>
      </c>
      <c r="P18" s="53"/>
      <c r="Q18" s="391">
        <f>IFERROR(VLOOKUP($C18,'Proposed Rates'!$B:$J,Q$11,FALSE),0)</f>
        <v>-0.62</v>
      </c>
      <c r="R18" s="409">
        <f t="shared" si="7"/>
        <v>1</v>
      </c>
      <c r="S18" s="394">
        <f t="shared" si="8"/>
        <v>-0.62</v>
      </c>
      <c r="T18" s="138"/>
      <c r="U18" s="395">
        <f t="shared" si="9"/>
        <v>0</v>
      </c>
      <c r="V18" s="396">
        <f t="shared" si="10"/>
        <v>0</v>
      </c>
      <c r="W18" s="53"/>
      <c r="X18" s="391">
        <f>IFERROR(VLOOKUP($C18,'Proposed Rates'!$B:$J,X$11,FALSE),0)</f>
        <v>0</v>
      </c>
      <c r="Y18" s="409">
        <f t="shared" si="11"/>
        <v>1</v>
      </c>
      <c r="Z18" s="394">
        <f t="shared" si="12"/>
        <v>0</v>
      </c>
      <c r="AA18" s="138"/>
      <c r="AB18" s="395">
        <f t="shared" si="13"/>
        <v>0.62</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row>
    <row r="19" spans="1:44" ht="12.75" customHeight="1">
      <c r="A19" s="53"/>
      <c r="B19" s="328" t="s">
        <v>62</v>
      </c>
      <c r="C19" s="389" t="str">
        <f t="shared" si="0"/>
        <v>General Service 50 to 1,499 KW.Distribution Volumetric Rate</v>
      </c>
      <c r="D19" s="390" t="s">
        <v>406</v>
      </c>
      <c r="E19" s="328"/>
      <c r="F19" s="408">
        <f>IFERROR(VLOOKUP($C19,'Proposed Rates'!$B:$J,F$11,FALSE),0)</f>
        <v>6.5552999999999999</v>
      </c>
      <c r="G19" s="409">
        <f t="shared" si="1"/>
        <v>500</v>
      </c>
      <c r="H19" s="394">
        <f t="shared" si="2"/>
        <v>3277.65</v>
      </c>
      <c r="I19" s="138"/>
      <c r="J19" s="408">
        <f>IFERROR(VLOOKUP($C19,'Proposed Rates'!$B:$J,J$11,FALSE),0)</f>
        <v>7.6543000000000001</v>
      </c>
      <c r="K19" s="409">
        <f t="shared" si="3"/>
        <v>500</v>
      </c>
      <c r="L19" s="394">
        <f t="shared" si="4"/>
        <v>3827.15</v>
      </c>
      <c r="M19" s="138"/>
      <c r="N19" s="395">
        <f t="shared" si="5"/>
        <v>549.5</v>
      </c>
      <c r="O19" s="396">
        <f t="shared" si="6"/>
        <v>0.16765060332860432</v>
      </c>
      <c r="P19" s="53"/>
      <c r="Q19" s="408">
        <f>IFERROR(VLOOKUP($C19,'Proposed Rates'!$B:$J,Q$11,FALSE),0)</f>
        <v>8.0783000000000005</v>
      </c>
      <c r="R19" s="409">
        <f t="shared" si="7"/>
        <v>500</v>
      </c>
      <c r="S19" s="394">
        <f t="shared" si="8"/>
        <v>4039.15</v>
      </c>
      <c r="T19" s="138"/>
      <c r="U19" s="395">
        <f t="shared" si="9"/>
        <v>212</v>
      </c>
      <c r="V19" s="396">
        <f t="shared" si="10"/>
        <v>5.5393700273049136E-2</v>
      </c>
      <c r="W19" s="53"/>
      <c r="X19" s="408">
        <f>IFERROR(VLOOKUP($C19,'Proposed Rates'!$B:$J,X$11,FALSE),0)</f>
        <v>8.7073</v>
      </c>
      <c r="Y19" s="409">
        <f t="shared" si="11"/>
        <v>500</v>
      </c>
      <c r="Z19" s="394">
        <f t="shared" si="12"/>
        <v>4353.6499999999996</v>
      </c>
      <c r="AA19" s="138"/>
      <c r="AB19" s="395">
        <f t="shared" si="13"/>
        <v>314.49999999999955</v>
      </c>
      <c r="AC19" s="396">
        <f t="shared" si="14"/>
        <v>7.7862916702771512E-2</v>
      </c>
      <c r="AD19" s="53"/>
      <c r="AE19" s="408">
        <f>IFERROR(VLOOKUP($C19,'Proposed Rates'!$B:$J,AE$11,FALSE),0)</f>
        <v>9.0386000000000006</v>
      </c>
      <c r="AF19" s="409">
        <f t="shared" si="15"/>
        <v>500</v>
      </c>
      <c r="AG19" s="394">
        <f t="shared" si="16"/>
        <v>4519.3</v>
      </c>
      <c r="AH19" s="138"/>
      <c r="AI19" s="395">
        <f t="shared" si="17"/>
        <v>165.65000000000055</v>
      </c>
      <c r="AJ19" s="396">
        <f t="shared" si="18"/>
        <v>3.8048533988722238E-2</v>
      </c>
      <c r="AK19" s="53"/>
      <c r="AL19" s="408">
        <f>IFERROR(VLOOKUP($C19,'Proposed Rates'!$B:$J,AL$11,FALSE),0)</f>
        <v>9.3415999999999997</v>
      </c>
      <c r="AM19" s="409">
        <f t="shared" si="19"/>
        <v>500</v>
      </c>
      <c r="AN19" s="394">
        <f t="shared" si="20"/>
        <v>4670.8</v>
      </c>
      <c r="AO19" s="138"/>
      <c r="AP19" s="395">
        <f t="shared" si="21"/>
        <v>151.5</v>
      </c>
      <c r="AQ19" s="396">
        <f t="shared" si="22"/>
        <v>3.3522890713163542E-2</v>
      </c>
      <c r="AR19" s="397"/>
    </row>
    <row r="20" spans="1:44" ht="12.75" customHeight="1">
      <c r="A20" s="53"/>
      <c r="B20" s="328" t="s">
        <v>338</v>
      </c>
      <c r="C20" s="389" t="str">
        <f t="shared" si="0"/>
        <v>General Service 50 to 1,499 KW.Smart Meter Disposition Rider</v>
      </c>
      <c r="D20" s="390" t="s">
        <v>337</v>
      </c>
      <c r="E20" s="328"/>
      <c r="F20" s="391">
        <f>IFERROR(VLOOKUP($C20,'Proposed Rates'!$B:$J,F$11,FALSE),0)</f>
        <v>0</v>
      </c>
      <c r="G20" s="409">
        <f t="shared" si="1"/>
        <v>255500</v>
      </c>
      <c r="H20" s="394">
        <f t="shared" si="2"/>
        <v>0</v>
      </c>
      <c r="I20" s="138"/>
      <c r="J20" s="391">
        <f>IFERROR(VLOOKUP($C20,'Proposed Rates'!$B:$J,J$11,FALSE),0)</f>
        <v>0</v>
      </c>
      <c r="K20" s="409">
        <f t="shared" si="3"/>
        <v>255500</v>
      </c>
      <c r="L20" s="394">
        <f t="shared" si="4"/>
        <v>0</v>
      </c>
      <c r="M20" s="138"/>
      <c r="N20" s="395">
        <f t="shared" si="5"/>
        <v>0</v>
      </c>
      <c r="O20" s="396" t="str">
        <f t="shared" si="6"/>
        <v/>
      </c>
      <c r="P20" s="53"/>
      <c r="Q20" s="391">
        <f>IFERROR(VLOOKUP($C20,'Proposed Rates'!$B:$J,Q$11,FALSE),0)</f>
        <v>0</v>
      </c>
      <c r="R20" s="409">
        <f t="shared" si="7"/>
        <v>255500</v>
      </c>
      <c r="S20" s="394">
        <f t="shared" si="8"/>
        <v>0</v>
      </c>
      <c r="T20" s="138"/>
      <c r="U20" s="395">
        <f t="shared" si="9"/>
        <v>0</v>
      </c>
      <c r="V20" s="396" t="str">
        <f t="shared" si="10"/>
        <v/>
      </c>
      <c r="W20" s="53"/>
      <c r="X20" s="391">
        <f>IFERROR(VLOOKUP($C20,'Proposed Rates'!$B:$J,X$11,FALSE),0)</f>
        <v>0</v>
      </c>
      <c r="Y20" s="409">
        <f t="shared" si="11"/>
        <v>255500</v>
      </c>
      <c r="Z20" s="394">
        <f t="shared" si="12"/>
        <v>0</v>
      </c>
      <c r="AA20" s="138"/>
      <c r="AB20" s="395">
        <f t="shared" si="13"/>
        <v>0</v>
      </c>
      <c r="AC20" s="396" t="str">
        <f t="shared" si="14"/>
        <v/>
      </c>
      <c r="AD20" s="53"/>
      <c r="AE20" s="391">
        <f>IFERROR(VLOOKUP($C20,'Proposed Rates'!$B:$J,AE$11,FALSE),0)</f>
        <v>0</v>
      </c>
      <c r="AF20" s="409">
        <f t="shared" si="15"/>
        <v>255500</v>
      </c>
      <c r="AG20" s="394">
        <f t="shared" si="16"/>
        <v>0</v>
      </c>
      <c r="AH20" s="138"/>
      <c r="AI20" s="395">
        <f t="shared" si="17"/>
        <v>0</v>
      </c>
      <c r="AJ20" s="396" t="str">
        <f t="shared" si="18"/>
        <v/>
      </c>
      <c r="AK20" s="53"/>
      <c r="AL20" s="391">
        <f>IFERROR(VLOOKUP($C20,'Proposed Rates'!$B:$J,AL$11,FALSE),0)</f>
        <v>0</v>
      </c>
      <c r="AM20" s="409">
        <f t="shared" si="19"/>
        <v>255500</v>
      </c>
      <c r="AN20" s="394">
        <f t="shared" si="20"/>
        <v>0</v>
      </c>
      <c r="AO20" s="138"/>
      <c r="AP20" s="395">
        <f t="shared" si="21"/>
        <v>0</v>
      </c>
      <c r="AQ20" s="396" t="str">
        <f t="shared" si="22"/>
        <v/>
      </c>
      <c r="AR20" s="397"/>
    </row>
    <row r="21" spans="1:44" ht="12.75" customHeight="1">
      <c r="A21" s="53"/>
      <c r="B21" s="328" t="s">
        <v>269</v>
      </c>
      <c r="C21" s="389" t="str">
        <f t="shared" si="0"/>
        <v>General Service 50 to 1,499 KW.LRAM Rate Rider</v>
      </c>
      <c r="D21" s="390" t="s">
        <v>406</v>
      </c>
      <c r="E21" s="328"/>
      <c r="F21" s="408">
        <f>'Proposed Rates'!E79+'Proposed Rates'!E92</f>
        <v>-0.2477</v>
      </c>
      <c r="G21" s="409">
        <f t="shared" si="1"/>
        <v>500</v>
      </c>
      <c r="H21" s="394">
        <f t="shared" si="2"/>
        <v>-123.85000000000001</v>
      </c>
      <c r="I21" s="138"/>
      <c r="J21" s="408">
        <f>'Proposed Rates'!F79+'Proposed Rates'!F92</f>
        <v>0</v>
      </c>
      <c r="K21" s="409">
        <f t="shared" si="3"/>
        <v>500</v>
      </c>
      <c r="L21" s="394">
        <f t="shared" si="4"/>
        <v>0</v>
      </c>
      <c r="M21" s="138"/>
      <c r="N21" s="395">
        <f t="shared" si="5"/>
        <v>123.85000000000001</v>
      </c>
      <c r="O21" s="396">
        <f t="shared" si="6"/>
        <v>-1</v>
      </c>
      <c r="P21" s="53"/>
      <c r="Q21" s="408">
        <f>'Proposed Rates'!G79+'Proposed Rates'!G92</f>
        <v>2.9499999999999998E-2</v>
      </c>
      <c r="R21" s="409">
        <f t="shared" si="7"/>
        <v>500</v>
      </c>
      <c r="S21" s="394">
        <f t="shared" si="8"/>
        <v>14.75</v>
      </c>
      <c r="T21" s="138"/>
      <c r="U21" s="395">
        <f t="shared" si="9"/>
        <v>14.75</v>
      </c>
      <c r="V21" s="396" t="str">
        <f t="shared" si="10"/>
        <v/>
      </c>
      <c r="W21" s="53"/>
      <c r="X21" s="408">
        <f>IFERROR(VLOOKUP($C21,'Proposed Rates'!$B:$J,X$11,FALSE),0)</f>
        <v>0</v>
      </c>
      <c r="Y21" s="409">
        <f t="shared" si="11"/>
        <v>500</v>
      </c>
      <c r="Z21" s="394">
        <f t="shared" si="12"/>
        <v>0</v>
      </c>
      <c r="AA21" s="138"/>
      <c r="AB21" s="395">
        <f t="shared" si="13"/>
        <v>-14.75</v>
      </c>
      <c r="AC21" s="396">
        <f t="shared" si="14"/>
        <v>-1</v>
      </c>
      <c r="AD21" s="53"/>
      <c r="AE21" s="408">
        <f>IFERROR(VLOOKUP($C21,'Proposed Rates'!$B:$J,AE$11,FALSE),0)</f>
        <v>0</v>
      </c>
      <c r="AF21" s="409">
        <f t="shared" si="15"/>
        <v>500</v>
      </c>
      <c r="AG21" s="394">
        <f t="shared" si="16"/>
        <v>0</v>
      </c>
      <c r="AH21" s="138"/>
      <c r="AI21" s="395">
        <f t="shared" si="17"/>
        <v>0</v>
      </c>
      <c r="AJ21" s="396" t="str">
        <f t="shared" si="18"/>
        <v/>
      </c>
      <c r="AK21" s="53"/>
      <c r="AL21" s="408">
        <f>IFERROR(VLOOKUP($C21,'Proposed Rates'!$B:$J,AL$11,FALSE),0)</f>
        <v>0</v>
      </c>
      <c r="AM21" s="409">
        <f t="shared" si="19"/>
        <v>500</v>
      </c>
      <c r="AN21" s="394">
        <f t="shared" si="20"/>
        <v>0</v>
      </c>
      <c r="AO21" s="138"/>
      <c r="AP21" s="395">
        <f t="shared" si="21"/>
        <v>0</v>
      </c>
      <c r="AQ21" s="396" t="str">
        <f t="shared" si="22"/>
        <v/>
      </c>
      <c r="AR21" s="397"/>
    </row>
    <row r="22" spans="1:44" ht="12.75" customHeight="1">
      <c r="A22" s="53"/>
      <c r="B22" s="478" t="s">
        <v>265</v>
      </c>
      <c r="C22" s="389" t="str">
        <f t="shared" si="0"/>
        <v>General Service 50 to 1,499 KW.Deferral/Variance Account Disposition Rate Rider Group 2</v>
      </c>
      <c r="D22" s="390" t="s">
        <v>406</v>
      </c>
      <c r="E22" s="328"/>
      <c r="F22" s="391">
        <f>IFERROR(VLOOKUP($C22,'Proposed Rates'!$B:$J,F$11,FALSE),0)</f>
        <v>0</v>
      </c>
      <c r="G22" s="409">
        <f t="shared" si="1"/>
        <v>500</v>
      </c>
      <c r="H22" s="394">
        <f t="shared" si="2"/>
        <v>0</v>
      </c>
      <c r="I22" s="138"/>
      <c r="J22" s="391">
        <f>IFERROR(VLOOKUP($C22,'Proposed Rates'!$B:$J,J$11,FALSE),0)</f>
        <v>-0.26340000000000002</v>
      </c>
      <c r="K22" s="409">
        <f t="shared" si="3"/>
        <v>500</v>
      </c>
      <c r="L22" s="394">
        <f t="shared" si="4"/>
        <v>-131.70000000000002</v>
      </c>
      <c r="M22" s="138"/>
      <c r="N22" s="395">
        <f t="shared" si="5"/>
        <v>-131.70000000000002</v>
      </c>
      <c r="O22" s="396" t="str">
        <f t="shared" si="6"/>
        <v/>
      </c>
      <c r="P22" s="53"/>
      <c r="Q22" s="391">
        <f>IFERROR(VLOOKUP($C22,'Proposed Rates'!$B:$J,Q$11,FALSE),0)</f>
        <v>0</v>
      </c>
      <c r="R22" s="409">
        <f t="shared" si="7"/>
        <v>500</v>
      </c>
      <c r="S22" s="394">
        <f t="shared" si="8"/>
        <v>0</v>
      </c>
      <c r="T22" s="138"/>
      <c r="U22" s="395">
        <f t="shared" si="9"/>
        <v>131.70000000000002</v>
      </c>
      <c r="V22" s="396">
        <f t="shared" si="10"/>
        <v>-1</v>
      </c>
      <c r="W22" s="53"/>
      <c r="X22" s="391">
        <f>IFERROR(VLOOKUP($C22,'Proposed Rates'!$B:$J,X$11,FALSE),0)</f>
        <v>0</v>
      </c>
      <c r="Y22" s="409">
        <f t="shared" si="11"/>
        <v>500</v>
      </c>
      <c r="Z22" s="394">
        <f t="shared" si="12"/>
        <v>0</v>
      </c>
      <c r="AA22" s="138"/>
      <c r="AB22" s="395">
        <f t="shared" si="13"/>
        <v>0</v>
      </c>
      <c r="AC22" s="396" t="str">
        <f t="shared" si="14"/>
        <v/>
      </c>
      <c r="AD22" s="53"/>
      <c r="AE22" s="391">
        <f>IFERROR(VLOOKUP($C22,'Proposed Rates'!$B:$J,AE$11,FALSE),0)</f>
        <v>0</v>
      </c>
      <c r="AF22" s="409">
        <f t="shared" si="15"/>
        <v>500</v>
      </c>
      <c r="AG22" s="394">
        <f t="shared" si="16"/>
        <v>0</v>
      </c>
      <c r="AH22" s="138"/>
      <c r="AI22" s="395">
        <f t="shared" si="17"/>
        <v>0</v>
      </c>
      <c r="AJ22" s="396" t="str">
        <f t="shared" si="18"/>
        <v/>
      </c>
      <c r="AK22" s="53"/>
      <c r="AL22" s="391">
        <f>IFERROR(VLOOKUP($C22,'Proposed Rates'!$B:$J,AL$11,FALSE),0)</f>
        <v>0</v>
      </c>
      <c r="AM22" s="409">
        <f t="shared" si="19"/>
        <v>500</v>
      </c>
      <c r="AN22" s="394">
        <f t="shared" si="20"/>
        <v>0</v>
      </c>
      <c r="AO22" s="138"/>
      <c r="AP22" s="395">
        <f t="shared" si="21"/>
        <v>0</v>
      </c>
      <c r="AQ22" s="396" t="str">
        <f t="shared" si="22"/>
        <v/>
      </c>
      <c r="AR22" s="397"/>
    </row>
    <row r="23" spans="1:44" ht="12.75" customHeight="1">
      <c r="A23" s="53"/>
      <c r="B23" s="398"/>
      <c r="C23" s="389" t="str">
        <f t="shared" si="0"/>
        <v>General Service 50 to 1,499 KW.</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row>
    <row r="24" spans="1:44" ht="12.75" customHeight="1">
      <c r="A24" s="53"/>
      <c r="B24" s="398"/>
      <c r="C24" s="389" t="str">
        <f t="shared" si="0"/>
        <v>General Service 50 to 1,499 KW.</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row>
    <row r="25" spans="1:44" ht="12.75" customHeight="1">
      <c r="A25" s="53"/>
      <c r="B25" s="398"/>
      <c r="C25" s="389" t="str">
        <f t="shared" si="0"/>
        <v>General Service 50 to 1,499 KW.</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row>
    <row r="26" spans="1:44" ht="12.75" customHeight="1">
      <c r="A26" s="53"/>
      <c r="B26" s="478"/>
      <c r="C26" s="389" t="str">
        <f t="shared" si="0"/>
        <v>General Service 50 to 1,499 KW.</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row>
    <row r="27" spans="1:44" ht="12.75" customHeight="1">
      <c r="A27" s="53"/>
      <c r="B27" s="398"/>
      <c r="C27" s="389" t="str">
        <f t="shared" si="0"/>
        <v>General Service 50 to 1,499 KW.</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row>
    <row r="28" spans="1:44" ht="12.75" customHeight="1">
      <c r="A28" s="53"/>
      <c r="B28" s="398"/>
      <c r="C28" s="389" t="str">
        <f t="shared" si="0"/>
        <v>General Service 50 to 1,499 KW.</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row>
    <row r="29" spans="1:44" ht="12.75" customHeight="1">
      <c r="A29" s="314"/>
      <c r="B29" s="399" t="s">
        <v>339</v>
      </c>
      <c r="C29" s="400"/>
      <c r="D29" s="400"/>
      <c r="E29" s="400"/>
      <c r="F29" s="401"/>
      <c r="G29" s="494"/>
      <c r="H29" s="403">
        <f>SUM(H15:H28)</f>
        <v>3353.8</v>
      </c>
      <c r="I29" s="404"/>
      <c r="J29" s="401"/>
      <c r="K29" s="494"/>
      <c r="L29" s="403">
        <f>SUM(L15:L28)</f>
        <v>4121.18</v>
      </c>
      <c r="M29" s="404"/>
      <c r="N29" s="405">
        <f t="shared" si="5"/>
        <v>767.38000000000011</v>
      </c>
      <c r="O29" s="406">
        <f t="shared" si="6"/>
        <v>0.22880911205200075</v>
      </c>
      <c r="P29" s="314"/>
      <c r="Q29" s="401"/>
      <c r="R29" s="494"/>
      <c r="S29" s="403">
        <f>SUM(S15:S28)</f>
        <v>4479.63</v>
      </c>
      <c r="T29" s="404"/>
      <c r="U29" s="405">
        <f t="shared" si="9"/>
        <v>358.44999999999982</v>
      </c>
      <c r="V29" s="406">
        <f t="shared" si="10"/>
        <v>8.6977516148287581E-2</v>
      </c>
      <c r="W29" s="314"/>
      <c r="X29" s="401"/>
      <c r="Y29" s="494"/>
      <c r="Z29" s="403">
        <f>SUM(Z15:Z28)</f>
        <v>4553.6499999999996</v>
      </c>
      <c r="AA29" s="404"/>
      <c r="AB29" s="405">
        <f t="shared" si="13"/>
        <v>74.019999999999527</v>
      </c>
      <c r="AC29" s="406">
        <f t="shared" si="14"/>
        <v>1.6523686108004351E-2</v>
      </c>
      <c r="AD29" s="314"/>
      <c r="AE29" s="401"/>
      <c r="AF29" s="494"/>
      <c r="AG29" s="403">
        <f>SUM(AG15:AG28)</f>
        <v>4719.3</v>
      </c>
      <c r="AH29" s="404"/>
      <c r="AI29" s="405">
        <f t="shared" si="17"/>
        <v>165.65000000000055</v>
      </c>
      <c r="AJ29" s="406">
        <f t="shared" si="18"/>
        <v>3.6377411527016915E-2</v>
      </c>
      <c r="AK29" s="314"/>
      <c r="AL29" s="401"/>
      <c r="AM29" s="494"/>
      <c r="AN29" s="403">
        <f>SUM(AN15:AN28)</f>
        <v>4870.8</v>
      </c>
      <c r="AO29" s="404"/>
      <c r="AP29" s="405">
        <f t="shared" si="21"/>
        <v>151.5</v>
      </c>
      <c r="AQ29" s="406">
        <f t="shared" si="22"/>
        <v>3.2102218549361135E-2</v>
      </c>
      <c r="AR29" s="407"/>
    </row>
    <row r="30" spans="1:44" ht="12.75" customHeight="1">
      <c r="A30" s="53"/>
      <c r="B30" s="398" t="s">
        <v>262</v>
      </c>
      <c r="C30" s="389" t="str">
        <f t="shared" ref="C30:C38" si="23">D$6&amp;"."&amp;B30</f>
        <v>General Service 50 to 1,499 KW.DVA Disposition Rate Rider Group 1 -2025</v>
      </c>
      <c r="D30" s="390" t="s">
        <v>406</v>
      </c>
      <c r="E30" s="328"/>
      <c r="F30" s="408">
        <f>IFERROR(VLOOKUP($C30,'Proposed Rates'!$B:$J,F$11,FALSE),0)</f>
        <v>0.35310000000000002</v>
      </c>
      <c r="G30" s="409">
        <f t="shared" ref="G30:G36" si="24">IF($D30="Monthly",1,IF($D30="per KW",$F$10,IF($D30="per kWh",$F$9,0)))</f>
        <v>500</v>
      </c>
      <c r="H30" s="394">
        <f t="shared" ref="H30:H38" si="25">G30*F30</f>
        <v>176.55</v>
      </c>
      <c r="I30" s="138"/>
      <c r="J30" s="408">
        <f>IFERROR(VLOOKUP($C30,'Proposed Rates'!$B:$J,J$11,FALSE),0)</f>
        <v>1.2999999999999999E-2</v>
      </c>
      <c r="K30" s="409">
        <f t="shared" ref="K30:K36" si="26">IF($D30="Monthly",1,IF($D30="per KW",$F$10,IF($D30="per kWh",$F$9,0)))</f>
        <v>500</v>
      </c>
      <c r="L30" s="394">
        <f t="shared" ref="L30:L38" si="27">K30*J30</f>
        <v>6.5</v>
      </c>
      <c r="M30" s="138"/>
      <c r="N30" s="395">
        <f t="shared" si="5"/>
        <v>-170.05</v>
      </c>
      <c r="O30" s="396">
        <f t="shared" si="6"/>
        <v>-0.96318323421127161</v>
      </c>
      <c r="P30" s="53"/>
      <c r="Q30" s="408">
        <f>IFERROR(VLOOKUP($C30,'Proposed Rates'!$B:$J,Q$11,FALSE),0)</f>
        <v>0</v>
      </c>
      <c r="R30" s="409">
        <f t="shared" ref="R30:R36" si="28">IF($D30="Monthly",1,IF($D30="per KW",$F$10,IF($D30="per kWh",$F$9,0)))</f>
        <v>500</v>
      </c>
      <c r="S30" s="394">
        <f t="shared" ref="S30:S38" si="29">R30*Q30</f>
        <v>0</v>
      </c>
      <c r="T30" s="138"/>
      <c r="U30" s="395">
        <f t="shared" si="9"/>
        <v>-6.5</v>
      </c>
      <c r="V30" s="396">
        <f t="shared" si="10"/>
        <v>-1</v>
      </c>
      <c r="W30" s="53"/>
      <c r="X30" s="408">
        <f>IFERROR(VLOOKUP($C30,'Proposed Rates'!$B:$J,X$11,FALSE),0)</f>
        <v>0</v>
      </c>
      <c r="Y30" s="409">
        <f t="shared" ref="Y30:Y36" si="30">IF($D30="Monthly",1,IF($D30="per KW",$F$10,IF($D30="per kWh",$F$9,0)))</f>
        <v>500</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500</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500</v>
      </c>
      <c r="AN30" s="394">
        <f t="shared" ref="AN30:AN38" si="35">AM30*AL30</f>
        <v>0</v>
      </c>
      <c r="AO30" s="138"/>
      <c r="AP30" s="395">
        <f t="shared" si="21"/>
        <v>0</v>
      </c>
      <c r="AQ30" s="396" t="str">
        <f t="shared" si="22"/>
        <v/>
      </c>
      <c r="AR30" s="397"/>
    </row>
    <row r="31" spans="1:44" ht="12.75" customHeight="1">
      <c r="A31" s="53"/>
      <c r="B31" s="478" t="s">
        <v>264</v>
      </c>
      <c r="C31" s="389" t="str">
        <f t="shared" si="23"/>
        <v>General Service 50 to 1,499 KW.DVA Disposition Rate Rider Group 1 - 2024</v>
      </c>
      <c r="D31" s="390" t="s">
        <v>406</v>
      </c>
      <c r="E31" s="328"/>
      <c r="F31" s="408">
        <f>IFERROR(VLOOKUP($C31,'Proposed Rates'!$B:$J,F$11,FALSE),0)</f>
        <v>0</v>
      </c>
      <c r="G31" s="409">
        <f t="shared" si="24"/>
        <v>500</v>
      </c>
      <c r="H31" s="394">
        <f t="shared" si="25"/>
        <v>0</v>
      </c>
      <c r="I31" s="138"/>
      <c r="J31" s="408">
        <f>IFERROR(VLOOKUP($C31,'Proposed Rates'!$B:$J,J$11,FALSE),0)</f>
        <v>0</v>
      </c>
      <c r="K31" s="409">
        <f t="shared" si="26"/>
        <v>500</v>
      </c>
      <c r="L31" s="394">
        <f t="shared" si="27"/>
        <v>0</v>
      </c>
      <c r="M31" s="138"/>
      <c r="N31" s="395">
        <f t="shared" si="5"/>
        <v>0</v>
      </c>
      <c r="O31" s="396" t="str">
        <f t="shared" si="6"/>
        <v/>
      </c>
      <c r="P31" s="53"/>
      <c r="Q31" s="408">
        <f>IFERROR(VLOOKUP($C31,'Proposed Rates'!$B:$J,Q$11,FALSE),0)</f>
        <v>0</v>
      </c>
      <c r="R31" s="409">
        <f t="shared" si="28"/>
        <v>500</v>
      </c>
      <c r="S31" s="394">
        <f t="shared" si="29"/>
        <v>0</v>
      </c>
      <c r="T31" s="138"/>
      <c r="U31" s="395">
        <f t="shared" si="9"/>
        <v>0</v>
      </c>
      <c r="V31" s="396" t="str">
        <f t="shared" si="10"/>
        <v/>
      </c>
      <c r="W31" s="53"/>
      <c r="X31" s="408">
        <f>IFERROR(VLOOKUP($C31,'Proposed Rates'!$B:$J,X$11,FALSE),0)</f>
        <v>0</v>
      </c>
      <c r="Y31" s="409">
        <f t="shared" si="30"/>
        <v>500</v>
      </c>
      <c r="Z31" s="394">
        <f t="shared" si="31"/>
        <v>0</v>
      </c>
      <c r="AA31" s="138"/>
      <c r="AB31" s="395">
        <f t="shared" si="13"/>
        <v>0</v>
      </c>
      <c r="AC31" s="396" t="str">
        <f t="shared" si="14"/>
        <v/>
      </c>
      <c r="AD31" s="53"/>
      <c r="AE31" s="408">
        <f>IFERROR(VLOOKUP($C31,'Proposed Rates'!$B:$J,AE$11,FALSE),0)</f>
        <v>0</v>
      </c>
      <c r="AF31" s="409">
        <f t="shared" si="32"/>
        <v>500</v>
      </c>
      <c r="AG31" s="394">
        <f t="shared" si="33"/>
        <v>0</v>
      </c>
      <c r="AH31" s="138"/>
      <c r="AI31" s="395">
        <f t="shared" si="17"/>
        <v>0</v>
      </c>
      <c r="AJ31" s="396" t="str">
        <f t="shared" si="18"/>
        <v/>
      </c>
      <c r="AK31" s="53"/>
      <c r="AL31" s="408">
        <f>IFERROR(VLOOKUP($C31,'Proposed Rates'!$B:$J,AL$11,FALSE),0)</f>
        <v>0</v>
      </c>
      <c r="AM31" s="409">
        <f t="shared" si="34"/>
        <v>500</v>
      </c>
      <c r="AN31" s="394">
        <f t="shared" si="35"/>
        <v>0</v>
      </c>
      <c r="AO31" s="138"/>
      <c r="AP31" s="395">
        <f t="shared" si="21"/>
        <v>0</v>
      </c>
      <c r="AQ31" s="396" t="str">
        <f t="shared" si="22"/>
        <v/>
      </c>
      <c r="AR31" s="397"/>
    </row>
    <row r="32" spans="1:44" ht="12.75" customHeight="1">
      <c r="A32" s="53"/>
      <c r="B32" s="478" t="s">
        <v>272</v>
      </c>
      <c r="C32" s="389" t="str">
        <f t="shared" si="23"/>
        <v>General Service 50 to 1,499 KW.CBR Class B Rate Riders</v>
      </c>
      <c r="D32" s="390" t="s">
        <v>337</v>
      </c>
      <c r="E32" s="328"/>
      <c r="F32" s="408">
        <f>IFERROR(VLOOKUP($C32,'Proposed Rates'!$B:$J,F$11,FALSE),0)</f>
        <v>2.0000000000000001E-4</v>
      </c>
      <c r="G32" s="409">
        <f t="shared" si="24"/>
        <v>255500</v>
      </c>
      <c r="H32" s="394">
        <f t="shared" si="25"/>
        <v>51.1</v>
      </c>
      <c r="I32" s="479"/>
      <c r="J32" s="408">
        <f>IFERROR(VLOOKUP($C32,'Proposed Rates'!$B:$J,J$11,FALSE),0)</f>
        <v>6.9999999999999999E-4</v>
      </c>
      <c r="K32" s="409">
        <f t="shared" si="26"/>
        <v>255500</v>
      </c>
      <c r="L32" s="394">
        <f t="shared" si="27"/>
        <v>178.85</v>
      </c>
      <c r="M32" s="411"/>
      <c r="N32" s="395">
        <f t="shared" si="5"/>
        <v>127.75</v>
      </c>
      <c r="O32" s="396">
        <f t="shared" si="6"/>
        <v>2.5</v>
      </c>
      <c r="P32" s="53"/>
      <c r="Q32" s="408">
        <f>IFERROR(VLOOKUP($C32,'Proposed Rates'!$B:$J,Q$11,FALSE),0)</f>
        <v>0</v>
      </c>
      <c r="R32" s="409">
        <f t="shared" si="28"/>
        <v>255500</v>
      </c>
      <c r="S32" s="394">
        <f t="shared" si="29"/>
        <v>0</v>
      </c>
      <c r="T32" s="411"/>
      <c r="U32" s="395">
        <f t="shared" si="9"/>
        <v>-178.85</v>
      </c>
      <c r="V32" s="396">
        <f t="shared" si="10"/>
        <v>-1</v>
      </c>
      <c r="W32" s="53"/>
      <c r="X32" s="408">
        <f>IFERROR(VLOOKUP($C32,'Proposed Rates'!$B:$J,X$11,FALSE),0)</f>
        <v>0</v>
      </c>
      <c r="Y32" s="409">
        <f t="shared" si="30"/>
        <v>255500</v>
      </c>
      <c r="Z32" s="394">
        <f t="shared" si="31"/>
        <v>0</v>
      </c>
      <c r="AA32" s="138"/>
      <c r="AB32" s="395">
        <f t="shared" si="13"/>
        <v>0</v>
      </c>
      <c r="AC32" s="396" t="str">
        <f t="shared" si="14"/>
        <v/>
      </c>
      <c r="AD32" s="53"/>
      <c r="AE32" s="408">
        <f>IFERROR(VLOOKUP($C32,'Proposed Rates'!$B:$J,AE$11,FALSE),0)</f>
        <v>0</v>
      </c>
      <c r="AF32" s="409">
        <f t="shared" si="32"/>
        <v>255500</v>
      </c>
      <c r="AG32" s="394">
        <f t="shared" si="33"/>
        <v>0</v>
      </c>
      <c r="AH32" s="138"/>
      <c r="AI32" s="395">
        <f t="shared" si="17"/>
        <v>0</v>
      </c>
      <c r="AJ32" s="396" t="str">
        <f t="shared" si="18"/>
        <v/>
      </c>
      <c r="AK32" s="53"/>
      <c r="AL32" s="408">
        <f>IFERROR(VLOOKUP($C32,'Proposed Rates'!$B:$J,AL$11,FALSE),0)</f>
        <v>0</v>
      </c>
      <c r="AM32" s="409">
        <f t="shared" si="34"/>
        <v>255500</v>
      </c>
      <c r="AN32" s="394">
        <f t="shared" si="35"/>
        <v>0</v>
      </c>
      <c r="AO32" s="411"/>
      <c r="AP32" s="395">
        <f t="shared" si="21"/>
        <v>0</v>
      </c>
      <c r="AQ32" s="396" t="str">
        <f t="shared" si="22"/>
        <v/>
      </c>
      <c r="AR32" s="397"/>
    </row>
    <row r="33" spans="1:44" ht="12.75" customHeight="1">
      <c r="A33" s="53"/>
      <c r="B33" s="478" t="s">
        <v>279</v>
      </c>
      <c r="C33" s="389" t="str">
        <f t="shared" si="23"/>
        <v>General Service 50 to 1,499 KW.GA Rate Riders</v>
      </c>
      <c r="D33" s="390" t="s">
        <v>337</v>
      </c>
      <c r="E33" s="328"/>
      <c r="F33" s="408">
        <f>IFERROR(VLOOKUP($C33,'Proposed Rates'!$B:$J,F$11,FALSE),0)</f>
        <v>3.8999999999999998E-3</v>
      </c>
      <c r="G33" s="409">
        <f t="shared" si="24"/>
        <v>255500</v>
      </c>
      <c r="H33" s="394">
        <f t="shared" si="25"/>
        <v>996.44999999999993</v>
      </c>
      <c r="I33" s="479"/>
      <c r="J33" s="408">
        <f>IFERROR(VLOOKUP($C33,'Proposed Rates'!$B:$J,J$11,FALSE),0)</f>
        <v>4.4999999999999997E-3</v>
      </c>
      <c r="K33" s="409">
        <f t="shared" si="26"/>
        <v>255500</v>
      </c>
      <c r="L33" s="394">
        <f t="shared" si="27"/>
        <v>1149.75</v>
      </c>
      <c r="M33" s="411"/>
      <c r="N33" s="395">
        <f t="shared" si="5"/>
        <v>153.30000000000007</v>
      </c>
      <c r="O33" s="396">
        <f t="shared" si="6"/>
        <v>0.15384615384615394</v>
      </c>
      <c r="P33" s="53"/>
      <c r="Q33" s="408">
        <f>IFERROR(VLOOKUP($C33,'Proposed Rates'!$B:$J,Q$11,FALSE),0)</f>
        <v>4.4999999999999997E-3</v>
      </c>
      <c r="R33" s="409">
        <f t="shared" si="28"/>
        <v>255500</v>
      </c>
      <c r="S33" s="394">
        <f t="shared" si="29"/>
        <v>1149.75</v>
      </c>
      <c r="T33" s="411"/>
      <c r="U33" s="395">
        <f t="shared" si="9"/>
        <v>0</v>
      </c>
      <c r="V33" s="396">
        <f t="shared" si="10"/>
        <v>0</v>
      </c>
      <c r="W33" s="53"/>
      <c r="X33" s="408">
        <f>IFERROR(VLOOKUP($C33,'Proposed Rates'!$B:$J,X$11,FALSE),0)</f>
        <v>0</v>
      </c>
      <c r="Y33" s="409">
        <f t="shared" si="30"/>
        <v>255500</v>
      </c>
      <c r="Z33" s="394">
        <f t="shared" si="31"/>
        <v>0</v>
      </c>
      <c r="AA33" s="411"/>
      <c r="AB33" s="395">
        <f t="shared" si="13"/>
        <v>-1149.75</v>
      </c>
      <c r="AC33" s="396">
        <f t="shared" si="14"/>
        <v>-1</v>
      </c>
      <c r="AD33" s="53"/>
      <c r="AE33" s="408">
        <f>IFERROR(VLOOKUP($C33,'Proposed Rates'!$B:$J,AE$11,FALSE),0)</f>
        <v>0</v>
      </c>
      <c r="AF33" s="409">
        <f t="shared" si="32"/>
        <v>255500</v>
      </c>
      <c r="AG33" s="394">
        <f t="shared" si="33"/>
        <v>0</v>
      </c>
      <c r="AH33" s="411"/>
      <c r="AI33" s="395">
        <f t="shared" si="17"/>
        <v>0</v>
      </c>
      <c r="AJ33" s="396" t="str">
        <f t="shared" si="18"/>
        <v/>
      </c>
      <c r="AK33" s="53"/>
      <c r="AL33" s="408">
        <f>IFERROR(VLOOKUP($C33,'Proposed Rates'!$B:$J,AL$11,FALSE),0)</f>
        <v>0</v>
      </c>
      <c r="AM33" s="409">
        <f t="shared" si="34"/>
        <v>255500</v>
      </c>
      <c r="AN33" s="394">
        <f t="shared" si="35"/>
        <v>0</v>
      </c>
      <c r="AO33" s="411"/>
      <c r="AP33" s="395">
        <f t="shared" si="21"/>
        <v>0</v>
      </c>
      <c r="AQ33" s="396" t="str">
        <f t="shared" si="22"/>
        <v/>
      </c>
      <c r="AR33" s="397"/>
    </row>
    <row r="34" spans="1:44" ht="12.75" customHeight="1">
      <c r="A34" s="53"/>
      <c r="B34" s="478" t="s">
        <v>282</v>
      </c>
      <c r="C34" s="389" t="str">
        <f t="shared" si="23"/>
        <v>General Service 50 to 1,499 KW.Total Deferral/Variance Account Rate RidersYr2</v>
      </c>
      <c r="D34" s="390" t="s">
        <v>406</v>
      </c>
      <c r="E34" s="328"/>
      <c r="F34" s="408">
        <f>IFERROR(VLOOKUP($C34,'Proposed Rates'!$B:$J,F$11,FALSE),0)</f>
        <v>-0.30499999999999999</v>
      </c>
      <c r="G34" s="409">
        <f t="shared" si="24"/>
        <v>500</v>
      </c>
      <c r="H34" s="394">
        <f t="shared" si="25"/>
        <v>-152.5</v>
      </c>
      <c r="I34" s="479"/>
      <c r="J34" s="408">
        <f>IFERROR(VLOOKUP($C34,'Proposed Rates'!$B:$J,J$11,FALSE),0)</f>
        <v>-0.37569999999999998</v>
      </c>
      <c r="K34" s="409">
        <f t="shared" si="26"/>
        <v>500</v>
      </c>
      <c r="L34" s="394">
        <f t="shared" si="27"/>
        <v>-187.85</v>
      </c>
      <c r="M34" s="411"/>
      <c r="N34" s="395">
        <f t="shared" si="5"/>
        <v>-35.349999999999994</v>
      </c>
      <c r="O34" s="396">
        <f t="shared" si="6"/>
        <v>0.23180327868852454</v>
      </c>
      <c r="P34" s="53"/>
      <c r="Q34" s="408">
        <f>IFERROR(VLOOKUP($C34,'Proposed Rates'!$B:$J,Q$11,FALSE),0)</f>
        <v>0</v>
      </c>
      <c r="R34" s="409">
        <f t="shared" si="28"/>
        <v>500</v>
      </c>
      <c r="S34" s="394">
        <f t="shared" si="29"/>
        <v>0</v>
      </c>
      <c r="T34" s="411"/>
      <c r="U34" s="395">
        <f t="shared" si="9"/>
        <v>187.85</v>
      </c>
      <c r="V34" s="396">
        <f t="shared" si="10"/>
        <v>-1</v>
      </c>
      <c r="W34" s="53"/>
      <c r="X34" s="408">
        <f>IFERROR(VLOOKUP($C34,'Proposed Rates'!$B:$J,X$11,FALSE),0)</f>
        <v>0</v>
      </c>
      <c r="Y34" s="409">
        <f t="shared" si="30"/>
        <v>500</v>
      </c>
      <c r="Z34" s="394">
        <f t="shared" si="31"/>
        <v>0</v>
      </c>
      <c r="AA34" s="411"/>
      <c r="AB34" s="395">
        <f t="shared" si="13"/>
        <v>0</v>
      </c>
      <c r="AC34" s="396" t="str">
        <f t="shared" si="14"/>
        <v/>
      </c>
      <c r="AD34" s="53"/>
      <c r="AE34" s="408">
        <f>IFERROR(VLOOKUP($C34,'Proposed Rates'!$B:$J,AE$11,FALSE),0)</f>
        <v>0</v>
      </c>
      <c r="AF34" s="409">
        <f t="shared" si="32"/>
        <v>500</v>
      </c>
      <c r="AG34" s="394">
        <f t="shared" si="33"/>
        <v>0</v>
      </c>
      <c r="AH34" s="411"/>
      <c r="AI34" s="395">
        <f t="shared" si="17"/>
        <v>0</v>
      </c>
      <c r="AJ34" s="396" t="str">
        <f t="shared" si="18"/>
        <v/>
      </c>
      <c r="AK34" s="53"/>
      <c r="AL34" s="408">
        <f>IFERROR(VLOOKUP($C34,'Proposed Rates'!$B:$J,AL$11,FALSE),0)</f>
        <v>0</v>
      </c>
      <c r="AM34" s="409">
        <f t="shared" si="34"/>
        <v>500</v>
      </c>
      <c r="AN34" s="394">
        <f t="shared" si="35"/>
        <v>0</v>
      </c>
      <c r="AO34" s="411"/>
      <c r="AP34" s="395">
        <f t="shared" si="21"/>
        <v>0</v>
      </c>
      <c r="AQ34" s="396" t="str">
        <f t="shared" si="22"/>
        <v/>
      </c>
      <c r="AR34" s="397"/>
    </row>
    <row r="35" spans="1:44" ht="12.75" customHeight="1">
      <c r="A35" s="53"/>
      <c r="B35" s="478" t="s">
        <v>284</v>
      </c>
      <c r="C35" s="389" t="str">
        <f t="shared" si="23"/>
        <v>General Service 50 to 1,499 KW.Total Deferral/Variance Account Rate Riders</v>
      </c>
      <c r="D35" s="390" t="s">
        <v>406</v>
      </c>
      <c r="E35" s="328"/>
      <c r="F35" s="408">
        <f>IFERROR(VLOOKUP($C35,'Proposed Rates'!$B:$J,F$11,FALSE),0)</f>
        <v>0</v>
      </c>
      <c r="G35" s="409">
        <f t="shared" si="24"/>
        <v>500</v>
      </c>
      <c r="H35" s="394">
        <f t="shared" si="25"/>
        <v>0</v>
      </c>
      <c r="I35" s="138"/>
      <c r="J35" s="408">
        <f>IFERROR(VLOOKUP($C35,'Proposed Rates'!$B:$J,J$11,FALSE),0)</f>
        <v>0</v>
      </c>
      <c r="K35" s="409">
        <f t="shared" si="26"/>
        <v>500</v>
      </c>
      <c r="L35" s="394">
        <f t="shared" si="27"/>
        <v>0</v>
      </c>
      <c r="M35" s="138"/>
      <c r="N35" s="395">
        <f t="shared" si="5"/>
        <v>0</v>
      </c>
      <c r="O35" s="396" t="str">
        <f t="shared" si="6"/>
        <v/>
      </c>
      <c r="P35" s="53"/>
      <c r="Q35" s="408">
        <f>IFERROR(VLOOKUP($C35,'Proposed Rates'!$B:$J,Q$11,FALSE),0)</f>
        <v>0</v>
      </c>
      <c r="R35" s="409">
        <f t="shared" si="28"/>
        <v>500</v>
      </c>
      <c r="S35" s="394">
        <f t="shared" si="29"/>
        <v>0</v>
      </c>
      <c r="T35" s="138"/>
      <c r="U35" s="395">
        <f t="shared" si="9"/>
        <v>0</v>
      </c>
      <c r="V35" s="396" t="str">
        <f t="shared" si="10"/>
        <v/>
      </c>
      <c r="W35" s="53"/>
      <c r="X35" s="408">
        <f>IFERROR(VLOOKUP($C35,'Proposed Rates'!$B:$J,X$11,FALSE),0)</f>
        <v>0</v>
      </c>
      <c r="Y35" s="409">
        <f t="shared" si="30"/>
        <v>500</v>
      </c>
      <c r="Z35" s="394">
        <f t="shared" si="31"/>
        <v>0</v>
      </c>
      <c r="AA35" s="138"/>
      <c r="AB35" s="395">
        <f t="shared" si="13"/>
        <v>0</v>
      </c>
      <c r="AC35" s="396" t="str">
        <f t="shared" si="14"/>
        <v/>
      </c>
      <c r="AD35" s="53"/>
      <c r="AE35" s="408">
        <f>IFERROR(VLOOKUP($C35,'Proposed Rates'!$B:$J,AE$11,FALSE),0)</f>
        <v>0</v>
      </c>
      <c r="AF35" s="409">
        <f t="shared" si="32"/>
        <v>500</v>
      </c>
      <c r="AG35" s="394">
        <f t="shared" si="33"/>
        <v>0</v>
      </c>
      <c r="AH35" s="138"/>
      <c r="AI35" s="395">
        <f t="shared" si="17"/>
        <v>0</v>
      </c>
      <c r="AJ35" s="396" t="str">
        <f t="shared" si="18"/>
        <v/>
      </c>
      <c r="AK35" s="53"/>
      <c r="AL35" s="408">
        <f>IFERROR(VLOOKUP($C35,'Proposed Rates'!$B:$J,AL$11,FALSE),0)</f>
        <v>0</v>
      </c>
      <c r="AM35" s="409">
        <f t="shared" si="34"/>
        <v>500</v>
      </c>
      <c r="AN35" s="394">
        <f t="shared" si="35"/>
        <v>0</v>
      </c>
      <c r="AO35" s="138"/>
      <c r="AP35" s="395">
        <f t="shared" si="21"/>
        <v>0</v>
      </c>
      <c r="AQ35" s="396" t="str">
        <f t="shared" si="22"/>
        <v/>
      </c>
      <c r="AR35" s="397"/>
    </row>
    <row r="36" spans="1:44" ht="12.75" customHeight="1">
      <c r="A36" s="53"/>
      <c r="B36" s="328" t="s">
        <v>300</v>
      </c>
      <c r="C36" s="389" t="str">
        <f t="shared" si="23"/>
        <v>General Service 50 to 1,499 KW.Low Voltage Service Charge</v>
      </c>
      <c r="D36" s="390" t="s">
        <v>406</v>
      </c>
      <c r="E36" s="328"/>
      <c r="F36" s="408">
        <f>IFERROR(VLOOKUP($C36,'Proposed Rates'!$B:$J,F$11,FALSE),0)</f>
        <v>2.0629999999999999E-2</v>
      </c>
      <c r="G36" s="409">
        <f t="shared" si="24"/>
        <v>500</v>
      </c>
      <c r="H36" s="394">
        <f t="shared" si="25"/>
        <v>10.315</v>
      </c>
      <c r="I36" s="138"/>
      <c r="J36" s="408">
        <f>IFERROR(VLOOKUP($C36,'Proposed Rates'!$B:$J,J$11,FALSE),0)</f>
        <v>2.332E-2</v>
      </c>
      <c r="K36" s="409">
        <f t="shared" si="26"/>
        <v>500</v>
      </c>
      <c r="L36" s="394">
        <f t="shared" si="27"/>
        <v>11.66</v>
      </c>
      <c r="M36" s="138"/>
      <c r="N36" s="395">
        <f t="shared" si="5"/>
        <v>1.3450000000000006</v>
      </c>
      <c r="O36" s="396">
        <f t="shared" si="6"/>
        <v>0.13039263208919058</v>
      </c>
      <c r="P36" s="53"/>
      <c r="Q36" s="408">
        <f>IFERROR(VLOOKUP($C36,'Proposed Rates'!$B:$J,Q$11,FALSE),0)</f>
        <v>2.392E-2</v>
      </c>
      <c r="R36" s="409">
        <f t="shared" si="28"/>
        <v>500</v>
      </c>
      <c r="S36" s="394">
        <f t="shared" si="29"/>
        <v>11.96</v>
      </c>
      <c r="T36" s="138"/>
      <c r="U36" s="395">
        <f t="shared" si="9"/>
        <v>0.30000000000000071</v>
      </c>
      <c r="V36" s="396">
        <f t="shared" si="10"/>
        <v>2.5728987993138996E-2</v>
      </c>
      <c r="W36" s="53"/>
      <c r="X36" s="408">
        <f>IFERROR(VLOOKUP($C36,'Proposed Rates'!$B:$J,X$11,FALSE),0)</f>
        <v>2.4209999999999999E-2</v>
      </c>
      <c r="Y36" s="409">
        <f t="shared" si="30"/>
        <v>500</v>
      </c>
      <c r="Z36" s="394">
        <f t="shared" si="31"/>
        <v>12.104999999999999</v>
      </c>
      <c r="AA36" s="138"/>
      <c r="AB36" s="395">
        <f t="shared" si="13"/>
        <v>0.1449999999999978</v>
      </c>
      <c r="AC36" s="396">
        <f t="shared" si="14"/>
        <v>1.2123745819397808E-2</v>
      </c>
      <c r="AD36" s="53"/>
      <c r="AE36" s="408">
        <f>IFERROR(VLOOKUP($C36,'Proposed Rates'!$B:$J,AE$11,FALSE),0)</f>
        <v>2.46E-2</v>
      </c>
      <c r="AF36" s="409">
        <f t="shared" si="32"/>
        <v>500</v>
      </c>
      <c r="AG36" s="394">
        <f t="shared" si="33"/>
        <v>12.3</v>
      </c>
      <c r="AH36" s="138"/>
      <c r="AI36" s="395">
        <f t="shared" si="17"/>
        <v>0.19500000000000206</v>
      </c>
      <c r="AJ36" s="396">
        <f t="shared" si="18"/>
        <v>1.6109045848822973E-2</v>
      </c>
      <c r="AK36" s="53"/>
      <c r="AL36" s="408">
        <f>IFERROR(VLOOKUP($C36,'Proposed Rates'!$B:$J,AL$11,FALSE),0)</f>
        <v>2.504E-2</v>
      </c>
      <c r="AM36" s="409">
        <f t="shared" si="34"/>
        <v>500</v>
      </c>
      <c r="AN36" s="394">
        <f t="shared" si="35"/>
        <v>12.52</v>
      </c>
      <c r="AO36" s="138"/>
      <c r="AP36" s="395">
        <f t="shared" si="21"/>
        <v>0.21999999999999886</v>
      </c>
      <c r="AQ36" s="396">
        <f t="shared" si="22"/>
        <v>1.7886178861788525E-2</v>
      </c>
      <c r="AR36" s="397"/>
    </row>
    <row r="37" spans="1:44" ht="12.75" customHeight="1">
      <c r="A37" s="53"/>
      <c r="B37" s="328" t="s">
        <v>341</v>
      </c>
      <c r="C37" s="389" t="str">
        <f t="shared" si="23"/>
        <v>General Service 50 to 1,499 KW.Line Losses on Cost of Power</v>
      </c>
      <c r="D37" s="390" t="s">
        <v>337</v>
      </c>
      <c r="E37" s="328"/>
      <c r="F37" s="424"/>
      <c r="G37" s="415">
        <f>$F$9*(1+F$65)-$F$9</f>
        <v>8635.9000000000233</v>
      </c>
      <c r="H37" s="394">
        <f t="shared" si="25"/>
        <v>0</v>
      </c>
      <c r="I37" s="138"/>
      <c r="J37" s="424"/>
      <c r="K37" s="415">
        <f>$F$9*(1+J$65)-$F$9</f>
        <v>8482.5999999999767</v>
      </c>
      <c r="L37" s="394">
        <f t="shared" si="27"/>
        <v>0</v>
      </c>
      <c r="M37" s="138"/>
      <c r="N37" s="395">
        <f t="shared" si="5"/>
        <v>0</v>
      </c>
      <c r="O37" s="396" t="str">
        <f t="shared" si="6"/>
        <v/>
      </c>
      <c r="P37" s="53"/>
      <c r="Q37" s="424"/>
      <c r="R37" s="415">
        <f>$F$9*(1+Q$65)-$F$9</f>
        <v>8482.5999999999767</v>
      </c>
      <c r="S37" s="394">
        <f t="shared" si="29"/>
        <v>0</v>
      </c>
      <c r="T37" s="138"/>
      <c r="U37" s="395">
        <f t="shared" si="9"/>
        <v>0</v>
      </c>
      <c r="V37" s="396" t="str">
        <f t="shared" si="10"/>
        <v/>
      </c>
      <c r="W37" s="53"/>
      <c r="X37" s="424"/>
      <c r="Y37" s="415">
        <f>$F$9*(1+X$65)-$F$9</f>
        <v>8482.5999999999767</v>
      </c>
      <c r="Z37" s="394">
        <f t="shared" si="31"/>
        <v>0</v>
      </c>
      <c r="AA37" s="138"/>
      <c r="AB37" s="395">
        <f t="shared" si="13"/>
        <v>0</v>
      </c>
      <c r="AC37" s="396" t="str">
        <f t="shared" si="14"/>
        <v/>
      </c>
      <c r="AD37" s="53"/>
      <c r="AE37" s="424"/>
      <c r="AF37" s="415">
        <f>$F$9*(1+AE$65)-$F$9</f>
        <v>8482.5999999999767</v>
      </c>
      <c r="AG37" s="394">
        <f t="shared" si="33"/>
        <v>0</v>
      </c>
      <c r="AH37" s="138"/>
      <c r="AI37" s="395">
        <f t="shared" si="17"/>
        <v>0</v>
      </c>
      <c r="AJ37" s="396" t="str">
        <f t="shared" si="18"/>
        <v/>
      </c>
      <c r="AK37" s="53"/>
      <c r="AL37" s="424"/>
      <c r="AM37" s="415">
        <f>$F$9*(1+AL$65)-$F$9</f>
        <v>8482.5999999999767</v>
      </c>
      <c r="AN37" s="394">
        <f t="shared" si="35"/>
        <v>0</v>
      </c>
      <c r="AO37" s="138"/>
      <c r="AP37" s="395">
        <f t="shared" si="21"/>
        <v>0</v>
      </c>
      <c r="AQ37" s="396" t="str">
        <f t="shared" si="22"/>
        <v/>
      </c>
      <c r="AR37" s="397"/>
    </row>
    <row r="38" spans="1:44" ht="12.75" customHeight="1">
      <c r="A38" s="53"/>
      <c r="B38" s="328" t="s">
        <v>302</v>
      </c>
      <c r="C38" s="389" t="str">
        <f t="shared" si="23"/>
        <v>General Service 50 to 1,499 KW.Smart Meter Entity Charge</v>
      </c>
      <c r="D38" s="390" t="s">
        <v>335</v>
      </c>
      <c r="E38" s="328"/>
      <c r="F38" s="408">
        <f>IFERROR(VLOOKUP($C38,'Proposed Rates'!$B:$J,F$11,FALSE),0)</f>
        <v>0</v>
      </c>
      <c r="G38" s="409">
        <f>IF($D38="Monthly",1,IF($D38="per KW",$F$10,IF($D38="per kWh",$F$9,0)))</f>
        <v>1</v>
      </c>
      <c r="H38" s="394">
        <f t="shared" si="25"/>
        <v>0</v>
      </c>
      <c r="I38" s="138"/>
      <c r="J38" s="408">
        <f>IFERROR(VLOOKUP($C38,'Proposed Rates'!$B:$J,J$11,FALSE),0)</f>
        <v>0</v>
      </c>
      <c r="K38" s="409">
        <f>IF($D38="Monthly",1,IF($D38="per KW",$F$10,IF($D38="per kWh",$F$9,0)))</f>
        <v>1</v>
      </c>
      <c r="L38" s="394">
        <f t="shared" si="27"/>
        <v>0</v>
      </c>
      <c r="M38" s="138"/>
      <c r="N38" s="395">
        <f t="shared" si="5"/>
        <v>0</v>
      </c>
      <c r="O38" s="396" t="str">
        <f t="shared" si="6"/>
        <v/>
      </c>
      <c r="P38" s="53"/>
      <c r="Q38" s="408">
        <f>IFERROR(VLOOKUP($C38,'Proposed Rates'!$B:$J,Q$11,FALSE),0)</f>
        <v>0</v>
      </c>
      <c r="R38" s="409">
        <f>IF($D38="Monthly",1,IF($D38="per KW",$F$10,IF($D38="per kWh",$F$9,0)))</f>
        <v>1</v>
      </c>
      <c r="S38" s="394">
        <f t="shared" si="29"/>
        <v>0</v>
      </c>
      <c r="T38" s="138"/>
      <c r="U38" s="395">
        <f t="shared" si="9"/>
        <v>0</v>
      </c>
      <c r="V38" s="396" t="str">
        <f t="shared" si="10"/>
        <v/>
      </c>
      <c r="W38" s="53"/>
      <c r="X38" s="408">
        <f>IFERROR(VLOOKUP($C38,'Proposed Rates'!$B:$J,X$11,FALSE),0)</f>
        <v>0</v>
      </c>
      <c r="Y38" s="409">
        <f>IF($D38="Monthly",1,IF($D38="per KW",$F$10,IF($D38="per kWh",$F$9,0)))</f>
        <v>1</v>
      </c>
      <c r="Z38" s="394">
        <f t="shared" si="31"/>
        <v>0</v>
      </c>
      <c r="AA38" s="138"/>
      <c r="AB38" s="395">
        <f t="shared" si="13"/>
        <v>0</v>
      </c>
      <c r="AC38" s="396" t="str">
        <f t="shared" si="14"/>
        <v/>
      </c>
      <c r="AD38" s="53"/>
      <c r="AE38" s="408">
        <f>IFERROR(VLOOKUP($C38,'Proposed Rates'!$B:$J,AE$11,FALSE),0)</f>
        <v>0</v>
      </c>
      <c r="AF38" s="409">
        <f>IF($D38="Monthly",1,IF($D38="per KW",$F$10,IF($D38="per kWh",$F$9,0)))</f>
        <v>1</v>
      </c>
      <c r="AG38" s="394">
        <f t="shared" si="33"/>
        <v>0</v>
      </c>
      <c r="AH38" s="138"/>
      <c r="AI38" s="395">
        <f t="shared" si="17"/>
        <v>0</v>
      </c>
      <c r="AJ38" s="396" t="str">
        <f t="shared" si="18"/>
        <v/>
      </c>
      <c r="AK38" s="53"/>
      <c r="AL38" s="408">
        <f>IFERROR(VLOOKUP($C38,'Proposed Rates'!$B:$J,AL$11,FALSE),0)</f>
        <v>0</v>
      </c>
      <c r="AM38" s="409">
        <f>IF($D38="Monthly",1,IF($D38="per KW",$F$10,IF($D38="per kWh",$F$9,0)))</f>
        <v>1</v>
      </c>
      <c r="AN38" s="394">
        <f t="shared" si="35"/>
        <v>0</v>
      </c>
      <c r="AO38" s="138"/>
      <c r="AP38" s="395">
        <f t="shared" si="21"/>
        <v>0</v>
      </c>
      <c r="AQ38" s="396" t="str">
        <f t="shared" si="22"/>
        <v/>
      </c>
      <c r="AR38" s="397"/>
    </row>
    <row r="39" spans="1:44" ht="12.75" customHeight="1">
      <c r="A39" s="53"/>
      <c r="B39" s="480" t="s">
        <v>342</v>
      </c>
      <c r="C39" s="416"/>
      <c r="D39" s="416"/>
      <c r="E39" s="416"/>
      <c r="F39" s="417"/>
      <c r="G39" s="495"/>
      <c r="H39" s="403">
        <f>SUM(H30:H38)+H29</f>
        <v>4435.7150000000001</v>
      </c>
      <c r="I39" s="419"/>
      <c r="J39" s="417"/>
      <c r="K39" s="495"/>
      <c r="L39" s="403">
        <f>SUM(L30:L38)+L29</f>
        <v>5280.09</v>
      </c>
      <c r="M39" s="419"/>
      <c r="N39" s="405">
        <f t="shared" si="5"/>
        <v>844.375</v>
      </c>
      <c r="O39" s="406">
        <f t="shared" si="6"/>
        <v>0.19035826242217996</v>
      </c>
      <c r="P39" s="53"/>
      <c r="Q39" s="417"/>
      <c r="R39" s="495"/>
      <c r="S39" s="403">
        <f>SUM(S30:S38)+S29</f>
        <v>5641.34</v>
      </c>
      <c r="T39" s="419"/>
      <c r="U39" s="405">
        <f t="shared" si="9"/>
        <v>361.25</v>
      </c>
      <c r="V39" s="406">
        <f t="shared" si="10"/>
        <v>6.841739440047423E-2</v>
      </c>
      <c r="W39" s="53"/>
      <c r="X39" s="417"/>
      <c r="Y39" s="495"/>
      <c r="Z39" s="403">
        <f>SUM(Z30:Z38)+Z29</f>
        <v>4565.7549999999992</v>
      </c>
      <c r="AA39" s="419"/>
      <c r="AB39" s="405">
        <f t="shared" si="13"/>
        <v>-1075.5850000000009</v>
      </c>
      <c r="AC39" s="406">
        <f t="shared" si="14"/>
        <v>-0.19066126133152778</v>
      </c>
      <c r="AD39" s="53"/>
      <c r="AE39" s="417"/>
      <c r="AF39" s="495"/>
      <c r="AG39" s="403">
        <f>SUM(AG30:AG38)+AG29</f>
        <v>4731.6000000000004</v>
      </c>
      <c r="AH39" s="419"/>
      <c r="AI39" s="405">
        <f t="shared" si="17"/>
        <v>165.84500000000116</v>
      </c>
      <c r="AJ39" s="406">
        <f t="shared" si="18"/>
        <v>3.6323674835816028E-2</v>
      </c>
      <c r="AK39" s="53"/>
      <c r="AL39" s="417"/>
      <c r="AM39" s="495"/>
      <c r="AN39" s="403">
        <f>SUM(AN30:AN38)+AN29</f>
        <v>4883.3200000000006</v>
      </c>
      <c r="AO39" s="419"/>
      <c r="AP39" s="405">
        <f t="shared" si="21"/>
        <v>151.72000000000025</v>
      </c>
      <c r="AQ39" s="406">
        <f t="shared" si="22"/>
        <v>3.2065263335869523E-2</v>
      </c>
      <c r="AR39" s="407"/>
    </row>
    <row r="40" spans="1:44" ht="12.75" customHeight="1">
      <c r="A40" s="53"/>
      <c r="B40" s="138" t="s">
        <v>285</v>
      </c>
      <c r="C40" s="389" t="str">
        <f t="shared" ref="C40:C41" si="36">D$6&amp;"."&amp;B40</f>
        <v>General Service 50 to 1,499 KW.RTSR - Network</v>
      </c>
      <c r="D40" s="420" t="s">
        <v>406</v>
      </c>
      <c r="E40" s="138"/>
      <c r="F40" s="408">
        <f>IFERROR(VLOOKUP($C40,'Proposed Rates'!$B:$J,F$11,FALSE),0)</f>
        <v>4.8479999999999999</v>
      </c>
      <c r="G40" s="409">
        <f t="shared" ref="G40:G41" si="37">IF($D40="Monthly",1,IF($D40="per KW",$F$10,IF($D40="per kWh",$F$9,0)))</f>
        <v>500</v>
      </c>
      <c r="H40" s="394">
        <f t="shared" ref="H40:H41" si="38">G40*F40</f>
        <v>2424</v>
      </c>
      <c r="I40" s="138"/>
      <c r="J40" s="408">
        <f>IFERROR(VLOOKUP($C40,'Proposed Rates'!$B:$J,J$11,FALSE),0)</f>
        <v>4.5787000000000004</v>
      </c>
      <c r="K40" s="409">
        <f t="shared" ref="K40:K41" si="39">IF($D40="Monthly",1,IF($D40="per KW",$F$10,IF($D40="per kWh",$F$9,0)))</f>
        <v>500</v>
      </c>
      <c r="L40" s="394">
        <f t="shared" ref="L40:L41" si="40">K40*J40</f>
        <v>2289.3500000000004</v>
      </c>
      <c r="M40" s="138"/>
      <c r="N40" s="395">
        <f t="shared" si="5"/>
        <v>-134.64999999999964</v>
      </c>
      <c r="O40" s="396">
        <f t="shared" si="6"/>
        <v>-5.5548679867986651E-2</v>
      </c>
      <c r="P40" s="53"/>
      <c r="Q40" s="408">
        <f>IFERROR(VLOOKUP($C40,'Proposed Rates'!$B:$J,Q$11,FALSE),0)</f>
        <v>4.5787000000000004</v>
      </c>
      <c r="R40" s="409">
        <f t="shared" ref="R40:R41" si="41">IF($D40="Monthly",1,IF($D40="per KW",$F$10,IF($D40="per kWh",$F$9,0)))</f>
        <v>500</v>
      </c>
      <c r="S40" s="394">
        <f t="shared" ref="S40:S41" si="42">R40*Q40</f>
        <v>2289.3500000000004</v>
      </c>
      <c r="T40" s="138"/>
      <c r="U40" s="395">
        <f t="shared" si="9"/>
        <v>0</v>
      </c>
      <c r="V40" s="396">
        <f t="shared" si="10"/>
        <v>0</v>
      </c>
      <c r="W40" s="53"/>
      <c r="X40" s="408">
        <f>IFERROR(VLOOKUP($C40,'Proposed Rates'!$B:$J,X$11,FALSE),0)</f>
        <v>4.5787000000000004</v>
      </c>
      <c r="Y40" s="409">
        <f t="shared" ref="Y40:Y41" si="43">IF($D40="Monthly",1,IF($D40="per KW",$F$10,IF($D40="per kWh",$F$9,0)))</f>
        <v>500</v>
      </c>
      <c r="Z40" s="394">
        <f t="shared" ref="Z40:Z41" si="44">Y40*X40</f>
        <v>2289.3500000000004</v>
      </c>
      <c r="AA40" s="138"/>
      <c r="AB40" s="395">
        <f t="shared" si="13"/>
        <v>0</v>
      </c>
      <c r="AC40" s="396">
        <f t="shared" si="14"/>
        <v>0</v>
      </c>
      <c r="AD40" s="53"/>
      <c r="AE40" s="408">
        <f>IFERROR(VLOOKUP($C40,'Proposed Rates'!$B:$J,AE$11,FALSE),0)</f>
        <v>4.5787000000000004</v>
      </c>
      <c r="AF40" s="409">
        <f t="shared" ref="AF40:AF41" si="45">IF($D40="Monthly",1,IF($D40="per KW",$F$10,IF($D40="per kWh",$F$9,0)))</f>
        <v>500</v>
      </c>
      <c r="AG40" s="394">
        <f t="shared" ref="AG40:AG41" si="46">AF40*AE40</f>
        <v>2289.3500000000004</v>
      </c>
      <c r="AH40" s="138"/>
      <c r="AI40" s="395">
        <f t="shared" si="17"/>
        <v>0</v>
      </c>
      <c r="AJ40" s="396">
        <f t="shared" si="18"/>
        <v>0</v>
      </c>
      <c r="AK40" s="53"/>
      <c r="AL40" s="408">
        <f>IFERROR(VLOOKUP($C40,'Proposed Rates'!$B:$J,AL$11,FALSE),0)</f>
        <v>4.5787000000000004</v>
      </c>
      <c r="AM40" s="409">
        <f t="shared" ref="AM40:AM41" si="47">IF($D40="Monthly",1,IF($D40="per KW",$F$10,IF($D40="per kWh",$F$9,0)))</f>
        <v>500</v>
      </c>
      <c r="AN40" s="394">
        <f t="shared" ref="AN40:AN41" si="48">AM40*AL40</f>
        <v>2289.3500000000004</v>
      </c>
      <c r="AO40" s="138"/>
      <c r="AP40" s="395">
        <f t="shared" si="21"/>
        <v>0</v>
      </c>
      <c r="AQ40" s="396">
        <f t="shared" si="22"/>
        <v>0</v>
      </c>
      <c r="AR40" s="397"/>
    </row>
    <row r="41" spans="1:44" ht="12.75" customHeight="1">
      <c r="A41" s="53"/>
      <c r="B41" s="481" t="s">
        <v>288</v>
      </c>
      <c r="C41" s="389" t="str">
        <f t="shared" si="36"/>
        <v>General Service 50 to 1,499 KW.RTSR - Line and Transformation Connection</v>
      </c>
      <c r="D41" s="420" t="s">
        <v>406</v>
      </c>
      <c r="E41" s="138"/>
      <c r="F41" s="408">
        <f>IFERROR(VLOOKUP($C41,'Proposed Rates'!$B:$J,F$11,FALSE),0)</f>
        <v>2.8187000000000002</v>
      </c>
      <c r="G41" s="409">
        <f t="shared" si="37"/>
        <v>500</v>
      </c>
      <c r="H41" s="394">
        <f t="shared" si="38"/>
        <v>1409.3500000000001</v>
      </c>
      <c r="I41" s="138"/>
      <c r="J41" s="408">
        <f>IFERROR(VLOOKUP($C41,'Proposed Rates'!$B:$J,J$11,FALSE),0)</f>
        <v>2.5918000000000001</v>
      </c>
      <c r="K41" s="409">
        <f t="shared" si="39"/>
        <v>500</v>
      </c>
      <c r="L41" s="394">
        <f t="shared" si="40"/>
        <v>1295.9000000000001</v>
      </c>
      <c r="M41" s="138"/>
      <c r="N41" s="395">
        <f t="shared" si="5"/>
        <v>-113.45000000000005</v>
      </c>
      <c r="O41" s="396">
        <f t="shared" si="6"/>
        <v>-8.0498101961897356E-2</v>
      </c>
      <c r="P41" s="53"/>
      <c r="Q41" s="408">
        <f>IFERROR(VLOOKUP($C41,'Proposed Rates'!$B:$J,Q$11,FALSE),0)</f>
        <v>2.5918000000000001</v>
      </c>
      <c r="R41" s="409">
        <f t="shared" si="41"/>
        <v>500</v>
      </c>
      <c r="S41" s="394">
        <f t="shared" si="42"/>
        <v>1295.9000000000001</v>
      </c>
      <c r="T41" s="138"/>
      <c r="U41" s="395">
        <f t="shared" si="9"/>
        <v>0</v>
      </c>
      <c r="V41" s="396">
        <f t="shared" si="10"/>
        <v>0</v>
      </c>
      <c r="W41" s="53"/>
      <c r="X41" s="408">
        <f>IFERROR(VLOOKUP($C41,'Proposed Rates'!$B:$J,X$11,FALSE),0)</f>
        <v>2.5918000000000001</v>
      </c>
      <c r="Y41" s="409">
        <f t="shared" si="43"/>
        <v>500</v>
      </c>
      <c r="Z41" s="394">
        <f t="shared" si="44"/>
        <v>1295.9000000000001</v>
      </c>
      <c r="AA41" s="138"/>
      <c r="AB41" s="395">
        <f t="shared" si="13"/>
        <v>0</v>
      </c>
      <c r="AC41" s="396">
        <f t="shared" si="14"/>
        <v>0</v>
      </c>
      <c r="AD41" s="53"/>
      <c r="AE41" s="408">
        <f>IFERROR(VLOOKUP($C41,'Proposed Rates'!$B:$J,AE$11,FALSE),0)</f>
        <v>2.5918000000000001</v>
      </c>
      <c r="AF41" s="409">
        <f t="shared" si="45"/>
        <v>500</v>
      </c>
      <c r="AG41" s="394">
        <f t="shared" si="46"/>
        <v>1295.9000000000001</v>
      </c>
      <c r="AH41" s="138"/>
      <c r="AI41" s="395">
        <f t="shared" si="17"/>
        <v>0</v>
      </c>
      <c r="AJ41" s="396">
        <f t="shared" si="18"/>
        <v>0</v>
      </c>
      <c r="AK41" s="53"/>
      <c r="AL41" s="408">
        <f>IFERROR(VLOOKUP($C41,'Proposed Rates'!$B:$J,AL$11,FALSE),0)</f>
        <v>2.5918000000000001</v>
      </c>
      <c r="AM41" s="409">
        <f t="shared" si="47"/>
        <v>500</v>
      </c>
      <c r="AN41" s="394">
        <f t="shared" si="48"/>
        <v>1295.9000000000001</v>
      </c>
      <c r="AO41" s="138"/>
      <c r="AP41" s="395">
        <f t="shared" si="21"/>
        <v>0</v>
      </c>
      <c r="AQ41" s="396">
        <f t="shared" si="22"/>
        <v>0</v>
      </c>
      <c r="AR41" s="397"/>
    </row>
    <row r="42" spans="1:44" ht="12.75" customHeight="1">
      <c r="A42" s="53"/>
      <c r="B42" s="480" t="s">
        <v>343</v>
      </c>
      <c r="C42" s="421"/>
      <c r="D42" s="421"/>
      <c r="E42" s="421"/>
      <c r="F42" s="422"/>
      <c r="G42" s="495"/>
      <c r="H42" s="403">
        <f>SUM(H39:H41)</f>
        <v>8269.0650000000005</v>
      </c>
      <c r="I42" s="404"/>
      <c r="J42" s="422"/>
      <c r="K42" s="495"/>
      <c r="L42" s="403">
        <f>SUM(L39:L41)</f>
        <v>8865.34</v>
      </c>
      <c r="M42" s="404"/>
      <c r="N42" s="405">
        <f t="shared" si="5"/>
        <v>596.27499999999964</v>
      </c>
      <c r="O42" s="406">
        <f t="shared" si="6"/>
        <v>7.2109119954916256E-2</v>
      </c>
      <c r="P42" s="53"/>
      <c r="Q42" s="422"/>
      <c r="R42" s="495"/>
      <c r="S42" s="403">
        <f>SUM(S39:S41)</f>
        <v>9226.59</v>
      </c>
      <c r="T42" s="404"/>
      <c r="U42" s="405">
        <f t="shared" si="9"/>
        <v>361.25</v>
      </c>
      <c r="V42" s="406">
        <f t="shared" si="10"/>
        <v>4.0748578170718773E-2</v>
      </c>
      <c r="W42" s="53"/>
      <c r="X42" s="422"/>
      <c r="Y42" s="495"/>
      <c r="Z42" s="403">
        <f>SUM(Z39:Z41)</f>
        <v>8151.0049999999992</v>
      </c>
      <c r="AA42" s="404"/>
      <c r="AB42" s="405">
        <f t="shared" si="13"/>
        <v>-1075.5850000000009</v>
      </c>
      <c r="AC42" s="406">
        <f t="shared" si="14"/>
        <v>-0.11657448743251851</v>
      </c>
      <c r="AD42" s="53"/>
      <c r="AE42" s="422"/>
      <c r="AF42" s="495"/>
      <c r="AG42" s="403">
        <f>SUM(AG39:AG41)</f>
        <v>8316.85</v>
      </c>
      <c r="AH42" s="404"/>
      <c r="AI42" s="405">
        <f t="shared" si="17"/>
        <v>165.84500000000116</v>
      </c>
      <c r="AJ42" s="406">
        <f t="shared" si="18"/>
        <v>2.0346570760292892E-2</v>
      </c>
      <c r="AK42" s="53"/>
      <c r="AL42" s="422"/>
      <c r="AM42" s="495"/>
      <c r="AN42" s="403">
        <f>SUM(AN39:AN41)</f>
        <v>8468.5700000000015</v>
      </c>
      <c r="AO42" s="404"/>
      <c r="AP42" s="405">
        <f t="shared" si="21"/>
        <v>151.72000000000116</v>
      </c>
      <c r="AQ42" s="406">
        <f t="shared" si="22"/>
        <v>1.8242483632625473E-2</v>
      </c>
      <c r="AR42" s="407"/>
    </row>
    <row r="43" spans="1:44" ht="12.75" customHeight="1">
      <c r="A43" s="53"/>
      <c r="B43" s="482" t="s">
        <v>289</v>
      </c>
      <c r="C43" s="389" t="str">
        <f t="shared" ref="C43:C45" si="49">D$6&amp;"."&amp;B43</f>
        <v>General Service 50 to 1,499 KW.Wholesale Market Service Charge (WMSC)</v>
      </c>
      <c r="D43" s="390" t="s">
        <v>337</v>
      </c>
      <c r="E43" s="328"/>
      <c r="F43" s="408">
        <f>IFERROR(VLOOKUP($C43,'Proposed Rates'!$B:$J,F$11,FALSE),0)</f>
        <v>4.4999999999999997E-3</v>
      </c>
      <c r="G43" s="415">
        <f t="shared" ref="G43:G44" si="50">$F$9+G$37</f>
        <v>264135.90000000002</v>
      </c>
      <c r="H43" s="394">
        <f t="shared" ref="H43:H46" si="51">G43*F43</f>
        <v>1188.6115500000001</v>
      </c>
      <c r="I43" s="138"/>
      <c r="J43" s="408">
        <f>IFERROR(VLOOKUP($C43,'Proposed Rates'!$B:$J,J$11,FALSE),0)</f>
        <v>4.7000000000000002E-3</v>
      </c>
      <c r="K43" s="415">
        <f t="shared" ref="K43:K44" si="52">$F$9+K$37</f>
        <v>263982.59999999998</v>
      </c>
      <c r="L43" s="394">
        <f t="shared" ref="L43:L46" si="53">K43*J43</f>
        <v>1240.71822</v>
      </c>
      <c r="M43" s="138"/>
      <c r="N43" s="395">
        <f t="shared" si="5"/>
        <v>52.106669999999895</v>
      </c>
      <c r="O43" s="396">
        <f t="shared" si="6"/>
        <v>4.3838266589282165E-2</v>
      </c>
      <c r="P43" s="53"/>
      <c r="Q43" s="408">
        <f>IFERROR(VLOOKUP($C43,'Proposed Rates'!$B:$J,Q$11,FALSE),0)</f>
        <v>4.7000000000000002E-3</v>
      </c>
      <c r="R43" s="415">
        <f t="shared" ref="R43:R44" si="54">$F$9+R$37</f>
        <v>263982.59999999998</v>
      </c>
      <c r="S43" s="394">
        <f t="shared" ref="S43:S46" si="55">R43*Q43</f>
        <v>1240.71822</v>
      </c>
      <c r="T43" s="138"/>
      <c r="U43" s="395">
        <f t="shared" si="9"/>
        <v>0</v>
      </c>
      <c r="V43" s="396">
        <f t="shared" si="10"/>
        <v>0</v>
      </c>
      <c r="W43" s="53"/>
      <c r="X43" s="408">
        <f>IFERROR(VLOOKUP($C43,'Proposed Rates'!$B:$J,X$11,FALSE),0)</f>
        <v>4.7000000000000002E-3</v>
      </c>
      <c r="Y43" s="415">
        <f t="shared" ref="Y43:Y44" si="56">$F$9+Y$37</f>
        <v>263982.59999999998</v>
      </c>
      <c r="Z43" s="394">
        <f t="shared" ref="Z43:Z46" si="57">Y43*X43</f>
        <v>1240.71822</v>
      </c>
      <c r="AA43" s="138"/>
      <c r="AB43" s="395">
        <f t="shared" si="13"/>
        <v>0</v>
      </c>
      <c r="AC43" s="396">
        <f t="shared" si="14"/>
        <v>0</v>
      </c>
      <c r="AD43" s="53"/>
      <c r="AE43" s="408">
        <f>IFERROR(VLOOKUP($C43,'Proposed Rates'!$B:$J,AE$11,FALSE),0)</f>
        <v>4.7000000000000002E-3</v>
      </c>
      <c r="AF43" s="415">
        <f t="shared" ref="AF43:AF44" si="58">$F$9+AF$37</f>
        <v>263982.59999999998</v>
      </c>
      <c r="AG43" s="394">
        <f t="shared" ref="AG43:AG46" si="59">AF43*AE43</f>
        <v>1240.71822</v>
      </c>
      <c r="AH43" s="138"/>
      <c r="AI43" s="395">
        <f t="shared" si="17"/>
        <v>0</v>
      </c>
      <c r="AJ43" s="396">
        <f t="shared" si="18"/>
        <v>0</v>
      </c>
      <c r="AK43" s="53"/>
      <c r="AL43" s="408">
        <f>IFERROR(VLOOKUP($C43,'Proposed Rates'!$B:$J,AL$11,FALSE),0)</f>
        <v>4.7000000000000002E-3</v>
      </c>
      <c r="AM43" s="415">
        <f t="shared" ref="AM43:AM44" si="60">$F$9+AM$37</f>
        <v>263982.59999999998</v>
      </c>
      <c r="AN43" s="394">
        <f t="shared" ref="AN43:AN46" si="61">AM43*AL43</f>
        <v>1240.71822</v>
      </c>
      <c r="AO43" s="138"/>
      <c r="AP43" s="395">
        <f t="shared" si="21"/>
        <v>0</v>
      </c>
      <c r="AQ43" s="396">
        <f t="shared" si="22"/>
        <v>0</v>
      </c>
      <c r="AR43" s="397"/>
    </row>
    <row r="44" spans="1:44" ht="12.75" customHeight="1">
      <c r="A44" s="53"/>
      <c r="B44" s="482" t="s">
        <v>290</v>
      </c>
      <c r="C44" s="389" t="str">
        <f t="shared" si="49"/>
        <v>General Service 50 to 1,499 KW.Rural and Remote Rate Protection (RRRP)</v>
      </c>
      <c r="D44" s="390" t="s">
        <v>337</v>
      </c>
      <c r="E44" s="328"/>
      <c r="F44" s="408">
        <f>IFERROR(VLOOKUP($C44,'Proposed Rates'!$B:$J,F$11,FALSE),0)</f>
        <v>1.5E-3</v>
      </c>
      <c r="G44" s="415">
        <f t="shared" si="50"/>
        <v>264135.90000000002</v>
      </c>
      <c r="H44" s="394">
        <f t="shared" si="51"/>
        <v>396.20385000000005</v>
      </c>
      <c r="I44" s="138"/>
      <c r="J44" s="408">
        <f>IFERROR(VLOOKUP($C44,'Proposed Rates'!$B:$J,J$11,FALSE),0)</f>
        <v>5.9999999999999995E-4</v>
      </c>
      <c r="K44" s="415">
        <f t="shared" si="52"/>
        <v>263982.59999999998</v>
      </c>
      <c r="L44" s="394">
        <f t="shared" si="53"/>
        <v>158.38955999999996</v>
      </c>
      <c r="M44" s="138"/>
      <c r="N44" s="395">
        <f t="shared" si="5"/>
        <v>-237.81429000000009</v>
      </c>
      <c r="O44" s="396">
        <f t="shared" si="6"/>
        <v>-0.60023215322112611</v>
      </c>
      <c r="P44" s="53"/>
      <c r="Q44" s="408">
        <f>IFERROR(VLOOKUP($C44,'Proposed Rates'!$B:$J,Q$11,FALSE),0)</f>
        <v>5.9999999999999995E-4</v>
      </c>
      <c r="R44" s="415">
        <f t="shared" si="54"/>
        <v>263982.59999999998</v>
      </c>
      <c r="S44" s="394">
        <f t="shared" si="55"/>
        <v>158.38955999999996</v>
      </c>
      <c r="T44" s="138"/>
      <c r="U44" s="395">
        <f t="shared" si="9"/>
        <v>0</v>
      </c>
      <c r="V44" s="396">
        <f t="shared" si="10"/>
        <v>0</v>
      </c>
      <c r="W44" s="53"/>
      <c r="X44" s="408">
        <f>IFERROR(VLOOKUP($C44,'Proposed Rates'!$B:$J,X$11,FALSE),0)</f>
        <v>5.9999999999999995E-4</v>
      </c>
      <c r="Y44" s="415">
        <f t="shared" si="56"/>
        <v>263982.59999999998</v>
      </c>
      <c r="Z44" s="394">
        <f t="shared" si="57"/>
        <v>158.38955999999996</v>
      </c>
      <c r="AA44" s="138"/>
      <c r="AB44" s="395">
        <f t="shared" si="13"/>
        <v>0</v>
      </c>
      <c r="AC44" s="396">
        <f t="shared" si="14"/>
        <v>0</v>
      </c>
      <c r="AD44" s="53"/>
      <c r="AE44" s="408">
        <f>IFERROR(VLOOKUP($C44,'Proposed Rates'!$B:$J,AE$11,FALSE),0)</f>
        <v>5.9999999999999995E-4</v>
      </c>
      <c r="AF44" s="415">
        <f t="shared" si="58"/>
        <v>263982.59999999998</v>
      </c>
      <c r="AG44" s="394">
        <f t="shared" si="59"/>
        <v>158.38955999999996</v>
      </c>
      <c r="AH44" s="138"/>
      <c r="AI44" s="395">
        <f t="shared" si="17"/>
        <v>0</v>
      </c>
      <c r="AJ44" s="396">
        <f t="shared" si="18"/>
        <v>0</v>
      </c>
      <c r="AK44" s="53"/>
      <c r="AL44" s="408">
        <f>IFERROR(VLOOKUP($C44,'Proposed Rates'!$B:$J,AL$11,FALSE),0)</f>
        <v>5.9999999999999995E-4</v>
      </c>
      <c r="AM44" s="415">
        <f t="shared" si="60"/>
        <v>263982.59999999998</v>
      </c>
      <c r="AN44" s="394">
        <f t="shared" si="61"/>
        <v>158.38955999999996</v>
      </c>
      <c r="AO44" s="138"/>
      <c r="AP44" s="395">
        <f t="shared" si="21"/>
        <v>0</v>
      </c>
      <c r="AQ44" s="396">
        <f t="shared" si="22"/>
        <v>0</v>
      </c>
      <c r="AR44" s="397"/>
    </row>
    <row r="45" spans="1:44" ht="12.75" customHeight="1">
      <c r="A45" s="53"/>
      <c r="B45" s="328" t="s">
        <v>291</v>
      </c>
      <c r="C45" s="389" t="str">
        <f t="shared" si="49"/>
        <v>General Service 50 to 1,499 KW.Standard Supply Service Charge</v>
      </c>
      <c r="D45" s="390" t="s">
        <v>335</v>
      </c>
      <c r="E45" s="328"/>
      <c r="F45" s="391">
        <f>IFERROR(VLOOKUP($C45,'Proposed Rates'!$B:$J,F$11,FALSE),0)</f>
        <v>0.25</v>
      </c>
      <c r="G45" s="409">
        <f>IF($D45="Monthly",1,IF($D45="per KW",$F$10,IF($D45="per kWh",$F$9,0)))</f>
        <v>1</v>
      </c>
      <c r="H45" s="394">
        <f t="shared" si="51"/>
        <v>0.25</v>
      </c>
      <c r="I45" s="138"/>
      <c r="J45" s="391">
        <f>IFERROR(VLOOKUP($C45,'Proposed Rates'!$B:$J,J$11,FALSE),0)</f>
        <v>0.25</v>
      </c>
      <c r="K45" s="409">
        <f>IF($D45="Monthly",1,IF($D45="per KW",$F$10,IF($D45="per kWh",$F$9,0)))</f>
        <v>1</v>
      </c>
      <c r="L45" s="394">
        <f t="shared" si="53"/>
        <v>0.25</v>
      </c>
      <c r="M45" s="138"/>
      <c r="N45" s="395">
        <f t="shared" si="5"/>
        <v>0</v>
      </c>
      <c r="O45" s="396">
        <f t="shared" si="6"/>
        <v>0</v>
      </c>
      <c r="P45" s="53"/>
      <c r="Q45" s="391">
        <f>IFERROR(VLOOKUP($C45,'Proposed Rates'!$B:$J,Q$11,FALSE),0)</f>
        <v>0.25</v>
      </c>
      <c r="R45" s="409">
        <f>IF($D45="Monthly",1,IF($D45="per KW",$F$10,IF($D45="per kWh",$F$9,0)))</f>
        <v>1</v>
      </c>
      <c r="S45" s="394">
        <f t="shared" si="55"/>
        <v>0.25</v>
      </c>
      <c r="T45" s="138"/>
      <c r="U45" s="395">
        <f t="shared" si="9"/>
        <v>0</v>
      </c>
      <c r="V45" s="396">
        <f t="shared" si="10"/>
        <v>0</v>
      </c>
      <c r="W45" s="53"/>
      <c r="X45" s="391">
        <f>IFERROR(VLOOKUP($C45,'Proposed Rates'!$B:$J,X$11,FALSE),0)</f>
        <v>0.25</v>
      </c>
      <c r="Y45" s="409">
        <f>IF($D45="Monthly",1,IF($D45="per KW",$F$10,IF($D45="per kWh",$F$9,0)))</f>
        <v>1</v>
      </c>
      <c r="Z45" s="394">
        <f t="shared" si="57"/>
        <v>0.25</v>
      </c>
      <c r="AA45" s="138"/>
      <c r="AB45" s="395">
        <f t="shared" si="13"/>
        <v>0</v>
      </c>
      <c r="AC45" s="396">
        <f t="shared" si="14"/>
        <v>0</v>
      </c>
      <c r="AD45" s="53"/>
      <c r="AE45" s="391">
        <f>IFERROR(VLOOKUP($C45,'Proposed Rates'!$B:$J,AE$11,FALSE),0)</f>
        <v>0.25</v>
      </c>
      <c r="AF45" s="409">
        <f>IF($D45="Monthly",1,IF($D45="per KW",$F$10,IF($D45="per kWh",$F$9,0)))</f>
        <v>1</v>
      </c>
      <c r="AG45" s="394">
        <f t="shared" si="59"/>
        <v>0.25</v>
      </c>
      <c r="AH45" s="138"/>
      <c r="AI45" s="395">
        <f t="shared" si="17"/>
        <v>0</v>
      </c>
      <c r="AJ45" s="396">
        <f t="shared" si="18"/>
        <v>0</v>
      </c>
      <c r="AK45" s="53"/>
      <c r="AL45" s="391">
        <f>IFERROR(VLOOKUP($C45,'Proposed Rates'!$B:$J,AL$11,FALSE),0)</f>
        <v>0.25</v>
      </c>
      <c r="AM45" s="409">
        <f>IF($D45="Monthly",1,IF($D45="per KW",$F$10,IF($D45="per kWh",$F$9,0)))</f>
        <v>1</v>
      </c>
      <c r="AN45" s="394">
        <f t="shared" si="61"/>
        <v>0.25</v>
      </c>
      <c r="AO45" s="138"/>
      <c r="AP45" s="395">
        <f t="shared" si="21"/>
        <v>0</v>
      </c>
      <c r="AQ45" s="396">
        <f t="shared" si="22"/>
        <v>0</v>
      </c>
      <c r="AR45" s="397"/>
    </row>
    <row r="46" spans="1:44" ht="12.75" customHeight="1">
      <c r="A46" s="53"/>
      <c r="B46" s="328" t="s">
        <v>298</v>
      </c>
      <c r="C46" s="389" t="str">
        <f>B46</f>
        <v>Average IESO Wholesale Market Price</v>
      </c>
      <c r="D46" s="390" t="s">
        <v>337</v>
      </c>
      <c r="E46" s="328"/>
      <c r="F46" s="408">
        <f>IFERROR(VLOOKUP($C46,'Proposed Rates'!$B:$J,F$11,FALSE),0)</f>
        <v>0.10453</v>
      </c>
      <c r="G46" s="415">
        <f>$F$9+G$37</f>
        <v>264135.90000000002</v>
      </c>
      <c r="H46" s="394">
        <f t="shared" si="51"/>
        <v>27610.125627000001</v>
      </c>
      <c r="I46" s="138"/>
      <c r="J46" s="408">
        <f>IFERROR(VLOOKUP($C46,'Proposed Rates'!$B:$J,J$11,FALSE),0)</f>
        <v>0.10453</v>
      </c>
      <c r="K46" s="415">
        <f>$F$9+K$37</f>
        <v>263982.59999999998</v>
      </c>
      <c r="L46" s="394">
        <f t="shared" si="53"/>
        <v>27594.101177999997</v>
      </c>
      <c r="M46" s="138"/>
      <c r="N46" s="395">
        <f t="shared" si="5"/>
        <v>-16.024449000004097</v>
      </c>
      <c r="O46" s="396">
        <f t="shared" si="6"/>
        <v>-5.8038305281500613E-4</v>
      </c>
      <c r="P46" s="53"/>
      <c r="Q46" s="408">
        <f>IFERROR(VLOOKUP($C46,'Proposed Rates'!$B:$J,Q$11,FALSE),0)</f>
        <v>0.10453</v>
      </c>
      <c r="R46" s="415">
        <f>$F$9+R$37</f>
        <v>263982.59999999998</v>
      </c>
      <c r="S46" s="394">
        <f t="shared" si="55"/>
        <v>27594.101177999997</v>
      </c>
      <c r="T46" s="138"/>
      <c r="U46" s="395">
        <f t="shared" si="9"/>
        <v>0</v>
      </c>
      <c r="V46" s="396">
        <f t="shared" si="10"/>
        <v>0</v>
      </c>
      <c r="W46" s="53"/>
      <c r="X46" s="408">
        <f>IFERROR(VLOOKUP($C46,'Proposed Rates'!$B:$J,X$11,FALSE),0)</f>
        <v>0.10453</v>
      </c>
      <c r="Y46" s="415">
        <f>$F$9+Y$37</f>
        <v>263982.59999999998</v>
      </c>
      <c r="Z46" s="394">
        <f t="shared" si="57"/>
        <v>27594.101177999997</v>
      </c>
      <c r="AA46" s="138"/>
      <c r="AB46" s="395">
        <f t="shared" si="13"/>
        <v>0</v>
      </c>
      <c r="AC46" s="396">
        <f t="shared" si="14"/>
        <v>0</v>
      </c>
      <c r="AD46" s="53"/>
      <c r="AE46" s="408">
        <f>IFERROR(VLOOKUP($C46,'Proposed Rates'!$B:$J,AE$11,FALSE),0)</f>
        <v>0.10453</v>
      </c>
      <c r="AF46" s="415">
        <f>$F$9+AF$37</f>
        <v>263982.59999999998</v>
      </c>
      <c r="AG46" s="394">
        <f t="shared" si="59"/>
        <v>27594.101177999997</v>
      </c>
      <c r="AH46" s="138"/>
      <c r="AI46" s="395">
        <f t="shared" si="17"/>
        <v>0</v>
      </c>
      <c r="AJ46" s="396">
        <f t="shared" si="18"/>
        <v>0</v>
      </c>
      <c r="AK46" s="53"/>
      <c r="AL46" s="408">
        <f>IFERROR(VLOOKUP($C46,'Proposed Rates'!$B:$J,AL$11,FALSE),0)</f>
        <v>0.10453</v>
      </c>
      <c r="AM46" s="415">
        <f>$F$9+AM$37</f>
        <v>263982.59999999998</v>
      </c>
      <c r="AN46" s="394">
        <f t="shared" si="61"/>
        <v>27594.101177999997</v>
      </c>
      <c r="AO46" s="138"/>
      <c r="AP46" s="395">
        <f t="shared" si="21"/>
        <v>0</v>
      </c>
      <c r="AQ46" s="396">
        <f t="shared" si="22"/>
        <v>0</v>
      </c>
      <c r="AR46" s="397"/>
    </row>
    <row r="47" spans="1:44" ht="7.5" customHeight="1">
      <c r="A47" s="53"/>
      <c r="B47" s="328"/>
      <c r="C47" s="389" t="str">
        <f t="shared" ref="C47:C50" si="62">D$6&amp;"."&amp;B47</f>
        <v>General Service 50 to 1,499 KW.</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row>
    <row r="48" spans="1:44" ht="7.5" customHeight="1">
      <c r="A48" s="53"/>
      <c r="B48" s="53"/>
      <c r="C48" s="389" t="str">
        <f t="shared" si="62"/>
        <v>General Service 50 to 1,499 KW.</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row>
    <row r="49" spans="1:44" ht="7.5" customHeight="1">
      <c r="A49" s="53"/>
      <c r="B49" s="328"/>
      <c r="C49" s="389" t="str">
        <f t="shared" si="62"/>
        <v>General Service 50 to 1,499 KW.</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row>
    <row r="50" spans="1:44" ht="7.5" customHeight="1">
      <c r="A50" s="53"/>
      <c r="B50" s="328"/>
      <c r="C50" s="389" t="str">
        <f t="shared" si="62"/>
        <v>General Service 50 to 1,499 KW.</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row>
    <row r="51" spans="1:44" ht="8.25" customHeight="1">
      <c r="A51" s="53"/>
      <c r="B51" s="428"/>
      <c r="C51" s="429"/>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row>
    <row r="52" spans="1:44" ht="12.75" customHeight="1">
      <c r="A52" s="53"/>
      <c r="B52" s="438" t="s">
        <v>344</v>
      </c>
      <c r="C52" s="328"/>
      <c r="D52" s="328"/>
      <c r="E52" s="328"/>
      <c r="F52" s="439"/>
      <c r="G52" s="483"/>
      <c r="H52" s="441">
        <f>SUM(H43:H48,H42)</f>
        <v>37464.256027000003</v>
      </c>
      <c r="I52" s="476"/>
      <c r="J52" s="440"/>
      <c r="K52" s="440"/>
      <c r="L52" s="441">
        <f>SUM(L43:L48,L42)</f>
        <v>37858.798957999999</v>
      </c>
      <c r="M52" s="443"/>
      <c r="N52" s="442">
        <f t="shared" ref="N52:N56" si="63">L52-H52</f>
        <v>394.54293099999632</v>
      </c>
      <c r="O52" s="444">
        <f t="shared" ref="O52:O56" si="64">IF((H52)=0,"",(N52/H52))</f>
        <v>1.0531182861756399E-2</v>
      </c>
      <c r="P52" s="53"/>
      <c r="Q52" s="440"/>
      <c r="R52" s="440"/>
      <c r="S52" s="441">
        <f>SUM(S43:S48,S42)</f>
        <v>38220.048957999999</v>
      </c>
      <c r="T52" s="443"/>
      <c r="U52" s="442">
        <f t="shared" ref="U52:U56" si="65">S52-L52</f>
        <v>361.25</v>
      </c>
      <c r="V52" s="444">
        <f t="shared" ref="V52:V56" si="66">IF((L52)=0,"",(U52/L52))</f>
        <v>9.5420354037317849E-3</v>
      </c>
      <c r="W52" s="53"/>
      <c r="X52" s="440"/>
      <c r="Y52" s="440"/>
      <c r="Z52" s="441">
        <f>SUM(Z43:Z48,Z42)</f>
        <v>37144.463957999993</v>
      </c>
      <c r="AA52" s="443"/>
      <c r="AB52" s="442">
        <f t="shared" ref="AB52:AB56" si="67">Z52-S52</f>
        <v>-1075.5850000000064</v>
      </c>
      <c r="AC52" s="444">
        <f t="shared" ref="AC52:AC56" si="68">IF((S52)=0,"",(AB52/S52))</f>
        <v>-2.8141905343500907E-2</v>
      </c>
      <c r="AD52" s="53"/>
      <c r="AE52" s="440"/>
      <c r="AF52" s="440"/>
      <c r="AG52" s="441">
        <f>SUM(AG43:AG48,AG42)</f>
        <v>37310.308957999994</v>
      </c>
      <c r="AH52" s="443"/>
      <c r="AI52" s="442">
        <f t="shared" ref="AI52:AI56" si="69">AG52-Z52</f>
        <v>165.84500000000116</v>
      </c>
      <c r="AJ52" s="444">
        <f t="shared" ref="AJ52:AJ56" si="70">IF((Z52)=0,"",(AI52/Z52))</f>
        <v>4.4648645404474141E-3</v>
      </c>
      <c r="AK52" s="53"/>
      <c r="AL52" s="440"/>
      <c r="AM52" s="440"/>
      <c r="AN52" s="441">
        <f>SUM(AN43:AN48,AN42)</f>
        <v>37462.028957999995</v>
      </c>
      <c r="AO52" s="443"/>
      <c r="AP52" s="442">
        <f t="shared" ref="AP52:AP56" si="71">AN52-AG52</f>
        <v>151.72000000000116</v>
      </c>
      <c r="AQ52" s="444">
        <f t="shared" ref="AQ52:AQ56" si="72">IF((AG52)=0,"",(AP52/AG52))</f>
        <v>4.0664364417563924E-3</v>
      </c>
      <c r="AR52" s="445"/>
    </row>
    <row r="53" spans="1:44" ht="12.75" customHeight="1">
      <c r="A53" s="53"/>
      <c r="B53" s="446" t="s">
        <v>345</v>
      </c>
      <c r="C53" s="328"/>
      <c r="D53" s="328"/>
      <c r="E53" s="328"/>
      <c r="F53" s="439">
        <v>0.13</v>
      </c>
      <c r="G53" s="138"/>
      <c r="H53" s="484">
        <f>H52*F53</f>
        <v>4870.3532835100004</v>
      </c>
      <c r="I53" s="411"/>
      <c r="J53" s="447">
        <v>0.13</v>
      </c>
      <c r="K53" s="411"/>
      <c r="L53" s="394">
        <f>L52*J53</f>
        <v>4921.6438645400003</v>
      </c>
      <c r="M53" s="138"/>
      <c r="N53" s="395">
        <f t="shared" si="63"/>
        <v>51.290581029999885</v>
      </c>
      <c r="O53" s="396">
        <f t="shared" si="64"/>
        <v>1.0531182861756474E-2</v>
      </c>
      <c r="P53" s="53"/>
      <c r="Q53" s="447">
        <v>0.13</v>
      </c>
      <c r="R53" s="411"/>
      <c r="S53" s="394">
        <f>S52*Q53</f>
        <v>4968.60636454</v>
      </c>
      <c r="T53" s="138"/>
      <c r="U53" s="395">
        <f t="shared" si="65"/>
        <v>46.962499999999636</v>
      </c>
      <c r="V53" s="396">
        <f t="shared" si="66"/>
        <v>9.5420354037317103E-3</v>
      </c>
      <c r="W53" s="53"/>
      <c r="X53" s="447">
        <v>0.13</v>
      </c>
      <c r="Y53" s="411"/>
      <c r="Z53" s="394">
        <f>Z52*X53</f>
        <v>4828.7803145399994</v>
      </c>
      <c r="AA53" s="138"/>
      <c r="AB53" s="395">
        <f t="shared" si="67"/>
        <v>-139.82605000000058</v>
      </c>
      <c r="AC53" s="396">
        <f t="shared" si="68"/>
        <v>-2.8141905343500855E-2</v>
      </c>
      <c r="AD53" s="53"/>
      <c r="AE53" s="447">
        <v>0.13</v>
      </c>
      <c r="AF53" s="411"/>
      <c r="AG53" s="394">
        <f>AG52*AE53</f>
        <v>4850.340164539999</v>
      </c>
      <c r="AH53" s="138"/>
      <c r="AI53" s="395">
        <f t="shared" si="69"/>
        <v>21.559849999999642</v>
      </c>
      <c r="AJ53" s="396">
        <f t="shared" si="70"/>
        <v>4.4648645404473082E-3</v>
      </c>
      <c r="AK53" s="53"/>
      <c r="AL53" s="447">
        <v>0.13</v>
      </c>
      <c r="AM53" s="411"/>
      <c r="AN53" s="394">
        <f>AN52*AL53</f>
        <v>4870.0637645399993</v>
      </c>
      <c r="AO53" s="138"/>
      <c r="AP53" s="395">
        <f t="shared" si="71"/>
        <v>19.72360000000026</v>
      </c>
      <c r="AQ53" s="396">
        <f t="shared" si="72"/>
        <v>4.0664364417564158E-3</v>
      </c>
      <c r="AR53" s="397"/>
    </row>
    <row r="54" spans="1:44" ht="12.75" customHeight="1">
      <c r="A54" s="53"/>
      <c r="B54" s="485" t="s">
        <v>419</v>
      </c>
      <c r="C54" s="328"/>
      <c r="D54" s="328"/>
      <c r="E54" s="328"/>
      <c r="F54" s="449"/>
      <c r="G54" s="138"/>
      <c r="H54" s="484">
        <f>H52+H53</f>
        <v>42334.609310510001</v>
      </c>
      <c r="I54" s="411"/>
      <c r="J54" s="411"/>
      <c r="K54" s="411"/>
      <c r="L54" s="394">
        <f>L52+L53</f>
        <v>42780.442822539997</v>
      </c>
      <c r="M54" s="138"/>
      <c r="N54" s="395">
        <f t="shared" si="63"/>
        <v>445.8335120299962</v>
      </c>
      <c r="O54" s="396">
        <f t="shared" si="64"/>
        <v>1.0531182861756408E-2</v>
      </c>
      <c r="P54" s="53"/>
      <c r="Q54" s="411"/>
      <c r="R54" s="411"/>
      <c r="S54" s="394">
        <f>S52+S53</f>
        <v>43188.655322539998</v>
      </c>
      <c r="T54" s="138"/>
      <c r="U54" s="395">
        <f t="shared" si="65"/>
        <v>408.21250000000146</v>
      </c>
      <c r="V54" s="396">
        <f t="shared" si="66"/>
        <v>9.5420354037318196E-3</v>
      </c>
      <c r="W54" s="53"/>
      <c r="X54" s="411"/>
      <c r="Y54" s="411"/>
      <c r="Z54" s="394">
        <f>Z52+Z53</f>
        <v>41973.244272539989</v>
      </c>
      <c r="AA54" s="138"/>
      <c r="AB54" s="395">
        <f t="shared" si="67"/>
        <v>-1215.4110500000097</v>
      </c>
      <c r="AC54" s="396">
        <f t="shared" si="68"/>
        <v>-2.8141905343500962E-2</v>
      </c>
      <c r="AD54" s="53"/>
      <c r="AE54" s="411"/>
      <c r="AF54" s="411"/>
      <c r="AG54" s="394">
        <f>AG52+AG53</f>
        <v>42160.649122539995</v>
      </c>
      <c r="AH54" s="138"/>
      <c r="AI54" s="395">
        <f t="shared" si="69"/>
        <v>187.40485000000626</v>
      </c>
      <c r="AJ54" s="396">
        <f t="shared" si="70"/>
        <v>4.464864540447532E-3</v>
      </c>
      <c r="AK54" s="53"/>
      <c r="AL54" s="411"/>
      <c r="AM54" s="411"/>
      <c r="AN54" s="394">
        <f>AN52+AN53</f>
        <v>42332.092722539994</v>
      </c>
      <c r="AO54" s="138"/>
      <c r="AP54" s="395">
        <f t="shared" si="71"/>
        <v>171.4435999999987</v>
      </c>
      <c r="AQ54" s="396">
        <f t="shared" si="72"/>
        <v>4.0664364417563308E-3</v>
      </c>
      <c r="AR54" s="397"/>
    </row>
    <row r="55" spans="1:44" ht="15.75" customHeight="1">
      <c r="A55" s="53"/>
      <c r="B55" s="626" t="s">
        <v>304</v>
      </c>
      <c r="C55" s="616"/>
      <c r="D55" s="616"/>
      <c r="E55" s="328"/>
      <c r="F55" s="449"/>
      <c r="G55" s="138"/>
      <c r="H55" s="486">
        <f>F55*H52</f>
        <v>0</v>
      </c>
      <c r="I55" s="411"/>
      <c r="J55" s="411"/>
      <c r="K55" s="411"/>
      <c r="L55" s="506">
        <f>J55*L52</f>
        <v>0</v>
      </c>
      <c r="M55" s="138"/>
      <c r="N55" s="451">
        <f t="shared" si="63"/>
        <v>0</v>
      </c>
      <c r="O55" s="453" t="str">
        <f t="shared" si="64"/>
        <v/>
      </c>
      <c r="P55" s="53"/>
      <c r="Q55" s="411"/>
      <c r="R55" s="411"/>
      <c r="S55" s="506">
        <f>Q55*S52</f>
        <v>0</v>
      </c>
      <c r="T55" s="138"/>
      <c r="U55" s="451">
        <f t="shared" si="65"/>
        <v>0</v>
      </c>
      <c r="V55" s="453" t="str">
        <f t="shared" si="66"/>
        <v/>
      </c>
      <c r="W55" s="53"/>
      <c r="X55" s="411"/>
      <c r="Y55" s="411"/>
      <c r="Z55" s="506">
        <f>X55*Z52</f>
        <v>0</v>
      </c>
      <c r="AA55" s="138"/>
      <c r="AB55" s="451">
        <f t="shared" si="67"/>
        <v>0</v>
      </c>
      <c r="AC55" s="453" t="str">
        <f t="shared" si="68"/>
        <v/>
      </c>
      <c r="AD55" s="53"/>
      <c r="AE55" s="411"/>
      <c r="AF55" s="411"/>
      <c r="AG55" s="506">
        <f>AE55*AG52</f>
        <v>0</v>
      </c>
      <c r="AH55" s="138"/>
      <c r="AI55" s="451">
        <f t="shared" si="69"/>
        <v>0</v>
      </c>
      <c r="AJ55" s="453" t="str">
        <f t="shared" si="70"/>
        <v/>
      </c>
      <c r="AK55" s="53"/>
      <c r="AL55" s="411"/>
      <c r="AM55" s="411"/>
      <c r="AN55" s="506">
        <f>AL55*AN52</f>
        <v>0</v>
      </c>
      <c r="AO55" s="138"/>
      <c r="AP55" s="451">
        <f t="shared" si="71"/>
        <v>0</v>
      </c>
      <c r="AQ55" s="453" t="str">
        <f t="shared" si="72"/>
        <v/>
      </c>
      <c r="AR55" s="454"/>
    </row>
    <row r="56" spans="1:44" ht="13.5" customHeight="1">
      <c r="A56" s="53"/>
      <c r="B56" s="627" t="s">
        <v>347</v>
      </c>
      <c r="C56" s="608"/>
      <c r="D56" s="600"/>
      <c r="E56" s="455"/>
      <c r="F56" s="456"/>
      <c r="G56" s="487"/>
      <c r="H56" s="488">
        <f>H54-H55</f>
        <v>42334.609310510001</v>
      </c>
      <c r="I56" s="457"/>
      <c r="J56" s="457"/>
      <c r="K56" s="457"/>
      <c r="L56" s="458">
        <f>L54-L55</f>
        <v>42780.442822539997</v>
      </c>
      <c r="M56" s="459"/>
      <c r="N56" s="460">
        <f t="shared" si="63"/>
        <v>445.8335120299962</v>
      </c>
      <c r="O56" s="461">
        <f t="shared" si="64"/>
        <v>1.0531182861756408E-2</v>
      </c>
      <c r="P56" s="53"/>
      <c r="Q56" s="457"/>
      <c r="R56" s="457"/>
      <c r="S56" s="458">
        <f>S54-S55</f>
        <v>43188.655322539998</v>
      </c>
      <c r="T56" s="459"/>
      <c r="U56" s="460">
        <f t="shared" si="65"/>
        <v>408.21250000000146</v>
      </c>
      <c r="V56" s="461">
        <f t="shared" si="66"/>
        <v>9.5420354037318196E-3</v>
      </c>
      <c r="W56" s="53"/>
      <c r="X56" s="457"/>
      <c r="Y56" s="457"/>
      <c r="Z56" s="458">
        <f>Z54-Z55</f>
        <v>41973.244272539989</v>
      </c>
      <c r="AA56" s="459"/>
      <c r="AB56" s="460">
        <f t="shared" si="67"/>
        <v>-1215.4110500000097</v>
      </c>
      <c r="AC56" s="461">
        <f t="shared" si="68"/>
        <v>-2.8141905343500962E-2</v>
      </c>
      <c r="AD56" s="53"/>
      <c r="AE56" s="457"/>
      <c r="AF56" s="457"/>
      <c r="AG56" s="458">
        <f>AG54-AG55</f>
        <v>42160.649122539995</v>
      </c>
      <c r="AH56" s="459"/>
      <c r="AI56" s="460">
        <f t="shared" si="69"/>
        <v>187.40485000000626</v>
      </c>
      <c r="AJ56" s="461">
        <f t="shared" si="70"/>
        <v>4.464864540447532E-3</v>
      </c>
      <c r="AK56" s="53"/>
      <c r="AL56" s="457"/>
      <c r="AM56" s="457"/>
      <c r="AN56" s="458">
        <f>AN54-AN55</f>
        <v>42332.092722539994</v>
      </c>
      <c r="AO56" s="459"/>
      <c r="AP56" s="460">
        <f t="shared" si="71"/>
        <v>171.4435999999987</v>
      </c>
      <c r="AQ56" s="461">
        <f t="shared" si="72"/>
        <v>4.0664364417563308E-3</v>
      </c>
      <c r="AR56" s="462"/>
    </row>
    <row r="57" spans="1:44" ht="8.25" customHeight="1">
      <c r="A57" s="53"/>
      <c r="B57" s="428"/>
      <c r="C57" s="429"/>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row>
    <row r="58" spans="1:44" ht="12.75" customHeight="1">
      <c r="A58" s="507"/>
      <c r="B58" s="508" t="s">
        <v>348</v>
      </c>
      <c r="C58" s="509"/>
      <c r="D58" s="509"/>
      <c r="E58" s="509"/>
      <c r="F58" s="510"/>
      <c r="G58" s="511"/>
      <c r="H58" s="512">
        <f>SUM(H49:H50,H42,H43:H45)</f>
        <v>9854.1304</v>
      </c>
      <c r="I58" s="513"/>
      <c r="J58" s="514"/>
      <c r="K58" s="514"/>
      <c r="L58" s="512">
        <f>SUM(L49:L50,L42,L43:L45)</f>
        <v>10264.69778</v>
      </c>
      <c r="M58" s="515"/>
      <c r="N58" s="516">
        <f t="shared" ref="N58:N62" si="73">L58-H58</f>
        <v>410.56738000000041</v>
      </c>
      <c r="O58" s="517">
        <f t="shared" ref="O58:O62" si="74">IF((H58)=0,"",(N58/H58))</f>
        <v>4.166449634155444E-2</v>
      </c>
      <c r="P58" s="507"/>
      <c r="Q58" s="514"/>
      <c r="R58" s="514"/>
      <c r="S58" s="512">
        <f>SUM(S49:S50,S42,S43:S45)</f>
        <v>10625.94778</v>
      </c>
      <c r="T58" s="515"/>
      <c r="U58" s="516">
        <f t="shared" ref="U58:U62" si="75">S58-L58</f>
        <v>361.25</v>
      </c>
      <c r="V58" s="517">
        <f t="shared" ref="V58:V62" si="76">IF((L58)=0,"",(U58/L58))</f>
        <v>3.5193437521742602E-2</v>
      </c>
      <c r="W58" s="507"/>
      <c r="X58" s="514"/>
      <c r="Y58" s="514"/>
      <c r="Z58" s="512">
        <f>SUM(Z49:Z50,Z42,Z43:Z45)</f>
        <v>9550.3627799999995</v>
      </c>
      <c r="AA58" s="515"/>
      <c r="AB58" s="516">
        <f t="shared" ref="AB58:AB62" si="77">Z58-S58</f>
        <v>-1075.5850000000009</v>
      </c>
      <c r="AC58" s="517">
        <f t="shared" ref="AC58:AC62" si="78">IF((S58)=0,"",(AB58/S58))</f>
        <v>-0.10122250007895305</v>
      </c>
      <c r="AD58" s="507"/>
      <c r="AE58" s="514"/>
      <c r="AF58" s="514"/>
      <c r="AG58" s="512">
        <f>SUM(AG49:AG50,AG42,AG43:AG45)</f>
        <v>9716.2077800000006</v>
      </c>
      <c r="AH58" s="515"/>
      <c r="AI58" s="516">
        <f t="shared" ref="AI58:AI62" si="79">AG58-Z58</f>
        <v>165.84500000000116</v>
      </c>
      <c r="AJ58" s="517">
        <f t="shared" ref="AJ58:AJ62" si="80">IF((Z58)=0,"",(AI58/Z58))</f>
        <v>1.7365308922851323E-2</v>
      </c>
      <c r="AK58" s="507"/>
      <c r="AL58" s="514"/>
      <c r="AM58" s="514"/>
      <c r="AN58" s="512">
        <f>SUM(AN49:AN50,AN42,AN43:AN45)</f>
        <v>9867.9277800000018</v>
      </c>
      <c r="AO58" s="515"/>
      <c r="AP58" s="516">
        <f t="shared" ref="AP58:AP62" si="81">AN58-AG58</f>
        <v>151.72000000000116</v>
      </c>
      <c r="AQ58" s="517">
        <f t="shared" ref="AQ58:AQ62" si="82">IF((AG58)=0,"",(AP58/AG58))</f>
        <v>1.5615145685985026E-2</v>
      </c>
      <c r="AR58" s="518"/>
    </row>
    <row r="59" spans="1:44" ht="12.75" customHeight="1">
      <c r="A59" s="507"/>
      <c r="B59" s="519" t="s">
        <v>345</v>
      </c>
      <c r="C59" s="509"/>
      <c r="D59" s="509"/>
      <c r="E59" s="509"/>
      <c r="F59" s="510">
        <v>0.13</v>
      </c>
      <c r="G59" s="511"/>
      <c r="H59" s="520">
        <f>H58*F59</f>
        <v>1281.0369520000002</v>
      </c>
      <c r="I59" s="521"/>
      <c r="J59" s="510">
        <v>0.13</v>
      </c>
      <c r="K59" s="522"/>
      <c r="L59" s="523">
        <f>L58*J59</f>
        <v>1334.4107114000001</v>
      </c>
      <c r="M59" s="524"/>
      <c r="N59" s="525">
        <f t="shared" si="73"/>
        <v>53.373759399999926</v>
      </c>
      <c r="O59" s="526">
        <f t="shared" si="74"/>
        <v>4.1664496341554336E-2</v>
      </c>
      <c r="P59" s="507"/>
      <c r="Q59" s="510">
        <v>0.13</v>
      </c>
      <c r="R59" s="522"/>
      <c r="S59" s="523">
        <f>S58*Q59</f>
        <v>1381.3732114000002</v>
      </c>
      <c r="T59" s="524"/>
      <c r="U59" s="525">
        <f t="shared" si="75"/>
        <v>46.962500000000091</v>
      </c>
      <c r="V59" s="526">
        <f t="shared" si="76"/>
        <v>3.5193437521742671E-2</v>
      </c>
      <c r="W59" s="507"/>
      <c r="X59" s="510">
        <v>0.13</v>
      </c>
      <c r="Y59" s="522"/>
      <c r="Z59" s="523">
        <f>Z58*X59</f>
        <v>1241.5471614</v>
      </c>
      <c r="AA59" s="524"/>
      <c r="AB59" s="525">
        <f t="shared" si="77"/>
        <v>-139.82605000000012</v>
      </c>
      <c r="AC59" s="526">
        <f t="shared" si="78"/>
        <v>-0.10122250007895303</v>
      </c>
      <c r="AD59" s="507"/>
      <c r="AE59" s="510">
        <v>0.13</v>
      </c>
      <c r="AF59" s="522"/>
      <c r="AG59" s="523">
        <f>AG58*AE59</f>
        <v>1263.1070114000001</v>
      </c>
      <c r="AH59" s="524"/>
      <c r="AI59" s="525">
        <f t="shared" si="79"/>
        <v>21.559850000000097</v>
      </c>
      <c r="AJ59" s="526">
        <f t="shared" si="80"/>
        <v>1.7365308922851277E-2</v>
      </c>
      <c r="AK59" s="507"/>
      <c r="AL59" s="510">
        <v>0.13</v>
      </c>
      <c r="AM59" s="522"/>
      <c r="AN59" s="523">
        <f>AN58*AL59</f>
        <v>1282.8306114000002</v>
      </c>
      <c r="AO59" s="524"/>
      <c r="AP59" s="525">
        <f t="shared" si="81"/>
        <v>19.723600000000033</v>
      </c>
      <c r="AQ59" s="526">
        <f t="shared" si="82"/>
        <v>1.5615145685984932E-2</v>
      </c>
      <c r="AR59" s="527"/>
    </row>
    <row r="60" spans="1:44" ht="12.75" customHeight="1">
      <c r="A60" s="507"/>
      <c r="B60" s="548" t="s">
        <v>420</v>
      </c>
      <c r="C60" s="509"/>
      <c r="D60" s="509"/>
      <c r="E60" s="509"/>
      <c r="F60" s="529"/>
      <c r="G60" s="524"/>
      <c r="H60" s="520">
        <f>H58+H59</f>
        <v>11135.167352</v>
      </c>
      <c r="I60" s="521"/>
      <c r="J60" s="521"/>
      <c r="K60" s="521"/>
      <c r="L60" s="523">
        <f>L58+L59</f>
        <v>11599.1084914</v>
      </c>
      <c r="M60" s="524"/>
      <c r="N60" s="525">
        <f t="shared" si="73"/>
        <v>463.94113939999988</v>
      </c>
      <c r="O60" s="526">
        <f t="shared" si="74"/>
        <v>4.1664496341554391E-2</v>
      </c>
      <c r="P60" s="507"/>
      <c r="Q60" s="521"/>
      <c r="R60" s="521"/>
      <c r="S60" s="523">
        <f>S58+S59</f>
        <v>12007.3209914</v>
      </c>
      <c r="T60" s="524"/>
      <c r="U60" s="525">
        <f t="shared" si="75"/>
        <v>408.21249999999964</v>
      </c>
      <c r="V60" s="526">
        <f t="shared" si="76"/>
        <v>3.5193437521742574E-2</v>
      </c>
      <c r="W60" s="507"/>
      <c r="X60" s="521"/>
      <c r="Y60" s="521"/>
      <c r="Z60" s="523">
        <f>Z58+Z59</f>
        <v>10791.909941399999</v>
      </c>
      <c r="AA60" s="524"/>
      <c r="AB60" s="525">
        <f t="shared" si="77"/>
        <v>-1215.4110500000006</v>
      </c>
      <c r="AC60" s="526">
        <f t="shared" si="78"/>
        <v>-0.101222500078953</v>
      </c>
      <c r="AD60" s="507"/>
      <c r="AE60" s="521"/>
      <c r="AF60" s="521"/>
      <c r="AG60" s="523">
        <f>AG58+AG59</f>
        <v>10979.3147914</v>
      </c>
      <c r="AH60" s="524"/>
      <c r="AI60" s="525">
        <f t="shared" si="79"/>
        <v>187.40485000000081</v>
      </c>
      <c r="AJ60" s="526">
        <f t="shared" si="80"/>
        <v>1.7365308922851277E-2</v>
      </c>
      <c r="AK60" s="507"/>
      <c r="AL60" s="521"/>
      <c r="AM60" s="521"/>
      <c r="AN60" s="523">
        <f>AN58+AN59</f>
        <v>11150.758391400002</v>
      </c>
      <c r="AO60" s="524"/>
      <c r="AP60" s="525">
        <f t="shared" si="81"/>
        <v>171.44360000000233</v>
      </c>
      <c r="AQ60" s="526">
        <f t="shared" si="82"/>
        <v>1.561514568598512E-2</v>
      </c>
      <c r="AR60" s="527"/>
    </row>
    <row r="61" spans="1:44" ht="15.75" customHeight="1">
      <c r="A61" s="507"/>
      <c r="B61" s="636" t="s">
        <v>304</v>
      </c>
      <c r="C61" s="616"/>
      <c r="D61" s="616"/>
      <c r="E61" s="509"/>
      <c r="F61" s="529"/>
      <c r="G61" s="524"/>
      <c r="H61" s="530">
        <f>F61*H58</f>
        <v>0</v>
      </c>
      <c r="I61" s="521"/>
      <c r="J61" s="521"/>
      <c r="K61" s="521"/>
      <c r="L61" s="531">
        <f>J61*L58</f>
        <v>0</v>
      </c>
      <c r="M61" s="524"/>
      <c r="N61" s="532">
        <f t="shared" si="73"/>
        <v>0</v>
      </c>
      <c r="O61" s="533" t="str">
        <f t="shared" si="74"/>
        <v/>
      </c>
      <c r="P61" s="507"/>
      <c r="Q61" s="521"/>
      <c r="R61" s="521"/>
      <c r="S61" s="531">
        <f>Q61*S58</f>
        <v>0</v>
      </c>
      <c r="T61" s="524"/>
      <c r="U61" s="532">
        <f t="shared" si="75"/>
        <v>0</v>
      </c>
      <c r="V61" s="533" t="str">
        <f t="shared" si="76"/>
        <v/>
      </c>
      <c r="W61" s="507"/>
      <c r="X61" s="521"/>
      <c r="Y61" s="521"/>
      <c r="Z61" s="531">
        <f>X61*Z58</f>
        <v>0</v>
      </c>
      <c r="AA61" s="524"/>
      <c r="AB61" s="532">
        <f t="shared" si="77"/>
        <v>0</v>
      </c>
      <c r="AC61" s="533" t="str">
        <f t="shared" si="78"/>
        <v/>
      </c>
      <c r="AD61" s="507"/>
      <c r="AE61" s="521"/>
      <c r="AF61" s="521"/>
      <c r="AG61" s="531">
        <f>AE61*AG58</f>
        <v>0</v>
      </c>
      <c r="AH61" s="524"/>
      <c r="AI61" s="532">
        <f t="shared" si="79"/>
        <v>0</v>
      </c>
      <c r="AJ61" s="533" t="str">
        <f t="shared" si="80"/>
        <v/>
      </c>
      <c r="AK61" s="507"/>
      <c r="AL61" s="521"/>
      <c r="AM61" s="521"/>
      <c r="AN61" s="531">
        <f>AL61*AN58</f>
        <v>0</v>
      </c>
      <c r="AO61" s="524"/>
      <c r="AP61" s="532">
        <f t="shared" si="81"/>
        <v>0</v>
      </c>
      <c r="AQ61" s="533" t="str">
        <f t="shared" si="82"/>
        <v/>
      </c>
      <c r="AR61" s="534"/>
    </row>
    <row r="62" spans="1:44" ht="13.5" customHeight="1">
      <c r="A62" s="507"/>
      <c r="B62" s="637" t="s">
        <v>350</v>
      </c>
      <c r="C62" s="608"/>
      <c r="D62" s="600"/>
      <c r="E62" s="535"/>
      <c r="F62" s="536"/>
      <c r="G62" s="537"/>
      <c r="H62" s="538">
        <f>H60-H61</f>
        <v>11135.167352</v>
      </c>
      <c r="I62" s="539"/>
      <c r="J62" s="539"/>
      <c r="K62" s="539"/>
      <c r="L62" s="540">
        <f>L60-L61</f>
        <v>11599.1084914</v>
      </c>
      <c r="M62" s="541"/>
      <c r="N62" s="542">
        <f t="shared" si="73"/>
        <v>463.94113939999988</v>
      </c>
      <c r="O62" s="543">
        <f t="shared" si="74"/>
        <v>4.1664496341554391E-2</v>
      </c>
      <c r="P62" s="507"/>
      <c r="Q62" s="539"/>
      <c r="R62" s="539"/>
      <c r="S62" s="540">
        <f>S60-S61</f>
        <v>12007.3209914</v>
      </c>
      <c r="T62" s="541"/>
      <c r="U62" s="542">
        <f t="shared" si="75"/>
        <v>408.21249999999964</v>
      </c>
      <c r="V62" s="543">
        <f t="shared" si="76"/>
        <v>3.5193437521742574E-2</v>
      </c>
      <c r="W62" s="507"/>
      <c r="X62" s="539"/>
      <c r="Y62" s="539"/>
      <c r="Z62" s="540">
        <f>Z60-Z61</f>
        <v>10791.909941399999</v>
      </c>
      <c r="AA62" s="541"/>
      <c r="AB62" s="542">
        <f t="shared" si="77"/>
        <v>-1215.4110500000006</v>
      </c>
      <c r="AC62" s="543">
        <f t="shared" si="78"/>
        <v>-0.101222500078953</v>
      </c>
      <c r="AD62" s="507"/>
      <c r="AE62" s="539"/>
      <c r="AF62" s="539"/>
      <c r="AG62" s="540">
        <f>AG60-AG61</f>
        <v>10979.3147914</v>
      </c>
      <c r="AH62" s="541"/>
      <c r="AI62" s="542">
        <f t="shared" si="79"/>
        <v>187.40485000000081</v>
      </c>
      <c r="AJ62" s="543">
        <f t="shared" si="80"/>
        <v>1.7365308922851277E-2</v>
      </c>
      <c r="AK62" s="507"/>
      <c r="AL62" s="539"/>
      <c r="AM62" s="539"/>
      <c r="AN62" s="540">
        <f>AN60-AN61</f>
        <v>11150.758391400002</v>
      </c>
      <c r="AO62" s="541"/>
      <c r="AP62" s="542">
        <f t="shared" si="81"/>
        <v>171.44360000000233</v>
      </c>
      <c r="AQ62" s="543">
        <f t="shared" si="82"/>
        <v>1.561514568598512E-2</v>
      </c>
      <c r="AR62" s="544"/>
    </row>
    <row r="63" spans="1:44" ht="8.25" customHeight="1">
      <c r="A63" s="53"/>
      <c r="B63" s="428"/>
      <c r="C63" s="429"/>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row>
    <row r="64" spans="1:44" ht="12.75" customHeight="1">
      <c r="A64" s="53"/>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4" t="s">
        <v>351</v>
      </c>
      <c r="C65" s="53"/>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row>
    <row r="66" spans="1:44" ht="12.75"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3" t="s">
        <v>421</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4"/>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1C00-000000000000}">
      <formula1>"TOU,non-TOU"</formula1>
    </dataValidation>
    <dataValidation type="list" allowBlank="1" showErrorMessage="1" sqref="E15:E28 E30:E38 E40:E41 E43:E51 E57 E63" xr:uid="{00000000-0002-0000-1C00-000001000000}">
      <formula1>#REF!</formula1>
    </dataValidation>
    <dataValidation type="list" allowBlank="1" showInputMessage="1" showErrorMessage="1" prompt="Select Charge Unit - monthly, per kWh, per kW" sqref="D15:D28 D30:D38 D40:D41 D43:D51 D57 D63" xr:uid="{00000000-0002-0000-1C00-000002000000}">
      <formula1>"Monthly,per kWh,per kW"</formula1>
    </dataValidation>
  </dataValidations>
  <pageMargins left="0.74803149606299213" right="0.74803149606299213" top="0.98425196850393704" bottom="0.98425196850393704"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000"/>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12.5703125" defaultRowHeight="15" customHeight="1" outlineLevelRow="1" outlineLevelCol="1"/>
  <cols>
    <col min="1" max="1" width="1.85546875" customWidth="1"/>
    <col min="2" max="2" width="16.140625" customWidth="1"/>
    <col min="3" max="3" width="28.7109375" customWidth="1"/>
    <col min="4" max="6" width="8" hidden="1" customWidth="1" outlineLevel="1"/>
    <col min="7" max="7" width="12.42578125" customWidth="1" collapsed="1"/>
    <col min="8" max="8" width="13.85546875" customWidth="1"/>
    <col min="9" max="9" width="9.28515625" hidden="1" customWidth="1" outlineLevel="1"/>
    <col min="10" max="10" width="1.42578125" hidden="1" customWidth="1" outlineLevel="1"/>
    <col min="11" max="11" width="5" hidden="1" customWidth="1" outlineLevel="1"/>
    <col min="12" max="13" width="9.140625" hidden="1" customWidth="1" outlineLevel="1"/>
    <col min="14" max="14" width="10" hidden="1" customWidth="1" outlineLevel="1"/>
    <col min="15" max="17" width="9.140625" hidden="1" customWidth="1" outlineLevel="1"/>
    <col min="18" max="18" width="11" hidden="1" customWidth="1" outlineLevel="1"/>
    <col min="19" max="19" width="10.140625" hidden="1" customWidth="1" outlineLevel="1"/>
    <col min="20" max="20" width="14.140625" customWidth="1"/>
    <col min="21" max="21" width="11.42578125" customWidth="1"/>
    <col min="22" max="25" width="13.85546875" hidden="1" customWidth="1" outlineLevel="1"/>
    <col min="26" max="26" width="11.42578125" customWidth="1"/>
    <col min="27" max="27" width="10" customWidth="1"/>
    <col min="28" max="29" width="11.140625" customWidth="1"/>
    <col min="30" max="30" width="7.140625" customWidth="1"/>
    <col min="31" max="33" width="9.140625" customWidth="1"/>
    <col min="34" max="37" width="9.140625" hidden="1" customWidth="1" outlineLevel="1"/>
    <col min="38" max="38" width="9.140625" customWidth="1"/>
  </cols>
  <sheetData>
    <row r="1" spans="1:38" ht="30" customHeight="1">
      <c r="B1" s="121"/>
      <c r="C1" s="121"/>
      <c r="D1" s="121"/>
      <c r="E1" s="121"/>
      <c r="F1" s="121"/>
      <c r="G1" s="121"/>
      <c r="H1" s="121"/>
      <c r="I1" s="122" t="s">
        <v>168</v>
      </c>
      <c r="J1" s="123"/>
      <c r="K1" s="123"/>
      <c r="L1" s="124"/>
      <c r="M1" s="125"/>
      <c r="N1" s="126" t="s">
        <v>169</v>
      </c>
      <c r="O1" s="126"/>
      <c r="P1" s="123"/>
      <c r="T1" s="127"/>
      <c r="W1" s="128" t="s">
        <v>170</v>
      </c>
      <c r="X1" s="128" t="s">
        <v>171</v>
      </c>
      <c r="Y1" s="129"/>
      <c r="Z1" s="130"/>
      <c r="AA1" s="130"/>
      <c r="AB1" s="614" t="s">
        <v>172</v>
      </c>
      <c r="AC1" s="608"/>
      <c r="AD1" s="608"/>
      <c r="AE1" s="608"/>
      <c r="AF1" s="608"/>
      <c r="AG1" s="600"/>
      <c r="AH1" s="131"/>
      <c r="AI1" s="123"/>
      <c r="AJ1" s="123"/>
      <c r="AK1" s="123"/>
      <c r="AL1" s="123"/>
    </row>
    <row r="2" spans="1:38" ht="5.25" customHeight="1">
      <c r="B2" s="121"/>
      <c r="C2" s="121"/>
      <c r="D2" s="121"/>
      <c r="E2" s="121"/>
      <c r="F2" s="121"/>
      <c r="G2" s="121"/>
      <c r="H2" s="121"/>
      <c r="I2" s="122"/>
      <c r="T2" s="132"/>
      <c r="W2" s="133"/>
      <c r="X2" s="133"/>
      <c r="Y2" s="129"/>
      <c r="Z2" s="133"/>
      <c r="AA2" s="133"/>
      <c r="AB2" s="133"/>
      <c r="AC2" s="133"/>
      <c r="AD2" s="133"/>
      <c r="AE2" s="123"/>
      <c r="AF2" s="123"/>
      <c r="AG2" s="123"/>
      <c r="AH2" s="123"/>
      <c r="AI2" s="123"/>
      <c r="AJ2" s="123"/>
      <c r="AK2" s="123"/>
      <c r="AL2" s="123"/>
    </row>
    <row r="3" spans="1:38" ht="23.25" customHeight="1">
      <c r="A3" s="134"/>
      <c r="B3" s="134"/>
      <c r="C3" s="134"/>
      <c r="D3" s="135"/>
      <c r="E3" s="135"/>
      <c r="F3" s="135"/>
      <c r="G3" s="134"/>
      <c r="H3" s="134"/>
      <c r="I3" s="136"/>
      <c r="J3" s="137" t="s">
        <v>173</v>
      </c>
      <c r="K3" s="138"/>
      <c r="L3" s="139" t="s">
        <v>174</v>
      </c>
      <c r="M3" s="139">
        <v>2</v>
      </c>
      <c r="N3" s="139">
        <v>2</v>
      </c>
      <c r="O3" s="139">
        <v>1</v>
      </c>
      <c r="P3" s="139">
        <v>2</v>
      </c>
      <c r="Q3" s="139">
        <v>2</v>
      </c>
      <c r="R3" s="139" t="s">
        <v>174</v>
      </c>
      <c r="S3" s="134"/>
      <c r="T3" s="140"/>
      <c r="U3" s="138"/>
      <c r="V3" s="138"/>
      <c r="W3" s="615" t="s">
        <v>175</v>
      </c>
      <c r="X3" s="616"/>
      <c r="Y3" s="129"/>
      <c r="Z3" s="141"/>
      <c r="AA3" s="141"/>
      <c r="AB3" s="615" t="s">
        <v>175</v>
      </c>
      <c r="AC3" s="616"/>
      <c r="AD3" s="129"/>
      <c r="AE3" s="134"/>
      <c r="AF3" s="134"/>
      <c r="AG3" s="134"/>
      <c r="AH3" s="134"/>
      <c r="AI3" s="134"/>
      <c r="AJ3" s="134"/>
      <c r="AK3" s="134"/>
      <c r="AL3" s="134"/>
    </row>
    <row r="4" spans="1:38" ht="17.25">
      <c r="A4" s="123"/>
      <c r="B4" s="142" t="s">
        <v>176</v>
      </c>
      <c r="C4" s="143"/>
      <c r="D4" s="143"/>
      <c r="E4" s="143"/>
      <c r="F4" s="143"/>
      <c r="G4" s="144"/>
      <c r="H4" s="145" t="s">
        <v>177</v>
      </c>
      <c r="I4" s="146"/>
      <c r="J4" s="123"/>
      <c r="K4" s="123"/>
      <c r="L4" s="147" t="s">
        <v>178</v>
      </c>
      <c r="M4" s="147" t="s">
        <v>178</v>
      </c>
      <c r="N4" s="147" t="s">
        <v>178</v>
      </c>
      <c r="O4" s="147" t="s">
        <v>178</v>
      </c>
      <c r="P4" s="147" t="s">
        <v>178</v>
      </c>
      <c r="Q4" s="147" t="s">
        <v>178</v>
      </c>
      <c r="T4" s="148">
        <v>2</v>
      </c>
      <c r="V4" s="147" t="s">
        <v>179</v>
      </c>
      <c r="Y4" s="129"/>
      <c r="Z4" s="133">
        <v>1</v>
      </c>
      <c r="AA4" s="133">
        <v>2</v>
      </c>
      <c r="AB4" s="133">
        <v>1</v>
      </c>
      <c r="AC4" s="133">
        <v>2</v>
      </c>
      <c r="AD4" s="133"/>
      <c r="AE4" s="123"/>
      <c r="AF4" s="123"/>
      <c r="AG4" s="123"/>
      <c r="AH4" s="123"/>
      <c r="AI4" s="123"/>
      <c r="AJ4" s="123"/>
      <c r="AK4" s="123"/>
      <c r="AL4" s="123"/>
    </row>
    <row r="5" spans="1:38" ht="49.5" customHeight="1">
      <c r="A5" s="123"/>
      <c r="B5" s="149" t="s">
        <v>180</v>
      </c>
      <c r="C5" s="150"/>
      <c r="D5" s="151" t="s">
        <v>181</v>
      </c>
      <c r="E5" s="151" t="s">
        <v>182</v>
      </c>
      <c r="F5" s="151" t="s">
        <v>183</v>
      </c>
      <c r="G5" s="150" t="s">
        <v>184</v>
      </c>
      <c r="H5" s="152" t="s">
        <v>185</v>
      </c>
      <c r="I5" s="153" t="s">
        <v>186</v>
      </c>
      <c r="J5" s="123"/>
      <c r="K5" s="123"/>
      <c r="L5" s="154" t="s">
        <v>187</v>
      </c>
      <c r="M5" s="154" t="s">
        <v>188</v>
      </c>
      <c r="N5" s="155" t="s">
        <v>189</v>
      </c>
      <c r="O5" s="155" t="s">
        <v>190</v>
      </c>
      <c r="P5" s="154" t="s">
        <v>191</v>
      </c>
      <c r="Q5" s="154" t="s">
        <v>192</v>
      </c>
      <c r="R5" s="154" t="s">
        <v>193</v>
      </c>
      <c r="S5" s="154" t="s">
        <v>194</v>
      </c>
      <c r="T5" s="156" t="s">
        <v>195</v>
      </c>
      <c r="U5" s="157" t="s">
        <v>196</v>
      </c>
      <c r="V5" s="158" t="s">
        <v>197</v>
      </c>
      <c r="W5" s="158" t="s">
        <v>198</v>
      </c>
      <c r="X5" s="158" t="s">
        <v>199</v>
      </c>
      <c r="Y5" s="129"/>
      <c r="Z5" s="158" t="s">
        <v>200</v>
      </c>
      <c r="AA5" s="158" t="s">
        <v>201</v>
      </c>
      <c r="AB5" s="158" t="s">
        <v>202</v>
      </c>
      <c r="AC5" s="158" t="s">
        <v>203</v>
      </c>
      <c r="AE5" s="123"/>
      <c r="AF5" s="123"/>
      <c r="AG5" s="123"/>
      <c r="AH5" s="123"/>
      <c r="AI5" s="133" t="s">
        <v>204</v>
      </c>
      <c r="AJ5" s="123"/>
      <c r="AK5" s="123"/>
      <c r="AL5" s="123"/>
    </row>
    <row r="6" spans="1:38" ht="15" customHeight="1">
      <c r="A6" s="123"/>
      <c r="B6" s="611" t="s">
        <v>205</v>
      </c>
      <c r="C6" s="159" t="s">
        <v>206</v>
      </c>
      <c r="D6" s="160">
        <f>+'Res (750)'!H29</f>
        <v>34.51</v>
      </c>
      <c r="E6" s="161">
        <f>+'Res (750)'!L29</f>
        <v>39.850000000000009</v>
      </c>
      <c r="F6" s="161">
        <f>+'Res (750)'!S29</f>
        <v>42.940000000000005</v>
      </c>
      <c r="G6" s="162">
        <f>+'Res (750)'!Z29</f>
        <v>43.93</v>
      </c>
      <c r="H6" s="162">
        <f>+'Res (750)'!AG29</f>
        <v>45.42</v>
      </c>
      <c r="I6" s="163">
        <f>+'Res (750)'!AN29</f>
        <v>46.78</v>
      </c>
      <c r="J6" s="164"/>
      <c r="K6" s="164"/>
      <c r="L6" s="164"/>
      <c r="M6" s="164"/>
      <c r="N6" s="164"/>
      <c r="O6" s="165"/>
      <c r="P6" s="166"/>
      <c r="Q6" s="166"/>
      <c r="R6" s="165"/>
      <c r="S6" s="165"/>
      <c r="T6" s="167">
        <f t="shared" ref="T6:T8" si="0">H6</f>
        <v>45.42</v>
      </c>
      <c r="U6" s="168">
        <f t="shared" ref="U6:U55" si="1">H6-T6</f>
        <v>0</v>
      </c>
      <c r="V6" s="165"/>
      <c r="W6" s="162">
        <f>H6*'Res (750)'!$AC$15+H6</f>
        <v>48.547459854014598</v>
      </c>
      <c r="X6" s="162">
        <f t="shared" ref="X6:X8" si="2">W6</f>
        <v>48.547459854014598</v>
      </c>
      <c r="Y6" s="169"/>
      <c r="Z6" s="170"/>
      <c r="AA6" s="166"/>
      <c r="AB6" s="166"/>
      <c r="AC6" s="171"/>
      <c r="AE6" s="123"/>
      <c r="AF6" s="123"/>
      <c r="AG6" s="123"/>
      <c r="AH6" s="123"/>
      <c r="AI6" s="172"/>
      <c r="AJ6" s="123"/>
      <c r="AK6" s="123"/>
      <c r="AL6" s="123"/>
    </row>
    <row r="7" spans="1:38" ht="28.5">
      <c r="A7" s="123"/>
      <c r="B7" s="612"/>
      <c r="C7" s="173" t="s">
        <v>207</v>
      </c>
      <c r="D7" s="174"/>
      <c r="E7" s="175">
        <f>+'Res (750)'!N29</f>
        <v>5.3400000000000105</v>
      </c>
      <c r="F7" s="175">
        <f>+'Res (750)'!U29</f>
        <v>3.0899999999999963</v>
      </c>
      <c r="G7" s="176">
        <f>+'Res (750)'!AB29</f>
        <v>0.98999999999999488</v>
      </c>
      <c r="H7" s="177">
        <f>+'Res (750)'!AI29</f>
        <v>1.490000000000002</v>
      </c>
      <c r="I7" s="178">
        <f>+'Res (750)'!AP29</f>
        <v>1.3599999999999994</v>
      </c>
      <c r="J7" s="123"/>
      <c r="K7" s="123"/>
      <c r="L7" s="179">
        <f>'Proposed Rates'!I37</f>
        <v>0</v>
      </c>
      <c r="M7" s="179"/>
      <c r="N7" s="179">
        <f>'Res (750)'!AE31</f>
        <v>0</v>
      </c>
      <c r="O7" s="179">
        <f>'Res (750)'!AE32</f>
        <v>0</v>
      </c>
      <c r="P7" s="179"/>
      <c r="Q7" s="179"/>
      <c r="R7" s="179">
        <f>'Proposed Rates'!I90</f>
        <v>0</v>
      </c>
      <c r="S7" s="179">
        <f t="shared" ref="S7:S10" si="3">SUM(L7:R7)</f>
        <v>0</v>
      </c>
      <c r="T7" s="180">
        <f t="shared" si="0"/>
        <v>1.490000000000002</v>
      </c>
      <c r="U7" s="181">
        <f t="shared" si="1"/>
        <v>0</v>
      </c>
      <c r="V7" s="182">
        <f>'Proposed Rates'!J90</f>
        <v>0</v>
      </c>
      <c r="W7" s="177">
        <f>W6-H6</f>
        <v>3.1274598540145959</v>
      </c>
      <c r="X7" s="177">
        <f t="shared" si="2"/>
        <v>3.1274598540145959</v>
      </c>
      <c r="Y7" s="129"/>
      <c r="Z7" s="183"/>
      <c r="AA7" s="184"/>
      <c r="AB7" s="184">
        <f>-V8</f>
        <v>0</v>
      </c>
      <c r="AC7" s="185">
        <f>-V8</f>
        <v>0</v>
      </c>
      <c r="AD7" s="53" t="s">
        <v>208</v>
      </c>
      <c r="AE7" s="123"/>
      <c r="AF7" s="123"/>
      <c r="AG7" s="123"/>
      <c r="AH7" s="123"/>
      <c r="AI7" s="172">
        <f>L7*750</f>
        <v>0</v>
      </c>
      <c r="AJ7" s="123"/>
      <c r="AK7" s="123"/>
      <c r="AL7" s="123"/>
    </row>
    <row r="8" spans="1:38">
      <c r="A8" s="123"/>
      <c r="B8" s="612"/>
      <c r="C8" s="186" t="s">
        <v>209</v>
      </c>
      <c r="D8" s="187"/>
      <c r="E8" s="188">
        <f t="shared" ref="E8:I8" si="4">E7/D6</f>
        <v>0.15473775717183458</v>
      </c>
      <c r="F8" s="189">
        <f t="shared" si="4"/>
        <v>7.7540777917189357E-2</v>
      </c>
      <c r="G8" s="190">
        <f t="shared" si="4"/>
        <v>2.3055426176059497E-2</v>
      </c>
      <c r="H8" s="191">
        <f t="shared" si="4"/>
        <v>3.3917596175734165E-2</v>
      </c>
      <c r="I8" s="192">
        <f t="shared" si="4"/>
        <v>2.9942756494936138E-2</v>
      </c>
      <c r="J8" s="123"/>
      <c r="K8" s="123"/>
      <c r="L8" s="193">
        <f>'Res (750)'!AG30</f>
        <v>0</v>
      </c>
      <c r="M8" s="193"/>
      <c r="N8" s="193">
        <f>'Res (750)'!AG31</f>
        <v>0</v>
      </c>
      <c r="O8" s="193">
        <f>'Res (750)'!AG32</f>
        <v>0</v>
      </c>
      <c r="P8" s="193"/>
      <c r="Q8" s="193"/>
      <c r="R8" s="193">
        <f>'Res (750)'!AG21</f>
        <v>0</v>
      </c>
      <c r="S8" s="193">
        <f t="shared" si="3"/>
        <v>0</v>
      </c>
      <c r="T8" s="194">
        <f t="shared" si="0"/>
        <v>3.3917596175734165E-2</v>
      </c>
      <c r="U8" s="195">
        <f t="shared" si="1"/>
        <v>0</v>
      </c>
      <c r="V8" s="196">
        <f>R8</f>
        <v>0</v>
      </c>
      <c r="W8" s="191">
        <f>W7/W6</f>
        <v>6.442066924652852E-2</v>
      </c>
      <c r="X8" s="191">
        <f t="shared" si="2"/>
        <v>6.442066924652852E-2</v>
      </c>
      <c r="Y8" s="129"/>
      <c r="Z8" s="197"/>
      <c r="AA8" s="172"/>
      <c r="AB8" s="172"/>
      <c r="AC8" s="198"/>
      <c r="AE8" s="123"/>
      <c r="AF8" s="123"/>
      <c r="AG8" s="123"/>
      <c r="AH8" s="123"/>
      <c r="AI8" s="172"/>
      <c r="AJ8" s="123"/>
      <c r="AK8" s="123"/>
      <c r="AL8" s="123"/>
    </row>
    <row r="9" spans="1:38">
      <c r="A9" s="123"/>
      <c r="B9" s="612"/>
      <c r="C9" s="186" t="s">
        <v>210</v>
      </c>
      <c r="D9" s="187"/>
      <c r="E9" s="199">
        <f>+'Res (750)'!N53</f>
        <v>1.3897598024999951</v>
      </c>
      <c r="F9" s="199">
        <f>+'Res (750)'!U53</f>
        <v>0.77902499999999719</v>
      </c>
      <c r="G9" s="200">
        <f>+'Res (750)'!AB53</f>
        <v>0.23682101499999675</v>
      </c>
      <c r="H9" s="201">
        <f>+'Res (750)'!AI53</f>
        <v>0.35249999999999915</v>
      </c>
      <c r="I9" s="202">
        <f>+'Res (750)'!AP53</f>
        <v>0.32195000000000107</v>
      </c>
      <c r="J9" s="123"/>
      <c r="K9" s="123"/>
      <c r="N9" s="203">
        <f>N7/N$3</f>
        <v>0</v>
      </c>
      <c r="S9" s="204">
        <f t="shared" si="3"/>
        <v>0</v>
      </c>
      <c r="T9" s="205">
        <f>H9-S10-S10*0.13+S10*0.117</f>
        <v>0.35249999999999915</v>
      </c>
      <c r="U9" s="206">
        <f t="shared" si="1"/>
        <v>0</v>
      </c>
      <c r="W9" s="184">
        <f>-S8+V8</f>
        <v>0</v>
      </c>
      <c r="X9" s="184">
        <f>-L8</f>
        <v>0</v>
      </c>
      <c r="Y9" s="129"/>
      <c r="Z9" s="183">
        <f t="shared" ref="Z9:AA9" si="5">W9</f>
        <v>0</v>
      </c>
      <c r="AA9" s="184">
        <f t="shared" si="5"/>
        <v>0</v>
      </c>
      <c r="AB9" s="184">
        <f>-V8</f>
        <v>0</v>
      </c>
      <c r="AC9" s="185">
        <f>-S10-V8</f>
        <v>0</v>
      </c>
      <c r="AD9" s="53" t="s">
        <v>211</v>
      </c>
      <c r="AE9" s="123"/>
      <c r="AF9" s="123"/>
      <c r="AG9" s="123"/>
      <c r="AH9" s="123"/>
      <c r="AI9" s="172"/>
      <c r="AJ9" s="123"/>
      <c r="AK9" s="123"/>
      <c r="AL9" s="123"/>
    </row>
    <row r="10" spans="1:38">
      <c r="A10" s="123"/>
      <c r="B10" s="613"/>
      <c r="C10" s="207" t="s">
        <v>212</v>
      </c>
      <c r="D10" s="208"/>
      <c r="E10" s="209">
        <f>+'Res (750)'!O53</f>
        <v>3.8377981223641541E-2</v>
      </c>
      <c r="F10" s="209">
        <f>+'Res (750)'!V53</f>
        <v>2.0717545663173593E-2</v>
      </c>
      <c r="G10" s="210">
        <f>+'Res (750)'!AC53</f>
        <v>6.1702330506223091E-3</v>
      </c>
      <c r="H10" s="211">
        <f>+'Res (750)'!AJ53</f>
        <v>9.127860329132367E-3</v>
      </c>
      <c r="I10" s="212">
        <f>+'Res (750)'!AQ53</f>
        <v>8.2613704648769933E-3</v>
      </c>
      <c r="J10" s="213"/>
      <c r="K10" s="213"/>
      <c r="L10" s="214">
        <f>IFERROR(ROUND(L8/L$3,2),)</f>
        <v>0</v>
      </c>
      <c r="M10" s="214"/>
      <c r="N10" s="214">
        <f>IFERROR(ROUND(N8/N$3,2),)</f>
        <v>0</v>
      </c>
      <c r="O10" s="214"/>
      <c r="P10" s="214"/>
      <c r="Q10" s="214"/>
      <c r="R10" s="214">
        <f>IFERROR(ROUND(R8/R$3,2),)</f>
        <v>0</v>
      </c>
      <c r="S10" s="214">
        <f t="shared" si="3"/>
        <v>0</v>
      </c>
      <c r="T10" s="215">
        <f>T9/'Res (750)'!Z53</f>
        <v>9.127860329132367E-3</v>
      </c>
      <c r="U10" s="216">
        <f t="shared" si="1"/>
        <v>0</v>
      </c>
      <c r="V10" s="217"/>
      <c r="W10" s="218" t="s">
        <v>213</v>
      </c>
      <c r="X10" s="218" t="s">
        <v>213</v>
      </c>
      <c r="Y10" s="219"/>
      <c r="Z10" s="220"/>
      <c r="AA10" s="219"/>
      <c r="AB10" s="219"/>
      <c r="AC10" s="221"/>
      <c r="AE10" s="123"/>
      <c r="AF10" s="123"/>
      <c r="AG10" s="123"/>
      <c r="AH10" s="123"/>
      <c r="AI10" s="172"/>
      <c r="AJ10" s="123"/>
      <c r="AK10" s="123"/>
      <c r="AL10" s="123"/>
    </row>
    <row r="11" spans="1:38" hidden="1" outlineLevel="1">
      <c r="A11" s="123"/>
      <c r="B11" s="617" t="s">
        <v>214</v>
      </c>
      <c r="C11" s="173" t="s">
        <v>206</v>
      </c>
      <c r="D11" s="174">
        <f>+'Res (232)'!G30</f>
        <v>232</v>
      </c>
      <c r="E11" s="175">
        <f>+'Res (232)'!K30</f>
        <v>232</v>
      </c>
      <c r="F11" s="175">
        <f>+'Res (232)'!R30</f>
        <v>232</v>
      </c>
      <c r="G11" s="177">
        <f>+'Res (232)'!Y30</f>
        <v>232</v>
      </c>
      <c r="H11" s="177">
        <f>+'Res (232)'!AF30</f>
        <v>232</v>
      </c>
      <c r="I11" s="178">
        <f>+'Res (232)'!AM30</f>
        <v>232</v>
      </c>
      <c r="J11" s="123"/>
      <c r="K11" s="123"/>
      <c r="L11" s="123"/>
      <c r="M11" s="222"/>
      <c r="N11" s="222"/>
      <c r="O11" s="222"/>
      <c r="P11" s="172"/>
      <c r="Q11" s="172"/>
      <c r="T11" s="180">
        <f t="shared" ref="T11:T13" si="6">H11</f>
        <v>232</v>
      </c>
      <c r="U11" s="181">
        <f t="shared" si="1"/>
        <v>0</v>
      </c>
      <c r="W11" s="177">
        <f>H11*'Res (750)'!$AC$15+H11</f>
        <v>247.97469586374694</v>
      </c>
      <c r="X11" s="177">
        <f t="shared" ref="X11:X13" si="7">W11</f>
        <v>247.97469586374694</v>
      </c>
      <c r="Y11" s="172"/>
      <c r="Z11" s="197"/>
      <c r="AA11" s="172"/>
      <c r="AB11" s="172"/>
      <c r="AC11" s="223"/>
      <c r="AE11" s="123"/>
      <c r="AF11" s="123"/>
      <c r="AG11" s="123"/>
      <c r="AH11" s="123"/>
      <c r="AI11" s="172"/>
      <c r="AJ11" s="123"/>
      <c r="AK11" s="123"/>
      <c r="AL11" s="123"/>
    </row>
    <row r="12" spans="1:38" ht="28.5" hidden="1" outlineLevel="1">
      <c r="A12" s="123"/>
      <c r="B12" s="618"/>
      <c r="C12" s="173" t="s">
        <v>207</v>
      </c>
      <c r="D12" s="174"/>
      <c r="E12" s="175">
        <f>+'Res (232)'!M30</f>
        <v>0</v>
      </c>
      <c r="F12" s="175">
        <f>+'Res (232)'!T30</f>
        <v>0</v>
      </c>
      <c r="G12" s="176">
        <f>+'Res (232)'!AA30</f>
        <v>0</v>
      </c>
      <c r="H12" s="177">
        <f>+'Res (232)'!AH30</f>
        <v>0</v>
      </c>
      <c r="I12" s="178">
        <f>+'Res (232)'!AO30</f>
        <v>0</v>
      </c>
      <c r="J12" s="123"/>
      <c r="K12" s="123"/>
      <c r="L12" s="179">
        <f>L7</f>
        <v>0</v>
      </c>
      <c r="M12" s="179"/>
      <c r="N12" s="179">
        <f>'Res (232)'!AD32</f>
        <v>0</v>
      </c>
      <c r="O12" s="179">
        <f>'Res (232)'!AD33</f>
        <v>0</v>
      </c>
      <c r="P12" s="179"/>
      <c r="Q12" s="179"/>
      <c r="R12" s="179">
        <f t="shared" ref="R12:R13" si="8">R7</f>
        <v>0</v>
      </c>
      <c r="S12" s="179">
        <f t="shared" ref="S12:S15" si="9">SUM(L12:R12)</f>
        <v>0</v>
      </c>
      <c r="T12" s="180">
        <f t="shared" si="6"/>
        <v>0</v>
      </c>
      <c r="U12" s="181">
        <f t="shared" si="1"/>
        <v>0</v>
      </c>
      <c r="V12" s="182">
        <f>V7</f>
        <v>0</v>
      </c>
      <c r="W12" s="177">
        <f>W11-H11</f>
        <v>15.974695863746945</v>
      </c>
      <c r="X12" s="177">
        <f t="shared" si="7"/>
        <v>15.974695863746945</v>
      </c>
      <c r="Y12" s="172"/>
      <c r="Z12" s="183"/>
      <c r="AA12" s="184"/>
      <c r="AB12" s="184">
        <f>-V13</f>
        <v>0</v>
      </c>
      <c r="AC12" s="224">
        <f>-V13</f>
        <v>0</v>
      </c>
      <c r="AE12" s="123"/>
      <c r="AF12" s="123"/>
      <c r="AG12" s="123"/>
      <c r="AH12" s="123"/>
      <c r="AI12" s="172">
        <f>ROUND(L12*232,2)</f>
        <v>0</v>
      </c>
      <c r="AJ12" s="123"/>
      <c r="AK12" s="123"/>
      <c r="AL12" s="123"/>
    </row>
    <row r="13" spans="1:38" hidden="1" outlineLevel="1">
      <c r="A13" s="123"/>
      <c r="B13" s="618"/>
      <c r="C13" s="186" t="s">
        <v>209</v>
      </c>
      <c r="D13" s="187"/>
      <c r="E13" s="188">
        <f t="shared" ref="E13:I13" si="10">E12/D11</f>
        <v>0</v>
      </c>
      <c r="F13" s="189">
        <f t="shared" si="10"/>
        <v>0</v>
      </c>
      <c r="G13" s="190">
        <f t="shared" si="10"/>
        <v>0</v>
      </c>
      <c r="H13" s="191">
        <f t="shared" si="10"/>
        <v>0</v>
      </c>
      <c r="I13" s="192">
        <f t="shared" si="10"/>
        <v>0</v>
      </c>
      <c r="J13" s="123"/>
      <c r="K13" s="123"/>
      <c r="L13" s="193">
        <f>'Res (232)'!AF31</f>
        <v>232</v>
      </c>
      <c r="M13" s="193"/>
      <c r="N13" s="193">
        <f>'Res (232)'!AF32</f>
        <v>232</v>
      </c>
      <c r="O13" s="193">
        <f>'Res (232)'!AF33</f>
        <v>232</v>
      </c>
      <c r="P13" s="193"/>
      <c r="Q13" s="193"/>
      <c r="R13" s="193">
        <f t="shared" si="8"/>
        <v>0</v>
      </c>
      <c r="S13" s="193">
        <f t="shared" si="9"/>
        <v>696</v>
      </c>
      <c r="T13" s="194">
        <f t="shared" si="6"/>
        <v>0</v>
      </c>
      <c r="U13" s="195">
        <f t="shared" si="1"/>
        <v>0</v>
      </c>
      <c r="V13" s="182">
        <f>V12</f>
        <v>0</v>
      </c>
      <c r="W13" s="191">
        <f>W12/W11</f>
        <v>6.442066924652852E-2</v>
      </c>
      <c r="X13" s="191">
        <f t="shared" si="7"/>
        <v>6.442066924652852E-2</v>
      </c>
      <c r="Y13" s="172"/>
      <c r="Z13" s="197"/>
      <c r="AA13" s="172"/>
      <c r="AB13" s="172"/>
      <c r="AC13" s="223"/>
      <c r="AE13" s="123"/>
      <c r="AF13" s="123"/>
      <c r="AG13" s="123"/>
      <c r="AH13" s="123"/>
      <c r="AI13" s="172"/>
      <c r="AJ13" s="123"/>
      <c r="AK13" s="123"/>
      <c r="AL13" s="123"/>
    </row>
    <row r="14" spans="1:38" hidden="1" outlineLevel="1">
      <c r="A14" s="123"/>
      <c r="B14" s="618"/>
      <c r="C14" s="186" t="s">
        <v>210</v>
      </c>
      <c r="D14" s="187"/>
      <c r="E14" s="199">
        <f>+'Res (232)'!M55</f>
        <v>0</v>
      </c>
      <c r="F14" s="199">
        <f>+'Res (232)'!T55</f>
        <v>0</v>
      </c>
      <c r="G14" s="200">
        <f>+'Res (232)'!AA55</f>
        <v>0</v>
      </c>
      <c r="H14" s="201">
        <f>+'Res (232)'!AH55</f>
        <v>0</v>
      </c>
      <c r="I14" s="202">
        <f>+'Res (232)'!AO55</f>
        <v>0</v>
      </c>
      <c r="J14" s="123"/>
      <c r="K14" s="123"/>
      <c r="N14" s="203">
        <f>N12/N$3</f>
        <v>0</v>
      </c>
      <c r="S14" s="204">
        <f t="shared" si="9"/>
        <v>0</v>
      </c>
      <c r="T14" s="205">
        <f>H14-S15-S15*0.13+S15*0.117</f>
        <v>-117.50800000000001</v>
      </c>
      <c r="U14" s="206">
        <f t="shared" si="1"/>
        <v>117.50800000000001</v>
      </c>
      <c r="W14" s="184">
        <f>-S13+V13</f>
        <v>-696</v>
      </c>
      <c r="X14" s="184">
        <f>-L13</f>
        <v>-232</v>
      </c>
      <c r="Y14" s="172"/>
      <c r="Z14" s="183">
        <f t="shared" ref="Z14:AA14" si="11">W14</f>
        <v>-696</v>
      </c>
      <c r="AA14" s="184">
        <f t="shared" si="11"/>
        <v>-232</v>
      </c>
      <c r="AB14" s="184">
        <f>-V13</f>
        <v>0</v>
      </c>
      <c r="AC14" s="224">
        <f>-S15-V13</f>
        <v>-116</v>
      </c>
      <c r="AE14" s="123"/>
      <c r="AF14" s="123"/>
      <c r="AG14" s="123"/>
      <c r="AH14" s="123"/>
      <c r="AI14" s="172"/>
      <c r="AJ14" s="123"/>
      <c r="AK14" s="123"/>
      <c r="AL14" s="123"/>
    </row>
    <row r="15" spans="1:38" hidden="1" outlineLevel="1">
      <c r="A15" s="123"/>
      <c r="B15" s="619"/>
      <c r="C15" s="225" t="s">
        <v>212</v>
      </c>
      <c r="D15" s="226"/>
      <c r="E15" s="227">
        <f>+'Res (232)'!N55</f>
        <v>0</v>
      </c>
      <c r="F15" s="227">
        <f>+'Res (232)'!U55</f>
        <v>0</v>
      </c>
      <c r="G15" s="228">
        <f>+'Res (232)'!AB55</f>
        <v>0</v>
      </c>
      <c r="H15" s="229">
        <f>+'Res (232)'!AI55</f>
        <v>0</v>
      </c>
      <c r="I15" s="230">
        <f>+'Res (232)'!AP55</f>
        <v>0</v>
      </c>
      <c r="J15" s="123"/>
      <c r="K15" s="123"/>
      <c r="L15" s="231">
        <f>IFERROR(ROUND(L13/L$3,2),)</f>
        <v>0</v>
      </c>
      <c r="M15" s="231"/>
      <c r="N15" s="231">
        <f>IFERROR(ROUND(N13/N$3,2),)</f>
        <v>116</v>
      </c>
      <c r="O15" s="231"/>
      <c r="P15" s="231"/>
      <c r="Q15" s="231"/>
      <c r="R15" s="231">
        <f>IFERROR(ROUND(R13/R$3,2),)</f>
        <v>0</v>
      </c>
      <c r="S15" s="231">
        <f t="shared" si="9"/>
        <v>116</v>
      </c>
      <c r="T15" s="232" t="e">
        <f>T14/'Res (232)'!Y55</f>
        <v>#DIV/0!</v>
      </c>
      <c r="U15" s="233" t="e">
        <f t="shared" si="1"/>
        <v>#DIV/0!</v>
      </c>
      <c r="W15" s="234" t="s">
        <v>213</v>
      </c>
      <c r="X15" s="234" t="s">
        <v>213</v>
      </c>
      <c r="Y15" s="172"/>
      <c r="Z15" s="197"/>
      <c r="AA15" s="172"/>
      <c r="AB15" s="172"/>
      <c r="AC15" s="223"/>
      <c r="AE15" s="123"/>
      <c r="AF15" s="123"/>
      <c r="AG15" s="123"/>
      <c r="AH15" s="123"/>
      <c r="AI15" s="172"/>
      <c r="AJ15" s="123"/>
      <c r="AK15" s="123"/>
      <c r="AL15" s="123"/>
    </row>
    <row r="16" spans="1:38" ht="15" customHeight="1" collapsed="1">
      <c r="A16" s="123"/>
      <c r="B16" s="611" t="s">
        <v>215</v>
      </c>
      <c r="C16" s="159" t="s">
        <v>206</v>
      </c>
      <c r="D16" s="160">
        <f>+'SC (2000)'!H29</f>
        <v>85.93</v>
      </c>
      <c r="E16" s="161">
        <f>+'SC (2000)'!L29</f>
        <v>96.15</v>
      </c>
      <c r="F16" s="161">
        <f>+'SC (2000)'!S29</f>
        <v>102.21000000000001</v>
      </c>
      <c r="G16" s="162">
        <f>+'SC (2000)'!Z29</f>
        <v>105.10000000000001</v>
      </c>
      <c r="H16" s="162">
        <f>+'SC (2000)'!AG29</f>
        <v>106.77</v>
      </c>
      <c r="I16" s="163">
        <f>+'SC (2000)'!AN29</f>
        <v>108.41</v>
      </c>
      <c r="J16" s="164"/>
      <c r="K16" s="164"/>
      <c r="L16" s="164"/>
      <c r="M16" s="235"/>
      <c r="N16" s="235"/>
      <c r="O16" s="235"/>
      <c r="P16" s="166"/>
      <c r="Q16" s="166"/>
      <c r="R16" s="165"/>
      <c r="S16" s="165"/>
      <c r="T16" s="167">
        <f t="shared" ref="T16:T18" si="12">H16</f>
        <v>106.77</v>
      </c>
      <c r="U16" s="168">
        <f t="shared" si="1"/>
        <v>0</v>
      </c>
      <c r="V16" s="165"/>
      <c r="W16" s="162">
        <f>H16*'SC (2000)'!AC15+H16</f>
        <v>114.09048140043762</v>
      </c>
      <c r="X16" s="162">
        <f t="shared" ref="X16:X18" si="13">W16</f>
        <v>114.09048140043762</v>
      </c>
      <c r="Y16" s="166"/>
      <c r="Z16" s="170"/>
      <c r="AA16" s="166"/>
      <c r="AB16" s="166"/>
      <c r="AC16" s="171"/>
      <c r="AE16" s="123"/>
      <c r="AF16" s="123"/>
      <c r="AG16" s="123"/>
      <c r="AH16" s="123"/>
      <c r="AI16" s="172"/>
      <c r="AJ16" s="123"/>
      <c r="AK16" s="123"/>
      <c r="AL16" s="123"/>
    </row>
    <row r="17" spans="1:38" ht="28.5">
      <c r="A17" s="123"/>
      <c r="B17" s="612"/>
      <c r="C17" s="173" t="s">
        <v>207</v>
      </c>
      <c r="D17" s="174"/>
      <c r="E17" s="175">
        <f>+'SC (2000)'!N29</f>
        <v>10.219999999999999</v>
      </c>
      <c r="F17" s="175">
        <f>+'SC (2000)'!U29</f>
        <v>6.0600000000000023</v>
      </c>
      <c r="G17" s="176">
        <f>+'SC (2000)'!AB29</f>
        <v>2.8900000000000006</v>
      </c>
      <c r="H17" s="177">
        <f>+'SC (2000)'!AI29</f>
        <v>1.6699999999999875</v>
      </c>
      <c r="I17" s="178">
        <f>+'SC (2000)'!AP29</f>
        <v>1.6400000000000006</v>
      </c>
      <c r="J17" s="123"/>
      <c r="K17" s="123"/>
      <c r="L17" s="179">
        <f>L12</f>
        <v>0</v>
      </c>
      <c r="M17" s="179"/>
      <c r="N17" s="179">
        <f>'SC (2000)'!AE31</f>
        <v>0</v>
      </c>
      <c r="O17" s="179">
        <f>+'SC (2000)'!AE32</f>
        <v>0</v>
      </c>
      <c r="P17" s="179"/>
      <c r="Q17" s="179"/>
      <c r="R17" s="179">
        <f>'Proposed Rates'!I91</f>
        <v>0</v>
      </c>
      <c r="S17" s="179">
        <f t="shared" ref="S17:S20" si="14">SUM(L17:R17)</f>
        <v>0</v>
      </c>
      <c r="T17" s="180">
        <f t="shared" si="12"/>
        <v>1.6699999999999875</v>
      </c>
      <c r="U17" s="181">
        <f t="shared" si="1"/>
        <v>0</v>
      </c>
      <c r="V17" s="182">
        <f t="shared" ref="V17:V18" si="15">R17</f>
        <v>0</v>
      </c>
      <c r="W17" s="177">
        <f>W16-H16</f>
        <v>7.3204814004376288</v>
      </c>
      <c r="X17" s="177">
        <f t="shared" si="13"/>
        <v>7.3204814004376288</v>
      </c>
      <c r="Y17" s="172"/>
      <c r="Z17" s="183"/>
      <c r="AA17" s="184"/>
      <c r="AB17" s="184">
        <f>-V18</f>
        <v>0</v>
      </c>
      <c r="AC17" s="185">
        <f>-V18</f>
        <v>0</v>
      </c>
      <c r="AE17" s="123"/>
      <c r="AF17" s="123"/>
      <c r="AG17" s="123"/>
      <c r="AH17" s="123"/>
      <c r="AI17" s="172">
        <f>ROUND(L17*2000,2)</f>
        <v>0</v>
      </c>
      <c r="AJ17" s="123"/>
      <c r="AK17" s="123"/>
      <c r="AL17" s="123"/>
    </row>
    <row r="18" spans="1:38">
      <c r="A18" s="123"/>
      <c r="B18" s="612"/>
      <c r="C18" s="186" t="s">
        <v>209</v>
      </c>
      <c r="D18" s="187"/>
      <c r="E18" s="188">
        <f t="shared" ref="E18:I18" si="16">E17/D16</f>
        <v>0.11893401605958336</v>
      </c>
      <c r="F18" s="189">
        <f t="shared" si="16"/>
        <v>6.3026521060842458E-2</v>
      </c>
      <c r="G18" s="190">
        <f t="shared" si="16"/>
        <v>2.827511985128657E-2</v>
      </c>
      <c r="H18" s="191">
        <f t="shared" si="16"/>
        <v>1.5889628924833372E-2</v>
      </c>
      <c r="I18" s="192">
        <f t="shared" si="16"/>
        <v>1.5360119883862515E-2</v>
      </c>
      <c r="J18" s="123"/>
      <c r="K18" s="123"/>
      <c r="L18" s="193">
        <f>'SC (2000)'!AG30</f>
        <v>0</v>
      </c>
      <c r="M18" s="193"/>
      <c r="N18" s="193">
        <f>'SC (2000)'!AG31</f>
        <v>0</v>
      </c>
      <c r="O18" s="193">
        <f>'SC (2000)'!AG32</f>
        <v>0</v>
      </c>
      <c r="P18" s="193"/>
      <c r="Q18" s="193"/>
      <c r="R18" s="193">
        <f>'SC (2000)'!AG21</f>
        <v>0</v>
      </c>
      <c r="S18" s="193">
        <f t="shared" si="14"/>
        <v>0</v>
      </c>
      <c r="T18" s="194">
        <f t="shared" si="12"/>
        <v>1.5889628924833372E-2</v>
      </c>
      <c r="U18" s="195">
        <f t="shared" si="1"/>
        <v>0</v>
      </c>
      <c r="V18" s="196">
        <f t="shared" si="15"/>
        <v>0</v>
      </c>
      <c r="W18" s="191">
        <f>W17/W16</f>
        <v>6.4163822525597214E-2</v>
      </c>
      <c r="X18" s="191">
        <f t="shared" si="13"/>
        <v>6.4163822525597214E-2</v>
      </c>
      <c r="Y18" s="172"/>
      <c r="Z18" s="197"/>
      <c r="AA18" s="172"/>
      <c r="AB18" s="172"/>
      <c r="AC18" s="198"/>
      <c r="AE18" s="123"/>
      <c r="AF18" s="123"/>
      <c r="AG18" s="123"/>
      <c r="AH18" s="123"/>
      <c r="AI18" s="172"/>
      <c r="AJ18" s="123"/>
      <c r="AK18" s="123"/>
      <c r="AL18" s="123"/>
    </row>
    <row r="19" spans="1:38">
      <c r="A19" s="123"/>
      <c r="B19" s="612"/>
      <c r="C19" s="186" t="s">
        <v>210</v>
      </c>
      <c r="D19" s="187"/>
      <c r="E19" s="199">
        <f>+'SC (2000)'!N54</f>
        <v>3.4712933000000135</v>
      </c>
      <c r="F19" s="199">
        <f>+'SC (2000)'!U54</f>
        <v>5.6026999999999703</v>
      </c>
      <c r="G19" s="200">
        <f>+'SC (2000)'!AB54</f>
        <v>2.5955000000000155</v>
      </c>
      <c r="H19" s="201">
        <f>+'SC (2000)'!AI54</f>
        <v>1.5036000000000058</v>
      </c>
      <c r="I19" s="202">
        <f>+'SC (2000)'!AP54</f>
        <v>1.4767499999999814</v>
      </c>
      <c r="J19" s="123"/>
      <c r="K19" s="123"/>
      <c r="N19" s="203">
        <f>N17/N$3</f>
        <v>0</v>
      </c>
      <c r="S19" s="204">
        <f t="shared" si="14"/>
        <v>0</v>
      </c>
      <c r="T19" s="205">
        <f>H19-S20-S20*0.13+S20*0.117</f>
        <v>1.5036000000000058</v>
      </c>
      <c r="U19" s="206">
        <f t="shared" si="1"/>
        <v>0</v>
      </c>
      <c r="W19" s="184">
        <f>-S18+V18</f>
        <v>0</v>
      </c>
      <c r="X19" s="184">
        <f>-L18</f>
        <v>0</v>
      </c>
      <c r="Y19" s="172"/>
      <c r="Z19" s="183">
        <f t="shared" ref="Z19:AA19" si="17">W19</f>
        <v>0</v>
      </c>
      <c r="AA19" s="184">
        <f t="shared" si="17"/>
        <v>0</v>
      </c>
      <c r="AB19" s="184">
        <f>-V18</f>
        <v>0</v>
      </c>
      <c r="AC19" s="185">
        <f>-S20-V18</f>
        <v>0</v>
      </c>
      <c r="AE19" s="123"/>
      <c r="AF19" s="123"/>
      <c r="AG19" s="123"/>
      <c r="AH19" s="123"/>
      <c r="AI19" s="172"/>
      <c r="AJ19" s="123"/>
      <c r="AK19" s="123"/>
      <c r="AL19" s="123"/>
    </row>
    <row r="20" spans="1:38">
      <c r="A20" s="123"/>
      <c r="B20" s="613"/>
      <c r="C20" s="207" t="s">
        <v>212</v>
      </c>
      <c r="D20" s="208"/>
      <c r="E20" s="209">
        <f>+'SC (2000)'!O54</f>
        <v>9.6471444503168635E-3</v>
      </c>
      <c r="F20" s="209">
        <f>+'SC (2000)'!V54</f>
        <v>1.5421805396169446E-2</v>
      </c>
      <c r="G20" s="210">
        <f>+'SC (2000)'!AC54</f>
        <v>7.0357823782241395E-3</v>
      </c>
      <c r="H20" s="211">
        <f>+'SC (2000)'!AJ54</f>
        <v>4.0474247161656849E-3</v>
      </c>
      <c r="I20" s="212">
        <f>+'SC (2000)'!AQ54</f>
        <v>3.9591250143679747E-3</v>
      </c>
      <c r="J20" s="213"/>
      <c r="K20" s="213"/>
      <c r="L20" s="214">
        <f>IFERROR(ROUND(L18/L$3,2),)</f>
        <v>0</v>
      </c>
      <c r="M20" s="214"/>
      <c r="N20" s="214">
        <f>IFERROR(ROUND(N18/N$3,2),)</f>
        <v>0</v>
      </c>
      <c r="O20" s="214"/>
      <c r="P20" s="214"/>
      <c r="Q20" s="214"/>
      <c r="R20" s="214">
        <f>IFERROR(ROUND(R18/R$3,2),)</f>
        <v>0</v>
      </c>
      <c r="S20" s="214">
        <f t="shared" si="14"/>
        <v>0</v>
      </c>
      <c r="T20" s="215">
        <f>T19/'SC (2000)'!Z54</f>
        <v>4.0474247161656849E-3</v>
      </c>
      <c r="U20" s="216">
        <f t="shared" si="1"/>
        <v>0</v>
      </c>
      <c r="V20" s="217"/>
      <c r="W20" s="218">
        <f>W19/'SC (2000)'!$AG$54</f>
        <v>0</v>
      </c>
      <c r="X20" s="218">
        <f>X19/'SC (2000)'!$AG$54</f>
        <v>0</v>
      </c>
      <c r="Y20" s="219"/>
      <c r="Z20" s="220"/>
      <c r="AA20" s="219"/>
      <c r="AB20" s="219"/>
      <c r="AC20" s="221"/>
      <c r="AE20" s="123"/>
      <c r="AF20" s="123"/>
      <c r="AG20" s="123"/>
      <c r="AH20" s="123"/>
      <c r="AI20" s="172"/>
      <c r="AJ20" s="123"/>
      <c r="AK20" s="123"/>
      <c r="AL20" s="123"/>
    </row>
    <row r="21" spans="1:38" ht="15" customHeight="1">
      <c r="A21" s="123"/>
      <c r="B21" s="611" t="s">
        <v>216</v>
      </c>
      <c r="C21" s="159" t="s">
        <v>206</v>
      </c>
      <c r="D21" s="160">
        <f>+'&gt;50 (250)'!H29</f>
        <v>1776.9</v>
      </c>
      <c r="E21" s="161">
        <f>+'&gt;50 (250)'!L29</f>
        <v>2160.2800000000002</v>
      </c>
      <c r="F21" s="161">
        <f>+'&gt;50 (250)'!S29</f>
        <v>2339.5050000000001</v>
      </c>
      <c r="G21" s="162">
        <f>+'&gt;50 (250)'!Z29</f>
        <v>2376.8249999999998</v>
      </c>
      <c r="H21" s="162">
        <f>+'&gt;50 (250)'!AG29</f>
        <v>2459.65</v>
      </c>
      <c r="I21" s="163">
        <f>+'&gt;50 (250)'!AN29</f>
        <v>2535.4</v>
      </c>
      <c r="J21" s="164"/>
      <c r="K21" s="164"/>
      <c r="L21" s="164"/>
      <c r="M21" s="235"/>
      <c r="N21" s="235"/>
      <c r="O21" s="235"/>
      <c r="P21" s="166"/>
      <c r="Q21" s="166"/>
      <c r="R21" s="165"/>
      <c r="S21" s="165"/>
      <c r="T21" s="167">
        <f t="shared" ref="T21:T23" si="18">H21</f>
        <v>2459.65</v>
      </c>
      <c r="U21" s="168">
        <f t="shared" si="1"/>
        <v>0</v>
      </c>
      <c r="V21" s="165"/>
      <c r="W21" s="162">
        <f>('&gt;50 (250)'!AE19*'&gt;50 (250)'!AC19+'&gt;50 (250)'!AE19)*250+'&gt;50 (250)'!AE15+'&gt;50 (250)'!AE21</f>
        <v>2635.5929397274181</v>
      </c>
      <c r="X21" s="162">
        <f t="shared" ref="X21:X23" si="19">W21</f>
        <v>2635.5929397274181</v>
      </c>
      <c r="Y21" s="166"/>
      <c r="Z21" s="170"/>
      <c r="AA21" s="166"/>
      <c r="AB21" s="166"/>
      <c r="AC21" s="171"/>
      <c r="AE21" s="123"/>
      <c r="AF21" s="123"/>
      <c r="AG21" s="123"/>
      <c r="AH21" s="123"/>
      <c r="AI21" s="172"/>
      <c r="AJ21" s="123"/>
      <c r="AK21" s="123"/>
      <c r="AL21" s="123"/>
    </row>
    <row r="22" spans="1:38" ht="15.75" customHeight="1">
      <c r="A22" s="123"/>
      <c r="B22" s="612"/>
      <c r="C22" s="173" t="s">
        <v>207</v>
      </c>
      <c r="D22" s="174"/>
      <c r="E22" s="175">
        <f>+'&gt;50 (250)'!N29</f>
        <v>383.38000000000011</v>
      </c>
      <c r="F22" s="175">
        <f>+'&gt;50 (250)'!U29</f>
        <v>179.22499999999991</v>
      </c>
      <c r="G22" s="176">
        <f>+'&gt;50 (250)'!AB29</f>
        <v>37.319999999999709</v>
      </c>
      <c r="H22" s="177">
        <f>+'&gt;50 (250)'!AI29</f>
        <v>82.825000000000273</v>
      </c>
      <c r="I22" s="178">
        <f>+'&gt;50 (250)'!AP29</f>
        <v>75.75</v>
      </c>
      <c r="J22" s="123"/>
      <c r="K22" s="123" t="s">
        <v>217</v>
      </c>
      <c r="L22" s="179">
        <f>'Proposed Rates'!I39</f>
        <v>0</v>
      </c>
      <c r="M22" s="179">
        <f>'Proposed Rates'!I161</f>
        <v>0</v>
      </c>
      <c r="N22" s="179">
        <f>'&gt;50 (250)'!AE31</f>
        <v>0</v>
      </c>
      <c r="O22" s="179">
        <f>'&gt;50 (250)'!AE32</f>
        <v>0</v>
      </c>
      <c r="P22" s="179">
        <f>'&gt;50 (250)'!AE35</f>
        <v>0</v>
      </c>
      <c r="Q22" s="179">
        <f>'&gt;50 (250)'!AE33</f>
        <v>0</v>
      </c>
      <c r="R22" s="179">
        <f>'Proposed Rates'!I92</f>
        <v>0</v>
      </c>
      <c r="S22" s="179">
        <f t="shared" ref="S22:S25" si="20">SUM(L22:R22)</f>
        <v>0</v>
      </c>
      <c r="T22" s="180">
        <f t="shared" si="18"/>
        <v>82.825000000000273</v>
      </c>
      <c r="U22" s="181">
        <f t="shared" si="1"/>
        <v>0</v>
      </c>
      <c r="V22" s="182">
        <f t="shared" ref="V22:V23" si="21">R22</f>
        <v>0</v>
      </c>
      <c r="W22" s="177">
        <f>W21-H21</f>
        <v>175.94293972741798</v>
      </c>
      <c r="X22" s="177">
        <f t="shared" si="19"/>
        <v>175.94293972741798</v>
      </c>
      <c r="Y22" s="172"/>
      <c r="Z22" s="183"/>
      <c r="AA22" s="184"/>
      <c r="AB22" s="236">
        <f>-V23</f>
        <v>0</v>
      </c>
      <c r="AC22" s="185">
        <f>-V23</f>
        <v>0</v>
      </c>
      <c r="AE22" s="123"/>
      <c r="AF22" s="123"/>
      <c r="AG22" s="123"/>
      <c r="AH22" s="123"/>
      <c r="AI22" s="172">
        <f>M22*250</f>
        <v>0</v>
      </c>
      <c r="AJ22" s="123"/>
      <c r="AK22" s="123"/>
      <c r="AL22" s="123"/>
    </row>
    <row r="23" spans="1:38" ht="15.75" customHeight="1">
      <c r="A23" s="123"/>
      <c r="B23" s="612"/>
      <c r="C23" s="186" t="s">
        <v>209</v>
      </c>
      <c r="D23" s="187"/>
      <c r="E23" s="188">
        <f t="shared" ref="E23:I23" si="22">E22/D21</f>
        <v>0.21575778040407456</v>
      </c>
      <c r="F23" s="188">
        <f t="shared" si="22"/>
        <v>8.2963782472642383E-2</v>
      </c>
      <c r="G23" s="190">
        <f t="shared" si="22"/>
        <v>1.5952092429808745E-2</v>
      </c>
      <c r="H23" s="191">
        <f t="shared" si="22"/>
        <v>3.4846907113481339E-2</v>
      </c>
      <c r="I23" s="192">
        <f t="shared" si="22"/>
        <v>3.0797064623015468E-2</v>
      </c>
      <c r="J23" s="123"/>
      <c r="K23" s="123" t="s">
        <v>218</v>
      </c>
      <c r="L23" s="193">
        <f>'&gt;50 (250)'!AG30</f>
        <v>0</v>
      </c>
      <c r="M23" s="193">
        <f>'&gt;50 (250)'!AG34</f>
        <v>0</v>
      </c>
      <c r="N23" s="193">
        <f>'&gt;50 (250)'!AG31</f>
        <v>0</v>
      </c>
      <c r="O23" s="193">
        <f>'&gt;50 (250)'!AG32</f>
        <v>0</v>
      </c>
      <c r="P23" s="193">
        <f>+'&gt;50 (250)'!AG35</f>
        <v>0</v>
      </c>
      <c r="Q23" s="193">
        <f>+'&gt;50 (250)'!AG33</f>
        <v>0</v>
      </c>
      <c r="R23" s="193">
        <f>'&gt;50 (250)'!AG21</f>
        <v>0</v>
      </c>
      <c r="S23" s="193">
        <f t="shared" si="20"/>
        <v>0</v>
      </c>
      <c r="T23" s="194">
        <f t="shared" si="18"/>
        <v>3.4846907113481339E-2</v>
      </c>
      <c r="U23" s="195">
        <f t="shared" si="1"/>
        <v>0</v>
      </c>
      <c r="V23" s="196">
        <f t="shared" si="21"/>
        <v>0</v>
      </c>
      <c r="W23" s="191">
        <f>W22/W21</f>
        <v>6.6756492277451077E-2</v>
      </c>
      <c r="X23" s="191">
        <f t="shared" si="19"/>
        <v>6.6756492277451077E-2</v>
      </c>
      <c r="Y23" s="172"/>
      <c r="Z23" s="197"/>
      <c r="AA23" s="172"/>
      <c r="AB23" s="172"/>
      <c r="AC23" s="198"/>
      <c r="AE23" s="123"/>
      <c r="AF23" s="123"/>
      <c r="AG23" s="123"/>
      <c r="AH23" s="123"/>
      <c r="AI23" s="172">
        <f>ROUND(L22*250,2)</f>
        <v>0</v>
      </c>
      <c r="AJ23" s="123"/>
      <c r="AK23" s="123"/>
      <c r="AL23" s="123"/>
    </row>
    <row r="24" spans="1:38" ht="15.75" customHeight="1">
      <c r="A24" s="123"/>
      <c r="B24" s="612"/>
      <c r="C24" s="186" t="s">
        <v>210</v>
      </c>
      <c r="D24" s="187"/>
      <c r="E24" s="199">
        <f>+'&gt;50 (250)'!N56</f>
        <v>222.56645601499622</v>
      </c>
      <c r="F24" s="199">
        <f>+'&gt;50 (250)'!U56</f>
        <v>204.10625000000073</v>
      </c>
      <c r="G24" s="200">
        <f>+'&gt;50 (250)'!AB56</f>
        <v>-607.35522500000297</v>
      </c>
      <c r="H24" s="201">
        <f>+'&gt;50 (250)'!AI56</f>
        <v>93.702425000003132</v>
      </c>
      <c r="I24" s="202">
        <f>+'&gt;50 (250)'!AP56</f>
        <v>85.721799999999348</v>
      </c>
      <c r="J24" s="123"/>
      <c r="K24" s="237" t="s">
        <v>217</v>
      </c>
      <c r="L24" s="126"/>
      <c r="M24" s="126"/>
      <c r="N24" s="126">
        <f>N22/N$3</f>
        <v>0</v>
      </c>
      <c r="O24" s="126"/>
      <c r="P24" s="126">
        <f>P22/P$3</f>
        <v>0</v>
      </c>
      <c r="Q24" s="126"/>
      <c r="R24" s="126"/>
      <c r="S24" s="126">
        <f t="shared" si="20"/>
        <v>0</v>
      </c>
      <c r="T24" s="205">
        <f>H24-S25-S25*0.13</f>
        <v>93.702425000003132</v>
      </c>
      <c r="U24" s="206">
        <f t="shared" si="1"/>
        <v>0</v>
      </c>
      <c r="W24" s="184">
        <f>-S23+V23</f>
        <v>0</v>
      </c>
      <c r="X24" s="184">
        <f>-L23</f>
        <v>0</v>
      </c>
      <c r="Y24" s="172"/>
      <c r="Z24" s="183">
        <f t="shared" ref="Z24:AA24" si="23">W24</f>
        <v>0</v>
      </c>
      <c r="AA24" s="184">
        <f t="shared" si="23"/>
        <v>0</v>
      </c>
      <c r="AB24" s="236">
        <f>-V23</f>
        <v>0</v>
      </c>
      <c r="AC24" s="185">
        <f>-S25-V23</f>
        <v>0</v>
      </c>
      <c r="AE24" s="123"/>
      <c r="AF24" s="123"/>
      <c r="AG24" s="123"/>
      <c r="AH24" s="123"/>
      <c r="AI24" s="172"/>
      <c r="AJ24" s="123"/>
      <c r="AK24" s="123"/>
      <c r="AL24" s="123"/>
    </row>
    <row r="25" spans="1:38" ht="15.75" customHeight="1">
      <c r="A25" s="123"/>
      <c r="B25" s="613"/>
      <c r="C25" s="207" t="s">
        <v>212</v>
      </c>
      <c r="D25" s="208"/>
      <c r="E25" s="209">
        <f>+'&gt;50 (250)'!O56</f>
        <v>1.0458730846426276E-2</v>
      </c>
      <c r="F25" s="209">
        <f>+'&gt;50 (250)'!V56</f>
        <v>9.491984033252257E-3</v>
      </c>
      <c r="G25" s="210">
        <f>+'&gt;50 (250)'!AC56</f>
        <v>-2.7979541452575543E-2</v>
      </c>
      <c r="H25" s="211">
        <f>+'&gt;50 (250)'!AJ56</f>
        <v>4.440923022908258E-3</v>
      </c>
      <c r="I25" s="212">
        <f>+'&gt;50 (250)'!AQ56</f>
        <v>4.0447277837122458E-3</v>
      </c>
      <c r="J25" s="213"/>
      <c r="K25" s="238" t="s">
        <v>218</v>
      </c>
      <c r="L25" s="239">
        <f>IFERROR(ROUND(L23/L$3,2),)</f>
        <v>0</v>
      </c>
      <c r="M25" s="239"/>
      <c r="N25" s="239">
        <f>IFERROR(ROUND(N23/N$3,2),)</f>
        <v>0</v>
      </c>
      <c r="O25" s="239"/>
      <c r="P25" s="239">
        <f>IFERROR(ROUND(P23/P$3,2),)</f>
        <v>0</v>
      </c>
      <c r="Q25" s="239"/>
      <c r="R25" s="239">
        <f>IFERROR(ROUND(R23/R$3,2),)</f>
        <v>0</v>
      </c>
      <c r="S25" s="239">
        <f t="shared" si="20"/>
        <v>0</v>
      </c>
      <c r="T25" s="215">
        <f>T24/'&gt;50 (250)'!Z56</f>
        <v>4.440923022908258E-3</v>
      </c>
      <c r="U25" s="216">
        <f t="shared" si="1"/>
        <v>0</v>
      </c>
      <c r="V25" s="217"/>
      <c r="W25" s="218" t="s">
        <v>213</v>
      </c>
      <c r="X25" s="218" t="s">
        <v>213</v>
      </c>
      <c r="Y25" s="219"/>
      <c r="Z25" s="220"/>
      <c r="AA25" s="219"/>
      <c r="AB25" s="219"/>
      <c r="AC25" s="221"/>
      <c r="AE25" s="123"/>
      <c r="AF25" s="123"/>
      <c r="AG25" s="123"/>
      <c r="AH25" s="123"/>
      <c r="AI25" s="172"/>
      <c r="AJ25" s="123"/>
      <c r="AK25" s="123"/>
      <c r="AL25" s="123"/>
    </row>
    <row r="26" spans="1:38" ht="15" customHeight="1">
      <c r="A26" s="123"/>
      <c r="B26" s="611" t="s">
        <v>219</v>
      </c>
      <c r="C26" s="159" t="s">
        <v>206</v>
      </c>
      <c r="D26" s="160">
        <f>+'&gt;1500(2500)'!H30</f>
        <v>134</v>
      </c>
      <c r="E26" s="161">
        <f>+'&gt;1500(2500)'!L30</f>
        <v>-932.5</v>
      </c>
      <c r="F26" s="161">
        <f>+'&gt;1500(2500)'!S30</f>
        <v>0</v>
      </c>
      <c r="G26" s="162">
        <f>+'&gt;1500(2500)'!Z30</f>
        <v>0</v>
      </c>
      <c r="H26" s="162">
        <f>+'&gt;1500(2500)'!AG30</f>
        <v>0</v>
      </c>
      <c r="I26" s="163">
        <f>+'&gt;1500(2500)'!AN30</f>
        <v>0</v>
      </c>
      <c r="J26" s="164"/>
      <c r="K26" s="164"/>
      <c r="L26" s="165"/>
      <c r="M26" s="165"/>
      <c r="N26" s="165"/>
      <c r="O26" s="165"/>
      <c r="P26" s="165"/>
      <c r="Q26" s="165"/>
      <c r="R26" s="165"/>
      <c r="S26" s="165"/>
      <c r="T26" s="167">
        <f t="shared" ref="T26:T28" si="24">H26</f>
        <v>0</v>
      </c>
      <c r="U26" s="168">
        <f t="shared" si="1"/>
        <v>0</v>
      </c>
      <c r="V26" s="165"/>
      <c r="W26" s="162" t="e">
        <f>(+'&gt;1500(2500)'!AE20*'&gt;1500(2500)'!AC20+'&gt;1500(2500)'!AE20)*'&gt;1500(2500)'!AF20+'&gt;1500(2500)'!AE15+'&gt;1500(2500)'!AG22</f>
        <v>#VALUE!</v>
      </c>
      <c r="X26" s="162" t="e">
        <f t="shared" ref="X26:X28" si="25">W26</f>
        <v>#VALUE!</v>
      </c>
      <c r="Y26" s="166"/>
      <c r="Z26" s="170"/>
      <c r="AA26" s="166"/>
      <c r="AB26" s="166"/>
      <c r="AC26" s="171"/>
      <c r="AE26" s="123"/>
      <c r="AF26" s="123"/>
      <c r="AG26" s="123"/>
      <c r="AH26" s="123"/>
      <c r="AI26" s="172"/>
      <c r="AJ26" s="123"/>
      <c r="AK26" s="123"/>
      <c r="AL26" s="123"/>
    </row>
    <row r="27" spans="1:38" ht="15.75" customHeight="1">
      <c r="A27" s="123"/>
      <c r="B27" s="612"/>
      <c r="C27" s="173" t="s">
        <v>207</v>
      </c>
      <c r="D27" s="174"/>
      <c r="E27" s="175">
        <f>+'&gt;1500(2500)'!N30</f>
        <v>-1066.5</v>
      </c>
      <c r="F27" s="175">
        <f>+'&gt;1500(2500)'!U30</f>
        <v>932.5</v>
      </c>
      <c r="G27" s="176">
        <f>+'&gt;1500(2500)'!AB30</f>
        <v>0</v>
      </c>
      <c r="H27" s="177">
        <f>+'&gt;1500(2500)'!AI30</f>
        <v>0</v>
      </c>
      <c r="I27" s="178">
        <f>+'&gt;1500(2500)'!AP30</f>
        <v>0</v>
      </c>
      <c r="J27" s="123"/>
      <c r="K27" s="123" t="s">
        <v>217</v>
      </c>
      <c r="L27" s="179">
        <f>'Proposed Rates'!I40</f>
        <v>0</v>
      </c>
      <c r="M27" s="179"/>
      <c r="N27" s="179">
        <f>'Proposed Rates'!I54</f>
        <v>0</v>
      </c>
      <c r="O27" s="179">
        <f>'Proposed Rates'!I106</f>
        <v>0</v>
      </c>
      <c r="P27" s="179"/>
      <c r="Q27" s="179">
        <f>'Proposed Rates'!I148</f>
        <v>0</v>
      </c>
      <c r="R27" s="179">
        <f>'Proposed Rates'!I93</f>
        <v>0</v>
      </c>
      <c r="S27" s="179">
        <f t="shared" ref="S27:S30" si="26">SUM(L27:R27)</f>
        <v>0</v>
      </c>
      <c r="T27" s="180">
        <f t="shared" si="24"/>
        <v>0</v>
      </c>
      <c r="U27" s="181">
        <f t="shared" si="1"/>
        <v>0</v>
      </c>
      <c r="V27" s="182">
        <f t="shared" ref="V27:V28" si="27">R27</f>
        <v>0</v>
      </c>
      <c r="W27" s="177" t="e">
        <f>W26-H26</f>
        <v>#VALUE!</v>
      </c>
      <c r="X27" s="177" t="e">
        <f t="shared" si="25"/>
        <v>#VALUE!</v>
      </c>
      <c r="Y27" s="172"/>
      <c r="Z27" s="183"/>
      <c r="AA27" s="184"/>
      <c r="AB27" s="184">
        <f>-V28</f>
        <v>0</v>
      </c>
      <c r="AC27" s="185">
        <f>-V28</f>
        <v>0</v>
      </c>
      <c r="AE27" s="123"/>
      <c r="AF27" s="123"/>
      <c r="AG27" s="123"/>
      <c r="AH27" s="123"/>
      <c r="AI27" s="172">
        <f>ROUND(L27*2500,2)</f>
        <v>0</v>
      </c>
      <c r="AJ27" s="123"/>
      <c r="AK27" s="123"/>
      <c r="AL27" s="123"/>
    </row>
    <row r="28" spans="1:38" ht="15.75" customHeight="1">
      <c r="A28" s="123"/>
      <c r="B28" s="612"/>
      <c r="C28" s="186" t="s">
        <v>209</v>
      </c>
      <c r="D28" s="187"/>
      <c r="E28" s="188">
        <f t="shared" ref="E28:I28" si="28">E27/D26</f>
        <v>-7.9589552238805972</v>
      </c>
      <c r="F28" s="188">
        <f t="shared" si="28"/>
        <v>-1</v>
      </c>
      <c r="G28" s="190" t="e">
        <f t="shared" si="28"/>
        <v>#DIV/0!</v>
      </c>
      <c r="H28" s="191" t="e">
        <f t="shared" si="28"/>
        <v>#DIV/0!</v>
      </c>
      <c r="I28" s="192" t="e">
        <f t="shared" si="28"/>
        <v>#DIV/0!</v>
      </c>
      <c r="J28" s="123"/>
      <c r="K28" s="123" t="s">
        <v>218</v>
      </c>
      <c r="L28" s="193">
        <f>'&gt;1500(2500)'!AG31</f>
        <v>0</v>
      </c>
      <c r="M28" s="193"/>
      <c r="N28" s="193">
        <f>'&gt;1500(2500)'!AG32</f>
        <v>0</v>
      </c>
      <c r="O28" s="193">
        <f>'&gt;1500(2500)'!AG33</f>
        <v>0</v>
      </c>
      <c r="P28" s="193"/>
      <c r="Q28" s="193">
        <f>'&gt;1500(2500)'!AG34</f>
        <v>0</v>
      </c>
      <c r="R28" s="196">
        <f>'&gt;1500(2500)'!AG22</f>
        <v>0</v>
      </c>
      <c r="S28" s="193">
        <f t="shared" si="26"/>
        <v>0</v>
      </c>
      <c r="T28" s="194" t="e">
        <f t="shared" si="24"/>
        <v>#DIV/0!</v>
      </c>
      <c r="U28" s="195" t="e">
        <f t="shared" si="1"/>
        <v>#DIV/0!</v>
      </c>
      <c r="V28" s="196">
        <f t="shared" si="27"/>
        <v>0</v>
      </c>
      <c r="W28" s="191" t="e">
        <f>W27/W26</f>
        <v>#VALUE!</v>
      </c>
      <c r="X28" s="191" t="e">
        <f t="shared" si="25"/>
        <v>#VALUE!</v>
      </c>
      <c r="Y28" s="172"/>
      <c r="Z28" s="197"/>
      <c r="AA28" s="172"/>
      <c r="AB28" s="172"/>
      <c r="AC28" s="198"/>
      <c r="AE28" s="123"/>
      <c r="AF28" s="123"/>
      <c r="AG28" s="123"/>
      <c r="AH28" s="123"/>
      <c r="AI28" s="172"/>
      <c r="AJ28" s="123"/>
      <c r="AK28" s="123"/>
      <c r="AL28" s="123"/>
    </row>
    <row r="29" spans="1:38" ht="15.75" customHeight="1">
      <c r="A29" s="123"/>
      <c r="B29" s="612"/>
      <c r="C29" s="186" t="s">
        <v>210</v>
      </c>
      <c r="D29" s="187"/>
      <c r="E29" s="199">
        <f>+'&gt;1500(2500)'!N56</f>
        <v>-1774.8744398500421</v>
      </c>
      <c r="F29" s="199">
        <f>+'&gt;1500(2500)'!U56</f>
        <v>3960.0849999999919</v>
      </c>
      <c r="G29" s="200">
        <f>+'&gt;1500(2500)'!AB56</f>
        <v>-5875.4632500000007</v>
      </c>
      <c r="H29" s="201">
        <f>+'&gt;1500(2500)'!AI56</f>
        <v>1041.5492499999818</v>
      </c>
      <c r="I29" s="202">
        <f>+'&gt;1500(2500)'!AP56</f>
        <v>952.95725000003586</v>
      </c>
      <c r="J29" s="123"/>
      <c r="K29" s="237" t="s">
        <v>217</v>
      </c>
      <c r="L29" s="126"/>
      <c r="M29" s="126"/>
      <c r="N29" s="126">
        <f>N27/N$3</f>
        <v>0</v>
      </c>
      <c r="O29" s="126"/>
      <c r="P29" s="126"/>
      <c r="Q29" s="126"/>
      <c r="R29" s="126"/>
      <c r="S29" s="126">
        <f t="shared" si="26"/>
        <v>0</v>
      </c>
      <c r="T29" s="205">
        <f>H29-S30-S30*0.13</f>
        <v>1041.5492499999818</v>
      </c>
      <c r="U29" s="206">
        <f t="shared" si="1"/>
        <v>0</v>
      </c>
      <c r="W29" s="184">
        <f>-S28+V28</f>
        <v>0</v>
      </c>
      <c r="X29" s="184">
        <f>-L28</f>
        <v>0</v>
      </c>
      <c r="Y29" s="172"/>
      <c r="Z29" s="183">
        <f t="shared" ref="Z29:AA29" si="29">W29</f>
        <v>0</v>
      </c>
      <c r="AA29" s="184">
        <f t="shared" si="29"/>
        <v>0</v>
      </c>
      <c r="AB29" s="184">
        <f>-V28</f>
        <v>0</v>
      </c>
      <c r="AC29" s="185">
        <f>-S30-V28</f>
        <v>0</v>
      </c>
      <c r="AE29" s="123"/>
      <c r="AF29" s="123"/>
      <c r="AG29" s="123"/>
      <c r="AH29" s="123"/>
      <c r="AI29" s="172"/>
      <c r="AJ29" s="123"/>
      <c r="AK29" s="123"/>
      <c r="AL29" s="123"/>
    </row>
    <row r="30" spans="1:38" ht="15.75" customHeight="1">
      <c r="A30" s="123"/>
      <c r="B30" s="613"/>
      <c r="C30" s="207" t="s">
        <v>212</v>
      </c>
      <c r="D30" s="208"/>
      <c r="E30" s="209">
        <f>+'&gt;1500(2500)'!O56</f>
        <v>-8.2085038159388727E-3</v>
      </c>
      <c r="F30" s="209">
        <f>+'&gt;1500(2500)'!V56</f>
        <v>1.8466325941364617E-2</v>
      </c>
      <c r="G30" s="210">
        <f>+'&gt;1500(2500)'!AC56</f>
        <v>-2.6901186102225728E-2</v>
      </c>
      <c r="H30" s="211">
        <f>+'&gt;1500(2500)'!AJ56</f>
        <v>4.9006330217363364E-3</v>
      </c>
      <c r="I30" s="212">
        <f>+'&gt;1500(2500)'!AQ56</f>
        <v>4.4619291530201468E-3</v>
      </c>
      <c r="J30" s="213"/>
      <c r="K30" s="238" t="s">
        <v>218</v>
      </c>
      <c r="L30" s="239">
        <f>IFERROR(ROUND(L28/L$3,2),)</f>
        <v>0</v>
      </c>
      <c r="M30" s="239"/>
      <c r="N30" s="239">
        <f>IFERROR(ROUND(N28/N$3,2),)</f>
        <v>0</v>
      </c>
      <c r="O30" s="239"/>
      <c r="P30" s="239"/>
      <c r="Q30" s="239"/>
      <c r="R30" s="239">
        <f>IFERROR(ROUND(R28/R$3,2),)</f>
        <v>0</v>
      </c>
      <c r="S30" s="239">
        <f t="shared" si="26"/>
        <v>0</v>
      </c>
      <c r="T30" s="215">
        <f>T29/'&gt;1500(2500)'!Z56</f>
        <v>4.9006330217363364E-3</v>
      </c>
      <c r="U30" s="216">
        <f t="shared" si="1"/>
        <v>0</v>
      </c>
      <c r="V30" s="217"/>
      <c r="W30" s="218" t="s">
        <v>213</v>
      </c>
      <c r="X30" s="218" t="s">
        <v>213</v>
      </c>
      <c r="Y30" s="219"/>
      <c r="Z30" s="220"/>
      <c r="AA30" s="219"/>
      <c r="AB30" s="219"/>
      <c r="AC30" s="221"/>
      <c r="AE30" s="123"/>
      <c r="AF30" s="123"/>
      <c r="AG30" s="123"/>
      <c r="AH30" s="123"/>
      <c r="AI30" s="172"/>
      <c r="AJ30" s="123"/>
      <c r="AK30" s="123"/>
      <c r="AL30" s="123"/>
    </row>
    <row r="31" spans="1:38" ht="15" customHeight="1">
      <c r="A31" s="123"/>
      <c r="B31" s="611" t="s">
        <v>220</v>
      </c>
      <c r="C31" s="159" t="s">
        <v>206</v>
      </c>
      <c r="D31" s="160">
        <f>+'LU(7500)'!H30</f>
        <v>475.5</v>
      </c>
      <c r="E31" s="161">
        <f>+'LU(7500)'!L30</f>
        <v>-3579.75</v>
      </c>
      <c r="F31" s="161">
        <f>+'LU(7500)'!S30</f>
        <v>0</v>
      </c>
      <c r="G31" s="162">
        <f>+'LU(7500)'!Z30</f>
        <v>0</v>
      </c>
      <c r="H31" s="162">
        <f>+'LU(7500)'!AG30</f>
        <v>0</v>
      </c>
      <c r="I31" s="163">
        <f>+'LU(7500)'!AN30</f>
        <v>0</v>
      </c>
      <c r="J31" s="164"/>
      <c r="K31" s="164"/>
      <c r="L31" s="165"/>
      <c r="M31" s="165"/>
      <c r="N31" s="165"/>
      <c r="O31" s="165"/>
      <c r="P31" s="165"/>
      <c r="Q31" s="165"/>
      <c r="R31" s="165"/>
      <c r="S31" s="165"/>
      <c r="T31" s="167">
        <f t="shared" ref="T31:T33" si="30">H31</f>
        <v>0</v>
      </c>
      <c r="U31" s="168">
        <f t="shared" si="1"/>
        <v>0</v>
      </c>
      <c r="V31" s="165"/>
      <c r="W31" s="162" t="e">
        <f>('LU(7500)'!AE20*'LU(7500)'!AC20+'LU(7500)'!AE20)*'LU(7500)'!AF20+'LU(7500)'!AE15+'LU(7500)'!AG22</f>
        <v>#VALUE!</v>
      </c>
      <c r="X31" s="162" t="e">
        <f t="shared" ref="X31:X33" si="31">W31</f>
        <v>#VALUE!</v>
      </c>
      <c r="Y31" s="166"/>
      <c r="Z31" s="170"/>
      <c r="AA31" s="166"/>
      <c r="AB31" s="166"/>
      <c r="AC31" s="171"/>
      <c r="AE31" s="123"/>
      <c r="AF31" s="123"/>
      <c r="AG31" s="123"/>
      <c r="AH31" s="123"/>
      <c r="AI31" s="172"/>
      <c r="AJ31" s="123"/>
      <c r="AK31" s="123"/>
      <c r="AL31" s="123"/>
    </row>
    <row r="32" spans="1:38" ht="15.75" customHeight="1">
      <c r="A32" s="123"/>
      <c r="B32" s="612"/>
      <c r="C32" s="173" t="s">
        <v>207</v>
      </c>
      <c r="D32" s="174"/>
      <c r="E32" s="175">
        <f>+'LU(7500)'!N30</f>
        <v>-4055.25</v>
      </c>
      <c r="F32" s="175">
        <f>+'LU(7500)'!U30</f>
        <v>3579.75</v>
      </c>
      <c r="G32" s="176">
        <f>+'LU(7500)'!AB30</f>
        <v>0</v>
      </c>
      <c r="H32" s="177">
        <f>+'LU(7500)'!AI30</f>
        <v>0</v>
      </c>
      <c r="I32" s="178">
        <f>+'LU(7500)'!AP30</f>
        <v>0</v>
      </c>
      <c r="J32" s="123"/>
      <c r="K32" s="123" t="s">
        <v>217</v>
      </c>
      <c r="L32" s="179">
        <f>'Proposed Rates'!I41</f>
        <v>0</v>
      </c>
      <c r="M32" s="123"/>
      <c r="N32" s="179">
        <f>'Proposed Rates'!I55</f>
        <v>0</v>
      </c>
      <c r="P32" s="172"/>
      <c r="Q32" s="172"/>
      <c r="R32" s="179">
        <f>'Proposed Rates'!I94</f>
        <v>0</v>
      </c>
      <c r="S32" s="179">
        <f t="shared" ref="S32:S35" si="32">SUM(L32:R32)</f>
        <v>0</v>
      </c>
      <c r="T32" s="180">
        <f t="shared" si="30"/>
        <v>0</v>
      </c>
      <c r="U32" s="181">
        <f t="shared" si="1"/>
        <v>0</v>
      </c>
      <c r="V32" s="182">
        <f t="shared" ref="V32:V33" si="33">R32</f>
        <v>0</v>
      </c>
      <c r="W32" s="177" t="e">
        <f>W31-H31</f>
        <v>#VALUE!</v>
      </c>
      <c r="X32" s="177" t="e">
        <f t="shared" si="31"/>
        <v>#VALUE!</v>
      </c>
      <c r="Y32" s="172"/>
      <c r="Z32" s="183"/>
      <c r="AA32" s="184"/>
      <c r="AB32" s="184">
        <f>-V33</f>
        <v>0</v>
      </c>
      <c r="AC32" s="185">
        <f>-V33</f>
        <v>0</v>
      </c>
      <c r="AE32" s="123"/>
      <c r="AF32" s="123"/>
      <c r="AG32" s="123"/>
      <c r="AH32" s="123"/>
      <c r="AI32" s="172">
        <f>ROUND(L32*7500,2)</f>
        <v>0</v>
      </c>
      <c r="AJ32" s="123"/>
      <c r="AK32" s="123"/>
      <c r="AL32" s="123"/>
    </row>
    <row r="33" spans="1:38" ht="15.75" customHeight="1">
      <c r="A33" s="123"/>
      <c r="B33" s="612"/>
      <c r="C33" s="186" t="s">
        <v>209</v>
      </c>
      <c r="D33" s="187"/>
      <c r="E33" s="188">
        <f t="shared" ref="E33:I33" si="34">E32/D31</f>
        <v>-8.5283911671924297</v>
      </c>
      <c r="F33" s="188">
        <f t="shared" si="34"/>
        <v>-1</v>
      </c>
      <c r="G33" s="190" t="e">
        <f t="shared" si="34"/>
        <v>#DIV/0!</v>
      </c>
      <c r="H33" s="191" t="e">
        <f t="shared" si="34"/>
        <v>#DIV/0!</v>
      </c>
      <c r="I33" s="192" t="e">
        <f t="shared" si="34"/>
        <v>#DIV/0!</v>
      </c>
      <c r="J33" s="123"/>
      <c r="K33" s="123" t="s">
        <v>218</v>
      </c>
      <c r="L33" s="193">
        <f>'LU(7500)'!AG31</f>
        <v>0</v>
      </c>
      <c r="M33" s="123"/>
      <c r="N33" s="193">
        <f>'LU(7500)'!AG32</f>
        <v>0</v>
      </c>
      <c r="P33" s="172"/>
      <c r="Q33" s="172"/>
      <c r="R33" s="196">
        <f>'LU(7500)'!AG22</f>
        <v>0</v>
      </c>
      <c r="S33" s="193">
        <f t="shared" si="32"/>
        <v>0</v>
      </c>
      <c r="T33" s="194" t="e">
        <f t="shared" si="30"/>
        <v>#DIV/0!</v>
      </c>
      <c r="U33" s="195" t="e">
        <f t="shared" si="1"/>
        <v>#DIV/0!</v>
      </c>
      <c r="V33" s="196">
        <f t="shared" si="33"/>
        <v>0</v>
      </c>
      <c r="W33" s="191" t="e">
        <f>W32/W31</f>
        <v>#VALUE!</v>
      </c>
      <c r="X33" s="191" t="e">
        <f t="shared" si="31"/>
        <v>#VALUE!</v>
      </c>
      <c r="Y33" s="172"/>
      <c r="Z33" s="197"/>
      <c r="AA33" s="172"/>
      <c r="AB33" s="172"/>
      <c r="AC33" s="198"/>
      <c r="AE33" s="123"/>
      <c r="AF33" s="123"/>
      <c r="AG33" s="123"/>
      <c r="AH33" s="123"/>
      <c r="AI33" s="172"/>
      <c r="AJ33" s="123"/>
      <c r="AK33" s="123"/>
      <c r="AL33" s="123"/>
    </row>
    <row r="34" spans="1:38" ht="15.75" customHeight="1">
      <c r="A34" s="123"/>
      <c r="B34" s="612"/>
      <c r="C34" s="186" t="s">
        <v>210</v>
      </c>
      <c r="D34" s="187"/>
      <c r="E34" s="199">
        <f>+'LU(7500)'!N56</f>
        <v>2400.2940199999139</v>
      </c>
      <c r="F34" s="199">
        <f>+'LU(7500)'!U56</f>
        <v>14438.094749999931</v>
      </c>
      <c r="G34" s="200">
        <f>+'LU(7500)'!AB56</f>
        <v>-19547.734400000074</v>
      </c>
      <c r="H34" s="201">
        <f>+'LU(7500)'!AI56</f>
        <v>7749.1162500000792</v>
      </c>
      <c r="I34" s="202">
        <f>+'LU(7500)'!AP56</f>
        <v>6622.4497500000289</v>
      </c>
      <c r="J34" s="123"/>
      <c r="K34" s="237" t="s">
        <v>217</v>
      </c>
      <c r="L34" s="126"/>
      <c r="M34" s="126"/>
      <c r="N34" s="126">
        <f>N32/N$3</f>
        <v>0</v>
      </c>
      <c r="O34" s="126"/>
      <c r="P34" s="126"/>
      <c r="Q34" s="126"/>
      <c r="R34" s="126"/>
      <c r="S34" s="126">
        <f t="shared" si="32"/>
        <v>0</v>
      </c>
      <c r="T34" s="205">
        <f>H34-S35-S35*0.13</f>
        <v>7749.1162500000792</v>
      </c>
      <c r="U34" s="206">
        <f t="shared" si="1"/>
        <v>0</v>
      </c>
      <c r="W34" s="184">
        <f>-S33+V33</f>
        <v>0</v>
      </c>
      <c r="X34" s="184">
        <f>-L33</f>
        <v>0</v>
      </c>
      <c r="Y34" s="172"/>
      <c r="Z34" s="183">
        <f t="shared" ref="Z34:AA34" si="35">W34</f>
        <v>0</v>
      </c>
      <c r="AA34" s="184">
        <f t="shared" si="35"/>
        <v>0</v>
      </c>
      <c r="AB34" s="184">
        <f>-V33</f>
        <v>0</v>
      </c>
      <c r="AC34" s="185">
        <f>-S35-V33</f>
        <v>0</v>
      </c>
      <c r="AE34" s="123"/>
      <c r="AF34" s="123"/>
      <c r="AG34" s="123"/>
      <c r="AH34" s="123"/>
      <c r="AI34" s="172"/>
      <c r="AJ34" s="123"/>
      <c r="AK34" s="123"/>
      <c r="AL34" s="123"/>
    </row>
    <row r="35" spans="1:38" ht="15.75" customHeight="1">
      <c r="A35" s="123"/>
      <c r="B35" s="613"/>
      <c r="C35" s="207" t="s">
        <v>212</v>
      </c>
      <c r="D35" s="208"/>
      <c r="E35" s="209">
        <f>+'LU(7500)'!O56</f>
        <v>3.5976792735202528E-3</v>
      </c>
      <c r="F35" s="209">
        <f>+'LU(7500)'!V56</f>
        <v>2.156295319464531E-2</v>
      </c>
      <c r="G35" s="210">
        <f>+'LU(7500)'!AC56</f>
        <v>-2.8577856244178884E-2</v>
      </c>
      <c r="H35" s="211">
        <f>+'LU(7500)'!AJ56</f>
        <v>1.1662117016064559E-2</v>
      </c>
      <c r="I35" s="212">
        <f>+'LU(7500)'!AQ56</f>
        <v>9.8516370350150723E-3</v>
      </c>
      <c r="J35" s="213"/>
      <c r="K35" s="238" t="s">
        <v>218</v>
      </c>
      <c r="L35" s="214">
        <f>IFERROR(ROUND(L33/L$3,2),)</f>
        <v>0</v>
      </c>
      <c r="M35" s="214"/>
      <c r="N35" s="214">
        <f>IFERROR(ROUND(N33/N$3,2),)</f>
        <v>0</v>
      </c>
      <c r="O35" s="214"/>
      <c r="P35" s="214"/>
      <c r="Q35" s="214"/>
      <c r="R35" s="214">
        <f>IFERROR(ROUND(R33/R$3,2),)</f>
        <v>0</v>
      </c>
      <c r="S35" s="214">
        <f t="shared" si="32"/>
        <v>0</v>
      </c>
      <c r="T35" s="215">
        <f>T34/'LU(7500)'!Z56</f>
        <v>1.1662117016064559E-2</v>
      </c>
      <c r="U35" s="216">
        <f t="shared" si="1"/>
        <v>0</v>
      </c>
      <c r="V35" s="217"/>
      <c r="W35" s="218" t="s">
        <v>213</v>
      </c>
      <c r="X35" s="218" t="s">
        <v>213</v>
      </c>
      <c r="Y35" s="219"/>
      <c r="Z35" s="220"/>
      <c r="AA35" s="219"/>
      <c r="AB35" s="219"/>
      <c r="AC35" s="221"/>
      <c r="AE35" s="123"/>
      <c r="AF35" s="123"/>
      <c r="AG35" s="123"/>
      <c r="AH35" s="123"/>
      <c r="AI35" s="172"/>
      <c r="AJ35" s="123"/>
      <c r="AK35" s="123"/>
      <c r="AL35" s="123"/>
    </row>
    <row r="36" spans="1:38" ht="15" customHeight="1">
      <c r="A36" s="123"/>
      <c r="B36" s="611" t="s">
        <v>221</v>
      </c>
      <c r="C36" s="159" t="s">
        <v>206</v>
      </c>
      <c r="D36" s="160" t="e">
        <v>#REF!</v>
      </c>
      <c r="E36" s="161" t="e">
        <v>#REF!</v>
      </c>
      <c r="F36" s="161" t="e">
        <v>#REF!</v>
      </c>
      <c r="G36" s="162" t="e">
        <v>#REF!</v>
      </c>
      <c r="H36" s="162" t="e">
        <v>#REF!</v>
      </c>
      <c r="I36" s="163" t="e">
        <v>#REF!</v>
      </c>
      <c r="J36" s="164"/>
      <c r="K36" s="164"/>
      <c r="L36" s="165"/>
      <c r="M36" s="165"/>
      <c r="N36" s="165"/>
      <c r="O36" s="165"/>
      <c r="P36" s="165"/>
      <c r="Q36" s="165"/>
      <c r="R36" s="165"/>
      <c r="S36" s="165"/>
      <c r="T36" s="167" t="e">
        <f t="shared" ref="T36:T38" si="36">H36</f>
        <v>#REF!</v>
      </c>
      <c r="U36" s="168" t="e">
        <f t="shared" si="1"/>
        <v>#REF!</v>
      </c>
      <c r="V36" s="165"/>
      <c r="W36" s="162" t="e">
        <v>#REF!</v>
      </c>
      <c r="X36" s="162" t="e">
        <f t="shared" ref="X36:X38" si="37">W36</f>
        <v>#REF!</v>
      </c>
      <c r="Y36" s="166"/>
      <c r="Z36" s="170"/>
      <c r="AA36" s="166"/>
      <c r="AB36" s="166"/>
      <c r="AC36" s="171"/>
      <c r="AE36" s="123"/>
      <c r="AF36" s="123"/>
      <c r="AG36" s="123"/>
      <c r="AH36" s="123"/>
      <c r="AI36" s="172"/>
      <c r="AJ36" s="123"/>
      <c r="AK36" s="123"/>
      <c r="AL36" s="123"/>
    </row>
    <row r="37" spans="1:38" ht="15.75" customHeight="1">
      <c r="A37" s="123"/>
      <c r="B37" s="612"/>
      <c r="C37" s="173" t="s">
        <v>207</v>
      </c>
      <c r="D37" s="174"/>
      <c r="E37" s="175" t="e">
        <v>#REF!</v>
      </c>
      <c r="F37" s="175" t="e">
        <v>#REF!</v>
      </c>
      <c r="G37" s="176" t="e">
        <v>#REF!</v>
      </c>
      <c r="H37" s="177" t="e">
        <v>#REF!</v>
      </c>
      <c r="I37" s="178" t="e">
        <v>#REF!</v>
      </c>
      <c r="J37" s="123"/>
      <c r="K37" s="123" t="s">
        <v>217</v>
      </c>
      <c r="L37" s="179">
        <f>'Proposed Rates'!I43</f>
        <v>0</v>
      </c>
      <c r="M37" s="179"/>
      <c r="N37" s="179">
        <f>'Proposed Rates'!I57</f>
        <v>0</v>
      </c>
      <c r="O37" s="179">
        <f>'Proposed Rates'!I109</f>
        <v>0</v>
      </c>
      <c r="P37" s="179"/>
      <c r="Q37" s="172"/>
      <c r="S37" s="179">
        <f t="shared" ref="S37:S40" si="38">SUM(L37:R37)</f>
        <v>0</v>
      </c>
      <c r="T37" s="180" t="e">
        <f t="shared" si="36"/>
        <v>#REF!</v>
      </c>
      <c r="U37" s="181" t="e">
        <f t="shared" si="1"/>
        <v>#REF!</v>
      </c>
      <c r="V37" s="53">
        <f t="shared" ref="V37:V38" si="39">R37</f>
        <v>0</v>
      </c>
      <c r="W37" s="177" t="e">
        <f>W36-H36</f>
        <v>#REF!</v>
      </c>
      <c r="X37" s="177" t="e">
        <f t="shared" si="37"/>
        <v>#REF!</v>
      </c>
      <c r="Y37" s="172"/>
      <c r="Z37" s="183">
        <f>V38</f>
        <v>0</v>
      </c>
      <c r="AA37" s="184"/>
      <c r="AB37" s="184">
        <f>-V38</f>
        <v>0</v>
      </c>
      <c r="AC37" s="185">
        <f>-V38</f>
        <v>0</v>
      </c>
      <c r="AE37" s="123"/>
      <c r="AF37" s="123"/>
      <c r="AG37" s="123"/>
      <c r="AH37" s="123"/>
      <c r="AI37" s="172">
        <f>ROUND(L37*0.4,2)</f>
        <v>0</v>
      </c>
      <c r="AJ37" s="123"/>
      <c r="AK37" s="123"/>
      <c r="AL37" s="123"/>
    </row>
    <row r="38" spans="1:38" ht="15.75" customHeight="1">
      <c r="A38" s="123"/>
      <c r="B38" s="612"/>
      <c r="C38" s="186" t="s">
        <v>209</v>
      </c>
      <c r="D38" s="187"/>
      <c r="E38" s="188" t="e">
        <f t="shared" ref="E38:I38" si="40">E37/D36</f>
        <v>#REF!</v>
      </c>
      <c r="F38" s="188" t="e">
        <f t="shared" si="40"/>
        <v>#REF!</v>
      </c>
      <c r="G38" s="190" t="e">
        <f t="shared" si="40"/>
        <v>#REF!</v>
      </c>
      <c r="H38" s="191" t="e">
        <f t="shared" si="40"/>
        <v>#REF!</v>
      </c>
      <c r="I38" s="192" t="e">
        <f t="shared" si="40"/>
        <v>#REF!</v>
      </c>
      <c r="J38" s="123"/>
      <c r="K38" s="123" t="s">
        <v>218</v>
      </c>
      <c r="L38" s="193" t="e">
        <v>#REF!</v>
      </c>
      <c r="M38" s="193"/>
      <c r="N38" s="193" t="e">
        <v>#REF!</v>
      </c>
      <c r="O38" s="193" t="e">
        <v>#REF!</v>
      </c>
      <c r="P38" s="193"/>
      <c r="Q38" s="172"/>
      <c r="S38" s="193" t="e">
        <f t="shared" si="38"/>
        <v>#REF!</v>
      </c>
      <c r="T38" s="194" t="e">
        <f t="shared" si="36"/>
        <v>#REF!</v>
      </c>
      <c r="U38" s="195" t="e">
        <f t="shared" si="1"/>
        <v>#REF!</v>
      </c>
      <c r="V38" s="53">
        <f t="shared" si="39"/>
        <v>0</v>
      </c>
      <c r="W38" s="191" t="e">
        <f>W37/W36</f>
        <v>#REF!</v>
      </c>
      <c r="X38" s="191" t="e">
        <f t="shared" si="37"/>
        <v>#REF!</v>
      </c>
      <c r="Y38" s="172"/>
      <c r="Z38" s="197"/>
      <c r="AA38" s="172"/>
      <c r="AB38" s="172"/>
      <c r="AC38" s="198"/>
      <c r="AE38" s="123"/>
      <c r="AF38" s="123"/>
      <c r="AG38" s="123"/>
      <c r="AH38" s="123"/>
      <c r="AI38" s="172"/>
      <c r="AJ38" s="123"/>
      <c r="AK38" s="123"/>
      <c r="AL38" s="123"/>
    </row>
    <row r="39" spans="1:38" ht="15.75" customHeight="1">
      <c r="A39" s="123"/>
      <c r="B39" s="612"/>
      <c r="C39" s="186" t="s">
        <v>210</v>
      </c>
      <c r="D39" s="187"/>
      <c r="E39" s="199" t="e">
        <v>#REF!</v>
      </c>
      <c r="F39" s="199" t="e">
        <v>#REF!</v>
      </c>
      <c r="G39" s="200" t="e">
        <v>#REF!</v>
      </c>
      <c r="H39" s="201" t="e">
        <v>#REF!</v>
      </c>
      <c r="I39" s="202" t="e">
        <v>#REF!</v>
      </c>
      <c r="J39" s="123"/>
      <c r="K39" s="237" t="s">
        <v>217</v>
      </c>
      <c r="L39" s="126"/>
      <c r="M39" s="126"/>
      <c r="N39" s="126">
        <f>N37/N$3</f>
        <v>0</v>
      </c>
      <c r="O39" s="126"/>
      <c r="P39" s="126"/>
      <c r="Q39" s="126"/>
      <c r="R39" s="126"/>
      <c r="S39" s="126">
        <f t="shared" si="38"/>
        <v>0</v>
      </c>
      <c r="T39" s="205" t="e">
        <f>H39-S40-S40*0.13</f>
        <v>#REF!</v>
      </c>
      <c r="U39" s="206" t="e">
        <f t="shared" si="1"/>
        <v>#REF!</v>
      </c>
      <c r="W39" s="184" t="e">
        <f>-S38+V38</f>
        <v>#REF!</v>
      </c>
      <c r="X39" s="184" t="e">
        <f>-L38</f>
        <v>#REF!</v>
      </c>
      <c r="Y39" s="172"/>
      <c r="Z39" s="183" t="e">
        <f t="shared" ref="Z39:AA39" si="41">W39</f>
        <v>#REF!</v>
      </c>
      <c r="AA39" s="184" t="e">
        <f t="shared" si="41"/>
        <v>#REF!</v>
      </c>
      <c r="AB39" s="184">
        <f>-V38</f>
        <v>0</v>
      </c>
      <c r="AC39" s="185">
        <f>-S40-V38</f>
        <v>0</v>
      </c>
      <c r="AE39" s="123"/>
      <c r="AF39" s="123"/>
      <c r="AG39" s="123"/>
      <c r="AH39" s="123"/>
      <c r="AI39" s="172"/>
      <c r="AJ39" s="123"/>
      <c r="AK39" s="123"/>
      <c r="AL39" s="123"/>
    </row>
    <row r="40" spans="1:38" ht="15.75" customHeight="1">
      <c r="A40" s="123"/>
      <c r="B40" s="613"/>
      <c r="C40" s="207" t="s">
        <v>212</v>
      </c>
      <c r="D40" s="208"/>
      <c r="E40" s="209" t="e">
        <v>#REF!</v>
      </c>
      <c r="F40" s="209" t="e">
        <v>#REF!</v>
      </c>
      <c r="G40" s="210" t="e">
        <v>#REF!</v>
      </c>
      <c r="H40" s="240" t="e">
        <v>#REF!</v>
      </c>
      <c r="I40" s="212" t="e">
        <v>#REF!</v>
      </c>
      <c r="J40" s="213"/>
      <c r="K40" s="238" t="s">
        <v>218</v>
      </c>
      <c r="L40" s="214">
        <f>IFERROR(ROUND(L38/L$3,2),)</f>
        <v>0</v>
      </c>
      <c r="M40" s="214"/>
      <c r="N40" s="214">
        <f>IFERROR(ROUND(N38/N$3,2),)</f>
        <v>0</v>
      </c>
      <c r="O40" s="214"/>
      <c r="P40" s="214"/>
      <c r="Q40" s="214"/>
      <c r="R40" s="214">
        <f>IFERROR(ROUND(R38/R$3,2),)</f>
        <v>0</v>
      </c>
      <c r="S40" s="214">
        <f t="shared" si="38"/>
        <v>0</v>
      </c>
      <c r="T40" s="241" t="e">
        <v>#REF!</v>
      </c>
      <c r="U40" s="242" t="e">
        <f t="shared" si="1"/>
        <v>#REF!</v>
      </c>
      <c r="V40" s="217"/>
      <c r="W40" s="218" t="s">
        <v>213</v>
      </c>
      <c r="X40" s="218" t="s">
        <v>213</v>
      </c>
      <c r="Y40" s="219"/>
      <c r="Z40" s="220"/>
      <c r="AA40" s="219"/>
      <c r="AB40" s="219"/>
      <c r="AC40" s="221"/>
      <c r="AE40" s="123"/>
      <c r="AF40" s="123"/>
      <c r="AG40" s="123"/>
      <c r="AH40" s="123"/>
      <c r="AI40" s="172"/>
      <c r="AJ40" s="123"/>
      <c r="AK40" s="123"/>
      <c r="AL40" s="123"/>
    </row>
    <row r="41" spans="1:38" ht="18.75" customHeight="1">
      <c r="A41" s="123"/>
      <c r="B41" s="611" t="s">
        <v>222</v>
      </c>
      <c r="C41" s="159" t="s">
        <v>206</v>
      </c>
      <c r="D41" s="243" t="e">
        <v>#REF!</v>
      </c>
      <c r="E41" s="244" t="e">
        <v>#REF!</v>
      </c>
      <c r="F41" s="244" t="e">
        <v>#REF!</v>
      </c>
      <c r="G41" s="245" t="e">
        <v>#REF!</v>
      </c>
      <c r="H41" s="245" t="e">
        <v>#REF!</v>
      </c>
      <c r="I41" s="246" t="e">
        <v>#REF!</v>
      </c>
      <c r="J41" s="164"/>
      <c r="K41" s="164"/>
      <c r="L41" s="165"/>
      <c r="M41" s="165"/>
      <c r="N41" s="165"/>
      <c r="O41" s="165"/>
      <c r="P41" s="165"/>
      <c r="Q41" s="165"/>
      <c r="R41" s="165"/>
      <c r="S41" s="165"/>
      <c r="T41" s="247" t="e">
        <f t="shared" ref="T41:T43" si="42">H41</f>
        <v>#REF!</v>
      </c>
      <c r="U41" s="248" t="e">
        <f t="shared" si="1"/>
        <v>#REF!</v>
      </c>
      <c r="V41" s="165"/>
      <c r="W41" s="162" t="e">
        <v>#REF!</v>
      </c>
      <c r="X41" s="162" t="e">
        <f t="shared" ref="X41:X43" si="43">W41</f>
        <v>#REF!</v>
      </c>
      <c r="Y41" s="166"/>
      <c r="Z41" s="170"/>
      <c r="AA41" s="166"/>
      <c r="AB41" s="166"/>
      <c r="AC41" s="171"/>
      <c r="AE41" s="123"/>
      <c r="AF41" s="123"/>
      <c r="AG41" s="123"/>
      <c r="AH41" s="123"/>
      <c r="AI41" s="172"/>
      <c r="AJ41" s="123"/>
      <c r="AK41" s="123"/>
      <c r="AL41" s="123"/>
    </row>
    <row r="42" spans="1:38" ht="15.75" customHeight="1">
      <c r="A42" s="123"/>
      <c r="B42" s="612"/>
      <c r="C42" s="173" t="s">
        <v>207</v>
      </c>
      <c r="D42" s="249"/>
      <c r="E42" s="250" t="e">
        <v>#REF!</v>
      </c>
      <c r="F42" s="250" t="e">
        <v>#REF!</v>
      </c>
      <c r="G42" s="176" t="e">
        <v>#REF!</v>
      </c>
      <c r="H42" s="251" t="e">
        <v>#REF!</v>
      </c>
      <c r="I42" s="252" t="e">
        <v>#REF!</v>
      </c>
      <c r="J42" s="123"/>
      <c r="K42" s="123" t="s">
        <v>217</v>
      </c>
      <c r="L42" s="179">
        <f>'Proposed Rates'!I42</f>
        <v>0</v>
      </c>
      <c r="M42" s="123"/>
      <c r="N42" s="179">
        <f>'Proposed Rates'!I56</f>
        <v>0</v>
      </c>
      <c r="O42" s="182">
        <f>'Proposed Rates'!I108</f>
        <v>0</v>
      </c>
      <c r="P42" s="172"/>
      <c r="Q42" s="172"/>
      <c r="R42" s="179">
        <f>'Proposed Rates'!I95</f>
        <v>0</v>
      </c>
      <c r="S42" s="179">
        <f t="shared" ref="S42:S45" si="44">SUM(L42:R42)</f>
        <v>0</v>
      </c>
      <c r="T42" s="253" t="e">
        <f t="shared" si="42"/>
        <v>#REF!</v>
      </c>
      <c r="U42" s="254" t="e">
        <f t="shared" si="1"/>
        <v>#REF!</v>
      </c>
      <c r="V42" s="182">
        <f t="shared" ref="V42:V43" si="45">R42</f>
        <v>0</v>
      </c>
      <c r="W42" s="177" t="e">
        <f>W41-H41</f>
        <v>#REF!</v>
      </c>
      <c r="X42" s="177" t="e">
        <f t="shared" si="43"/>
        <v>#REF!</v>
      </c>
      <c r="Y42" s="172"/>
      <c r="Z42" s="183"/>
      <c r="AA42" s="184"/>
      <c r="AB42" s="184" t="e">
        <f>IF(#REF!="Yr2/3/4",0,-V43)</f>
        <v>#REF!</v>
      </c>
      <c r="AC42" s="185" t="e">
        <f>IF(#REF!="Yr2/3/4",0,-V43)</f>
        <v>#REF!</v>
      </c>
      <c r="AE42" s="123"/>
      <c r="AF42" s="123"/>
      <c r="AG42" s="123"/>
      <c r="AH42" s="123"/>
      <c r="AI42" s="172">
        <f>ROUND(L42*1,2)</f>
        <v>0</v>
      </c>
      <c r="AJ42" s="123"/>
      <c r="AK42" s="123"/>
      <c r="AL42" s="123"/>
    </row>
    <row r="43" spans="1:38" ht="15.75" customHeight="1">
      <c r="A43" s="123"/>
      <c r="B43" s="612"/>
      <c r="C43" s="186" t="s">
        <v>209</v>
      </c>
      <c r="D43" s="255"/>
      <c r="E43" s="256" t="e">
        <f t="shared" ref="E43:I43" si="46">E42/D41</f>
        <v>#REF!</v>
      </c>
      <c r="F43" s="256" t="e">
        <f t="shared" si="46"/>
        <v>#REF!</v>
      </c>
      <c r="G43" s="190" t="e">
        <f t="shared" si="46"/>
        <v>#REF!</v>
      </c>
      <c r="H43" s="257" t="e">
        <f t="shared" si="46"/>
        <v>#REF!</v>
      </c>
      <c r="I43" s="258" t="e">
        <f t="shared" si="46"/>
        <v>#REF!</v>
      </c>
      <c r="J43" s="123"/>
      <c r="K43" s="123" t="s">
        <v>218</v>
      </c>
      <c r="L43" s="123" t="e">
        <v>#REF!</v>
      </c>
      <c r="M43" s="123"/>
      <c r="N43" s="123" t="e">
        <v>#REF!</v>
      </c>
      <c r="O43" s="53" t="e">
        <v>#REF!</v>
      </c>
      <c r="P43" s="172"/>
      <c r="Q43" s="172"/>
      <c r="R43" s="53" t="e">
        <v>#REF!</v>
      </c>
      <c r="S43" s="193" t="e">
        <f t="shared" si="44"/>
        <v>#REF!</v>
      </c>
      <c r="T43" s="259" t="e">
        <f t="shared" si="42"/>
        <v>#REF!</v>
      </c>
      <c r="U43" s="260" t="e">
        <f t="shared" si="1"/>
        <v>#REF!</v>
      </c>
      <c r="V43" s="53" t="e">
        <f t="shared" si="45"/>
        <v>#REF!</v>
      </c>
      <c r="W43" s="191" t="e">
        <f>W42/W41</f>
        <v>#REF!</v>
      </c>
      <c r="X43" s="191" t="e">
        <f t="shared" si="43"/>
        <v>#REF!</v>
      </c>
      <c r="Y43" s="172"/>
      <c r="Z43" s="197"/>
      <c r="AA43" s="172"/>
      <c r="AB43" s="172"/>
      <c r="AC43" s="198"/>
      <c r="AE43" s="123"/>
      <c r="AF43" s="123"/>
      <c r="AG43" s="123"/>
      <c r="AH43" s="123"/>
      <c r="AI43" s="172"/>
      <c r="AJ43" s="123"/>
      <c r="AK43" s="123"/>
      <c r="AL43" s="123"/>
    </row>
    <row r="44" spans="1:38" ht="15.75" customHeight="1">
      <c r="A44" s="123"/>
      <c r="B44" s="612"/>
      <c r="C44" s="186" t="s">
        <v>210</v>
      </c>
      <c r="D44" s="255"/>
      <c r="E44" s="250" t="e">
        <v>#REF!</v>
      </c>
      <c r="F44" s="250" t="e">
        <v>#REF!</v>
      </c>
      <c r="G44" s="200" t="e">
        <v>#REF!</v>
      </c>
      <c r="H44" s="251" t="e">
        <v>#REF!</v>
      </c>
      <c r="I44" s="252" t="e">
        <v>#REF!</v>
      </c>
      <c r="J44" s="123"/>
      <c r="K44" s="237" t="s">
        <v>217</v>
      </c>
      <c r="L44" s="126"/>
      <c r="M44" s="126"/>
      <c r="N44" s="126">
        <f>N42/N$3</f>
        <v>0</v>
      </c>
      <c r="O44" s="126"/>
      <c r="P44" s="126"/>
      <c r="Q44" s="126"/>
      <c r="R44" s="126"/>
      <c r="S44" s="126">
        <f t="shared" si="44"/>
        <v>0</v>
      </c>
      <c r="T44" s="253" t="e">
        <f>H44-S45-S45*0.13</f>
        <v>#REF!</v>
      </c>
      <c r="U44" s="254" t="e">
        <f t="shared" si="1"/>
        <v>#REF!</v>
      </c>
      <c r="W44" s="184" t="e">
        <f>-S43+V43</f>
        <v>#REF!</v>
      </c>
      <c r="X44" s="184" t="e">
        <f>-L43</f>
        <v>#REF!</v>
      </c>
      <c r="Y44" s="172"/>
      <c r="Z44" s="183" t="e">
        <f t="shared" ref="Z44:AA44" si="47">W44</f>
        <v>#REF!</v>
      </c>
      <c r="AA44" s="184" t="e">
        <f t="shared" si="47"/>
        <v>#REF!</v>
      </c>
      <c r="AB44" s="184" t="e">
        <f>IF(#REF!="Yr2/3/4",0,-V43)</f>
        <v>#REF!</v>
      </c>
      <c r="AC44" s="185" t="e">
        <f>IF(#REF!="Yr2/3/4",-S45,-S45-V43)</f>
        <v>#REF!</v>
      </c>
      <c r="AE44" s="123"/>
      <c r="AF44" s="123"/>
      <c r="AG44" s="123"/>
      <c r="AH44" s="123"/>
      <c r="AI44" s="172"/>
      <c r="AJ44" s="123"/>
      <c r="AK44" s="123"/>
      <c r="AL44" s="123"/>
    </row>
    <row r="45" spans="1:38" ht="15.75" customHeight="1">
      <c r="A45" s="123"/>
      <c r="B45" s="613"/>
      <c r="C45" s="207" t="s">
        <v>212</v>
      </c>
      <c r="D45" s="261"/>
      <c r="E45" s="262" t="e">
        <v>#REF!</v>
      </c>
      <c r="F45" s="262" t="e">
        <v>#REF!</v>
      </c>
      <c r="G45" s="210" t="e">
        <v>#REF!</v>
      </c>
      <c r="H45" s="240" t="e">
        <v>#REF!</v>
      </c>
      <c r="I45" s="263" t="e">
        <v>#REF!</v>
      </c>
      <c r="J45" s="213"/>
      <c r="K45" s="238" t="s">
        <v>218</v>
      </c>
      <c r="L45" s="214">
        <f>IFERROR(ROUND(L43/L$3,2),)</f>
        <v>0</v>
      </c>
      <c r="M45" s="214"/>
      <c r="N45" s="214">
        <f>IFERROR(ROUND(N43/N$3,2),)</f>
        <v>0</v>
      </c>
      <c r="O45" s="214"/>
      <c r="P45" s="214"/>
      <c r="Q45" s="214"/>
      <c r="R45" s="214">
        <f>IFERROR(ROUND(R43/R$3,2),)</f>
        <v>0</v>
      </c>
      <c r="S45" s="214">
        <f t="shared" si="44"/>
        <v>0</v>
      </c>
      <c r="T45" s="241" t="e">
        <v>#REF!</v>
      </c>
      <c r="U45" s="242" t="e">
        <f t="shared" si="1"/>
        <v>#REF!</v>
      </c>
      <c r="V45" s="217"/>
      <c r="W45" s="218" t="s">
        <v>213</v>
      </c>
      <c r="X45" s="218" t="s">
        <v>213</v>
      </c>
      <c r="Y45" s="219"/>
      <c r="Z45" s="220"/>
      <c r="AA45" s="219"/>
      <c r="AB45" s="219"/>
      <c r="AC45" s="221"/>
      <c r="AE45" s="123"/>
      <c r="AF45" s="123"/>
      <c r="AG45" s="123"/>
      <c r="AH45" s="123"/>
      <c r="AI45" s="172"/>
      <c r="AJ45" s="123"/>
      <c r="AK45" s="123"/>
      <c r="AL45" s="123"/>
    </row>
    <row r="46" spans="1:38" ht="15.75" customHeight="1">
      <c r="A46" s="123"/>
      <c r="B46" s="611" t="s">
        <v>223</v>
      </c>
      <c r="C46" s="264" t="s">
        <v>206</v>
      </c>
      <c r="D46" s="265"/>
      <c r="E46" s="265"/>
      <c r="F46" s="265"/>
      <c r="G46" s="245" t="e">
        <v>#REF!</v>
      </c>
      <c r="H46" s="245" t="e">
        <v>#REF!</v>
      </c>
      <c r="I46" s="266"/>
      <c r="J46" s="164"/>
      <c r="K46" s="164"/>
      <c r="L46" s="165"/>
      <c r="M46" s="165"/>
      <c r="N46" s="165"/>
      <c r="O46" s="165"/>
      <c r="P46" s="165"/>
      <c r="Q46" s="165"/>
      <c r="R46" s="165"/>
      <c r="S46" s="165"/>
      <c r="T46" s="247" t="e">
        <f t="shared" ref="T46:T48" si="48">H46</f>
        <v>#REF!</v>
      </c>
      <c r="U46" s="248" t="e">
        <f t="shared" si="1"/>
        <v>#REF!</v>
      </c>
      <c r="V46" s="165"/>
      <c r="W46" s="245" t="e">
        <v>#REF!</v>
      </c>
      <c r="X46" s="245" t="e">
        <f t="shared" ref="X46:X48" si="49">W46</f>
        <v>#REF!</v>
      </c>
      <c r="Y46" s="166"/>
      <c r="Z46" s="170"/>
      <c r="AA46" s="166"/>
      <c r="AB46" s="166"/>
      <c r="AC46" s="171"/>
      <c r="AE46" s="123"/>
      <c r="AF46" s="123"/>
      <c r="AG46" s="123"/>
      <c r="AH46" s="123"/>
      <c r="AI46" s="172"/>
      <c r="AJ46" s="123"/>
      <c r="AK46" s="123"/>
      <c r="AL46" s="123"/>
    </row>
    <row r="47" spans="1:38" ht="15.75" customHeight="1">
      <c r="A47" s="123"/>
      <c r="B47" s="612"/>
      <c r="C47" s="267" t="s">
        <v>207</v>
      </c>
      <c r="D47" s="268"/>
      <c r="E47" s="268"/>
      <c r="F47" s="268"/>
      <c r="G47" s="176" t="e">
        <v>#REF!</v>
      </c>
      <c r="H47" s="251" t="e">
        <v>#REF!</v>
      </c>
      <c r="I47" s="269"/>
      <c r="J47" s="123"/>
      <c r="K47" s="123" t="s">
        <v>217</v>
      </c>
      <c r="L47" s="179">
        <f>L42</f>
        <v>0</v>
      </c>
      <c r="M47" s="123"/>
      <c r="N47" s="179">
        <f t="shared" ref="N47:O47" si="50">N42</f>
        <v>0</v>
      </c>
      <c r="O47" s="182">
        <f t="shared" si="50"/>
        <v>0</v>
      </c>
      <c r="Q47" s="182">
        <f>'Proposed Rates'!I150</f>
        <v>0</v>
      </c>
      <c r="R47" s="182">
        <f>R42</f>
        <v>0</v>
      </c>
      <c r="S47" s="179">
        <f t="shared" ref="S47:S50" si="51">SUM(L47:R47)</f>
        <v>0</v>
      </c>
      <c r="T47" s="253" t="e">
        <f t="shared" si="48"/>
        <v>#REF!</v>
      </c>
      <c r="U47" s="254" t="e">
        <f t="shared" si="1"/>
        <v>#REF!</v>
      </c>
      <c r="V47" s="182">
        <f t="shared" ref="V47:V48" si="52">R47</f>
        <v>0</v>
      </c>
      <c r="W47" s="177" t="e">
        <f>W46-H46</f>
        <v>#REF!</v>
      </c>
      <c r="X47" s="177" t="e">
        <f t="shared" si="49"/>
        <v>#REF!</v>
      </c>
      <c r="Y47" s="172"/>
      <c r="Z47" s="183"/>
      <c r="AA47" s="184"/>
      <c r="AB47" s="184" t="e">
        <f>IF(#REF!="Yr2/3/4",0,-V48)</f>
        <v>#REF!</v>
      </c>
      <c r="AC47" s="185" t="e">
        <f>IF(#REF!="Yr2/3/4",0,-V48)</f>
        <v>#REF!</v>
      </c>
      <c r="AE47" s="123"/>
      <c r="AF47" s="123"/>
      <c r="AG47" s="123"/>
      <c r="AH47" s="123"/>
      <c r="AI47" s="172">
        <f>ROUND(L47*50,2)</f>
        <v>0</v>
      </c>
      <c r="AJ47" s="123"/>
      <c r="AK47" s="123"/>
      <c r="AL47" s="123"/>
    </row>
    <row r="48" spans="1:38" ht="15.75" customHeight="1">
      <c r="A48" s="123"/>
      <c r="B48" s="612"/>
      <c r="C48" s="267" t="s">
        <v>209</v>
      </c>
      <c r="D48" s="270"/>
      <c r="E48" s="271"/>
      <c r="F48" s="271"/>
      <c r="G48" s="190" t="e">
        <v>#REF!</v>
      </c>
      <c r="H48" s="257" t="e">
        <v>#REF!</v>
      </c>
      <c r="I48" s="272"/>
      <c r="J48" s="123"/>
      <c r="K48" s="123" t="s">
        <v>218</v>
      </c>
      <c r="L48" s="123" t="e">
        <v>#REF!</v>
      </c>
      <c r="M48" s="123"/>
      <c r="N48" s="123" t="e">
        <v>#REF!</v>
      </c>
      <c r="O48" s="53" t="e">
        <v>#REF!</v>
      </c>
      <c r="Q48" s="196" t="e">
        <v>#REF!</v>
      </c>
      <c r="R48" s="53" t="e">
        <v>#REF!</v>
      </c>
      <c r="S48" s="193" t="e">
        <f t="shared" si="51"/>
        <v>#REF!</v>
      </c>
      <c r="T48" s="259" t="e">
        <f t="shared" si="48"/>
        <v>#REF!</v>
      </c>
      <c r="U48" s="260" t="e">
        <f t="shared" si="1"/>
        <v>#REF!</v>
      </c>
      <c r="V48" s="53" t="e">
        <f t="shared" si="52"/>
        <v>#REF!</v>
      </c>
      <c r="W48" s="191" t="e">
        <f>W47/W46</f>
        <v>#REF!</v>
      </c>
      <c r="X48" s="191" t="e">
        <f t="shared" si="49"/>
        <v>#REF!</v>
      </c>
      <c r="Y48" s="172"/>
      <c r="Z48" s="197"/>
      <c r="AA48" s="172"/>
      <c r="AB48" s="172"/>
      <c r="AC48" s="198"/>
      <c r="AE48" s="123"/>
      <c r="AF48" s="123"/>
      <c r="AG48" s="123"/>
      <c r="AH48" s="123"/>
      <c r="AI48" s="172"/>
      <c r="AJ48" s="123"/>
      <c r="AK48" s="123"/>
      <c r="AL48" s="123"/>
    </row>
    <row r="49" spans="1:38" ht="15.75" customHeight="1">
      <c r="A49" s="123"/>
      <c r="B49" s="612"/>
      <c r="C49" s="267" t="s">
        <v>210</v>
      </c>
      <c r="D49" s="270"/>
      <c r="E49" s="268"/>
      <c r="F49" s="268"/>
      <c r="G49" s="200" t="e">
        <v>#REF!</v>
      </c>
      <c r="H49" s="251" t="e">
        <v>#REF!</v>
      </c>
      <c r="I49" s="269"/>
      <c r="J49" s="123"/>
      <c r="K49" s="237" t="s">
        <v>217</v>
      </c>
      <c r="L49" s="126"/>
      <c r="M49" s="126"/>
      <c r="N49" s="126">
        <f>N47/N$3</f>
        <v>0</v>
      </c>
      <c r="O49" s="126"/>
      <c r="P49" s="126"/>
      <c r="Q49" s="126"/>
      <c r="R49" s="126"/>
      <c r="S49" s="126">
        <f t="shared" si="51"/>
        <v>0</v>
      </c>
      <c r="T49" s="253" t="e">
        <f>H49-S50-S50*0.13</f>
        <v>#REF!</v>
      </c>
      <c r="U49" s="254" t="e">
        <f t="shared" si="1"/>
        <v>#REF!</v>
      </c>
      <c r="W49" s="184" t="e">
        <f>-S48+V48</f>
        <v>#REF!</v>
      </c>
      <c r="X49" s="184" t="e">
        <f>-L48</f>
        <v>#REF!</v>
      </c>
      <c r="Y49" s="172"/>
      <c r="Z49" s="183" t="e">
        <f t="shared" ref="Z49:AA49" si="53">W49</f>
        <v>#REF!</v>
      </c>
      <c r="AA49" s="184" t="e">
        <f t="shared" si="53"/>
        <v>#REF!</v>
      </c>
      <c r="AB49" s="184" t="e">
        <f>IF(#REF!="Yr2/3/4",0,-V48)</f>
        <v>#REF!</v>
      </c>
      <c r="AC49" s="185" t="e">
        <f>IF(#REF!="Yr2/3/4",-S50,-S50-V48)</f>
        <v>#REF!</v>
      </c>
      <c r="AE49" s="123"/>
      <c r="AF49" s="123"/>
      <c r="AG49" s="123"/>
      <c r="AH49" s="123"/>
      <c r="AI49" s="172"/>
      <c r="AJ49" s="123"/>
      <c r="AK49" s="123"/>
      <c r="AL49" s="123"/>
    </row>
    <row r="50" spans="1:38" ht="19.5" customHeight="1">
      <c r="A50" s="123"/>
      <c r="B50" s="613"/>
      <c r="C50" s="273" t="s">
        <v>212</v>
      </c>
      <c r="D50" s="274"/>
      <c r="E50" s="275"/>
      <c r="F50" s="275"/>
      <c r="G50" s="210" t="e">
        <v>#REF!</v>
      </c>
      <c r="H50" s="240" t="e">
        <v>#REF!</v>
      </c>
      <c r="I50" s="276"/>
      <c r="J50" s="213"/>
      <c r="K50" s="238" t="s">
        <v>218</v>
      </c>
      <c r="L50" s="214">
        <f>IFERROR(ROUND(L48/L$3,2),)</f>
        <v>0</v>
      </c>
      <c r="M50" s="214"/>
      <c r="N50" s="214">
        <f>IFERROR(ROUND(N48/N$3,2),)</f>
        <v>0</v>
      </c>
      <c r="O50" s="214"/>
      <c r="P50" s="214"/>
      <c r="Q50" s="214"/>
      <c r="R50" s="214">
        <f>IFERROR(ROUND(R48/R$3,2),)</f>
        <v>0</v>
      </c>
      <c r="S50" s="214">
        <f t="shared" si="51"/>
        <v>0</v>
      </c>
      <c r="T50" s="241" t="e">
        <v>#REF!</v>
      </c>
      <c r="U50" s="242" t="e">
        <f t="shared" si="1"/>
        <v>#REF!</v>
      </c>
      <c r="V50" s="217"/>
      <c r="W50" s="218" t="s">
        <v>213</v>
      </c>
      <c r="X50" s="218" t="s">
        <v>213</v>
      </c>
      <c r="Y50" s="219"/>
      <c r="Z50" s="220"/>
      <c r="AA50" s="219"/>
      <c r="AB50" s="219"/>
      <c r="AC50" s="221"/>
      <c r="AE50" s="123"/>
      <c r="AF50" s="123"/>
      <c r="AG50" s="123"/>
      <c r="AH50" s="123"/>
      <c r="AI50" s="172"/>
      <c r="AJ50" s="123"/>
      <c r="AK50" s="123"/>
      <c r="AL50" s="123"/>
    </row>
    <row r="51" spans="1:38" ht="13.5" customHeight="1">
      <c r="A51" s="123"/>
      <c r="B51" s="611" t="s">
        <v>224</v>
      </c>
      <c r="C51" s="159" t="s">
        <v>206</v>
      </c>
      <c r="D51" s="160" t="e">
        <v>#REF!</v>
      </c>
      <c r="E51" s="161" t="e">
        <v>#REF!</v>
      </c>
      <c r="F51" s="161" t="e">
        <v>#REF!</v>
      </c>
      <c r="G51" s="162" t="e">
        <v>#REF!</v>
      </c>
      <c r="H51" s="162" t="e">
        <v>#REF!</v>
      </c>
      <c r="I51" s="163" t="e">
        <v>#REF!</v>
      </c>
      <c r="J51" s="164"/>
      <c r="K51" s="164"/>
      <c r="L51" s="165"/>
      <c r="M51" s="165"/>
      <c r="N51" s="165"/>
      <c r="O51" s="165"/>
      <c r="P51" s="165"/>
      <c r="Q51" s="165"/>
      <c r="R51" s="165"/>
      <c r="S51" s="165"/>
      <c r="T51" s="167" t="e">
        <f t="shared" ref="T51:T53" si="54">H51</f>
        <v>#REF!</v>
      </c>
      <c r="U51" s="168" t="e">
        <f t="shared" si="1"/>
        <v>#REF!</v>
      </c>
      <c r="V51" s="165">
        <f t="shared" ref="V51:V52" si="55">R52</f>
        <v>0</v>
      </c>
      <c r="W51" s="245" t="e">
        <v>#REF!</v>
      </c>
      <c r="X51" s="245" t="e">
        <f t="shared" ref="X51:X53" si="56">W51</f>
        <v>#REF!</v>
      </c>
      <c r="Y51" s="166"/>
      <c r="Z51" s="170"/>
      <c r="AA51" s="166"/>
      <c r="AB51" s="166"/>
      <c r="AC51" s="171"/>
      <c r="AE51" s="123"/>
      <c r="AF51" s="123"/>
      <c r="AG51" s="123"/>
      <c r="AH51" s="123"/>
      <c r="AI51" s="172"/>
      <c r="AJ51" s="123"/>
      <c r="AK51" s="123"/>
      <c r="AL51" s="123"/>
    </row>
    <row r="52" spans="1:38" ht="15.75" customHeight="1">
      <c r="A52" s="123"/>
      <c r="B52" s="612"/>
      <c r="C52" s="173" t="s">
        <v>207</v>
      </c>
      <c r="D52" s="174"/>
      <c r="E52" s="175" t="e">
        <v>#REF!</v>
      </c>
      <c r="F52" s="175" t="e">
        <v>#REF!</v>
      </c>
      <c r="G52" s="176" t="e">
        <v>#REF!</v>
      </c>
      <c r="H52" s="177" t="e">
        <v>#REF!</v>
      </c>
      <c r="I52" s="178" t="e">
        <v>#REF!</v>
      </c>
      <c r="J52" s="123"/>
      <c r="K52" s="123" t="s">
        <v>217</v>
      </c>
      <c r="L52" s="179">
        <f>'Proposed Rates'!I44</f>
        <v>0</v>
      </c>
      <c r="M52" s="123"/>
      <c r="N52" s="179">
        <f>'Proposed Rates'!I58</f>
        <v>0</v>
      </c>
      <c r="O52" s="182">
        <f>'Proposed Rates'!I110</f>
        <v>0</v>
      </c>
      <c r="P52" s="172"/>
      <c r="Q52" s="172"/>
      <c r="S52" s="179">
        <f t="shared" ref="S52:S55" si="57">SUM(L52:R52)</f>
        <v>0</v>
      </c>
      <c r="T52" s="180" t="e">
        <f t="shared" si="54"/>
        <v>#REF!</v>
      </c>
      <c r="U52" s="181" t="e">
        <f t="shared" si="1"/>
        <v>#REF!</v>
      </c>
      <c r="V52" s="53">
        <f t="shared" si="55"/>
        <v>0</v>
      </c>
      <c r="W52" s="177" t="e">
        <f>W51-H51</f>
        <v>#REF!</v>
      </c>
      <c r="X52" s="177" t="e">
        <f t="shared" si="56"/>
        <v>#REF!</v>
      </c>
      <c r="Y52" s="172"/>
      <c r="Z52" s="183"/>
      <c r="AA52" s="184"/>
      <c r="AB52" s="184">
        <f>-V53</f>
        <v>0</v>
      </c>
      <c r="AC52" s="185">
        <f>-V53</f>
        <v>0</v>
      </c>
      <c r="AE52" s="123"/>
      <c r="AF52" s="123"/>
      <c r="AG52" s="123"/>
      <c r="AH52" s="123"/>
      <c r="AI52" s="172">
        <f>ROUND(L52*470,2)</f>
        <v>0</v>
      </c>
      <c r="AJ52" s="123"/>
      <c r="AK52" s="123"/>
      <c r="AL52" s="123"/>
    </row>
    <row r="53" spans="1:38" ht="15.75" customHeight="1">
      <c r="A53" s="123"/>
      <c r="B53" s="612"/>
      <c r="C53" s="186" t="s">
        <v>209</v>
      </c>
      <c r="D53" s="187"/>
      <c r="E53" s="188" t="e">
        <f t="shared" ref="E53:I53" si="58">E52/D51</f>
        <v>#REF!</v>
      </c>
      <c r="F53" s="188" t="e">
        <f t="shared" si="58"/>
        <v>#REF!</v>
      </c>
      <c r="G53" s="190" t="e">
        <f t="shared" si="58"/>
        <v>#REF!</v>
      </c>
      <c r="H53" s="191" t="e">
        <f t="shared" si="58"/>
        <v>#REF!</v>
      </c>
      <c r="I53" s="192" t="e">
        <f t="shared" si="58"/>
        <v>#REF!</v>
      </c>
      <c r="J53" s="277"/>
      <c r="K53" s="123" t="s">
        <v>218</v>
      </c>
      <c r="L53" s="123" t="e">
        <v>#REF!</v>
      </c>
      <c r="M53" s="123"/>
      <c r="N53" s="123" t="e">
        <v>#REF!</v>
      </c>
      <c r="O53" s="53" t="e">
        <v>#REF!</v>
      </c>
      <c r="P53" s="172"/>
      <c r="Q53" s="172"/>
      <c r="S53" s="193" t="e">
        <f t="shared" si="57"/>
        <v>#REF!</v>
      </c>
      <c r="T53" s="194" t="e">
        <f t="shared" si="54"/>
        <v>#REF!</v>
      </c>
      <c r="U53" s="195" t="e">
        <f t="shared" si="1"/>
        <v>#REF!</v>
      </c>
      <c r="V53" s="53">
        <v>0</v>
      </c>
      <c r="W53" s="191" t="e">
        <f>W52/W51</f>
        <v>#REF!</v>
      </c>
      <c r="X53" s="191" t="e">
        <f t="shared" si="56"/>
        <v>#REF!</v>
      </c>
      <c r="Y53" s="133"/>
      <c r="Z53" s="197"/>
      <c r="AA53" s="172"/>
      <c r="AB53" s="172"/>
      <c r="AC53" s="198"/>
      <c r="AE53" s="123"/>
      <c r="AF53" s="123"/>
      <c r="AG53" s="123"/>
      <c r="AH53" s="123"/>
      <c r="AI53" s="133"/>
      <c r="AJ53" s="123"/>
      <c r="AK53" s="123"/>
      <c r="AL53" s="123"/>
    </row>
    <row r="54" spans="1:38" ht="15.75" customHeight="1">
      <c r="A54" s="123"/>
      <c r="B54" s="612"/>
      <c r="C54" s="186" t="s">
        <v>210</v>
      </c>
      <c r="D54" s="187"/>
      <c r="E54" s="199" t="e">
        <v>#REF!</v>
      </c>
      <c r="F54" s="199" t="e">
        <v>#REF!</v>
      </c>
      <c r="G54" s="200" t="e">
        <v>#REF!</v>
      </c>
      <c r="H54" s="201" t="e">
        <v>#REF!</v>
      </c>
      <c r="I54" s="202" t="e">
        <v>#REF!</v>
      </c>
      <c r="J54" s="123"/>
      <c r="K54" s="237" t="s">
        <v>217</v>
      </c>
      <c r="L54" s="126"/>
      <c r="M54" s="126"/>
      <c r="N54" s="126">
        <f>N52/N$3</f>
        <v>0</v>
      </c>
      <c r="O54" s="126"/>
      <c r="P54" s="126"/>
      <c r="Q54" s="126"/>
      <c r="R54" s="126"/>
      <c r="S54" s="126">
        <f t="shared" si="57"/>
        <v>0</v>
      </c>
      <c r="T54" s="205" t="e">
        <f>H54-S55-S55*0.13+S55*0.117</f>
        <v>#REF!</v>
      </c>
      <c r="U54" s="206" t="e">
        <f t="shared" si="1"/>
        <v>#REF!</v>
      </c>
      <c r="W54" s="184" t="e">
        <f>-S53+V53</f>
        <v>#REF!</v>
      </c>
      <c r="X54" s="184" t="e">
        <f>-L53</f>
        <v>#REF!</v>
      </c>
      <c r="Y54" s="133"/>
      <c r="Z54" s="183" t="e">
        <f t="shared" ref="Z54:AA54" si="59">W54</f>
        <v>#REF!</v>
      </c>
      <c r="AA54" s="184" t="e">
        <f t="shared" si="59"/>
        <v>#REF!</v>
      </c>
      <c r="AB54" s="184">
        <f>-V53</f>
        <v>0</v>
      </c>
      <c r="AC54" s="185">
        <f>-S55-V53</f>
        <v>0</v>
      </c>
      <c r="AE54" s="123"/>
      <c r="AF54" s="123"/>
      <c r="AG54" s="123"/>
      <c r="AH54" s="123"/>
      <c r="AI54" s="133"/>
      <c r="AJ54" s="123"/>
      <c r="AK54" s="123"/>
      <c r="AL54" s="123"/>
    </row>
    <row r="55" spans="1:38" ht="15.75" customHeight="1">
      <c r="A55" s="123"/>
      <c r="B55" s="613"/>
      <c r="C55" s="207" t="s">
        <v>212</v>
      </c>
      <c r="D55" s="208"/>
      <c r="E55" s="209" t="e">
        <v>#REF!</v>
      </c>
      <c r="F55" s="209" t="e">
        <v>#REF!</v>
      </c>
      <c r="G55" s="210" t="e">
        <v>#REF!</v>
      </c>
      <c r="H55" s="211" t="e">
        <v>#REF!</v>
      </c>
      <c r="I55" s="212" t="e">
        <v>#REF!</v>
      </c>
      <c r="J55" s="278"/>
      <c r="K55" s="238" t="s">
        <v>218</v>
      </c>
      <c r="L55" s="214">
        <f>IFERROR(ROUND(L53/L$3,2),)</f>
        <v>0</v>
      </c>
      <c r="M55" s="214"/>
      <c r="N55" s="214">
        <f>IFERROR(ROUND(N53/N$3,2),)</f>
        <v>0</v>
      </c>
      <c r="O55" s="214"/>
      <c r="P55" s="214"/>
      <c r="Q55" s="214"/>
      <c r="R55" s="214"/>
      <c r="S55" s="214">
        <f t="shared" si="57"/>
        <v>0</v>
      </c>
      <c r="T55" s="215" t="e">
        <v>#REF!</v>
      </c>
      <c r="U55" s="216" t="e">
        <f t="shared" si="1"/>
        <v>#REF!</v>
      </c>
      <c r="V55" s="217"/>
      <c r="W55" s="218" t="s">
        <v>213</v>
      </c>
      <c r="X55" s="218" t="s">
        <v>213</v>
      </c>
      <c r="Y55" s="279"/>
      <c r="Z55" s="280"/>
      <c r="AA55" s="279"/>
      <c r="AB55" s="279"/>
      <c r="AC55" s="281"/>
      <c r="AD55" s="133"/>
      <c r="AE55" s="123"/>
      <c r="AF55" s="123"/>
      <c r="AG55" s="123"/>
      <c r="AH55" s="123"/>
      <c r="AI55" s="123"/>
      <c r="AJ55" s="123"/>
      <c r="AK55" s="123"/>
      <c r="AL55" s="123"/>
    </row>
    <row r="56" spans="1:38" ht="15.75" customHeight="1">
      <c r="A56" s="123"/>
      <c r="B56" s="123"/>
      <c r="C56" s="123"/>
      <c r="D56" s="282"/>
      <c r="E56" s="283"/>
      <c r="F56" s="283"/>
      <c r="G56" s="277"/>
      <c r="H56" s="277"/>
      <c r="I56" s="284"/>
      <c r="J56" s="277"/>
      <c r="K56" s="123"/>
      <c r="L56" s="123"/>
      <c r="M56" s="123"/>
      <c r="N56" s="123"/>
      <c r="O56" s="123"/>
      <c r="P56" s="123"/>
      <c r="Q56" s="123"/>
      <c r="R56" s="123"/>
      <c r="S56" s="123"/>
      <c r="T56" s="132"/>
      <c r="W56" s="133"/>
      <c r="X56" s="133"/>
      <c r="Y56" s="133"/>
      <c r="Z56" s="133"/>
      <c r="AA56" s="133"/>
      <c r="AB56" s="133"/>
      <c r="AC56" s="133"/>
      <c r="AD56" s="133"/>
      <c r="AE56" s="123"/>
      <c r="AF56" s="123"/>
      <c r="AG56" s="123"/>
      <c r="AH56" s="123"/>
      <c r="AI56" s="123"/>
      <c r="AJ56" s="123"/>
      <c r="AK56" s="123"/>
      <c r="AL56" s="123"/>
    </row>
    <row r="57" spans="1:38" ht="15.75" customHeight="1">
      <c r="A57" s="123"/>
      <c r="B57" s="123"/>
      <c r="C57" s="123"/>
      <c r="D57" s="282"/>
      <c r="E57" s="283"/>
      <c r="F57" s="283"/>
      <c r="G57" s="277"/>
      <c r="H57" s="277"/>
      <c r="I57" s="284"/>
      <c r="J57" s="277"/>
      <c r="K57" s="123"/>
      <c r="L57" s="123"/>
      <c r="M57" s="123"/>
      <c r="N57" s="123"/>
      <c r="O57" s="123"/>
      <c r="P57" s="123"/>
      <c r="Q57" s="123"/>
      <c r="R57" s="123"/>
      <c r="S57" s="123"/>
      <c r="T57" s="132"/>
      <c r="W57" s="133"/>
      <c r="X57" s="133"/>
      <c r="Y57" s="133"/>
      <c r="Z57" s="133"/>
      <c r="AA57" s="133"/>
      <c r="AB57" s="133"/>
      <c r="AC57" s="133"/>
      <c r="AD57" s="133"/>
      <c r="AE57" s="123"/>
      <c r="AF57" s="123"/>
      <c r="AG57" s="123"/>
      <c r="AH57" s="123"/>
      <c r="AI57" s="123"/>
      <c r="AJ57" s="123"/>
      <c r="AK57" s="123"/>
      <c r="AL57" s="123"/>
    </row>
    <row r="58" spans="1:38" ht="15.75" customHeight="1">
      <c r="A58" s="123"/>
      <c r="B58" s="123"/>
      <c r="C58" s="123"/>
      <c r="D58" s="282"/>
      <c r="E58" s="282"/>
      <c r="F58" s="282"/>
      <c r="G58" s="123"/>
      <c r="H58" s="123"/>
      <c r="I58" s="285"/>
      <c r="J58" s="277"/>
      <c r="K58" s="123"/>
      <c r="L58" s="123"/>
      <c r="M58" s="123"/>
      <c r="N58" s="123"/>
      <c r="O58" s="123"/>
      <c r="P58" s="123"/>
      <c r="Q58" s="123"/>
      <c r="R58" s="123"/>
      <c r="S58" s="123"/>
      <c r="T58" s="132"/>
      <c r="W58" s="133"/>
      <c r="X58" s="133"/>
      <c r="Y58" s="133"/>
      <c r="Z58" s="133"/>
      <c r="AA58" s="133"/>
      <c r="AB58" s="133"/>
      <c r="AC58" s="133"/>
      <c r="AD58" s="133"/>
      <c r="AE58" s="123"/>
      <c r="AF58" s="123"/>
      <c r="AG58" s="123"/>
      <c r="AH58" s="123"/>
      <c r="AI58" s="123"/>
      <c r="AJ58" s="123"/>
      <c r="AK58" s="123"/>
      <c r="AL58" s="123"/>
    </row>
    <row r="59" spans="1:38" ht="15.75" customHeight="1">
      <c r="A59" s="123"/>
      <c r="B59" s="123"/>
      <c r="C59" s="286"/>
      <c r="D59" s="282"/>
      <c r="E59" s="287"/>
      <c r="F59" s="287"/>
      <c r="G59" s="288"/>
      <c r="H59" s="288"/>
      <c r="I59" s="289"/>
      <c r="J59" s="277"/>
      <c r="K59" s="123"/>
      <c r="L59" s="123"/>
      <c r="M59" s="123"/>
      <c r="N59" s="123"/>
      <c r="O59" s="123"/>
      <c r="P59" s="123"/>
      <c r="Q59" s="123"/>
      <c r="R59" s="123"/>
      <c r="S59" s="123"/>
      <c r="T59" s="132"/>
      <c r="W59" s="133"/>
      <c r="X59" s="133"/>
      <c r="Y59" s="133"/>
      <c r="Z59" s="133"/>
      <c r="AA59" s="133"/>
      <c r="AB59" s="133"/>
      <c r="AC59" s="133"/>
      <c r="AD59" s="133"/>
      <c r="AE59" s="123"/>
      <c r="AF59" s="123"/>
      <c r="AG59" s="123"/>
      <c r="AH59" s="123"/>
      <c r="AI59" s="123"/>
      <c r="AJ59" s="123"/>
      <c r="AK59" s="123"/>
      <c r="AL59" s="123"/>
    </row>
    <row r="60" spans="1:38" ht="15.75" customHeight="1">
      <c r="A60" s="123"/>
      <c r="B60" s="123"/>
      <c r="C60" s="123"/>
      <c r="D60" s="282"/>
      <c r="E60" s="282"/>
      <c r="F60" s="282"/>
      <c r="G60" s="123"/>
      <c r="H60" s="123"/>
      <c r="I60" s="285"/>
      <c r="J60" s="277"/>
      <c r="K60" s="123"/>
      <c r="L60" s="123"/>
      <c r="M60" s="123"/>
      <c r="N60" s="123"/>
      <c r="O60" s="123"/>
      <c r="P60" s="123"/>
      <c r="Q60" s="123"/>
      <c r="R60" s="123"/>
      <c r="S60" s="123"/>
      <c r="T60" s="132"/>
      <c r="W60" s="133"/>
      <c r="X60" s="133"/>
      <c r="Y60" s="133"/>
      <c r="Z60" s="133"/>
      <c r="AA60" s="133"/>
      <c r="AB60" s="133"/>
      <c r="AC60" s="133"/>
      <c r="AD60" s="133"/>
      <c r="AE60" s="123"/>
      <c r="AF60" s="123"/>
      <c r="AG60" s="123"/>
      <c r="AH60" s="123"/>
      <c r="AI60" s="123"/>
      <c r="AJ60" s="123"/>
      <c r="AK60" s="123"/>
      <c r="AL60" s="123"/>
    </row>
    <row r="61" spans="1:38" ht="15.75" customHeight="1">
      <c r="A61" s="123"/>
      <c r="B61" s="123"/>
      <c r="C61" s="123"/>
      <c r="D61" s="282"/>
      <c r="E61" s="283"/>
      <c r="F61" s="283"/>
      <c r="G61" s="277"/>
      <c r="H61" s="277"/>
      <c r="I61" s="284"/>
      <c r="J61" s="277"/>
      <c r="K61" s="123"/>
      <c r="L61" s="123"/>
      <c r="M61" s="123"/>
      <c r="N61" s="123"/>
      <c r="O61" s="123"/>
      <c r="P61" s="123"/>
      <c r="Q61" s="123"/>
      <c r="R61" s="123"/>
      <c r="S61" s="123"/>
      <c r="T61" s="132"/>
      <c r="W61" s="133"/>
      <c r="X61" s="133"/>
      <c r="Y61" s="133"/>
      <c r="Z61" s="133"/>
      <c r="AA61" s="133"/>
      <c r="AB61" s="133"/>
      <c r="AC61" s="133"/>
      <c r="AD61" s="133"/>
      <c r="AE61" s="123"/>
      <c r="AF61" s="123"/>
      <c r="AG61" s="123"/>
      <c r="AH61" s="123"/>
      <c r="AI61" s="123"/>
      <c r="AJ61" s="123"/>
      <c r="AK61" s="123"/>
      <c r="AL61" s="123"/>
    </row>
    <row r="62" spans="1:38" ht="15.75" customHeight="1">
      <c r="A62" s="123"/>
      <c r="B62" s="123"/>
      <c r="C62" s="123"/>
      <c r="D62" s="282"/>
      <c r="E62" s="283"/>
      <c r="F62" s="283"/>
      <c r="G62" s="277"/>
      <c r="H62" s="277"/>
      <c r="I62" s="284"/>
      <c r="J62" s="277"/>
      <c r="K62" s="123"/>
      <c r="L62" s="123"/>
      <c r="M62" s="123"/>
      <c r="N62" s="123"/>
      <c r="O62" s="123"/>
      <c r="P62" s="123"/>
      <c r="Q62" s="123"/>
      <c r="R62" s="123"/>
      <c r="S62" s="123"/>
      <c r="T62" s="132"/>
      <c r="W62" s="133"/>
      <c r="X62" s="133"/>
      <c r="Y62" s="133"/>
      <c r="Z62" s="133"/>
      <c r="AA62" s="133"/>
      <c r="AB62" s="133"/>
      <c r="AC62" s="133"/>
      <c r="AD62" s="133"/>
      <c r="AE62" s="123"/>
      <c r="AF62" s="123"/>
      <c r="AG62" s="123"/>
      <c r="AH62" s="123"/>
      <c r="AI62" s="123"/>
      <c r="AJ62" s="123"/>
      <c r="AK62" s="123"/>
      <c r="AL62" s="123"/>
    </row>
    <row r="63" spans="1:38" ht="15.75" customHeight="1">
      <c r="A63" s="123"/>
      <c r="B63" s="123"/>
      <c r="C63" s="123"/>
      <c r="D63" s="282"/>
      <c r="E63" s="283"/>
      <c r="F63" s="283"/>
      <c r="G63" s="277"/>
      <c r="H63" s="277"/>
      <c r="I63" s="284"/>
      <c r="J63" s="123"/>
      <c r="K63" s="123"/>
      <c r="L63" s="123"/>
      <c r="M63" s="123"/>
      <c r="N63" s="123"/>
      <c r="O63" s="123"/>
      <c r="P63" s="123"/>
      <c r="Q63" s="123"/>
      <c r="R63" s="123"/>
      <c r="S63" s="123"/>
      <c r="T63" s="132"/>
      <c r="W63" s="133"/>
      <c r="X63" s="133"/>
      <c r="Y63" s="133"/>
      <c r="Z63" s="133"/>
      <c r="AA63" s="133"/>
      <c r="AB63" s="133"/>
      <c r="AC63" s="133"/>
      <c r="AD63" s="133"/>
      <c r="AE63" s="123"/>
      <c r="AF63" s="123"/>
      <c r="AG63" s="123"/>
      <c r="AH63" s="123"/>
      <c r="AI63" s="123"/>
      <c r="AJ63" s="123"/>
      <c r="AK63" s="123"/>
      <c r="AL63" s="123"/>
    </row>
    <row r="64" spans="1:38" ht="15.75" customHeight="1">
      <c r="A64" s="123"/>
      <c r="B64" s="123"/>
      <c r="C64" s="123"/>
      <c r="D64" s="282"/>
      <c r="E64" s="283"/>
      <c r="F64" s="283"/>
      <c r="G64" s="277"/>
      <c r="H64" s="277"/>
      <c r="I64" s="284"/>
      <c r="J64" s="277"/>
      <c r="K64" s="123"/>
      <c r="L64" s="123"/>
      <c r="M64" s="123"/>
      <c r="N64" s="123"/>
      <c r="O64" s="123"/>
      <c r="P64" s="123"/>
      <c r="Q64" s="123"/>
      <c r="R64" s="123"/>
      <c r="S64" s="123"/>
      <c r="T64" s="132"/>
      <c r="W64" s="133"/>
      <c r="X64" s="133"/>
      <c r="Y64" s="133"/>
      <c r="Z64" s="133"/>
      <c r="AA64" s="133"/>
      <c r="AB64" s="133"/>
      <c r="AC64" s="133"/>
      <c r="AD64" s="133"/>
      <c r="AE64" s="123"/>
      <c r="AF64" s="123"/>
      <c r="AG64" s="123"/>
      <c r="AH64" s="123"/>
      <c r="AI64" s="123"/>
      <c r="AJ64" s="123"/>
      <c r="AK64" s="123"/>
      <c r="AL64" s="123"/>
    </row>
    <row r="65" spans="1:38" ht="15.75" customHeight="1">
      <c r="A65" s="123"/>
      <c r="B65" s="123"/>
      <c r="C65" s="123"/>
      <c r="D65" s="282"/>
      <c r="E65" s="283"/>
      <c r="F65" s="283"/>
      <c r="G65" s="277"/>
      <c r="H65" s="277"/>
      <c r="I65" s="284"/>
      <c r="J65" s="123"/>
      <c r="K65" s="123"/>
      <c r="L65" s="123"/>
      <c r="M65" s="123"/>
      <c r="N65" s="123"/>
      <c r="O65" s="123"/>
      <c r="P65" s="123"/>
      <c r="Q65" s="123"/>
      <c r="R65" s="123"/>
      <c r="S65" s="123"/>
      <c r="T65" s="132"/>
      <c r="W65" s="133"/>
      <c r="X65" s="133"/>
      <c r="Y65" s="133"/>
      <c r="Z65" s="133"/>
      <c r="AA65" s="133"/>
      <c r="AB65" s="133"/>
      <c r="AC65" s="133"/>
      <c r="AD65" s="133"/>
      <c r="AE65" s="123"/>
      <c r="AF65" s="123"/>
      <c r="AG65" s="123"/>
      <c r="AH65" s="123"/>
      <c r="AI65" s="123"/>
      <c r="AJ65" s="123"/>
      <c r="AK65" s="123"/>
      <c r="AL65" s="123"/>
    </row>
    <row r="66" spans="1:38" ht="15.75" customHeight="1">
      <c r="A66" s="123"/>
      <c r="B66" s="123"/>
      <c r="C66" s="123"/>
      <c r="D66" s="282"/>
      <c r="E66" s="283"/>
      <c r="F66" s="283"/>
      <c r="G66" s="277"/>
      <c r="H66" s="277"/>
      <c r="I66" s="284"/>
      <c r="J66" s="277"/>
      <c r="K66" s="123"/>
      <c r="L66" s="123"/>
      <c r="M66" s="123"/>
      <c r="N66" s="123"/>
      <c r="O66" s="123"/>
      <c r="P66" s="123"/>
      <c r="Q66" s="123"/>
      <c r="R66" s="123"/>
      <c r="S66" s="123"/>
      <c r="T66" s="132"/>
      <c r="W66" s="133"/>
      <c r="X66" s="133"/>
      <c r="Y66" s="133"/>
      <c r="Z66" s="133"/>
      <c r="AA66" s="133"/>
      <c r="AB66" s="133"/>
      <c r="AC66" s="133"/>
      <c r="AD66" s="133"/>
      <c r="AE66" s="123"/>
      <c r="AF66" s="123"/>
      <c r="AG66" s="123"/>
      <c r="AH66" s="123"/>
      <c r="AI66" s="123"/>
      <c r="AJ66" s="123"/>
      <c r="AK66" s="123"/>
      <c r="AL66" s="123"/>
    </row>
    <row r="67" spans="1:38" ht="15.75" customHeight="1">
      <c r="A67" s="123"/>
      <c r="B67" s="123"/>
      <c r="C67" s="123"/>
      <c r="D67" s="282"/>
      <c r="E67" s="283"/>
      <c r="F67" s="283"/>
      <c r="G67" s="277"/>
      <c r="H67" s="277"/>
      <c r="I67" s="284"/>
      <c r="J67" s="277"/>
      <c r="K67" s="123"/>
      <c r="L67" s="123"/>
      <c r="M67" s="123"/>
      <c r="N67" s="123"/>
      <c r="O67" s="123"/>
      <c r="P67" s="123"/>
      <c r="Q67" s="123"/>
      <c r="R67" s="123"/>
      <c r="S67" s="123"/>
      <c r="T67" s="132"/>
      <c r="W67" s="133"/>
      <c r="X67" s="133"/>
      <c r="Y67" s="133"/>
      <c r="Z67" s="133"/>
      <c r="AA67" s="133"/>
      <c r="AB67" s="133"/>
      <c r="AC67" s="133"/>
      <c r="AD67" s="133"/>
      <c r="AE67" s="123"/>
      <c r="AF67" s="123"/>
      <c r="AG67" s="123"/>
      <c r="AH67" s="123"/>
      <c r="AI67" s="123"/>
      <c r="AJ67" s="123"/>
      <c r="AK67" s="123"/>
      <c r="AL67" s="123"/>
    </row>
    <row r="68" spans="1:38" ht="15.75" customHeight="1">
      <c r="A68" s="123"/>
      <c r="B68" s="123"/>
      <c r="C68" s="123"/>
      <c r="D68" s="282"/>
      <c r="E68" s="283"/>
      <c r="F68" s="283"/>
      <c r="G68" s="277"/>
      <c r="H68" s="277"/>
      <c r="I68" s="284"/>
      <c r="J68" s="277"/>
      <c r="K68" s="123"/>
      <c r="L68" s="123"/>
      <c r="M68" s="123"/>
      <c r="N68" s="123"/>
      <c r="O68" s="123"/>
      <c r="P68" s="123"/>
      <c r="Q68" s="123"/>
      <c r="R68" s="123"/>
      <c r="S68" s="123"/>
      <c r="T68" s="132"/>
      <c r="W68" s="133"/>
      <c r="X68" s="133"/>
      <c r="Y68" s="133"/>
      <c r="Z68" s="133"/>
      <c r="AA68" s="133"/>
      <c r="AB68" s="133"/>
      <c r="AC68" s="133"/>
      <c r="AD68" s="133"/>
      <c r="AE68" s="123"/>
      <c r="AF68" s="123"/>
      <c r="AG68" s="123"/>
      <c r="AH68" s="123"/>
      <c r="AI68" s="123"/>
      <c r="AJ68" s="123"/>
      <c r="AK68" s="123"/>
      <c r="AL68" s="123"/>
    </row>
    <row r="69" spans="1:38" ht="15.75" customHeight="1">
      <c r="A69" s="123"/>
      <c r="B69" s="123"/>
      <c r="C69" s="123"/>
      <c r="D69" s="282"/>
      <c r="E69" s="282"/>
      <c r="F69" s="282"/>
      <c r="G69" s="123"/>
      <c r="H69" s="123"/>
      <c r="I69" s="285"/>
      <c r="J69" s="277"/>
      <c r="K69" s="123"/>
      <c r="L69" s="123"/>
      <c r="M69" s="123"/>
      <c r="N69" s="123"/>
      <c r="O69" s="123"/>
      <c r="P69" s="123"/>
      <c r="Q69" s="123"/>
      <c r="R69" s="123"/>
      <c r="S69" s="123"/>
      <c r="T69" s="132"/>
      <c r="W69" s="133"/>
      <c r="X69" s="133"/>
      <c r="Y69" s="133"/>
      <c r="Z69" s="133"/>
      <c r="AA69" s="133"/>
      <c r="AB69" s="133"/>
      <c r="AC69" s="133"/>
      <c r="AD69" s="133"/>
      <c r="AE69" s="123"/>
      <c r="AF69" s="123"/>
      <c r="AG69" s="123"/>
      <c r="AH69" s="123"/>
      <c r="AI69" s="123"/>
      <c r="AJ69" s="123"/>
      <c r="AK69" s="123"/>
      <c r="AL69" s="123"/>
    </row>
    <row r="70" spans="1:38" ht="15.75" customHeight="1">
      <c r="A70" s="123"/>
      <c r="B70" s="123"/>
      <c r="C70" s="123"/>
      <c r="D70" s="282"/>
      <c r="E70" s="282"/>
      <c r="F70" s="282"/>
      <c r="G70" s="123"/>
      <c r="H70" s="123"/>
      <c r="I70" s="285"/>
      <c r="J70" s="277"/>
      <c r="K70" s="123"/>
      <c r="L70" s="123"/>
      <c r="M70" s="123"/>
      <c r="N70" s="123"/>
      <c r="O70" s="123"/>
      <c r="P70" s="123"/>
      <c r="Q70" s="123"/>
      <c r="R70" s="123"/>
      <c r="S70" s="123"/>
      <c r="T70" s="132"/>
      <c r="W70" s="133"/>
      <c r="X70" s="133"/>
      <c r="Y70" s="133"/>
      <c r="Z70" s="133"/>
      <c r="AA70" s="133"/>
      <c r="AB70" s="133"/>
      <c r="AC70" s="133"/>
      <c r="AD70" s="133"/>
      <c r="AE70" s="123"/>
      <c r="AF70" s="123"/>
      <c r="AG70" s="123"/>
      <c r="AH70" s="123"/>
      <c r="AI70" s="123"/>
      <c r="AJ70" s="123"/>
      <c r="AK70" s="123"/>
      <c r="AL70" s="123"/>
    </row>
    <row r="71" spans="1:38" ht="15.75" customHeight="1">
      <c r="A71" s="123"/>
      <c r="B71" s="123"/>
      <c r="C71" s="123"/>
      <c r="D71" s="282"/>
      <c r="E71" s="282"/>
      <c r="F71" s="282"/>
      <c r="G71" s="123"/>
      <c r="H71" s="123"/>
      <c r="I71" s="285"/>
      <c r="J71" s="277"/>
      <c r="K71" s="123"/>
      <c r="L71" s="123"/>
      <c r="M71" s="123"/>
      <c r="N71" s="123"/>
      <c r="O71" s="123"/>
      <c r="P71" s="123"/>
      <c r="Q71" s="123"/>
      <c r="R71" s="123"/>
      <c r="S71" s="123"/>
      <c r="T71" s="132"/>
      <c r="W71" s="133"/>
      <c r="X71" s="133"/>
      <c r="Y71" s="133"/>
      <c r="Z71" s="133"/>
      <c r="AA71" s="133"/>
      <c r="AB71" s="133"/>
      <c r="AC71" s="133"/>
      <c r="AD71" s="133"/>
      <c r="AE71" s="123"/>
      <c r="AF71" s="123"/>
      <c r="AG71" s="123"/>
      <c r="AH71" s="123"/>
      <c r="AI71" s="123"/>
      <c r="AJ71" s="123"/>
      <c r="AK71" s="123"/>
      <c r="AL71" s="123"/>
    </row>
    <row r="72" spans="1:38" ht="15.75" customHeight="1">
      <c r="A72" s="123"/>
      <c r="B72" s="123"/>
      <c r="C72" s="123"/>
      <c r="D72" s="282"/>
      <c r="E72" s="282"/>
      <c r="F72" s="282"/>
      <c r="G72" s="123"/>
      <c r="H72" s="123"/>
      <c r="I72" s="285"/>
      <c r="J72" s="277"/>
      <c r="K72" s="123"/>
      <c r="L72" s="123"/>
      <c r="M72" s="123"/>
      <c r="N72" s="123"/>
      <c r="O72" s="123"/>
      <c r="P72" s="123"/>
      <c r="Q72" s="123"/>
      <c r="R72" s="123"/>
      <c r="S72" s="123"/>
      <c r="T72" s="132"/>
      <c r="W72" s="133"/>
      <c r="X72" s="133"/>
      <c r="Y72" s="133"/>
      <c r="Z72" s="133"/>
      <c r="AA72" s="133"/>
      <c r="AB72" s="133"/>
      <c r="AC72" s="133"/>
      <c r="AD72" s="133"/>
      <c r="AE72" s="123"/>
      <c r="AF72" s="123"/>
      <c r="AG72" s="123"/>
      <c r="AH72" s="123"/>
      <c r="AI72" s="123"/>
      <c r="AJ72" s="123"/>
      <c r="AK72" s="123"/>
      <c r="AL72" s="123"/>
    </row>
    <row r="73" spans="1:38" ht="15.75" customHeight="1">
      <c r="A73" s="123"/>
      <c r="B73" s="123"/>
      <c r="C73" s="123"/>
      <c r="D73" s="282"/>
      <c r="E73" s="282"/>
      <c r="F73" s="282"/>
      <c r="G73" s="123"/>
      <c r="H73" s="123"/>
      <c r="I73" s="285"/>
      <c r="J73" s="277"/>
      <c r="K73" s="123"/>
      <c r="L73" s="123"/>
      <c r="M73" s="123"/>
      <c r="N73" s="123"/>
      <c r="O73" s="123"/>
      <c r="P73" s="123"/>
      <c r="Q73" s="123"/>
      <c r="R73" s="123"/>
      <c r="S73" s="123"/>
      <c r="T73" s="132"/>
      <c r="W73" s="133"/>
      <c r="X73" s="133"/>
      <c r="Y73" s="133"/>
      <c r="Z73" s="133"/>
      <c r="AA73" s="133"/>
      <c r="AB73" s="133"/>
      <c r="AC73" s="133"/>
      <c r="AD73" s="133"/>
      <c r="AE73" s="123"/>
      <c r="AF73" s="123"/>
      <c r="AG73" s="123"/>
      <c r="AH73" s="123"/>
      <c r="AI73" s="123"/>
      <c r="AJ73" s="123"/>
      <c r="AK73" s="123"/>
      <c r="AL73" s="123"/>
    </row>
    <row r="74" spans="1:38" ht="15.75" customHeight="1">
      <c r="A74" s="123"/>
      <c r="B74" s="123"/>
      <c r="C74" s="123"/>
      <c r="D74" s="282"/>
      <c r="E74" s="282"/>
      <c r="F74" s="282"/>
      <c r="G74" s="123"/>
      <c r="H74" s="123"/>
      <c r="I74" s="285"/>
      <c r="J74" s="123"/>
      <c r="K74" s="123"/>
      <c r="L74" s="123"/>
      <c r="M74" s="123"/>
      <c r="N74" s="123"/>
      <c r="O74" s="123"/>
      <c r="P74" s="123"/>
      <c r="Q74" s="123"/>
      <c r="R74" s="123"/>
      <c r="S74" s="123"/>
      <c r="T74" s="132"/>
      <c r="W74" s="133"/>
      <c r="X74" s="133"/>
      <c r="Y74" s="133"/>
      <c r="Z74" s="133"/>
      <c r="AA74" s="133"/>
      <c r="AB74" s="133"/>
      <c r="AC74" s="133"/>
      <c r="AD74" s="133"/>
      <c r="AE74" s="123"/>
      <c r="AF74" s="123"/>
      <c r="AG74" s="123"/>
      <c r="AH74" s="123"/>
      <c r="AI74" s="123"/>
      <c r="AJ74" s="123"/>
      <c r="AK74" s="123"/>
      <c r="AL74" s="123"/>
    </row>
    <row r="75" spans="1:38" ht="15.75" customHeight="1">
      <c r="A75" s="123"/>
      <c r="B75" s="123"/>
      <c r="C75" s="123"/>
      <c r="D75" s="282"/>
      <c r="E75" s="282"/>
      <c r="F75" s="282"/>
      <c r="G75" s="123"/>
      <c r="H75" s="123"/>
      <c r="I75" s="285"/>
      <c r="J75" s="123"/>
      <c r="K75" s="123"/>
      <c r="L75" s="123"/>
      <c r="M75" s="123"/>
      <c r="N75" s="123"/>
      <c r="O75" s="123"/>
      <c r="P75" s="123"/>
      <c r="Q75" s="123"/>
      <c r="R75" s="123"/>
      <c r="S75" s="123"/>
      <c r="T75" s="132"/>
      <c r="W75" s="133"/>
      <c r="X75" s="133"/>
      <c r="Y75" s="133"/>
      <c r="Z75" s="133"/>
      <c r="AA75" s="133"/>
      <c r="AB75" s="133"/>
      <c r="AC75" s="133"/>
      <c r="AD75" s="133"/>
      <c r="AE75" s="123"/>
      <c r="AF75" s="123"/>
      <c r="AG75" s="123"/>
      <c r="AH75" s="123"/>
      <c r="AI75" s="123"/>
      <c r="AJ75" s="123"/>
      <c r="AK75" s="123"/>
      <c r="AL75" s="123"/>
    </row>
    <row r="76" spans="1:38" ht="15.75" customHeight="1">
      <c r="A76" s="123"/>
      <c r="B76" s="123"/>
      <c r="C76" s="123"/>
      <c r="D76" s="282"/>
      <c r="E76" s="282"/>
      <c r="F76" s="282"/>
      <c r="G76" s="123"/>
      <c r="H76" s="123"/>
      <c r="I76" s="285"/>
      <c r="J76" s="123"/>
      <c r="K76" s="123"/>
      <c r="L76" s="123"/>
      <c r="M76" s="123"/>
      <c r="N76" s="123"/>
      <c r="O76" s="123"/>
      <c r="P76" s="123"/>
      <c r="Q76" s="123"/>
      <c r="R76" s="123"/>
      <c r="S76" s="123"/>
      <c r="T76" s="132"/>
      <c r="W76" s="133"/>
      <c r="X76" s="133"/>
      <c r="Y76" s="133"/>
      <c r="Z76" s="133"/>
      <c r="AA76" s="133"/>
      <c r="AB76" s="133"/>
      <c r="AC76" s="133"/>
      <c r="AD76" s="133"/>
      <c r="AE76" s="123"/>
      <c r="AF76" s="123"/>
      <c r="AG76" s="123"/>
      <c r="AH76" s="123"/>
      <c r="AI76" s="123"/>
      <c r="AJ76" s="123"/>
      <c r="AK76" s="123"/>
      <c r="AL76" s="123"/>
    </row>
    <row r="77" spans="1:38" ht="15.75" customHeight="1">
      <c r="A77" s="123"/>
      <c r="B77" s="123"/>
      <c r="C77" s="123"/>
      <c r="D77" s="282"/>
      <c r="E77" s="282"/>
      <c r="F77" s="282"/>
      <c r="G77" s="123"/>
      <c r="H77" s="123"/>
      <c r="I77" s="285"/>
      <c r="J77" s="123"/>
      <c r="K77" s="123"/>
      <c r="L77" s="123"/>
      <c r="M77" s="123"/>
      <c r="N77" s="123"/>
      <c r="O77" s="123"/>
      <c r="P77" s="123"/>
      <c r="Q77" s="123"/>
      <c r="R77" s="123"/>
      <c r="S77" s="123"/>
      <c r="T77" s="132"/>
      <c r="W77" s="133"/>
      <c r="X77" s="133"/>
      <c r="Y77" s="133"/>
      <c r="Z77" s="133"/>
      <c r="AA77" s="133"/>
      <c r="AB77" s="133"/>
      <c r="AC77" s="133"/>
      <c r="AD77" s="133"/>
      <c r="AE77" s="123"/>
      <c r="AF77" s="123"/>
      <c r="AG77" s="123"/>
      <c r="AH77" s="123"/>
      <c r="AI77" s="123"/>
      <c r="AJ77" s="123"/>
      <c r="AK77" s="123"/>
      <c r="AL77" s="123"/>
    </row>
    <row r="78" spans="1:38" ht="15.75" customHeight="1">
      <c r="A78" s="123"/>
      <c r="B78" s="123"/>
      <c r="C78" s="123"/>
      <c r="D78" s="282"/>
      <c r="E78" s="282"/>
      <c r="F78" s="282"/>
      <c r="G78" s="123"/>
      <c r="H78" s="123"/>
      <c r="I78" s="285"/>
      <c r="J78" s="123"/>
      <c r="K78" s="123"/>
      <c r="L78" s="123"/>
      <c r="M78" s="123"/>
      <c r="N78" s="123"/>
      <c r="O78" s="123"/>
      <c r="P78" s="123"/>
      <c r="Q78" s="123"/>
      <c r="R78" s="123"/>
      <c r="S78" s="123"/>
      <c r="T78" s="132"/>
      <c r="W78" s="133"/>
      <c r="X78" s="133"/>
      <c r="Y78" s="133"/>
      <c r="Z78" s="133"/>
      <c r="AA78" s="133"/>
      <c r="AB78" s="133"/>
      <c r="AC78" s="133"/>
      <c r="AD78" s="133"/>
      <c r="AE78" s="123"/>
      <c r="AF78" s="123"/>
      <c r="AG78" s="123"/>
      <c r="AH78" s="123"/>
      <c r="AI78" s="123"/>
      <c r="AJ78" s="123"/>
      <c r="AK78" s="123"/>
      <c r="AL78" s="123"/>
    </row>
    <row r="79" spans="1:38" ht="15.75" customHeight="1">
      <c r="A79" s="123"/>
      <c r="B79" s="123"/>
      <c r="C79" s="123"/>
      <c r="D79" s="282"/>
      <c r="E79" s="282"/>
      <c r="F79" s="282"/>
      <c r="G79" s="123"/>
      <c r="H79" s="123"/>
      <c r="I79" s="285"/>
      <c r="J79" s="123"/>
      <c r="K79" s="123"/>
      <c r="L79" s="123"/>
      <c r="M79" s="123"/>
      <c r="N79" s="123"/>
      <c r="O79" s="123"/>
      <c r="P79" s="123"/>
      <c r="Q79" s="123"/>
      <c r="R79" s="123"/>
      <c r="S79" s="123"/>
      <c r="T79" s="132"/>
      <c r="W79" s="133"/>
      <c r="X79" s="133"/>
      <c r="Y79" s="133"/>
      <c r="Z79" s="133"/>
      <c r="AA79" s="133"/>
      <c r="AB79" s="133"/>
      <c r="AC79" s="133"/>
      <c r="AD79" s="133"/>
      <c r="AE79" s="123"/>
      <c r="AF79" s="123"/>
      <c r="AG79" s="123"/>
      <c r="AH79" s="123"/>
      <c r="AI79" s="123"/>
      <c r="AJ79" s="123"/>
      <c r="AK79" s="123"/>
      <c r="AL79" s="123"/>
    </row>
    <row r="80" spans="1:38" ht="15.75" customHeight="1">
      <c r="A80" s="123"/>
      <c r="B80" s="123"/>
      <c r="C80" s="123"/>
      <c r="D80" s="282"/>
      <c r="E80" s="282"/>
      <c r="F80" s="282"/>
      <c r="G80" s="123"/>
      <c r="H80" s="123"/>
      <c r="I80" s="285"/>
      <c r="J80" s="123"/>
      <c r="K80" s="123"/>
      <c r="L80" s="123"/>
      <c r="M80" s="123"/>
      <c r="N80" s="123"/>
      <c r="O80" s="123"/>
      <c r="P80" s="123"/>
      <c r="Q80" s="123"/>
      <c r="R80" s="123"/>
      <c r="S80" s="123"/>
      <c r="T80" s="132"/>
      <c r="W80" s="133"/>
      <c r="X80" s="133"/>
      <c r="Y80" s="133"/>
      <c r="Z80" s="133"/>
      <c r="AA80" s="133"/>
      <c r="AB80" s="133"/>
      <c r="AC80" s="133"/>
      <c r="AD80" s="133"/>
      <c r="AE80" s="123"/>
      <c r="AF80" s="123"/>
      <c r="AG80" s="123"/>
      <c r="AH80" s="123"/>
      <c r="AI80" s="123"/>
      <c r="AJ80" s="123"/>
      <c r="AK80" s="123"/>
      <c r="AL80" s="123"/>
    </row>
    <row r="81" spans="1:38" ht="15.75" customHeight="1">
      <c r="A81" s="123"/>
      <c r="B81" s="123"/>
      <c r="C81" s="123"/>
      <c r="D81" s="282"/>
      <c r="E81" s="282"/>
      <c r="F81" s="282"/>
      <c r="G81" s="123"/>
      <c r="H81" s="123"/>
      <c r="I81" s="285"/>
      <c r="J81" s="123"/>
      <c r="K81" s="123"/>
      <c r="L81" s="123"/>
      <c r="M81" s="123"/>
      <c r="N81" s="123"/>
      <c r="O81" s="123"/>
      <c r="P81" s="123"/>
      <c r="Q81" s="123"/>
      <c r="R81" s="123"/>
      <c r="S81" s="123"/>
      <c r="T81" s="132"/>
      <c r="W81" s="133"/>
      <c r="X81" s="133"/>
      <c r="Y81" s="133"/>
      <c r="Z81" s="133"/>
      <c r="AA81" s="133"/>
      <c r="AB81" s="133"/>
      <c r="AC81" s="133"/>
      <c r="AD81" s="133"/>
      <c r="AE81" s="123"/>
      <c r="AF81" s="123"/>
      <c r="AG81" s="123"/>
      <c r="AH81" s="123"/>
      <c r="AI81" s="123"/>
      <c r="AJ81" s="123"/>
      <c r="AK81" s="123"/>
      <c r="AL81" s="123"/>
    </row>
    <row r="82" spans="1:38" ht="15.75" customHeight="1">
      <c r="A82" s="123"/>
      <c r="B82" s="123"/>
      <c r="C82" s="123"/>
      <c r="D82" s="282"/>
      <c r="E82" s="282"/>
      <c r="F82" s="282"/>
      <c r="G82" s="123"/>
      <c r="H82" s="123"/>
      <c r="I82" s="285"/>
      <c r="J82" s="123"/>
      <c r="K82" s="123"/>
      <c r="L82" s="123"/>
      <c r="M82" s="123"/>
      <c r="N82" s="123"/>
      <c r="O82" s="123"/>
      <c r="P82" s="123"/>
      <c r="Q82" s="123"/>
      <c r="R82" s="123"/>
      <c r="S82" s="123"/>
      <c r="T82" s="132"/>
      <c r="W82" s="133"/>
      <c r="X82" s="133"/>
      <c r="Y82" s="133"/>
      <c r="Z82" s="133"/>
      <c r="AA82" s="133"/>
      <c r="AB82" s="133"/>
      <c r="AC82" s="133"/>
      <c r="AD82" s="133"/>
      <c r="AE82" s="123"/>
      <c r="AF82" s="123"/>
      <c r="AG82" s="123"/>
      <c r="AH82" s="123"/>
      <c r="AI82" s="123"/>
      <c r="AJ82" s="123"/>
      <c r="AK82" s="123"/>
      <c r="AL82" s="123"/>
    </row>
    <row r="83" spans="1:38" ht="15.75" customHeight="1">
      <c r="A83" s="123"/>
      <c r="B83" s="123"/>
      <c r="C83" s="123"/>
      <c r="D83" s="282"/>
      <c r="E83" s="282"/>
      <c r="F83" s="282"/>
      <c r="G83" s="123"/>
      <c r="H83" s="123"/>
      <c r="I83" s="285"/>
      <c r="J83" s="123"/>
      <c r="K83" s="123"/>
      <c r="L83" s="123"/>
      <c r="M83" s="123"/>
      <c r="N83" s="123"/>
      <c r="O83" s="123"/>
      <c r="P83" s="123"/>
      <c r="Q83" s="123"/>
      <c r="R83" s="123"/>
      <c r="S83" s="123"/>
      <c r="T83" s="132"/>
      <c r="W83" s="133"/>
      <c r="X83" s="133"/>
      <c r="Y83" s="133"/>
      <c r="Z83" s="133"/>
      <c r="AA83" s="133"/>
      <c r="AB83" s="133"/>
      <c r="AC83" s="133"/>
      <c r="AD83" s="133"/>
      <c r="AE83" s="123"/>
      <c r="AF83" s="123"/>
      <c r="AG83" s="123"/>
      <c r="AH83" s="123"/>
      <c r="AI83" s="123"/>
      <c r="AJ83" s="123"/>
      <c r="AK83" s="123"/>
      <c r="AL83" s="123"/>
    </row>
    <row r="84" spans="1:38" ht="15.75" customHeight="1">
      <c r="A84" s="123"/>
      <c r="B84" s="123"/>
      <c r="C84" s="123"/>
      <c r="D84" s="282"/>
      <c r="E84" s="282"/>
      <c r="F84" s="282"/>
      <c r="G84" s="123"/>
      <c r="H84" s="123"/>
      <c r="I84" s="285"/>
      <c r="J84" s="123"/>
      <c r="K84" s="123"/>
      <c r="L84" s="123"/>
      <c r="M84" s="123"/>
      <c r="N84" s="123"/>
      <c r="O84" s="123"/>
      <c r="P84" s="123"/>
      <c r="Q84" s="123"/>
      <c r="R84" s="123"/>
      <c r="S84" s="123"/>
      <c r="T84" s="132"/>
      <c r="W84" s="133"/>
      <c r="X84" s="133"/>
      <c r="Y84" s="133"/>
      <c r="Z84" s="133"/>
      <c r="AA84" s="133"/>
      <c r="AB84" s="133"/>
      <c r="AC84" s="133"/>
      <c r="AD84" s="133"/>
      <c r="AE84" s="123"/>
      <c r="AF84" s="123"/>
      <c r="AG84" s="123"/>
      <c r="AH84" s="123"/>
      <c r="AI84" s="123"/>
      <c r="AJ84" s="123"/>
      <c r="AK84" s="123"/>
      <c r="AL84" s="123"/>
    </row>
    <row r="85" spans="1:38" ht="15.75" customHeight="1">
      <c r="A85" s="123"/>
      <c r="B85" s="123"/>
      <c r="C85" s="123"/>
      <c r="D85" s="282"/>
      <c r="E85" s="282"/>
      <c r="F85" s="282"/>
      <c r="G85" s="123"/>
      <c r="H85" s="123"/>
      <c r="I85" s="285"/>
      <c r="J85" s="123"/>
      <c r="K85" s="123"/>
      <c r="L85" s="123"/>
      <c r="M85" s="123"/>
      <c r="N85" s="123"/>
      <c r="O85" s="123"/>
      <c r="P85" s="123"/>
      <c r="Q85" s="123"/>
      <c r="R85" s="123"/>
      <c r="S85" s="123"/>
      <c r="T85" s="132"/>
      <c r="W85" s="133"/>
      <c r="X85" s="133"/>
      <c r="Y85" s="133"/>
      <c r="Z85" s="133"/>
      <c r="AA85" s="133"/>
      <c r="AB85" s="133"/>
      <c r="AC85" s="133"/>
      <c r="AD85" s="133"/>
      <c r="AE85" s="123"/>
      <c r="AF85" s="123"/>
      <c r="AG85" s="123"/>
      <c r="AH85" s="123"/>
      <c r="AI85" s="123"/>
      <c r="AJ85" s="123"/>
      <c r="AK85" s="123"/>
      <c r="AL85" s="123"/>
    </row>
    <row r="86" spans="1:38" ht="15.75" customHeight="1">
      <c r="A86" s="123"/>
      <c r="B86" s="123"/>
      <c r="C86" s="123"/>
      <c r="D86" s="282"/>
      <c r="E86" s="282"/>
      <c r="F86" s="282"/>
      <c r="G86" s="123"/>
      <c r="H86" s="123"/>
      <c r="I86" s="285"/>
      <c r="J86" s="123"/>
      <c r="K86" s="123"/>
      <c r="L86" s="123"/>
      <c r="M86" s="123"/>
      <c r="N86" s="123"/>
      <c r="O86" s="123"/>
      <c r="P86" s="123"/>
      <c r="Q86" s="123"/>
      <c r="R86" s="123"/>
      <c r="S86" s="123"/>
      <c r="T86" s="132"/>
      <c r="W86" s="133"/>
      <c r="X86" s="133"/>
      <c r="Y86" s="133"/>
      <c r="Z86" s="133"/>
      <c r="AA86" s="133"/>
      <c r="AB86" s="133"/>
      <c r="AC86" s="133"/>
      <c r="AD86" s="133"/>
      <c r="AE86" s="123"/>
      <c r="AF86" s="123"/>
      <c r="AG86" s="123"/>
      <c r="AH86" s="123"/>
      <c r="AI86" s="123"/>
      <c r="AJ86" s="123"/>
      <c r="AK86" s="123"/>
      <c r="AL86" s="123"/>
    </row>
    <row r="87" spans="1:38" ht="15.75" customHeight="1">
      <c r="A87" s="123"/>
      <c r="B87" s="123"/>
      <c r="C87" s="123"/>
      <c r="D87" s="282"/>
      <c r="E87" s="282"/>
      <c r="F87" s="282"/>
      <c r="G87" s="123"/>
      <c r="H87" s="123"/>
      <c r="I87" s="285"/>
      <c r="J87" s="123"/>
      <c r="K87" s="123"/>
      <c r="L87" s="123"/>
      <c r="M87" s="123"/>
      <c r="N87" s="123"/>
      <c r="O87" s="123"/>
      <c r="P87" s="123"/>
      <c r="Q87" s="123"/>
      <c r="R87" s="123"/>
      <c r="S87" s="123"/>
      <c r="T87" s="132"/>
      <c r="W87" s="133"/>
      <c r="X87" s="133"/>
      <c r="Y87" s="133"/>
      <c r="Z87" s="133"/>
      <c r="AA87" s="133"/>
      <c r="AB87" s="133"/>
      <c r="AC87" s="133"/>
      <c r="AD87" s="133"/>
      <c r="AE87" s="123"/>
      <c r="AF87" s="123"/>
      <c r="AG87" s="123"/>
      <c r="AH87" s="123"/>
      <c r="AI87" s="123"/>
      <c r="AJ87" s="123"/>
      <c r="AK87" s="123"/>
      <c r="AL87" s="123"/>
    </row>
    <row r="88" spans="1:38" ht="15.75" customHeight="1">
      <c r="A88" s="123"/>
      <c r="B88" s="123"/>
      <c r="C88" s="123"/>
      <c r="D88" s="282"/>
      <c r="E88" s="282"/>
      <c r="F88" s="282"/>
      <c r="G88" s="123"/>
      <c r="H88" s="123"/>
      <c r="I88" s="285"/>
      <c r="J88" s="123"/>
      <c r="K88" s="123"/>
      <c r="L88" s="123"/>
      <c r="M88" s="123"/>
      <c r="N88" s="123"/>
      <c r="O88" s="123"/>
      <c r="P88" s="123"/>
      <c r="Q88" s="123"/>
      <c r="R88" s="123"/>
      <c r="S88" s="123"/>
      <c r="T88" s="132"/>
      <c r="W88" s="133"/>
      <c r="X88" s="133"/>
      <c r="Y88" s="133"/>
      <c r="Z88" s="133"/>
      <c r="AA88" s="133"/>
      <c r="AB88" s="133"/>
      <c r="AC88" s="133"/>
      <c r="AD88" s="133"/>
      <c r="AE88" s="123"/>
      <c r="AF88" s="123"/>
      <c r="AG88" s="123"/>
      <c r="AH88" s="123"/>
      <c r="AI88" s="123"/>
      <c r="AJ88" s="123"/>
      <c r="AK88" s="123"/>
      <c r="AL88" s="123"/>
    </row>
    <row r="89" spans="1:38" ht="15.75" customHeight="1">
      <c r="A89" s="123"/>
      <c r="B89" s="123"/>
      <c r="C89" s="123"/>
      <c r="D89" s="282"/>
      <c r="E89" s="282"/>
      <c r="F89" s="282"/>
      <c r="G89" s="123"/>
      <c r="H89" s="123"/>
      <c r="I89" s="285"/>
      <c r="J89" s="123"/>
      <c r="K89" s="123"/>
      <c r="L89" s="123"/>
      <c r="M89" s="123"/>
      <c r="N89" s="123"/>
      <c r="O89" s="123"/>
      <c r="P89" s="123"/>
      <c r="Q89" s="123"/>
      <c r="R89" s="123"/>
      <c r="S89" s="123"/>
      <c r="T89" s="132"/>
      <c r="W89" s="133"/>
      <c r="X89" s="133"/>
      <c r="Y89" s="133"/>
      <c r="Z89" s="133"/>
      <c r="AA89" s="133"/>
      <c r="AB89" s="133"/>
      <c r="AC89" s="133"/>
      <c r="AD89" s="133"/>
      <c r="AE89" s="123"/>
      <c r="AF89" s="123"/>
      <c r="AG89" s="123"/>
      <c r="AH89" s="123"/>
      <c r="AI89" s="123"/>
      <c r="AJ89" s="123"/>
      <c r="AK89" s="123"/>
      <c r="AL89" s="123"/>
    </row>
    <row r="90" spans="1:38" ht="15.75" customHeight="1">
      <c r="A90" s="123"/>
      <c r="B90" s="123"/>
      <c r="C90" s="123"/>
      <c r="D90" s="282"/>
      <c r="E90" s="282"/>
      <c r="F90" s="282"/>
      <c r="G90" s="123"/>
      <c r="H90" s="123"/>
      <c r="I90" s="285"/>
      <c r="J90" s="123"/>
      <c r="K90" s="123"/>
      <c r="L90" s="123"/>
      <c r="M90" s="123"/>
      <c r="N90" s="123"/>
      <c r="O90" s="123"/>
      <c r="P90" s="123"/>
      <c r="Q90" s="123"/>
      <c r="R90" s="123"/>
      <c r="S90" s="123"/>
      <c r="T90" s="132"/>
      <c r="W90" s="133"/>
      <c r="X90" s="133"/>
      <c r="Y90" s="133"/>
      <c r="Z90" s="133"/>
      <c r="AA90" s="133"/>
      <c r="AB90" s="133"/>
      <c r="AC90" s="133"/>
      <c r="AD90" s="133"/>
      <c r="AE90" s="123"/>
      <c r="AF90" s="123"/>
      <c r="AG90" s="123"/>
      <c r="AH90" s="123"/>
      <c r="AI90" s="123"/>
      <c r="AJ90" s="123"/>
      <c r="AK90" s="123"/>
      <c r="AL90" s="123"/>
    </row>
    <row r="91" spans="1:38" ht="15.75" customHeight="1">
      <c r="A91" s="123"/>
      <c r="B91" s="123"/>
      <c r="C91" s="123"/>
      <c r="D91" s="282"/>
      <c r="E91" s="282"/>
      <c r="F91" s="282"/>
      <c r="G91" s="123"/>
      <c r="H91" s="123"/>
      <c r="I91" s="285"/>
      <c r="J91" s="123"/>
      <c r="K91" s="123"/>
      <c r="L91" s="123"/>
      <c r="M91" s="123"/>
      <c r="N91" s="123"/>
      <c r="O91" s="123"/>
      <c r="P91" s="123"/>
      <c r="Q91" s="123"/>
      <c r="R91" s="123"/>
      <c r="S91" s="123"/>
      <c r="T91" s="132"/>
      <c r="W91" s="133"/>
      <c r="X91" s="133"/>
      <c r="Y91" s="133"/>
      <c r="Z91" s="133"/>
      <c r="AA91" s="133"/>
      <c r="AB91" s="133"/>
      <c r="AC91" s="133"/>
      <c r="AD91" s="133"/>
      <c r="AE91" s="123"/>
      <c r="AF91" s="123"/>
      <c r="AG91" s="123"/>
      <c r="AH91" s="123"/>
      <c r="AI91" s="123"/>
      <c r="AJ91" s="123"/>
      <c r="AK91" s="123"/>
      <c r="AL91" s="123"/>
    </row>
    <row r="92" spans="1:38" ht="15.75" customHeight="1">
      <c r="A92" s="123"/>
      <c r="B92" s="123"/>
      <c r="C92" s="123"/>
      <c r="D92" s="282"/>
      <c r="E92" s="282"/>
      <c r="F92" s="282"/>
      <c r="G92" s="123"/>
      <c r="H92" s="123"/>
      <c r="I92" s="285"/>
      <c r="J92" s="123"/>
      <c r="K92" s="123"/>
      <c r="L92" s="123"/>
      <c r="M92" s="123"/>
      <c r="N92" s="123"/>
      <c r="O92" s="123"/>
      <c r="P92" s="123"/>
      <c r="Q92" s="123"/>
      <c r="R92" s="123"/>
      <c r="S92" s="123"/>
      <c r="T92" s="132"/>
      <c r="W92" s="133"/>
      <c r="X92" s="133"/>
      <c r="Y92" s="133"/>
      <c r="Z92" s="133"/>
      <c r="AA92" s="133"/>
      <c r="AB92" s="133"/>
      <c r="AC92" s="133"/>
      <c r="AD92" s="133"/>
      <c r="AE92" s="123"/>
      <c r="AF92" s="123"/>
      <c r="AG92" s="123"/>
      <c r="AH92" s="123"/>
      <c r="AI92" s="123"/>
      <c r="AJ92" s="123"/>
      <c r="AK92" s="123"/>
      <c r="AL92" s="123"/>
    </row>
    <row r="93" spans="1:38" ht="15.75" customHeight="1">
      <c r="A93" s="123"/>
      <c r="B93" s="123"/>
      <c r="C93" s="123"/>
      <c r="D93" s="282"/>
      <c r="E93" s="282"/>
      <c r="F93" s="282"/>
      <c r="G93" s="123"/>
      <c r="H93" s="123"/>
      <c r="I93" s="285"/>
      <c r="J93" s="123"/>
      <c r="K93" s="123"/>
      <c r="L93" s="123"/>
      <c r="M93" s="123"/>
      <c r="N93" s="123"/>
      <c r="O93" s="123"/>
      <c r="P93" s="123"/>
      <c r="Q93" s="123"/>
      <c r="R93" s="123"/>
      <c r="S93" s="123"/>
      <c r="T93" s="132"/>
      <c r="W93" s="133"/>
      <c r="X93" s="133"/>
      <c r="Y93" s="133"/>
      <c r="Z93" s="133"/>
      <c r="AA93" s="133"/>
      <c r="AB93" s="133"/>
      <c r="AC93" s="133"/>
      <c r="AD93" s="133"/>
      <c r="AE93" s="123"/>
      <c r="AF93" s="123"/>
      <c r="AG93" s="123"/>
      <c r="AH93" s="123"/>
      <c r="AI93" s="123"/>
      <c r="AJ93" s="123"/>
      <c r="AK93" s="123"/>
      <c r="AL93" s="123"/>
    </row>
    <row r="94" spans="1:38" ht="15.75" customHeight="1">
      <c r="A94" s="123"/>
      <c r="B94" s="123"/>
      <c r="C94" s="123"/>
      <c r="D94" s="282"/>
      <c r="E94" s="282"/>
      <c r="F94" s="282"/>
      <c r="G94" s="123"/>
      <c r="H94" s="123"/>
      <c r="I94" s="285"/>
      <c r="J94" s="123"/>
      <c r="K94" s="123"/>
      <c r="L94" s="123"/>
      <c r="M94" s="123"/>
      <c r="N94" s="123"/>
      <c r="O94" s="123"/>
      <c r="P94" s="123"/>
      <c r="Q94" s="123"/>
      <c r="R94" s="123"/>
      <c r="S94" s="123"/>
      <c r="T94" s="132"/>
      <c r="W94" s="133"/>
      <c r="X94" s="133"/>
      <c r="Y94" s="133"/>
      <c r="Z94" s="133"/>
      <c r="AA94" s="133"/>
      <c r="AB94" s="133"/>
      <c r="AC94" s="133"/>
      <c r="AD94" s="133"/>
      <c r="AE94" s="123"/>
      <c r="AF94" s="123"/>
      <c r="AG94" s="123"/>
      <c r="AH94" s="123"/>
      <c r="AI94" s="123"/>
      <c r="AJ94" s="123"/>
      <c r="AK94" s="123"/>
      <c r="AL94" s="123"/>
    </row>
    <row r="95" spans="1:38" ht="15.75" customHeight="1">
      <c r="A95" s="123"/>
      <c r="B95" s="123"/>
      <c r="C95" s="123"/>
      <c r="D95" s="282"/>
      <c r="E95" s="282"/>
      <c r="F95" s="282"/>
      <c r="G95" s="123"/>
      <c r="H95" s="123"/>
      <c r="I95" s="285"/>
      <c r="J95" s="123"/>
      <c r="K95" s="123"/>
      <c r="L95" s="123"/>
      <c r="M95" s="123"/>
      <c r="N95" s="123"/>
      <c r="O95" s="123"/>
      <c r="P95" s="123"/>
      <c r="Q95" s="123"/>
      <c r="R95" s="123"/>
      <c r="S95" s="123"/>
      <c r="T95" s="132"/>
      <c r="W95" s="133"/>
      <c r="X95" s="133"/>
      <c r="Y95" s="133"/>
      <c r="Z95" s="133"/>
      <c r="AA95" s="133"/>
      <c r="AB95" s="133"/>
      <c r="AC95" s="133"/>
      <c r="AD95" s="133"/>
      <c r="AE95" s="123"/>
      <c r="AF95" s="123"/>
      <c r="AG95" s="123"/>
      <c r="AH95" s="123"/>
      <c r="AI95" s="123"/>
      <c r="AJ95" s="123"/>
      <c r="AK95" s="123"/>
      <c r="AL95" s="123"/>
    </row>
    <row r="96" spans="1:38" ht="15.75" customHeight="1">
      <c r="A96" s="123"/>
      <c r="B96" s="123"/>
      <c r="C96" s="123"/>
      <c r="D96" s="282"/>
      <c r="E96" s="282"/>
      <c r="F96" s="282"/>
      <c r="G96" s="123"/>
      <c r="H96" s="123"/>
      <c r="I96" s="285"/>
      <c r="J96" s="123"/>
      <c r="K96" s="123"/>
      <c r="L96" s="123"/>
      <c r="M96" s="123"/>
      <c r="N96" s="123"/>
      <c r="O96" s="123"/>
      <c r="P96" s="123"/>
      <c r="Q96" s="123"/>
      <c r="R96" s="123"/>
      <c r="S96" s="123"/>
      <c r="T96" s="132"/>
      <c r="W96" s="133"/>
      <c r="X96" s="133"/>
      <c r="Y96" s="133"/>
      <c r="Z96" s="133"/>
      <c r="AA96" s="133"/>
      <c r="AB96" s="133"/>
      <c r="AC96" s="133"/>
      <c r="AD96" s="133"/>
      <c r="AE96" s="123"/>
      <c r="AF96" s="123"/>
      <c r="AG96" s="123"/>
      <c r="AH96" s="123"/>
      <c r="AI96" s="123"/>
      <c r="AJ96" s="123"/>
      <c r="AK96" s="123"/>
      <c r="AL96" s="123"/>
    </row>
    <row r="97" spans="1:38" ht="15.75" customHeight="1">
      <c r="A97" s="123"/>
      <c r="B97" s="123"/>
      <c r="C97" s="123"/>
      <c r="D97" s="282"/>
      <c r="E97" s="282"/>
      <c r="F97" s="282"/>
      <c r="G97" s="123"/>
      <c r="H97" s="123"/>
      <c r="I97" s="285"/>
      <c r="J97" s="123"/>
      <c r="K97" s="123"/>
      <c r="L97" s="123"/>
      <c r="M97" s="123"/>
      <c r="N97" s="123"/>
      <c r="O97" s="123"/>
      <c r="P97" s="123"/>
      <c r="Q97" s="123"/>
      <c r="R97" s="123"/>
      <c r="S97" s="123"/>
      <c r="T97" s="132"/>
      <c r="W97" s="133"/>
      <c r="X97" s="133"/>
      <c r="Y97" s="133"/>
      <c r="Z97" s="133"/>
      <c r="AA97" s="133"/>
      <c r="AB97" s="133"/>
      <c r="AC97" s="133"/>
      <c r="AD97" s="133"/>
      <c r="AE97" s="123"/>
      <c r="AF97" s="123"/>
      <c r="AG97" s="123"/>
      <c r="AH97" s="123"/>
      <c r="AI97" s="123"/>
      <c r="AJ97" s="123"/>
      <c r="AK97" s="123"/>
      <c r="AL97" s="123"/>
    </row>
    <row r="98" spans="1:38" ht="15.75" customHeight="1">
      <c r="A98" s="123"/>
      <c r="B98" s="123"/>
      <c r="C98" s="123"/>
      <c r="D98" s="282"/>
      <c r="E98" s="282"/>
      <c r="F98" s="282"/>
      <c r="G98" s="123"/>
      <c r="H98" s="123"/>
      <c r="I98" s="285"/>
      <c r="J98" s="123"/>
      <c r="K98" s="123"/>
      <c r="L98" s="123"/>
      <c r="M98" s="123"/>
      <c r="N98" s="123"/>
      <c r="O98" s="123"/>
      <c r="P98" s="123"/>
      <c r="Q98" s="123"/>
      <c r="R98" s="123"/>
      <c r="S98" s="123"/>
      <c r="T98" s="132"/>
      <c r="W98" s="133"/>
      <c r="X98" s="133"/>
      <c r="Y98" s="133"/>
      <c r="Z98" s="133"/>
      <c r="AA98" s="133"/>
      <c r="AB98" s="133"/>
      <c r="AC98" s="133"/>
      <c r="AD98" s="133"/>
      <c r="AE98" s="123"/>
      <c r="AF98" s="123"/>
      <c r="AG98" s="123"/>
      <c r="AH98" s="123"/>
      <c r="AI98" s="123"/>
      <c r="AJ98" s="123"/>
      <c r="AK98" s="123"/>
      <c r="AL98" s="123"/>
    </row>
    <row r="99" spans="1:38" ht="15.75" customHeight="1">
      <c r="A99" s="123"/>
      <c r="B99" s="123"/>
      <c r="C99" s="123"/>
      <c r="D99" s="282"/>
      <c r="E99" s="282"/>
      <c r="F99" s="282"/>
      <c r="G99" s="123"/>
      <c r="H99" s="123"/>
      <c r="I99" s="285"/>
      <c r="J99" s="123"/>
      <c r="K99" s="123"/>
      <c r="L99" s="123"/>
      <c r="M99" s="123"/>
      <c r="N99" s="123"/>
      <c r="O99" s="123"/>
      <c r="P99" s="123"/>
      <c r="Q99" s="123"/>
      <c r="R99" s="123"/>
      <c r="S99" s="123"/>
      <c r="T99" s="132"/>
      <c r="W99" s="133"/>
      <c r="X99" s="133"/>
      <c r="Y99" s="133"/>
      <c r="Z99" s="133"/>
      <c r="AA99" s="133"/>
      <c r="AB99" s="133"/>
      <c r="AC99" s="133"/>
      <c r="AD99" s="133"/>
      <c r="AE99" s="123"/>
      <c r="AF99" s="123"/>
      <c r="AG99" s="123"/>
      <c r="AH99" s="123"/>
      <c r="AI99" s="123"/>
      <c r="AJ99" s="123"/>
      <c r="AK99" s="123"/>
      <c r="AL99" s="123"/>
    </row>
    <row r="100" spans="1:38" ht="15.75" customHeight="1">
      <c r="A100" s="123"/>
      <c r="B100" s="123"/>
      <c r="C100" s="123"/>
      <c r="D100" s="282"/>
      <c r="E100" s="282"/>
      <c r="F100" s="282"/>
      <c r="G100" s="123"/>
      <c r="H100" s="123"/>
      <c r="I100" s="285"/>
      <c r="J100" s="123"/>
      <c r="K100" s="123"/>
      <c r="L100" s="123"/>
      <c r="M100" s="123"/>
      <c r="N100" s="123"/>
      <c r="O100" s="123"/>
      <c r="P100" s="123"/>
      <c r="Q100" s="123"/>
      <c r="R100" s="123"/>
      <c r="S100" s="123"/>
      <c r="T100" s="132"/>
      <c r="W100" s="133"/>
      <c r="X100" s="133"/>
      <c r="Y100" s="133"/>
      <c r="Z100" s="133"/>
      <c r="AA100" s="133"/>
      <c r="AB100" s="133"/>
      <c r="AC100" s="133"/>
      <c r="AD100" s="133"/>
      <c r="AE100" s="123"/>
      <c r="AF100" s="123"/>
      <c r="AG100" s="123"/>
      <c r="AH100" s="123"/>
      <c r="AI100" s="123"/>
      <c r="AJ100" s="123"/>
      <c r="AK100" s="123"/>
      <c r="AL100" s="123"/>
    </row>
    <row r="101" spans="1:38" ht="15.75" customHeight="1">
      <c r="A101" s="123"/>
      <c r="B101" s="123"/>
      <c r="C101" s="123"/>
      <c r="D101" s="282"/>
      <c r="E101" s="282"/>
      <c r="F101" s="282"/>
      <c r="G101" s="123"/>
      <c r="H101" s="123"/>
      <c r="I101" s="285"/>
      <c r="J101" s="123"/>
      <c r="K101" s="123"/>
      <c r="L101" s="123"/>
      <c r="M101" s="123"/>
      <c r="N101" s="123"/>
      <c r="O101" s="123"/>
      <c r="P101" s="123"/>
      <c r="Q101" s="123"/>
      <c r="R101" s="123"/>
      <c r="S101" s="123"/>
      <c r="T101" s="132"/>
      <c r="W101" s="133"/>
      <c r="X101" s="133"/>
      <c r="Y101" s="133"/>
      <c r="Z101" s="133"/>
      <c r="AA101" s="133"/>
      <c r="AB101" s="133"/>
      <c r="AC101" s="133"/>
      <c r="AD101" s="133"/>
      <c r="AE101" s="123"/>
      <c r="AF101" s="123"/>
      <c r="AG101" s="123"/>
      <c r="AH101" s="123"/>
      <c r="AI101" s="123"/>
      <c r="AJ101" s="123"/>
      <c r="AK101" s="123"/>
      <c r="AL101" s="123"/>
    </row>
    <row r="102" spans="1:38" ht="15.75" customHeight="1">
      <c r="A102" s="123"/>
      <c r="B102" s="123"/>
      <c r="C102" s="123"/>
      <c r="D102" s="282"/>
      <c r="E102" s="282"/>
      <c r="F102" s="282"/>
      <c r="G102" s="123"/>
      <c r="H102" s="123"/>
      <c r="I102" s="285"/>
      <c r="J102" s="123"/>
      <c r="K102" s="123"/>
      <c r="L102" s="123"/>
      <c r="M102" s="123"/>
      <c r="N102" s="123"/>
      <c r="O102" s="123"/>
      <c r="P102" s="123"/>
      <c r="Q102" s="123"/>
      <c r="R102" s="123"/>
      <c r="S102" s="123"/>
      <c r="T102" s="132"/>
      <c r="W102" s="133"/>
      <c r="X102" s="133"/>
      <c r="Y102" s="133"/>
      <c r="Z102" s="133"/>
      <c r="AA102" s="133"/>
      <c r="AB102" s="133"/>
      <c r="AC102" s="133"/>
      <c r="AD102" s="133"/>
      <c r="AE102" s="123"/>
      <c r="AF102" s="123"/>
      <c r="AG102" s="123"/>
      <c r="AH102" s="123"/>
      <c r="AI102" s="123"/>
      <c r="AJ102" s="123"/>
      <c r="AK102" s="123"/>
      <c r="AL102" s="123"/>
    </row>
    <row r="103" spans="1:38" ht="15.75" customHeight="1">
      <c r="A103" s="123"/>
      <c r="B103" s="123"/>
      <c r="C103" s="123"/>
      <c r="D103" s="282"/>
      <c r="E103" s="282"/>
      <c r="F103" s="282"/>
      <c r="G103" s="123"/>
      <c r="H103" s="123"/>
      <c r="I103" s="285"/>
      <c r="J103" s="123"/>
      <c r="K103" s="123"/>
      <c r="L103" s="123"/>
      <c r="M103" s="123"/>
      <c r="N103" s="123"/>
      <c r="O103" s="123"/>
      <c r="P103" s="123"/>
      <c r="Q103" s="123"/>
      <c r="R103" s="123"/>
      <c r="S103" s="123"/>
      <c r="T103" s="132"/>
      <c r="W103" s="133"/>
      <c r="X103" s="133"/>
      <c r="Y103" s="133"/>
      <c r="Z103" s="133"/>
      <c r="AA103" s="133"/>
      <c r="AB103" s="133"/>
      <c r="AC103" s="133"/>
      <c r="AD103" s="133"/>
      <c r="AE103" s="123"/>
      <c r="AF103" s="123"/>
      <c r="AG103" s="123"/>
      <c r="AH103" s="123"/>
      <c r="AI103" s="123"/>
      <c r="AJ103" s="123"/>
      <c r="AK103" s="123"/>
      <c r="AL103" s="123"/>
    </row>
    <row r="104" spans="1:38" ht="15.75" customHeight="1">
      <c r="A104" s="123"/>
      <c r="B104" s="123"/>
      <c r="C104" s="123"/>
      <c r="D104" s="282"/>
      <c r="E104" s="282"/>
      <c r="F104" s="282"/>
      <c r="G104" s="123"/>
      <c r="H104" s="123"/>
      <c r="I104" s="285"/>
      <c r="J104" s="123"/>
      <c r="K104" s="123"/>
      <c r="L104" s="123"/>
      <c r="M104" s="123"/>
      <c r="N104" s="123"/>
      <c r="O104" s="123"/>
      <c r="P104" s="123"/>
      <c r="Q104" s="123"/>
      <c r="R104" s="123"/>
      <c r="S104" s="123"/>
      <c r="T104" s="132"/>
      <c r="W104" s="133"/>
      <c r="X104" s="133"/>
      <c r="Y104" s="133"/>
      <c r="Z104" s="133"/>
      <c r="AA104" s="133"/>
      <c r="AB104" s="133"/>
      <c r="AC104" s="133"/>
      <c r="AD104" s="133"/>
      <c r="AE104" s="123"/>
      <c r="AF104" s="123"/>
      <c r="AG104" s="123"/>
      <c r="AH104" s="123"/>
      <c r="AI104" s="123"/>
      <c r="AJ104" s="123"/>
      <c r="AK104" s="123"/>
      <c r="AL104" s="123"/>
    </row>
    <row r="105" spans="1:38" ht="15.75" customHeight="1">
      <c r="A105" s="123"/>
      <c r="B105" s="123"/>
      <c r="C105" s="123"/>
      <c r="D105" s="282"/>
      <c r="E105" s="282"/>
      <c r="F105" s="282"/>
      <c r="G105" s="123"/>
      <c r="H105" s="123"/>
      <c r="I105" s="285"/>
      <c r="J105" s="123"/>
      <c r="K105" s="123"/>
      <c r="L105" s="123"/>
      <c r="M105" s="123"/>
      <c r="N105" s="123"/>
      <c r="O105" s="123"/>
      <c r="P105" s="123"/>
      <c r="Q105" s="123"/>
      <c r="R105" s="123"/>
      <c r="S105" s="123"/>
      <c r="T105" s="132"/>
      <c r="W105" s="133"/>
      <c r="X105" s="133"/>
      <c r="Y105" s="133"/>
      <c r="Z105" s="133"/>
      <c r="AA105" s="133"/>
      <c r="AB105" s="133"/>
      <c r="AC105" s="133"/>
      <c r="AD105" s="133"/>
      <c r="AE105" s="123"/>
      <c r="AF105" s="123"/>
      <c r="AG105" s="123"/>
      <c r="AH105" s="123"/>
      <c r="AI105" s="123"/>
      <c r="AJ105" s="123"/>
      <c r="AK105" s="123"/>
      <c r="AL105" s="123"/>
    </row>
    <row r="106" spans="1:38" ht="15.75" customHeight="1">
      <c r="A106" s="123"/>
      <c r="B106" s="123"/>
      <c r="C106" s="123"/>
      <c r="D106" s="282"/>
      <c r="E106" s="282"/>
      <c r="F106" s="282"/>
      <c r="G106" s="123"/>
      <c r="H106" s="123"/>
      <c r="I106" s="285"/>
      <c r="J106" s="123"/>
      <c r="K106" s="123"/>
      <c r="L106" s="123"/>
      <c r="M106" s="123"/>
      <c r="N106" s="123"/>
      <c r="O106" s="123"/>
      <c r="P106" s="123"/>
      <c r="Q106" s="123"/>
      <c r="R106" s="123"/>
      <c r="S106" s="123"/>
      <c r="T106" s="132"/>
      <c r="W106" s="133"/>
      <c r="X106" s="133"/>
      <c r="Y106" s="133"/>
      <c r="Z106" s="133"/>
      <c r="AA106" s="133"/>
      <c r="AB106" s="133"/>
      <c r="AC106" s="133"/>
      <c r="AD106" s="133"/>
      <c r="AE106" s="123"/>
      <c r="AF106" s="123"/>
      <c r="AG106" s="123"/>
      <c r="AH106" s="123"/>
      <c r="AI106" s="123"/>
      <c r="AJ106" s="123"/>
      <c r="AK106" s="123"/>
      <c r="AL106" s="123"/>
    </row>
    <row r="107" spans="1:38" ht="15.75" customHeight="1">
      <c r="A107" s="123"/>
      <c r="B107" s="123"/>
      <c r="C107" s="123"/>
      <c r="D107" s="282"/>
      <c r="E107" s="282"/>
      <c r="F107" s="282"/>
      <c r="G107" s="123"/>
      <c r="H107" s="123"/>
      <c r="I107" s="285"/>
      <c r="J107" s="123"/>
      <c r="K107" s="123"/>
      <c r="L107" s="123"/>
      <c r="M107" s="123"/>
      <c r="N107" s="123"/>
      <c r="O107" s="123"/>
      <c r="P107" s="123"/>
      <c r="Q107" s="123"/>
      <c r="R107" s="123"/>
      <c r="S107" s="123"/>
      <c r="T107" s="132"/>
      <c r="W107" s="133"/>
      <c r="X107" s="133"/>
      <c r="Y107" s="133"/>
      <c r="Z107" s="133"/>
      <c r="AA107" s="133"/>
      <c r="AB107" s="133"/>
      <c r="AC107" s="133"/>
      <c r="AD107" s="133"/>
      <c r="AE107" s="123"/>
      <c r="AF107" s="123"/>
      <c r="AG107" s="123"/>
      <c r="AH107" s="123"/>
      <c r="AI107" s="123"/>
      <c r="AJ107" s="123"/>
      <c r="AK107" s="123"/>
      <c r="AL107" s="123"/>
    </row>
    <row r="108" spans="1:38" ht="15.75" customHeight="1">
      <c r="A108" s="123"/>
      <c r="B108" s="123"/>
      <c r="C108" s="123"/>
      <c r="D108" s="282"/>
      <c r="E108" s="282"/>
      <c r="F108" s="282"/>
      <c r="G108" s="123"/>
      <c r="H108" s="123"/>
      <c r="I108" s="285"/>
      <c r="J108" s="123"/>
      <c r="K108" s="123"/>
      <c r="L108" s="123"/>
      <c r="M108" s="123"/>
      <c r="N108" s="123"/>
      <c r="O108" s="123"/>
      <c r="P108" s="123"/>
      <c r="Q108" s="123"/>
      <c r="R108" s="123"/>
      <c r="S108" s="123"/>
      <c r="T108" s="132"/>
      <c r="W108" s="133"/>
      <c r="X108" s="133"/>
      <c r="Y108" s="133"/>
      <c r="Z108" s="133"/>
      <c r="AA108" s="133"/>
      <c r="AB108" s="133"/>
      <c r="AC108" s="133"/>
      <c r="AD108" s="133"/>
      <c r="AE108" s="123"/>
      <c r="AF108" s="123"/>
      <c r="AG108" s="123"/>
      <c r="AH108" s="123"/>
      <c r="AI108" s="123"/>
      <c r="AJ108" s="123"/>
      <c r="AK108" s="123"/>
      <c r="AL108" s="123"/>
    </row>
    <row r="109" spans="1:38" ht="15.75" customHeight="1">
      <c r="A109" s="123"/>
      <c r="B109" s="123"/>
      <c r="C109" s="123"/>
      <c r="D109" s="282"/>
      <c r="E109" s="282"/>
      <c r="F109" s="282"/>
      <c r="G109" s="123"/>
      <c r="H109" s="123"/>
      <c r="I109" s="285"/>
      <c r="J109" s="123"/>
      <c r="K109" s="123"/>
      <c r="L109" s="123"/>
      <c r="M109" s="123"/>
      <c r="N109" s="123"/>
      <c r="O109" s="123"/>
      <c r="P109" s="123"/>
      <c r="Q109" s="123"/>
      <c r="R109" s="123"/>
      <c r="S109" s="123"/>
      <c r="T109" s="132"/>
      <c r="W109" s="133"/>
      <c r="X109" s="133"/>
      <c r="Y109" s="133"/>
      <c r="Z109" s="133"/>
      <c r="AA109" s="133"/>
      <c r="AB109" s="133"/>
      <c r="AC109" s="133"/>
      <c r="AD109" s="133"/>
      <c r="AE109" s="123"/>
      <c r="AF109" s="123"/>
      <c r="AG109" s="123"/>
      <c r="AH109" s="123"/>
      <c r="AI109" s="123"/>
      <c r="AJ109" s="123"/>
      <c r="AK109" s="123"/>
      <c r="AL109" s="123"/>
    </row>
    <row r="110" spans="1:38" ht="15.75" customHeight="1">
      <c r="A110" s="123"/>
      <c r="B110" s="123"/>
      <c r="C110" s="123"/>
      <c r="D110" s="282"/>
      <c r="E110" s="282"/>
      <c r="F110" s="282"/>
      <c r="G110" s="123"/>
      <c r="H110" s="123"/>
      <c r="I110" s="285"/>
      <c r="J110" s="123"/>
      <c r="K110" s="123"/>
      <c r="L110" s="123"/>
      <c r="M110" s="123"/>
      <c r="N110" s="123"/>
      <c r="O110" s="123"/>
      <c r="P110" s="123"/>
      <c r="Q110" s="123"/>
      <c r="R110" s="123"/>
      <c r="S110" s="123"/>
      <c r="T110" s="132"/>
      <c r="W110" s="133"/>
      <c r="X110" s="133"/>
      <c r="Y110" s="133"/>
      <c r="Z110" s="133"/>
      <c r="AA110" s="133"/>
      <c r="AB110" s="133"/>
      <c r="AC110" s="133"/>
      <c r="AD110" s="133"/>
      <c r="AE110" s="123"/>
      <c r="AF110" s="123"/>
      <c r="AG110" s="123"/>
      <c r="AH110" s="123"/>
      <c r="AI110" s="123"/>
      <c r="AJ110" s="123"/>
      <c r="AK110" s="123"/>
      <c r="AL110" s="123"/>
    </row>
    <row r="111" spans="1:38" ht="15.75" customHeight="1">
      <c r="A111" s="123"/>
      <c r="B111" s="123"/>
      <c r="C111" s="123"/>
      <c r="D111" s="282"/>
      <c r="E111" s="282"/>
      <c r="F111" s="282"/>
      <c r="G111" s="123"/>
      <c r="H111" s="123"/>
      <c r="I111" s="285"/>
      <c r="J111" s="123"/>
      <c r="K111" s="123"/>
      <c r="L111" s="123"/>
      <c r="M111" s="123"/>
      <c r="N111" s="123"/>
      <c r="O111" s="123"/>
      <c r="P111" s="123"/>
      <c r="Q111" s="123"/>
      <c r="R111" s="123"/>
      <c r="S111" s="123"/>
      <c r="T111" s="132"/>
      <c r="W111" s="133"/>
      <c r="X111" s="133"/>
      <c r="Y111" s="133"/>
      <c r="Z111" s="133"/>
      <c r="AA111" s="133"/>
      <c r="AB111" s="133"/>
      <c r="AC111" s="133"/>
      <c r="AD111" s="133"/>
      <c r="AE111" s="123"/>
      <c r="AF111" s="123"/>
      <c r="AG111" s="123"/>
      <c r="AH111" s="123"/>
      <c r="AI111" s="123"/>
      <c r="AJ111" s="123"/>
      <c r="AK111" s="123"/>
      <c r="AL111" s="123"/>
    </row>
    <row r="112" spans="1:38" ht="15.75" customHeight="1">
      <c r="A112" s="123"/>
      <c r="B112" s="123"/>
      <c r="C112" s="123"/>
      <c r="D112" s="282"/>
      <c r="E112" s="282"/>
      <c r="F112" s="282"/>
      <c r="G112" s="123"/>
      <c r="H112" s="123"/>
      <c r="I112" s="285"/>
      <c r="J112" s="123"/>
      <c r="K112" s="123"/>
      <c r="L112" s="123"/>
      <c r="M112" s="123"/>
      <c r="N112" s="123"/>
      <c r="O112" s="123"/>
      <c r="P112" s="123"/>
      <c r="Q112" s="123"/>
      <c r="R112" s="123"/>
      <c r="S112" s="123"/>
      <c r="T112" s="132"/>
      <c r="W112" s="133"/>
      <c r="X112" s="133"/>
      <c r="Y112" s="133"/>
      <c r="Z112" s="133"/>
      <c r="AA112" s="133"/>
      <c r="AB112" s="133"/>
      <c r="AC112" s="133"/>
      <c r="AD112" s="133"/>
      <c r="AE112" s="123"/>
      <c r="AF112" s="123"/>
      <c r="AG112" s="123"/>
      <c r="AH112" s="123"/>
      <c r="AI112" s="123"/>
      <c r="AJ112" s="123"/>
      <c r="AK112" s="123"/>
      <c r="AL112" s="123"/>
    </row>
    <row r="113" spans="1:38" ht="15.75" customHeight="1">
      <c r="A113" s="123"/>
      <c r="B113" s="123"/>
      <c r="C113" s="123"/>
      <c r="D113" s="282"/>
      <c r="E113" s="282"/>
      <c r="F113" s="282"/>
      <c r="G113" s="123"/>
      <c r="H113" s="123"/>
      <c r="I113" s="285"/>
      <c r="J113" s="123"/>
      <c r="K113" s="123"/>
      <c r="L113" s="123"/>
      <c r="M113" s="123"/>
      <c r="N113" s="123"/>
      <c r="O113" s="123"/>
      <c r="P113" s="123"/>
      <c r="Q113" s="123"/>
      <c r="R113" s="123"/>
      <c r="S113" s="123"/>
      <c r="T113" s="132"/>
      <c r="W113" s="133"/>
      <c r="X113" s="133"/>
      <c r="Y113" s="133"/>
      <c r="Z113" s="133"/>
      <c r="AA113" s="133"/>
      <c r="AB113" s="133"/>
      <c r="AC113" s="133"/>
      <c r="AD113" s="133"/>
      <c r="AE113" s="123"/>
      <c r="AF113" s="123"/>
      <c r="AG113" s="123"/>
      <c r="AH113" s="123"/>
      <c r="AI113" s="123"/>
      <c r="AJ113" s="123"/>
      <c r="AK113" s="123"/>
      <c r="AL113" s="123"/>
    </row>
    <row r="114" spans="1:38" ht="15.75" customHeight="1">
      <c r="A114" s="123"/>
      <c r="B114" s="123"/>
      <c r="C114" s="123"/>
      <c r="D114" s="282"/>
      <c r="E114" s="282"/>
      <c r="F114" s="282"/>
      <c r="G114" s="123"/>
      <c r="H114" s="123"/>
      <c r="I114" s="285"/>
      <c r="J114" s="123"/>
      <c r="K114" s="123"/>
      <c r="L114" s="123"/>
      <c r="M114" s="123"/>
      <c r="N114" s="123"/>
      <c r="O114" s="123"/>
      <c r="P114" s="123"/>
      <c r="Q114" s="123"/>
      <c r="R114" s="123"/>
      <c r="S114" s="123"/>
      <c r="T114" s="132"/>
      <c r="W114" s="133"/>
      <c r="X114" s="133"/>
      <c r="Y114" s="133"/>
      <c r="Z114" s="133"/>
      <c r="AA114" s="133"/>
      <c r="AB114" s="133"/>
      <c r="AC114" s="133"/>
      <c r="AD114" s="133"/>
      <c r="AE114" s="123"/>
      <c r="AF114" s="123"/>
      <c r="AG114" s="123"/>
      <c r="AH114" s="123"/>
      <c r="AI114" s="123"/>
      <c r="AJ114" s="123"/>
      <c r="AK114" s="123"/>
      <c r="AL114" s="123"/>
    </row>
    <row r="115" spans="1:38" ht="15.75" customHeight="1">
      <c r="A115" s="123"/>
      <c r="B115" s="123"/>
      <c r="C115" s="123"/>
      <c r="D115" s="282"/>
      <c r="E115" s="282"/>
      <c r="F115" s="282"/>
      <c r="G115" s="123"/>
      <c r="H115" s="123"/>
      <c r="I115" s="285"/>
      <c r="J115" s="123"/>
      <c r="K115" s="123"/>
      <c r="L115" s="123"/>
      <c r="M115" s="123"/>
      <c r="N115" s="123"/>
      <c r="O115" s="123"/>
      <c r="P115" s="123"/>
      <c r="Q115" s="123"/>
      <c r="R115" s="123"/>
      <c r="S115" s="123"/>
      <c r="T115" s="132"/>
      <c r="W115" s="133"/>
      <c r="X115" s="133"/>
      <c r="Y115" s="133"/>
      <c r="Z115" s="133"/>
      <c r="AA115" s="133"/>
      <c r="AB115" s="133"/>
      <c r="AC115" s="133"/>
      <c r="AD115" s="133"/>
      <c r="AE115" s="123"/>
      <c r="AF115" s="123"/>
      <c r="AG115" s="123"/>
      <c r="AH115" s="123"/>
      <c r="AI115" s="123"/>
      <c r="AJ115" s="123"/>
      <c r="AK115" s="123"/>
      <c r="AL115" s="123"/>
    </row>
    <row r="116" spans="1:38" ht="15.75" customHeight="1">
      <c r="A116" s="123"/>
      <c r="B116" s="123"/>
      <c r="C116" s="123"/>
      <c r="D116" s="282"/>
      <c r="E116" s="282"/>
      <c r="F116" s="282"/>
      <c r="G116" s="123"/>
      <c r="H116" s="123"/>
      <c r="I116" s="285"/>
      <c r="J116" s="123"/>
      <c r="K116" s="123"/>
      <c r="L116" s="123"/>
      <c r="M116" s="123"/>
      <c r="N116" s="123"/>
      <c r="O116" s="123"/>
      <c r="P116" s="123"/>
      <c r="Q116" s="123"/>
      <c r="R116" s="123"/>
      <c r="S116" s="123"/>
      <c r="T116" s="132"/>
      <c r="W116" s="133"/>
      <c r="X116" s="133"/>
      <c r="Y116" s="133"/>
      <c r="Z116" s="133"/>
      <c r="AA116" s="133"/>
      <c r="AB116" s="133"/>
      <c r="AC116" s="133"/>
      <c r="AD116" s="133"/>
      <c r="AE116" s="123"/>
      <c r="AF116" s="123"/>
      <c r="AG116" s="123"/>
      <c r="AH116" s="123"/>
      <c r="AI116" s="123"/>
      <c r="AJ116" s="123"/>
      <c r="AK116" s="123"/>
      <c r="AL116" s="123"/>
    </row>
    <row r="117" spans="1:38" ht="15.75" customHeight="1">
      <c r="A117" s="123"/>
      <c r="B117" s="123"/>
      <c r="C117" s="123"/>
      <c r="D117" s="282"/>
      <c r="E117" s="282"/>
      <c r="F117" s="282"/>
      <c r="G117" s="123"/>
      <c r="H117" s="123"/>
      <c r="I117" s="285"/>
      <c r="J117" s="123"/>
      <c r="K117" s="123"/>
      <c r="L117" s="123"/>
      <c r="M117" s="123"/>
      <c r="N117" s="123"/>
      <c r="O117" s="123"/>
      <c r="P117" s="123"/>
      <c r="Q117" s="123"/>
      <c r="R117" s="123"/>
      <c r="S117" s="123"/>
      <c r="T117" s="132"/>
      <c r="W117" s="133"/>
      <c r="X117" s="133"/>
      <c r="Y117" s="133"/>
      <c r="Z117" s="133"/>
      <c r="AA117" s="133"/>
      <c r="AB117" s="133"/>
      <c r="AC117" s="133"/>
      <c r="AD117" s="133"/>
      <c r="AE117" s="123"/>
      <c r="AF117" s="123"/>
      <c r="AG117" s="123"/>
      <c r="AH117" s="123"/>
      <c r="AI117" s="123"/>
      <c r="AJ117" s="123"/>
      <c r="AK117" s="123"/>
      <c r="AL117" s="123"/>
    </row>
    <row r="118" spans="1:38" ht="15.75" customHeight="1">
      <c r="A118" s="123"/>
      <c r="B118" s="123"/>
      <c r="C118" s="123"/>
      <c r="D118" s="282"/>
      <c r="E118" s="282"/>
      <c r="F118" s="282"/>
      <c r="G118" s="123"/>
      <c r="H118" s="123"/>
      <c r="I118" s="285"/>
      <c r="J118" s="123"/>
      <c r="K118" s="123"/>
      <c r="L118" s="123"/>
      <c r="M118" s="123"/>
      <c r="N118" s="123"/>
      <c r="O118" s="123"/>
      <c r="P118" s="123"/>
      <c r="Q118" s="123"/>
      <c r="R118" s="123"/>
      <c r="S118" s="123"/>
      <c r="T118" s="132"/>
      <c r="W118" s="133"/>
      <c r="X118" s="133"/>
      <c r="Y118" s="133"/>
      <c r="Z118" s="133"/>
      <c r="AA118" s="133"/>
      <c r="AB118" s="133"/>
      <c r="AC118" s="133"/>
      <c r="AD118" s="133"/>
      <c r="AE118" s="123"/>
      <c r="AF118" s="123"/>
      <c r="AG118" s="123"/>
      <c r="AH118" s="123"/>
      <c r="AI118" s="123"/>
      <c r="AJ118" s="123"/>
      <c r="AK118" s="123"/>
      <c r="AL118" s="123"/>
    </row>
    <row r="119" spans="1:38" ht="15.75" customHeight="1">
      <c r="A119" s="123"/>
      <c r="B119" s="123"/>
      <c r="C119" s="123"/>
      <c r="D119" s="282"/>
      <c r="E119" s="282"/>
      <c r="F119" s="282"/>
      <c r="G119" s="123"/>
      <c r="H119" s="123"/>
      <c r="I119" s="285"/>
      <c r="J119" s="123"/>
      <c r="K119" s="123"/>
      <c r="L119" s="123"/>
      <c r="M119" s="123"/>
      <c r="N119" s="123"/>
      <c r="O119" s="123"/>
      <c r="P119" s="123"/>
      <c r="Q119" s="123"/>
      <c r="R119" s="123"/>
      <c r="S119" s="123"/>
      <c r="T119" s="132"/>
      <c r="W119" s="133"/>
      <c r="X119" s="133"/>
      <c r="Y119" s="133"/>
      <c r="Z119" s="133"/>
      <c r="AA119" s="133"/>
      <c r="AB119" s="133"/>
      <c r="AC119" s="133"/>
      <c r="AD119" s="133"/>
      <c r="AE119" s="123"/>
      <c r="AF119" s="123"/>
      <c r="AG119" s="123"/>
      <c r="AH119" s="123"/>
      <c r="AI119" s="123"/>
      <c r="AJ119" s="123"/>
      <c r="AK119" s="123"/>
      <c r="AL119" s="123"/>
    </row>
    <row r="120" spans="1:38" ht="15.75" customHeight="1">
      <c r="A120" s="123"/>
      <c r="B120" s="123"/>
      <c r="C120" s="123"/>
      <c r="D120" s="282"/>
      <c r="E120" s="282"/>
      <c r="F120" s="282"/>
      <c r="G120" s="123"/>
      <c r="H120" s="123"/>
      <c r="I120" s="285"/>
      <c r="J120" s="123"/>
      <c r="K120" s="123"/>
      <c r="L120" s="123"/>
      <c r="M120" s="123"/>
      <c r="N120" s="123"/>
      <c r="O120" s="123"/>
      <c r="P120" s="123"/>
      <c r="Q120" s="123"/>
      <c r="R120" s="123"/>
      <c r="S120" s="123"/>
      <c r="T120" s="132"/>
      <c r="W120" s="133"/>
      <c r="X120" s="133"/>
      <c r="Y120" s="133"/>
      <c r="Z120" s="133"/>
      <c r="AA120" s="133"/>
      <c r="AB120" s="133"/>
      <c r="AC120" s="133"/>
      <c r="AD120" s="133"/>
      <c r="AE120" s="123"/>
      <c r="AF120" s="123"/>
      <c r="AG120" s="123"/>
      <c r="AH120" s="123"/>
      <c r="AI120" s="123"/>
      <c r="AJ120" s="123"/>
      <c r="AK120" s="123"/>
      <c r="AL120" s="123"/>
    </row>
    <row r="121" spans="1:38" ht="15.75" customHeight="1">
      <c r="A121" s="123"/>
      <c r="B121" s="123"/>
      <c r="C121" s="123"/>
      <c r="D121" s="282"/>
      <c r="E121" s="282"/>
      <c r="F121" s="282"/>
      <c r="G121" s="123"/>
      <c r="H121" s="123"/>
      <c r="I121" s="285"/>
      <c r="J121" s="123"/>
      <c r="K121" s="123"/>
      <c r="L121" s="123"/>
      <c r="M121" s="123"/>
      <c r="N121" s="123"/>
      <c r="O121" s="123"/>
      <c r="P121" s="123"/>
      <c r="Q121" s="123"/>
      <c r="R121" s="123"/>
      <c r="S121" s="123"/>
      <c r="T121" s="132"/>
      <c r="W121" s="133"/>
      <c r="X121" s="133"/>
      <c r="Y121" s="133"/>
      <c r="Z121" s="133"/>
      <c r="AA121" s="133"/>
      <c r="AB121" s="133"/>
      <c r="AC121" s="133"/>
      <c r="AD121" s="133"/>
      <c r="AE121" s="123"/>
      <c r="AF121" s="123"/>
      <c r="AG121" s="123"/>
      <c r="AH121" s="123"/>
      <c r="AI121" s="123"/>
      <c r="AJ121" s="123"/>
      <c r="AK121" s="123"/>
      <c r="AL121" s="123"/>
    </row>
    <row r="122" spans="1:38" ht="15.75" customHeight="1">
      <c r="A122" s="123"/>
      <c r="B122" s="123"/>
      <c r="C122" s="123"/>
      <c r="D122" s="282"/>
      <c r="E122" s="282"/>
      <c r="F122" s="282"/>
      <c r="G122" s="123"/>
      <c r="H122" s="123"/>
      <c r="I122" s="285"/>
      <c r="J122" s="123"/>
      <c r="K122" s="123"/>
      <c r="L122" s="123"/>
      <c r="M122" s="123"/>
      <c r="N122" s="123"/>
      <c r="O122" s="123"/>
      <c r="P122" s="123"/>
      <c r="Q122" s="123"/>
      <c r="R122" s="123"/>
      <c r="S122" s="123"/>
      <c r="T122" s="132"/>
      <c r="W122" s="133"/>
      <c r="X122" s="133"/>
      <c r="Y122" s="133"/>
      <c r="Z122" s="133"/>
      <c r="AA122" s="133"/>
      <c r="AB122" s="133"/>
      <c r="AC122" s="133"/>
      <c r="AD122" s="133"/>
      <c r="AE122" s="123"/>
      <c r="AF122" s="123"/>
      <c r="AG122" s="123"/>
      <c r="AH122" s="123"/>
      <c r="AI122" s="123"/>
      <c r="AJ122" s="123"/>
      <c r="AK122" s="123"/>
      <c r="AL122" s="123"/>
    </row>
    <row r="123" spans="1:38" ht="15.75" customHeight="1">
      <c r="A123" s="123"/>
      <c r="B123" s="123"/>
      <c r="C123" s="123"/>
      <c r="D123" s="282"/>
      <c r="E123" s="282"/>
      <c r="F123" s="282"/>
      <c r="G123" s="123"/>
      <c r="H123" s="123"/>
      <c r="I123" s="285"/>
      <c r="J123" s="123"/>
      <c r="K123" s="123"/>
      <c r="L123" s="123"/>
      <c r="M123" s="123"/>
      <c r="N123" s="123"/>
      <c r="O123" s="123"/>
      <c r="P123" s="123"/>
      <c r="Q123" s="123"/>
      <c r="R123" s="123"/>
      <c r="S123" s="123"/>
      <c r="T123" s="132"/>
      <c r="W123" s="133"/>
      <c r="X123" s="133"/>
      <c r="Y123" s="133"/>
      <c r="Z123" s="133"/>
      <c r="AA123" s="133"/>
      <c r="AB123" s="133"/>
      <c r="AC123" s="133"/>
      <c r="AD123" s="133"/>
      <c r="AE123" s="123"/>
      <c r="AF123" s="123"/>
      <c r="AG123" s="123"/>
      <c r="AH123" s="123"/>
      <c r="AI123" s="123"/>
      <c r="AJ123" s="123"/>
      <c r="AK123" s="123"/>
      <c r="AL123" s="123"/>
    </row>
    <row r="124" spans="1:38" ht="15.75" customHeight="1">
      <c r="A124" s="123"/>
      <c r="B124" s="123"/>
      <c r="C124" s="123"/>
      <c r="D124" s="282"/>
      <c r="E124" s="282"/>
      <c r="F124" s="282"/>
      <c r="G124" s="123"/>
      <c r="H124" s="123"/>
      <c r="I124" s="285"/>
      <c r="J124" s="123"/>
      <c r="K124" s="123"/>
      <c r="L124" s="123"/>
      <c r="M124" s="123"/>
      <c r="N124" s="123"/>
      <c r="O124" s="123"/>
      <c r="P124" s="123"/>
      <c r="Q124" s="123"/>
      <c r="R124" s="123"/>
      <c r="S124" s="123"/>
      <c r="T124" s="132"/>
      <c r="W124" s="133"/>
      <c r="X124" s="133"/>
      <c r="Y124" s="133"/>
      <c r="Z124" s="133"/>
      <c r="AA124" s="133"/>
      <c r="AB124" s="133"/>
      <c r="AC124" s="133"/>
      <c r="AD124" s="133"/>
      <c r="AE124" s="123"/>
      <c r="AF124" s="123"/>
      <c r="AG124" s="123"/>
      <c r="AH124" s="123"/>
      <c r="AI124" s="123"/>
      <c r="AJ124" s="123"/>
      <c r="AK124" s="123"/>
      <c r="AL124" s="123"/>
    </row>
    <row r="125" spans="1:38" ht="15.75" customHeight="1">
      <c r="A125" s="123"/>
      <c r="B125" s="123"/>
      <c r="C125" s="123"/>
      <c r="D125" s="282"/>
      <c r="E125" s="282"/>
      <c r="F125" s="282"/>
      <c r="G125" s="123"/>
      <c r="H125" s="123"/>
      <c r="I125" s="285"/>
      <c r="J125" s="123"/>
      <c r="K125" s="123"/>
      <c r="L125" s="123"/>
      <c r="M125" s="123"/>
      <c r="N125" s="123"/>
      <c r="O125" s="123"/>
      <c r="P125" s="123"/>
      <c r="Q125" s="123"/>
      <c r="R125" s="123"/>
      <c r="S125" s="123"/>
      <c r="T125" s="132"/>
      <c r="W125" s="133"/>
      <c r="X125" s="133"/>
      <c r="Y125" s="133"/>
      <c r="Z125" s="133"/>
      <c r="AA125" s="133"/>
      <c r="AB125" s="133"/>
      <c r="AC125" s="133"/>
      <c r="AD125" s="133"/>
      <c r="AE125" s="123"/>
      <c r="AF125" s="123"/>
      <c r="AG125" s="123"/>
      <c r="AH125" s="123"/>
      <c r="AI125" s="123"/>
      <c r="AJ125" s="123"/>
      <c r="AK125" s="123"/>
      <c r="AL125" s="123"/>
    </row>
    <row r="126" spans="1:38" ht="15.75" customHeight="1">
      <c r="A126" s="123"/>
      <c r="B126" s="123"/>
      <c r="C126" s="123"/>
      <c r="D126" s="282"/>
      <c r="E126" s="282"/>
      <c r="F126" s="282"/>
      <c r="G126" s="123"/>
      <c r="H126" s="123"/>
      <c r="I126" s="285"/>
      <c r="J126" s="123"/>
      <c r="K126" s="123"/>
      <c r="L126" s="123"/>
      <c r="M126" s="123"/>
      <c r="N126" s="123"/>
      <c r="O126" s="123"/>
      <c r="P126" s="123"/>
      <c r="Q126" s="123"/>
      <c r="R126" s="123"/>
      <c r="S126" s="123"/>
      <c r="T126" s="132"/>
      <c r="W126" s="133"/>
      <c r="X126" s="133"/>
      <c r="Y126" s="133"/>
      <c r="Z126" s="133"/>
      <c r="AA126" s="133"/>
      <c r="AB126" s="133"/>
      <c r="AC126" s="133"/>
      <c r="AD126" s="133"/>
      <c r="AE126" s="123"/>
      <c r="AF126" s="123"/>
      <c r="AG126" s="123"/>
      <c r="AH126" s="123"/>
      <c r="AI126" s="123"/>
      <c r="AJ126" s="123"/>
      <c r="AK126" s="123"/>
      <c r="AL126" s="123"/>
    </row>
    <row r="127" spans="1:38" ht="15.75" customHeight="1">
      <c r="A127" s="123"/>
      <c r="B127" s="123"/>
      <c r="C127" s="123"/>
      <c r="D127" s="282"/>
      <c r="E127" s="282"/>
      <c r="F127" s="282"/>
      <c r="G127" s="123"/>
      <c r="H127" s="123"/>
      <c r="I127" s="285"/>
      <c r="J127" s="123"/>
      <c r="K127" s="123"/>
      <c r="L127" s="123"/>
      <c r="M127" s="123"/>
      <c r="N127" s="123"/>
      <c r="O127" s="123"/>
      <c r="P127" s="123"/>
      <c r="Q127" s="123"/>
      <c r="R127" s="123"/>
      <c r="S127" s="123"/>
      <c r="T127" s="132"/>
      <c r="W127" s="133"/>
      <c r="X127" s="133"/>
      <c r="Y127" s="133"/>
      <c r="Z127" s="133"/>
      <c r="AA127" s="133"/>
      <c r="AB127" s="133"/>
      <c r="AC127" s="133"/>
      <c r="AD127" s="133"/>
      <c r="AE127" s="123"/>
      <c r="AF127" s="123"/>
      <c r="AG127" s="123"/>
      <c r="AH127" s="123"/>
      <c r="AI127" s="123"/>
      <c r="AJ127" s="123"/>
      <c r="AK127" s="123"/>
      <c r="AL127" s="123"/>
    </row>
    <row r="128" spans="1:38" ht="15.75" customHeight="1">
      <c r="A128" s="123"/>
      <c r="B128" s="123"/>
      <c r="C128" s="123"/>
      <c r="D128" s="282"/>
      <c r="E128" s="282"/>
      <c r="F128" s="282"/>
      <c r="G128" s="123"/>
      <c r="H128" s="123"/>
      <c r="I128" s="285"/>
      <c r="J128" s="123"/>
      <c r="K128" s="123"/>
      <c r="L128" s="123"/>
      <c r="M128" s="123"/>
      <c r="N128" s="123"/>
      <c r="O128" s="123"/>
      <c r="P128" s="123"/>
      <c r="Q128" s="123"/>
      <c r="R128" s="123"/>
      <c r="S128" s="123"/>
      <c r="T128" s="132"/>
      <c r="W128" s="133"/>
      <c r="X128" s="133"/>
      <c r="Y128" s="133"/>
      <c r="Z128" s="133"/>
      <c r="AA128" s="133"/>
      <c r="AB128" s="133"/>
      <c r="AC128" s="133"/>
      <c r="AD128" s="133"/>
      <c r="AE128" s="123"/>
      <c r="AF128" s="123"/>
      <c r="AG128" s="123"/>
      <c r="AH128" s="123"/>
      <c r="AI128" s="123"/>
      <c r="AJ128" s="123"/>
      <c r="AK128" s="123"/>
      <c r="AL128" s="123"/>
    </row>
    <row r="129" spans="1:38" ht="15.75" customHeight="1">
      <c r="A129" s="123"/>
      <c r="B129" s="123"/>
      <c r="C129" s="123"/>
      <c r="D129" s="282"/>
      <c r="E129" s="282"/>
      <c r="F129" s="282"/>
      <c r="G129" s="123"/>
      <c r="H129" s="123"/>
      <c r="I129" s="285"/>
      <c r="J129" s="123"/>
      <c r="K129" s="123"/>
      <c r="L129" s="123"/>
      <c r="M129" s="123"/>
      <c r="N129" s="123"/>
      <c r="O129" s="123"/>
      <c r="P129" s="123"/>
      <c r="Q129" s="123"/>
      <c r="R129" s="123"/>
      <c r="S129" s="123"/>
      <c r="T129" s="132"/>
      <c r="W129" s="133"/>
      <c r="X129" s="133"/>
      <c r="Y129" s="133"/>
      <c r="Z129" s="133"/>
      <c r="AA129" s="133"/>
      <c r="AB129" s="133"/>
      <c r="AC129" s="133"/>
      <c r="AD129" s="133"/>
      <c r="AE129" s="123"/>
      <c r="AF129" s="123"/>
      <c r="AG129" s="123"/>
      <c r="AH129" s="123"/>
      <c r="AI129" s="123"/>
      <c r="AJ129" s="123"/>
      <c r="AK129" s="123"/>
      <c r="AL129" s="123"/>
    </row>
    <row r="130" spans="1:38" ht="15.75" customHeight="1">
      <c r="A130" s="123"/>
      <c r="B130" s="123"/>
      <c r="C130" s="123"/>
      <c r="D130" s="282"/>
      <c r="E130" s="282"/>
      <c r="F130" s="282"/>
      <c r="G130" s="123"/>
      <c r="H130" s="123"/>
      <c r="I130" s="285"/>
      <c r="J130" s="123"/>
      <c r="K130" s="123"/>
      <c r="L130" s="123"/>
      <c r="M130" s="123"/>
      <c r="N130" s="123"/>
      <c r="O130" s="123"/>
      <c r="P130" s="123"/>
      <c r="Q130" s="123"/>
      <c r="R130" s="123"/>
      <c r="S130" s="123"/>
      <c r="T130" s="132"/>
      <c r="W130" s="133"/>
      <c r="X130" s="133"/>
      <c r="Y130" s="133"/>
      <c r="Z130" s="133"/>
      <c r="AA130" s="133"/>
      <c r="AB130" s="133"/>
      <c r="AC130" s="133"/>
      <c r="AD130" s="133"/>
      <c r="AE130" s="123"/>
      <c r="AF130" s="123"/>
      <c r="AG130" s="123"/>
      <c r="AH130" s="123"/>
      <c r="AI130" s="123"/>
      <c r="AJ130" s="123"/>
      <c r="AK130" s="123"/>
      <c r="AL130" s="123"/>
    </row>
    <row r="131" spans="1:38" ht="15.75" customHeight="1">
      <c r="A131" s="123"/>
      <c r="B131" s="123"/>
      <c r="C131" s="123"/>
      <c r="D131" s="282"/>
      <c r="E131" s="282"/>
      <c r="F131" s="282"/>
      <c r="G131" s="123"/>
      <c r="H131" s="123"/>
      <c r="I131" s="285"/>
      <c r="J131" s="123"/>
      <c r="K131" s="123"/>
      <c r="L131" s="123"/>
      <c r="M131" s="123"/>
      <c r="N131" s="123"/>
      <c r="O131" s="123"/>
      <c r="P131" s="123"/>
      <c r="Q131" s="123"/>
      <c r="R131" s="123"/>
      <c r="S131" s="123"/>
      <c r="T131" s="132"/>
      <c r="W131" s="133"/>
      <c r="X131" s="133"/>
      <c r="Y131" s="133"/>
      <c r="Z131" s="133"/>
      <c r="AA131" s="133"/>
      <c r="AB131" s="133"/>
      <c r="AC131" s="133"/>
      <c r="AD131" s="133"/>
      <c r="AE131" s="123"/>
      <c r="AF131" s="123"/>
      <c r="AG131" s="123"/>
      <c r="AH131" s="123"/>
      <c r="AI131" s="123"/>
      <c r="AJ131" s="123"/>
      <c r="AK131" s="123"/>
      <c r="AL131" s="123"/>
    </row>
    <row r="132" spans="1:38" ht="15.75" customHeight="1">
      <c r="A132" s="123"/>
      <c r="B132" s="123"/>
      <c r="C132" s="123"/>
      <c r="D132" s="282"/>
      <c r="E132" s="282"/>
      <c r="F132" s="282"/>
      <c r="G132" s="123"/>
      <c r="H132" s="123"/>
      <c r="I132" s="285"/>
      <c r="J132" s="123"/>
      <c r="K132" s="123"/>
      <c r="L132" s="123"/>
      <c r="M132" s="123"/>
      <c r="N132" s="123"/>
      <c r="O132" s="123"/>
      <c r="P132" s="123"/>
      <c r="Q132" s="123"/>
      <c r="R132" s="123"/>
      <c r="S132" s="123"/>
      <c r="T132" s="132"/>
      <c r="W132" s="133"/>
      <c r="X132" s="133"/>
      <c r="Y132" s="133"/>
      <c r="Z132" s="133"/>
      <c r="AA132" s="133"/>
      <c r="AB132" s="133"/>
      <c r="AC132" s="133"/>
      <c r="AD132" s="133"/>
      <c r="AE132" s="123"/>
      <c r="AF132" s="123"/>
      <c r="AG132" s="123"/>
      <c r="AH132" s="123"/>
      <c r="AI132" s="123"/>
      <c r="AJ132" s="123"/>
      <c r="AK132" s="123"/>
      <c r="AL132" s="123"/>
    </row>
    <row r="133" spans="1:38" ht="15.75" customHeight="1">
      <c r="A133" s="123"/>
      <c r="B133" s="123"/>
      <c r="C133" s="123"/>
      <c r="D133" s="282"/>
      <c r="E133" s="282"/>
      <c r="F133" s="282"/>
      <c r="G133" s="123"/>
      <c r="H133" s="123"/>
      <c r="I133" s="285"/>
      <c r="J133" s="123"/>
      <c r="K133" s="123"/>
      <c r="L133" s="123"/>
      <c r="M133" s="123"/>
      <c r="N133" s="123"/>
      <c r="O133" s="123"/>
      <c r="P133" s="123"/>
      <c r="Q133" s="123"/>
      <c r="R133" s="123"/>
      <c r="S133" s="123"/>
      <c r="T133" s="132"/>
      <c r="W133" s="133"/>
      <c r="X133" s="133"/>
      <c r="Y133" s="133"/>
      <c r="Z133" s="133"/>
      <c r="AA133" s="133"/>
      <c r="AB133" s="133"/>
      <c r="AC133" s="133"/>
      <c r="AD133" s="133"/>
      <c r="AE133" s="123"/>
      <c r="AF133" s="123"/>
      <c r="AG133" s="123"/>
      <c r="AH133" s="123"/>
      <c r="AI133" s="123"/>
      <c r="AJ133" s="123"/>
      <c r="AK133" s="123"/>
      <c r="AL133" s="123"/>
    </row>
    <row r="134" spans="1:38" ht="15.75" customHeight="1">
      <c r="A134" s="123"/>
      <c r="B134" s="123"/>
      <c r="C134" s="123"/>
      <c r="D134" s="282"/>
      <c r="E134" s="282"/>
      <c r="F134" s="282"/>
      <c r="G134" s="123"/>
      <c r="H134" s="123"/>
      <c r="I134" s="285"/>
      <c r="J134" s="123"/>
      <c r="K134" s="123"/>
      <c r="L134" s="123"/>
      <c r="M134" s="123"/>
      <c r="N134" s="123"/>
      <c r="O134" s="123"/>
      <c r="P134" s="123"/>
      <c r="Q134" s="123"/>
      <c r="R134" s="123"/>
      <c r="S134" s="123"/>
      <c r="T134" s="132"/>
      <c r="W134" s="133"/>
      <c r="X134" s="133"/>
      <c r="Y134" s="133"/>
      <c r="Z134" s="133"/>
      <c r="AA134" s="133"/>
      <c r="AB134" s="133"/>
      <c r="AC134" s="133"/>
      <c r="AD134" s="133"/>
      <c r="AE134" s="123"/>
      <c r="AF134" s="123"/>
      <c r="AG134" s="123"/>
      <c r="AH134" s="123"/>
      <c r="AI134" s="123"/>
      <c r="AJ134" s="123"/>
      <c r="AK134" s="123"/>
      <c r="AL134" s="123"/>
    </row>
    <row r="135" spans="1:38" ht="15.75" customHeight="1">
      <c r="A135" s="123"/>
      <c r="B135" s="123"/>
      <c r="C135" s="123"/>
      <c r="D135" s="282"/>
      <c r="E135" s="282"/>
      <c r="F135" s="282"/>
      <c r="G135" s="123"/>
      <c r="H135" s="123"/>
      <c r="I135" s="285"/>
      <c r="J135" s="123"/>
      <c r="K135" s="123"/>
      <c r="L135" s="123"/>
      <c r="M135" s="123"/>
      <c r="N135" s="123"/>
      <c r="O135" s="123"/>
      <c r="P135" s="123"/>
      <c r="Q135" s="123"/>
      <c r="R135" s="123"/>
      <c r="S135" s="123"/>
      <c r="T135" s="132"/>
      <c r="W135" s="133"/>
      <c r="X135" s="133"/>
      <c r="Y135" s="133"/>
      <c r="Z135" s="133"/>
      <c r="AA135" s="133"/>
      <c r="AB135" s="133"/>
      <c r="AC135" s="133"/>
      <c r="AD135" s="133"/>
      <c r="AE135" s="123"/>
      <c r="AF135" s="123"/>
      <c r="AG135" s="123"/>
      <c r="AH135" s="123"/>
      <c r="AI135" s="123"/>
      <c r="AJ135" s="123"/>
      <c r="AK135" s="123"/>
      <c r="AL135" s="123"/>
    </row>
    <row r="136" spans="1:38" ht="15.75" customHeight="1">
      <c r="A136" s="123"/>
      <c r="B136" s="123"/>
      <c r="C136" s="123"/>
      <c r="D136" s="282"/>
      <c r="E136" s="282"/>
      <c r="F136" s="282"/>
      <c r="G136" s="123"/>
      <c r="H136" s="123"/>
      <c r="I136" s="285"/>
      <c r="J136" s="123"/>
      <c r="K136" s="123"/>
      <c r="L136" s="123"/>
      <c r="M136" s="123"/>
      <c r="N136" s="123"/>
      <c r="O136" s="123"/>
      <c r="P136" s="123"/>
      <c r="Q136" s="123"/>
      <c r="R136" s="123"/>
      <c r="S136" s="123"/>
      <c r="T136" s="132"/>
      <c r="W136" s="133"/>
      <c r="X136" s="133"/>
      <c r="Y136" s="133"/>
      <c r="Z136" s="133"/>
      <c r="AA136" s="133"/>
      <c r="AB136" s="133"/>
      <c r="AC136" s="133"/>
      <c r="AD136" s="133"/>
      <c r="AE136" s="123"/>
      <c r="AF136" s="123"/>
      <c r="AG136" s="123"/>
      <c r="AH136" s="123"/>
      <c r="AI136" s="123"/>
      <c r="AJ136" s="123"/>
      <c r="AK136" s="123"/>
      <c r="AL136" s="123"/>
    </row>
    <row r="137" spans="1:38" ht="15.75" customHeight="1">
      <c r="A137" s="123"/>
      <c r="B137" s="123"/>
      <c r="C137" s="123"/>
      <c r="D137" s="282"/>
      <c r="E137" s="282"/>
      <c r="F137" s="282"/>
      <c r="G137" s="123"/>
      <c r="H137" s="123"/>
      <c r="I137" s="285"/>
      <c r="J137" s="123"/>
      <c r="K137" s="123"/>
      <c r="L137" s="123"/>
      <c r="M137" s="123"/>
      <c r="N137" s="123"/>
      <c r="O137" s="123"/>
      <c r="P137" s="123"/>
      <c r="Q137" s="123"/>
      <c r="R137" s="123"/>
      <c r="S137" s="123"/>
      <c r="T137" s="132"/>
      <c r="W137" s="133"/>
      <c r="X137" s="133"/>
      <c r="Y137" s="133"/>
      <c r="Z137" s="133"/>
      <c r="AA137" s="133"/>
      <c r="AB137" s="133"/>
      <c r="AC137" s="133"/>
      <c r="AD137" s="133"/>
      <c r="AE137" s="123"/>
      <c r="AF137" s="123"/>
      <c r="AG137" s="123"/>
      <c r="AH137" s="123"/>
      <c r="AI137" s="123"/>
      <c r="AJ137" s="123"/>
      <c r="AK137" s="123"/>
      <c r="AL137" s="123"/>
    </row>
    <row r="138" spans="1:38" ht="15.75" customHeight="1">
      <c r="A138" s="123"/>
      <c r="B138" s="123"/>
      <c r="C138" s="123"/>
      <c r="D138" s="282"/>
      <c r="E138" s="282"/>
      <c r="F138" s="282"/>
      <c r="G138" s="123"/>
      <c r="H138" s="123"/>
      <c r="I138" s="285"/>
      <c r="J138" s="123"/>
      <c r="K138" s="123"/>
      <c r="L138" s="123"/>
      <c r="M138" s="123"/>
      <c r="N138" s="123"/>
      <c r="O138" s="123"/>
      <c r="P138" s="123"/>
      <c r="Q138" s="123"/>
      <c r="R138" s="123"/>
      <c r="S138" s="123"/>
      <c r="T138" s="132"/>
      <c r="W138" s="133"/>
      <c r="X138" s="133"/>
      <c r="Y138" s="133"/>
      <c r="Z138" s="133"/>
      <c r="AA138" s="133"/>
      <c r="AB138" s="133"/>
      <c r="AC138" s="133"/>
      <c r="AD138" s="133"/>
      <c r="AE138" s="123"/>
      <c r="AF138" s="123"/>
      <c r="AG138" s="123"/>
      <c r="AH138" s="123"/>
      <c r="AI138" s="123"/>
      <c r="AJ138" s="123"/>
      <c r="AK138" s="123"/>
      <c r="AL138" s="123"/>
    </row>
    <row r="139" spans="1:38" ht="15.75" customHeight="1">
      <c r="A139" s="123"/>
      <c r="B139" s="123"/>
      <c r="C139" s="123"/>
      <c r="D139" s="282"/>
      <c r="E139" s="282"/>
      <c r="F139" s="282"/>
      <c r="G139" s="123"/>
      <c r="H139" s="123"/>
      <c r="I139" s="285"/>
      <c r="J139" s="123"/>
      <c r="K139" s="123"/>
      <c r="L139" s="123"/>
      <c r="M139" s="123"/>
      <c r="N139" s="123"/>
      <c r="O139" s="123"/>
      <c r="P139" s="123"/>
      <c r="Q139" s="123"/>
      <c r="R139" s="123"/>
      <c r="S139" s="123"/>
      <c r="T139" s="132"/>
      <c r="W139" s="133"/>
      <c r="X139" s="133"/>
      <c r="Y139" s="133"/>
      <c r="Z139" s="133"/>
      <c r="AA139" s="133"/>
      <c r="AB139" s="133"/>
      <c r="AC139" s="133"/>
      <c r="AD139" s="133"/>
      <c r="AE139" s="123"/>
      <c r="AF139" s="123"/>
      <c r="AG139" s="123"/>
      <c r="AH139" s="123"/>
      <c r="AI139" s="123"/>
      <c r="AJ139" s="123"/>
      <c r="AK139" s="123"/>
      <c r="AL139" s="123"/>
    </row>
    <row r="140" spans="1:38" ht="15.75" customHeight="1">
      <c r="A140" s="123"/>
      <c r="B140" s="123"/>
      <c r="C140" s="123"/>
      <c r="D140" s="282"/>
      <c r="E140" s="282"/>
      <c r="F140" s="282"/>
      <c r="G140" s="123"/>
      <c r="H140" s="123"/>
      <c r="I140" s="285"/>
      <c r="J140" s="123"/>
      <c r="K140" s="123"/>
      <c r="L140" s="123"/>
      <c r="M140" s="123"/>
      <c r="N140" s="123"/>
      <c r="O140" s="123"/>
      <c r="P140" s="123"/>
      <c r="Q140" s="123"/>
      <c r="R140" s="123"/>
      <c r="S140" s="123"/>
      <c r="T140" s="132"/>
      <c r="W140" s="133"/>
      <c r="X140" s="133"/>
      <c r="Y140" s="133"/>
      <c r="Z140" s="133"/>
      <c r="AA140" s="133"/>
      <c r="AB140" s="133"/>
      <c r="AC140" s="133"/>
      <c r="AD140" s="133"/>
      <c r="AE140" s="123"/>
      <c r="AF140" s="123"/>
      <c r="AG140" s="123"/>
      <c r="AH140" s="123"/>
      <c r="AI140" s="123"/>
      <c r="AJ140" s="123"/>
      <c r="AK140" s="123"/>
      <c r="AL140" s="123"/>
    </row>
    <row r="141" spans="1:38" ht="15.75" customHeight="1">
      <c r="A141" s="123"/>
      <c r="B141" s="123"/>
      <c r="C141" s="123"/>
      <c r="D141" s="282"/>
      <c r="E141" s="282"/>
      <c r="F141" s="282"/>
      <c r="G141" s="123"/>
      <c r="H141" s="123"/>
      <c r="I141" s="285"/>
      <c r="J141" s="123"/>
      <c r="K141" s="123"/>
      <c r="L141" s="123"/>
      <c r="M141" s="123"/>
      <c r="N141" s="123"/>
      <c r="O141" s="123"/>
      <c r="P141" s="123"/>
      <c r="Q141" s="123"/>
      <c r="R141" s="123"/>
      <c r="S141" s="123"/>
      <c r="T141" s="132"/>
      <c r="W141" s="133"/>
      <c r="X141" s="133"/>
      <c r="Y141" s="133"/>
      <c r="Z141" s="133"/>
      <c r="AA141" s="133"/>
      <c r="AB141" s="133"/>
      <c r="AC141" s="133"/>
      <c r="AD141" s="133"/>
      <c r="AE141" s="123"/>
      <c r="AF141" s="123"/>
      <c r="AG141" s="123"/>
      <c r="AH141" s="123"/>
      <c r="AI141" s="123"/>
      <c r="AJ141" s="123"/>
      <c r="AK141" s="123"/>
      <c r="AL141" s="123"/>
    </row>
    <row r="142" spans="1:38" ht="15.75" customHeight="1">
      <c r="A142" s="123"/>
      <c r="B142" s="123"/>
      <c r="C142" s="123"/>
      <c r="D142" s="282"/>
      <c r="E142" s="282"/>
      <c r="F142" s="282"/>
      <c r="G142" s="123"/>
      <c r="H142" s="123"/>
      <c r="I142" s="285"/>
      <c r="J142" s="123"/>
      <c r="K142" s="123"/>
      <c r="L142" s="123"/>
      <c r="M142" s="123"/>
      <c r="N142" s="123"/>
      <c r="O142" s="123"/>
      <c r="P142" s="123"/>
      <c r="Q142" s="123"/>
      <c r="R142" s="123"/>
      <c r="S142" s="123"/>
      <c r="T142" s="132"/>
      <c r="W142" s="133"/>
      <c r="X142" s="133"/>
      <c r="Y142" s="133"/>
      <c r="Z142" s="133"/>
      <c r="AA142" s="133"/>
      <c r="AB142" s="133"/>
      <c r="AC142" s="133"/>
      <c r="AD142" s="133"/>
      <c r="AE142" s="123"/>
      <c r="AF142" s="123"/>
      <c r="AG142" s="123"/>
      <c r="AH142" s="123"/>
      <c r="AI142" s="123"/>
      <c r="AJ142" s="123"/>
      <c r="AK142" s="123"/>
      <c r="AL142" s="123"/>
    </row>
    <row r="143" spans="1:38" ht="15.75" customHeight="1">
      <c r="A143" s="123"/>
      <c r="B143" s="123"/>
      <c r="C143" s="123"/>
      <c r="D143" s="282"/>
      <c r="E143" s="282"/>
      <c r="F143" s="282"/>
      <c r="G143" s="123"/>
      <c r="H143" s="123"/>
      <c r="I143" s="285"/>
      <c r="J143" s="123"/>
      <c r="K143" s="123"/>
      <c r="L143" s="123"/>
      <c r="M143" s="123"/>
      <c r="N143" s="123"/>
      <c r="O143" s="123"/>
      <c r="P143" s="123"/>
      <c r="Q143" s="123"/>
      <c r="R143" s="123"/>
      <c r="S143" s="123"/>
      <c r="T143" s="132"/>
      <c r="W143" s="133"/>
      <c r="X143" s="133"/>
      <c r="Y143" s="133"/>
      <c r="Z143" s="133"/>
      <c r="AA143" s="133"/>
      <c r="AB143" s="133"/>
      <c r="AC143" s="133"/>
      <c r="AD143" s="133"/>
      <c r="AE143" s="123"/>
      <c r="AF143" s="123"/>
      <c r="AG143" s="123"/>
      <c r="AH143" s="123"/>
      <c r="AI143" s="123"/>
      <c r="AJ143" s="123"/>
      <c r="AK143" s="123"/>
      <c r="AL143" s="123"/>
    </row>
    <row r="144" spans="1:38" ht="15.75" customHeight="1">
      <c r="A144" s="123"/>
      <c r="B144" s="123"/>
      <c r="C144" s="123"/>
      <c r="D144" s="282"/>
      <c r="E144" s="282"/>
      <c r="F144" s="282"/>
      <c r="G144" s="123"/>
      <c r="H144" s="123"/>
      <c r="I144" s="285"/>
      <c r="J144" s="123"/>
      <c r="K144" s="123"/>
      <c r="L144" s="123"/>
      <c r="M144" s="123"/>
      <c r="N144" s="123"/>
      <c r="O144" s="123"/>
      <c r="P144" s="123"/>
      <c r="Q144" s="123"/>
      <c r="R144" s="123"/>
      <c r="S144" s="123"/>
      <c r="T144" s="132"/>
      <c r="W144" s="133"/>
      <c r="X144" s="133"/>
      <c r="Y144" s="133"/>
      <c r="Z144" s="133"/>
      <c r="AA144" s="133"/>
      <c r="AB144" s="133"/>
      <c r="AC144" s="133"/>
      <c r="AD144" s="133"/>
      <c r="AE144" s="123"/>
      <c r="AF144" s="123"/>
      <c r="AG144" s="123"/>
      <c r="AH144" s="123"/>
      <c r="AI144" s="123"/>
      <c r="AJ144" s="123"/>
      <c r="AK144" s="123"/>
      <c r="AL144" s="123"/>
    </row>
    <row r="145" spans="1:38" ht="15.75" customHeight="1">
      <c r="A145" s="123"/>
      <c r="B145" s="123"/>
      <c r="C145" s="123"/>
      <c r="D145" s="282"/>
      <c r="E145" s="282"/>
      <c r="F145" s="282"/>
      <c r="G145" s="123"/>
      <c r="H145" s="123"/>
      <c r="I145" s="285"/>
      <c r="J145" s="123"/>
      <c r="K145" s="123"/>
      <c r="L145" s="123"/>
      <c r="M145" s="123"/>
      <c r="N145" s="123"/>
      <c r="O145" s="123"/>
      <c r="P145" s="123"/>
      <c r="Q145" s="123"/>
      <c r="R145" s="123"/>
      <c r="S145" s="123"/>
      <c r="T145" s="132"/>
      <c r="W145" s="133"/>
      <c r="X145" s="133"/>
      <c r="Y145" s="133"/>
      <c r="Z145" s="133"/>
      <c r="AA145" s="133"/>
      <c r="AB145" s="133"/>
      <c r="AC145" s="133"/>
      <c r="AD145" s="133"/>
      <c r="AE145" s="123"/>
      <c r="AF145" s="123"/>
      <c r="AG145" s="123"/>
      <c r="AH145" s="123"/>
      <c r="AI145" s="123"/>
      <c r="AJ145" s="123"/>
      <c r="AK145" s="123"/>
      <c r="AL145" s="123"/>
    </row>
    <row r="146" spans="1:38" ht="15.75" customHeight="1">
      <c r="A146" s="123"/>
      <c r="B146" s="123"/>
      <c r="C146" s="123"/>
      <c r="D146" s="282"/>
      <c r="E146" s="282"/>
      <c r="F146" s="282"/>
      <c r="G146" s="123"/>
      <c r="H146" s="123"/>
      <c r="I146" s="285"/>
      <c r="J146" s="123"/>
      <c r="K146" s="123"/>
      <c r="L146" s="123"/>
      <c r="M146" s="123"/>
      <c r="N146" s="123"/>
      <c r="O146" s="123"/>
      <c r="P146" s="123"/>
      <c r="Q146" s="123"/>
      <c r="R146" s="123"/>
      <c r="S146" s="123"/>
      <c r="T146" s="132"/>
      <c r="W146" s="133"/>
      <c r="X146" s="133"/>
      <c r="Y146" s="133"/>
      <c r="Z146" s="133"/>
      <c r="AA146" s="133"/>
      <c r="AB146" s="133"/>
      <c r="AC146" s="133"/>
      <c r="AD146" s="133"/>
      <c r="AE146" s="123"/>
      <c r="AF146" s="123"/>
      <c r="AG146" s="123"/>
      <c r="AH146" s="123"/>
      <c r="AI146" s="123"/>
      <c r="AJ146" s="123"/>
      <c r="AK146" s="123"/>
      <c r="AL146" s="123"/>
    </row>
    <row r="147" spans="1:38" ht="15.75" customHeight="1">
      <c r="A147" s="123"/>
      <c r="B147" s="123"/>
      <c r="C147" s="123"/>
      <c r="D147" s="282"/>
      <c r="E147" s="282"/>
      <c r="F147" s="282"/>
      <c r="G147" s="123"/>
      <c r="H147" s="123"/>
      <c r="I147" s="285"/>
      <c r="J147" s="123"/>
      <c r="K147" s="123"/>
      <c r="L147" s="123"/>
      <c r="M147" s="123"/>
      <c r="N147" s="123"/>
      <c r="O147" s="123"/>
      <c r="P147" s="123"/>
      <c r="Q147" s="123"/>
      <c r="R147" s="123"/>
      <c r="S147" s="123"/>
      <c r="T147" s="132"/>
      <c r="W147" s="133"/>
      <c r="X147" s="133"/>
      <c r="Y147" s="133"/>
      <c r="Z147" s="133"/>
      <c r="AA147" s="133"/>
      <c r="AB147" s="133"/>
      <c r="AC147" s="133"/>
      <c r="AD147" s="133"/>
      <c r="AE147" s="123"/>
      <c r="AF147" s="123"/>
      <c r="AG147" s="123"/>
      <c r="AH147" s="123"/>
      <c r="AI147" s="123"/>
      <c r="AJ147" s="123"/>
      <c r="AK147" s="123"/>
      <c r="AL147" s="123"/>
    </row>
    <row r="148" spans="1:38" ht="15.75" customHeight="1">
      <c r="A148" s="123"/>
      <c r="B148" s="123"/>
      <c r="C148" s="123"/>
      <c r="D148" s="282"/>
      <c r="E148" s="282"/>
      <c r="F148" s="282"/>
      <c r="G148" s="123"/>
      <c r="H148" s="123"/>
      <c r="I148" s="285"/>
      <c r="J148" s="123"/>
      <c r="K148" s="123"/>
      <c r="L148" s="123"/>
      <c r="M148" s="123"/>
      <c r="N148" s="123"/>
      <c r="O148" s="123"/>
      <c r="P148" s="123"/>
      <c r="Q148" s="123"/>
      <c r="R148" s="123"/>
      <c r="S148" s="123"/>
      <c r="T148" s="132"/>
      <c r="W148" s="133"/>
      <c r="X148" s="133"/>
      <c r="Y148" s="133"/>
      <c r="Z148" s="133"/>
      <c r="AA148" s="133"/>
      <c r="AB148" s="133"/>
      <c r="AC148" s="133"/>
      <c r="AD148" s="133"/>
      <c r="AE148" s="123"/>
      <c r="AF148" s="123"/>
      <c r="AG148" s="123"/>
      <c r="AH148" s="123"/>
      <c r="AI148" s="123"/>
      <c r="AJ148" s="123"/>
      <c r="AK148" s="123"/>
      <c r="AL148" s="123"/>
    </row>
    <row r="149" spans="1:38" ht="15.75" customHeight="1">
      <c r="A149" s="123"/>
      <c r="B149" s="123"/>
      <c r="C149" s="123"/>
      <c r="D149" s="282"/>
      <c r="E149" s="282"/>
      <c r="F149" s="282"/>
      <c r="G149" s="123"/>
      <c r="H149" s="123"/>
      <c r="I149" s="285"/>
      <c r="J149" s="123"/>
      <c r="K149" s="123"/>
      <c r="L149" s="123"/>
      <c r="M149" s="123"/>
      <c r="N149" s="123"/>
      <c r="O149" s="123"/>
      <c r="P149" s="123"/>
      <c r="Q149" s="123"/>
      <c r="R149" s="123"/>
      <c r="S149" s="123"/>
      <c r="T149" s="132"/>
      <c r="W149" s="133"/>
      <c r="X149" s="133"/>
      <c r="Y149" s="133"/>
      <c r="Z149" s="133"/>
      <c r="AA149" s="133"/>
      <c r="AB149" s="133"/>
      <c r="AC149" s="133"/>
      <c r="AD149" s="133"/>
      <c r="AE149" s="123"/>
      <c r="AF149" s="123"/>
      <c r="AG149" s="123"/>
      <c r="AH149" s="123"/>
      <c r="AI149" s="123"/>
      <c r="AJ149" s="123"/>
      <c r="AK149" s="123"/>
      <c r="AL149" s="123"/>
    </row>
    <row r="150" spans="1:38" ht="15.75" customHeight="1">
      <c r="A150" s="123"/>
      <c r="B150" s="123"/>
      <c r="C150" s="123"/>
      <c r="D150" s="282"/>
      <c r="E150" s="282"/>
      <c r="F150" s="282"/>
      <c r="G150" s="123"/>
      <c r="H150" s="123"/>
      <c r="I150" s="285"/>
      <c r="J150" s="123"/>
      <c r="K150" s="123"/>
      <c r="L150" s="123"/>
      <c r="M150" s="123"/>
      <c r="N150" s="123"/>
      <c r="O150" s="123"/>
      <c r="P150" s="123"/>
      <c r="Q150" s="123"/>
      <c r="R150" s="123"/>
      <c r="S150" s="123"/>
      <c r="T150" s="132"/>
      <c r="W150" s="133"/>
      <c r="X150" s="133"/>
      <c r="Y150" s="133"/>
      <c r="Z150" s="133"/>
      <c r="AA150" s="133"/>
      <c r="AB150" s="133"/>
      <c r="AC150" s="133"/>
      <c r="AD150" s="133"/>
      <c r="AE150" s="123"/>
      <c r="AF150" s="123"/>
      <c r="AG150" s="123"/>
      <c r="AH150" s="123"/>
      <c r="AI150" s="123"/>
      <c r="AJ150" s="123"/>
      <c r="AK150" s="123"/>
      <c r="AL150" s="123"/>
    </row>
    <row r="151" spans="1:38" ht="15.75" customHeight="1">
      <c r="A151" s="123"/>
      <c r="B151" s="123"/>
      <c r="C151" s="123"/>
      <c r="D151" s="282"/>
      <c r="E151" s="282"/>
      <c r="F151" s="282"/>
      <c r="G151" s="123"/>
      <c r="H151" s="123"/>
      <c r="I151" s="285"/>
      <c r="J151" s="123"/>
      <c r="K151" s="123"/>
      <c r="L151" s="123"/>
      <c r="M151" s="123"/>
      <c r="N151" s="123"/>
      <c r="O151" s="123"/>
      <c r="P151" s="123"/>
      <c r="Q151" s="123"/>
      <c r="R151" s="123"/>
      <c r="S151" s="123"/>
      <c r="T151" s="132"/>
      <c r="W151" s="133"/>
      <c r="X151" s="133"/>
      <c r="Y151" s="133"/>
      <c r="Z151" s="133"/>
      <c r="AA151" s="133"/>
      <c r="AB151" s="133"/>
      <c r="AC151" s="133"/>
      <c r="AD151" s="133"/>
      <c r="AE151" s="123"/>
      <c r="AF151" s="123"/>
      <c r="AG151" s="123"/>
      <c r="AH151" s="123"/>
      <c r="AI151" s="123"/>
      <c r="AJ151" s="123"/>
      <c r="AK151" s="123"/>
      <c r="AL151" s="123"/>
    </row>
    <row r="152" spans="1:38" ht="15.75" customHeight="1">
      <c r="A152" s="123"/>
      <c r="B152" s="123"/>
      <c r="C152" s="123"/>
      <c r="D152" s="282"/>
      <c r="E152" s="282"/>
      <c r="F152" s="282"/>
      <c r="G152" s="123"/>
      <c r="H152" s="123"/>
      <c r="I152" s="285"/>
      <c r="J152" s="123"/>
      <c r="K152" s="123"/>
      <c r="L152" s="123"/>
      <c r="M152" s="123"/>
      <c r="N152" s="123"/>
      <c r="O152" s="123"/>
      <c r="P152" s="123"/>
      <c r="Q152" s="123"/>
      <c r="R152" s="123"/>
      <c r="S152" s="123"/>
      <c r="T152" s="132"/>
      <c r="W152" s="133"/>
      <c r="X152" s="133"/>
      <c r="Y152" s="133"/>
      <c r="Z152" s="133"/>
      <c r="AA152" s="133"/>
      <c r="AB152" s="133"/>
      <c r="AC152" s="133"/>
      <c r="AD152" s="133"/>
      <c r="AE152" s="123"/>
      <c r="AF152" s="123"/>
      <c r="AG152" s="123"/>
      <c r="AH152" s="123"/>
      <c r="AI152" s="123"/>
      <c r="AJ152" s="123"/>
      <c r="AK152" s="123"/>
      <c r="AL152" s="123"/>
    </row>
    <row r="153" spans="1:38" ht="15.75" customHeight="1">
      <c r="A153" s="123"/>
      <c r="B153" s="123"/>
      <c r="C153" s="123"/>
      <c r="D153" s="282"/>
      <c r="E153" s="282"/>
      <c r="F153" s="282"/>
      <c r="G153" s="123"/>
      <c r="H153" s="123"/>
      <c r="I153" s="285"/>
      <c r="J153" s="123"/>
      <c r="K153" s="123"/>
      <c r="L153" s="123"/>
      <c r="M153" s="123"/>
      <c r="N153" s="123"/>
      <c r="O153" s="123"/>
      <c r="P153" s="123"/>
      <c r="Q153" s="123"/>
      <c r="R153" s="123"/>
      <c r="S153" s="123"/>
      <c r="T153" s="132"/>
      <c r="W153" s="133"/>
      <c r="X153" s="133"/>
      <c r="Y153" s="133"/>
      <c r="Z153" s="133"/>
      <c r="AA153" s="133"/>
      <c r="AB153" s="133"/>
      <c r="AC153" s="133"/>
      <c r="AD153" s="133"/>
      <c r="AE153" s="123"/>
      <c r="AF153" s="123"/>
      <c r="AG153" s="123"/>
      <c r="AH153" s="123"/>
      <c r="AI153" s="123"/>
      <c r="AJ153" s="123"/>
      <c r="AK153" s="123"/>
      <c r="AL153" s="123"/>
    </row>
    <row r="154" spans="1:38" ht="15.75" customHeight="1">
      <c r="A154" s="123"/>
      <c r="B154" s="123"/>
      <c r="C154" s="123"/>
      <c r="D154" s="282"/>
      <c r="E154" s="282"/>
      <c r="F154" s="282"/>
      <c r="G154" s="123"/>
      <c r="H154" s="123"/>
      <c r="I154" s="285"/>
      <c r="J154" s="123"/>
      <c r="K154" s="123"/>
      <c r="L154" s="123"/>
      <c r="M154" s="123"/>
      <c r="N154" s="123"/>
      <c r="O154" s="123"/>
      <c r="P154" s="123"/>
      <c r="Q154" s="123"/>
      <c r="R154" s="123"/>
      <c r="S154" s="123"/>
      <c r="T154" s="132"/>
      <c r="W154" s="133"/>
      <c r="X154" s="133"/>
      <c r="Y154" s="133"/>
      <c r="Z154" s="133"/>
      <c r="AA154" s="133"/>
      <c r="AB154" s="133"/>
      <c r="AC154" s="133"/>
      <c r="AD154" s="133"/>
      <c r="AE154" s="123"/>
      <c r="AF154" s="123"/>
      <c r="AG154" s="123"/>
      <c r="AH154" s="123"/>
      <c r="AI154" s="123"/>
      <c r="AJ154" s="123"/>
      <c r="AK154" s="123"/>
      <c r="AL154" s="123"/>
    </row>
    <row r="155" spans="1:38" ht="15.75" customHeight="1">
      <c r="A155" s="123"/>
      <c r="B155" s="123"/>
      <c r="C155" s="123"/>
      <c r="D155" s="282"/>
      <c r="E155" s="282"/>
      <c r="F155" s="282"/>
      <c r="G155" s="123"/>
      <c r="H155" s="123"/>
      <c r="I155" s="285"/>
      <c r="J155" s="123"/>
      <c r="K155" s="123"/>
      <c r="L155" s="123"/>
      <c r="M155" s="123"/>
      <c r="N155" s="123"/>
      <c r="O155" s="123"/>
      <c r="P155" s="123"/>
      <c r="Q155" s="123"/>
      <c r="R155" s="123"/>
      <c r="S155" s="123"/>
      <c r="T155" s="132"/>
      <c r="W155" s="133"/>
      <c r="X155" s="133"/>
      <c r="Y155" s="133"/>
      <c r="Z155" s="133"/>
      <c r="AA155" s="133"/>
      <c r="AB155" s="133"/>
      <c r="AC155" s="133"/>
      <c r="AD155" s="133"/>
      <c r="AE155" s="123"/>
      <c r="AF155" s="123"/>
      <c r="AG155" s="123"/>
      <c r="AH155" s="123"/>
      <c r="AI155" s="123"/>
      <c r="AJ155" s="123"/>
      <c r="AK155" s="123"/>
      <c r="AL155" s="123"/>
    </row>
    <row r="156" spans="1:38" ht="15.75" customHeight="1">
      <c r="A156" s="123"/>
      <c r="B156" s="123"/>
      <c r="C156" s="123"/>
      <c r="D156" s="282"/>
      <c r="E156" s="282"/>
      <c r="F156" s="282"/>
      <c r="G156" s="123"/>
      <c r="H156" s="123"/>
      <c r="I156" s="285"/>
      <c r="J156" s="123"/>
      <c r="K156" s="123"/>
      <c r="L156" s="123"/>
      <c r="M156" s="123"/>
      <c r="N156" s="123"/>
      <c r="O156" s="123"/>
      <c r="P156" s="123"/>
      <c r="Q156" s="123"/>
      <c r="R156" s="123"/>
      <c r="S156" s="123"/>
      <c r="T156" s="132"/>
      <c r="W156" s="133"/>
      <c r="X156" s="133"/>
      <c r="Y156" s="133"/>
      <c r="Z156" s="133"/>
      <c r="AA156" s="133"/>
      <c r="AB156" s="133"/>
      <c r="AC156" s="133"/>
      <c r="AD156" s="133"/>
      <c r="AE156" s="123"/>
      <c r="AF156" s="123"/>
      <c r="AG156" s="123"/>
      <c r="AH156" s="123"/>
      <c r="AI156" s="123"/>
      <c r="AJ156" s="123"/>
      <c r="AK156" s="123"/>
      <c r="AL156" s="123"/>
    </row>
    <row r="157" spans="1:38" ht="15.75" customHeight="1">
      <c r="A157" s="123"/>
      <c r="B157" s="123"/>
      <c r="C157" s="123"/>
      <c r="D157" s="282"/>
      <c r="E157" s="282"/>
      <c r="F157" s="282"/>
      <c r="G157" s="123"/>
      <c r="H157" s="123"/>
      <c r="I157" s="285"/>
      <c r="J157" s="123"/>
      <c r="K157" s="123"/>
      <c r="L157" s="123"/>
      <c r="M157" s="123"/>
      <c r="N157" s="123"/>
      <c r="O157" s="123"/>
      <c r="P157" s="123"/>
      <c r="Q157" s="123"/>
      <c r="R157" s="123"/>
      <c r="S157" s="123"/>
      <c r="T157" s="132"/>
      <c r="W157" s="133"/>
      <c r="X157" s="133"/>
      <c r="Y157" s="133"/>
      <c r="Z157" s="133"/>
      <c r="AA157" s="133"/>
      <c r="AB157" s="133"/>
      <c r="AC157" s="133"/>
      <c r="AD157" s="133"/>
      <c r="AE157" s="123"/>
      <c r="AF157" s="123"/>
      <c r="AG157" s="123"/>
      <c r="AH157" s="123"/>
      <c r="AI157" s="123"/>
      <c r="AJ157" s="123"/>
      <c r="AK157" s="123"/>
      <c r="AL157" s="123"/>
    </row>
    <row r="158" spans="1:38" ht="15.75" customHeight="1">
      <c r="A158" s="123"/>
      <c r="B158" s="123"/>
      <c r="C158" s="123"/>
      <c r="D158" s="282"/>
      <c r="E158" s="282"/>
      <c r="F158" s="282"/>
      <c r="G158" s="123"/>
      <c r="H158" s="123"/>
      <c r="I158" s="285"/>
      <c r="J158" s="123"/>
      <c r="K158" s="123"/>
      <c r="L158" s="123"/>
      <c r="M158" s="123"/>
      <c r="N158" s="123"/>
      <c r="O158" s="123"/>
      <c r="P158" s="123"/>
      <c r="Q158" s="123"/>
      <c r="R158" s="123"/>
      <c r="S158" s="123"/>
      <c r="T158" s="132"/>
      <c r="W158" s="133"/>
      <c r="X158" s="133"/>
      <c r="Y158" s="133"/>
      <c r="Z158" s="133"/>
      <c r="AA158" s="133"/>
      <c r="AB158" s="133"/>
      <c r="AC158" s="133"/>
      <c r="AD158" s="133"/>
      <c r="AE158" s="123"/>
      <c r="AF158" s="123"/>
      <c r="AG158" s="123"/>
      <c r="AH158" s="123"/>
      <c r="AI158" s="123"/>
      <c r="AJ158" s="123"/>
      <c r="AK158" s="123"/>
      <c r="AL158" s="123"/>
    </row>
    <row r="159" spans="1:38" ht="15.75" customHeight="1">
      <c r="A159" s="123"/>
      <c r="B159" s="123"/>
      <c r="C159" s="123"/>
      <c r="D159" s="282"/>
      <c r="E159" s="282"/>
      <c r="F159" s="282"/>
      <c r="G159" s="123"/>
      <c r="H159" s="123"/>
      <c r="I159" s="285"/>
      <c r="J159" s="123"/>
      <c r="K159" s="123"/>
      <c r="L159" s="123"/>
      <c r="M159" s="123"/>
      <c r="N159" s="123"/>
      <c r="O159" s="123"/>
      <c r="P159" s="123"/>
      <c r="Q159" s="123"/>
      <c r="R159" s="123"/>
      <c r="S159" s="123"/>
      <c r="T159" s="132"/>
      <c r="W159" s="133"/>
      <c r="X159" s="133"/>
      <c r="Y159" s="133"/>
      <c r="Z159" s="133"/>
      <c r="AA159" s="133"/>
      <c r="AB159" s="133"/>
      <c r="AC159" s="133"/>
      <c r="AD159" s="133"/>
      <c r="AE159" s="123"/>
      <c r="AF159" s="123"/>
      <c r="AG159" s="123"/>
      <c r="AH159" s="123"/>
      <c r="AI159" s="123"/>
      <c r="AJ159" s="123"/>
      <c r="AK159" s="123"/>
      <c r="AL159" s="123"/>
    </row>
    <row r="160" spans="1:38" ht="15.75" customHeight="1">
      <c r="A160" s="123"/>
      <c r="B160" s="123"/>
      <c r="C160" s="123"/>
      <c r="D160" s="282"/>
      <c r="E160" s="282"/>
      <c r="F160" s="282"/>
      <c r="G160" s="123"/>
      <c r="H160" s="123"/>
      <c r="I160" s="285"/>
      <c r="J160" s="123"/>
      <c r="K160" s="123"/>
      <c r="L160" s="123"/>
      <c r="M160" s="123"/>
      <c r="N160" s="123"/>
      <c r="O160" s="123"/>
      <c r="P160" s="123"/>
      <c r="Q160" s="123"/>
      <c r="R160" s="123"/>
      <c r="S160" s="123"/>
      <c r="T160" s="132"/>
      <c r="W160" s="133"/>
      <c r="X160" s="133"/>
      <c r="Y160" s="133"/>
      <c r="Z160" s="133"/>
      <c r="AA160" s="133"/>
      <c r="AB160" s="133"/>
      <c r="AC160" s="133"/>
      <c r="AD160" s="133"/>
      <c r="AE160" s="123"/>
      <c r="AF160" s="123"/>
      <c r="AG160" s="123"/>
      <c r="AH160" s="123"/>
      <c r="AI160" s="123"/>
      <c r="AJ160" s="123"/>
      <c r="AK160" s="123"/>
      <c r="AL160" s="123"/>
    </row>
    <row r="161" spans="1:38" ht="15.75" customHeight="1">
      <c r="A161" s="123"/>
      <c r="B161" s="123"/>
      <c r="C161" s="123"/>
      <c r="D161" s="282"/>
      <c r="E161" s="282"/>
      <c r="F161" s="282"/>
      <c r="G161" s="123"/>
      <c r="H161" s="123"/>
      <c r="I161" s="285"/>
      <c r="J161" s="123"/>
      <c r="K161" s="123"/>
      <c r="L161" s="123"/>
      <c r="M161" s="123"/>
      <c r="N161" s="123"/>
      <c r="O161" s="123"/>
      <c r="P161" s="123"/>
      <c r="Q161" s="123"/>
      <c r="R161" s="123"/>
      <c r="S161" s="123"/>
      <c r="T161" s="132"/>
      <c r="W161" s="133"/>
      <c r="X161" s="133"/>
      <c r="Y161" s="133"/>
      <c r="Z161" s="133"/>
      <c r="AA161" s="133"/>
      <c r="AB161" s="133"/>
      <c r="AC161" s="133"/>
      <c r="AD161" s="133"/>
      <c r="AE161" s="123"/>
      <c r="AF161" s="123"/>
      <c r="AG161" s="123"/>
      <c r="AH161" s="123"/>
      <c r="AI161" s="123"/>
      <c r="AJ161" s="123"/>
      <c r="AK161" s="123"/>
      <c r="AL161" s="123"/>
    </row>
    <row r="162" spans="1:38" ht="15.75" customHeight="1">
      <c r="A162" s="123"/>
      <c r="B162" s="123"/>
      <c r="C162" s="123"/>
      <c r="D162" s="282"/>
      <c r="E162" s="282"/>
      <c r="F162" s="282"/>
      <c r="G162" s="123"/>
      <c r="H162" s="123"/>
      <c r="I162" s="285"/>
      <c r="J162" s="123"/>
      <c r="K162" s="123"/>
      <c r="L162" s="123"/>
      <c r="M162" s="123"/>
      <c r="N162" s="123"/>
      <c r="O162" s="123"/>
      <c r="P162" s="123"/>
      <c r="Q162" s="123"/>
      <c r="R162" s="123"/>
      <c r="S162" s="123"/>
      <c r="T162" s="132"/>
      <c r="W162" s="133"/>
      <c r="X162" s="133"/>
      <c r="Y162" s="133"/>
      <c r="Z162" s="133"/>
      <c r="AA162" s="133"/>
      <c r="AB162" s="133"/>
      <c r="AC162" s="133"/>
      <c r="AD162" s="133"/>
      <c r="AE162" s="123"/>
      <c r="AF162" s="123"/>
      <c r="AG162" s="123"/>
      <c r="AH162" s="123"/>
      <c r="AI162" s="123"/>
      <c r="AJ162" s="123"/>
      <c r="AK162" s="123"/>
      <c r="AL162" s="123"/>
    </row>
    <row r="163" spans="1:38" ht="15.75" customHeight="1">
      <c r="A163" s="123"/>
      <c r="B163" s="123"/>
      <c r="C163" s="123"/>
      <c r="D163" s="282"/>
      <c r="E163" s="282"/>
      <c r="F163" s="282"/>
      <c r="G163" s="123"/>
      <c r="H163" s="123"/>
      <c r="I163" s="285"/>
      <c r="J163" s="123"/>
      <c r="K163" s="123"/>
      <c r="L163" s="123"/>
      <c r="M163" s="123"/>
      <c r="N163" s="123"/>
      <c r="O163" s="123"/>
      <c r="P163" s="123"/>
      <c r="Q163" s="123"/>
      <c r="R163" s="123"/>
      <c r="S163" s="123"/>
      <c r="T163" s="132"/>
      <c r="W163" s="133"/>
      <c r="X163" s="133"/>
      <c r="Y163" s="133"/>
      <c r="Z163" s="133"/>
      <c r="AA163" s="133"/>
      <c r="AB163" s="133"/>
      <c r="AC163" s="133"/>
      <c r="AD163" s="133"/>
      <c r="AE163" s="123"/>
      <c r="AF163" s="123"/>
      <c r="AG163" s="123"/>
      <c r="AH163" s="123"/>
      <c r="AI163" s="123"/>
      <c r="AJ163" s="123"/>
      <c r="AK163" s="123"/>
      <c r="AL163" s="123"/>
    </row>
    <row r="164" spans="1:38" ht="15.75" customHeight="1">
      <c r="A164" s="123"/>
      <c r="B164" s="123"/>
      <c r="C164" s="123"/>
      <c r="D164" s="282"/>
      <c r="E164" s="282"/>
      <c r="F164" s="282"/>
      <c r="G164" s="123"/>
      <c r="H164" s="123"/>
      <c r="I164" s="285"/>
      <c r="J164" s="123"/>
      <c r="K164" s="123"/>
      <c r="L164" s="123"/>
      <c r="M164" s="123"/>
      <c r="N164" s="123"/>
      <c r="O164" s="123"/>
      <c r="P164" s="123"/>
      <c r="Q164" s="123"/>
      <c r="R164" s="123"/>
      <c r="S164" s="123"/>
      <c r="T164" s="132"/>
      <c r="W164" s="133"/>
      <c r="X164" s="133"/>
      <c r="Y164" s="133"/>
      <c r="Z164" s="133"/>
      <c r="AA164" s="133"/>
      <c r="AB164" s="133"/>
      <c r="AC164" s="133"/>
      <c r="AD164" s="133"/>
      <c r="AE164" s="123"/>
      <c r="AF164" s="123"/>
      <c r="AG164" s="123"/>
      <c r="AH164" s="123"/>
      <c r="AI164" s="123"/>
      <c r="AJ164" s="123"/>
      <c r="AK164" s="123"/>
      <c r="AL164" s="123"/>
    </row>
    <row r="165" spans="1:38" ht="15.75" customHeight="1">
      <c r="A165" s="123"/>
      <c r="B165" s="123"/>
      <c r="C165" s="123"/>
      <c r="D165" s="282"/>
      <c r="E165" s="282"/>
      <c r="F165" s="282"/>
      <c r="G165" s="123"/>
      <c r="H165" s="123"/>
      <c r="I165" s="285"/>
      <c r="J165" s="123"/>
      <c r="K165" s="123"/>
      <c r="L165" s="123"/>
      <c r="M165" s="123"/>
      <c r="N165" s="123"/>
      <c r="O165" s="123"/>
      <c r="P165" s="123"/>
      <c r="Q165" s="123"/>
      <c r="R165" s="123"/>
      <c r="S165" s="123"/>
      <c r="T165" s="132"/>
      <c r="W165" s="133"/>
      <c r="X165" s="133"/>
      <c r="Y165" s="133"/>
      <c r="Z165" s="133"/>
      <c r="AA165" s="133"/>
      <c r="AB165" s="133"/>
      <c r="AC165" s="133"/>
      <c r="AD165" s="133"/>
      <c r="AE165" s="123"/>
      <c r="AF165" s="123"/>
      <c r="AG165" s="123"/>
      <c r="AH165" s="123"/>
      <c r="AI165" s="123"/>
      <c r="AJ165" s="123"/>
      <c r="AK165" s="123"/>
      <c r="AL165" s="123"/>
    </row>
    <row r="166" spans="1:38" ht="15.75" customHeight="1">
      <c r="A166" s="123"/>
      <c r="B166" s="123"/>
      <c r="C166" s="123"/>
      <c r="D166" s="282"/>
      <c r="E166" s="282"/>
      <c r="F166" s="282"/>
      <c r="G166" s="123"/>
      <c r="H166" s="123"/>
      <c r="I166" s="285"/>
      <c r="J166" s="123"/>
      <c r="K166" s="123"/>
      <c r="L166" s="123"/>
      <c r="M166" s="123"/>
      <c r="N166" s="123"/>
      <c r="O166" s="123"/>
      <c r="P166" s="123"/>
      <c r="Q166" s="123"/>
      <c r="R166" s="123"/>
      <c r="S166" s="123"/>
      <c r="T166" s="132"/>
      <c r="W166" s="133"/>
      <c r="X166" s="133"/>
      <c r="Y166" s="133"/>
      <c r="Z166" s="133"/>
      <c r="AA166" s="133"/>
      <c r="AB166" s="133"/>
      <c r="AC166" s="133"/>
      <c r="AD166" s="133"/>
      <c r="AE166" s="123"/>
      <c r="AF166" s="123"/>
      <c r="AG166" s="123"/>
      <c r="AH166" s="123"/>
      <c r="AI166" s="123"/>
      <c r="AJ166" s="123"/>
      <c r="AK166" s="123"/>
      <c r="AL166" s="123"/>
    </row>
    <row r="167" spans="1:38" ht="15.75" customHeight="1">
      <c r="A167" s="123"/>
      <c r="B167" s="123"/>
      <c r="C167" s="123"/>
      <c r="D167" s="282"/>
      <c r="E167" s="282"/>
      <c r="F167" s="282"/>
      <c r="G167" s="123"/>
      <c r="H167" s="123"/>
      <c r="I167" s="285"/>
      <c r="J167" s="123"/>
      <c r="K167" s="123"/>
      <c r="L167" s="123"/>
      <c r="M167" s="123"/>
      <c r="N167" s="123"/>
      <c r="O167" s="123"/>
      <c r="P167" s="123"/>
      <c r="Q167" s="123"/>
      <c r="R167" s="123"/>
      <c r="S167" s="123"/>
      <c r="T167" s="132"/>
      <c r="W167" s="133"/>
      <c r="X167" s="133"/>
      <c r="Y167" s="133"/>
      <c r="Z167" s="133"/>
      <c r="AA167" s="133"/>
      <c r="AB167" s="133"/>
      <c r="AC167" s="133"/>
      <c r="AD167" s="133"/>
      <c r="AE167" s="123"/>
      <c r="AF167" s="123"/>
      <c r="AG167" s="123"/>
      <c r="AH167" s="123"/>
      <c r="AI167" s="123"/>
      <c r="AJ167" s="123"/>
      <c r="AK167" s="123"/>
      <c r="AL167" s="123"/>
    </row>
    <row r="168" spans="1:38" ht="15.75" customHeight="1">
      <c r="A168" s="123"/>
      <c r="B168" s="123"/>
      <c r="C168" s="123"/>
      <c r="D168" s="282"/>
      <c r="E168" s="282"/>
      <c r="F168" s="282"/>
      <c r="G168" s="123"/>
      <c r="H168" s="123"/>
      <c r="I168" s="285"/>
      <c r="J168" s="123"/>
      <c r="K168" s="123"/>
      <c r="L168" s="123"/>
      <c r="M168" s="123"/>
      <c r="N168" s="123"/>
      <c r="O168" s="123"/>
      <c r="P168" s="123"/>
      <c r="Q168" s="123"/>
      <c r="R168" s="123"/>
      <c r="S168" s="123"/>
      <c r="T168" s="132"/>
      <c r="W168" s="133"/>
      <c r="X168" s="133"/>
      <c r="Y168" s="133"/>
      <c r="Z168" s="133"/>
      <c r="AA168" s="133"/>
      <c r="AB168" s="133"/>
      <c r="AC168" s="133"/>
      <c r="AD168" s="133"/>
      <c r="AE168" s="123"/>
      <c r="AF168" s="123"/>
      <c r="AG168" s="123"/>
      <c r="AH168" s="123"/>
      <c r="AI168" s="123"/>
      <c r="AJ168" s="123"/>
      <c r="AK168" s="123"/>
      <c r="AL168" s="123"/>
    </row>
    <row r="169" spans="1:38" ht="15.75" customHeight="1">
      <c r="A169" s="123"/>
      <c r="B169" s="123"/>
      <c r="C169" s="123"/>
      <c r="D169" s="282"/>
      <c r="E169" s="282"/>
      <c r="F169" s="282"/>
      <c r="G169" s="123"/>
      <c r="H169" s="123"/>
      <c r="I169" s="285"/>
      <c r="J169" s="123"/>
      <c r="K169" s="123"/>
      <c r="L169" s="123"/>
      <c r="M169" s="123"/>
      <c r="N169" s="123"/>
      <c r="O169" s="123"/>
      <c r="P169" s="123"/>
      <c r="Q169" s="123"/>
      <c r="R169" s="123"/>
      <c r="S169" s="123"/>
      <c r="T169" s="132"/>
      <c r="W169" s="133"/>
      <c r="X169" s="133"/>
      <c r="Y169" s="133"/>
      <c r="Z169" s="133"/>
      <c r="AA169" s="133"/>
      <c r="AB169" s="133"/>
      <c r="AC169" s="133"/>
      <c r="AD169" s="133"/>
      <c r="AE169" s="123"/>
      <c r="AF169" s="123"/>
      <c r="AG169" s="123"/>
      <c r="AH169" s="123"/>
      <c r="AI169" s="123"/>
      <c r="AJ169" s="123"/>
      <c r="AK169" s="123"/>
      <c r="AL169" s="123"/>
    </row>
    <row r="170" spans="1:38" ht="15.75" customHeight="1">
      <c r="A170" s="123"/>
      <c r="B170" s="123"/>
      <c r="C170" s="123"/>
      <c r="D170" s="282"/>
      <c r="E170" s="282"/>
      <c r="F170" s="282"/>
      <c r="G170" s="123"/>
      <c r="H170" s="123"/>
      <c r="I170" s="285"/>
      <c r="J170" s="123"/>
      <c r="K170" s="123"/>
      <c r="L170" s="123"/>
      <c r="M170" s="123"/>
      <c r="N170" s="123"/>
      <c r="O170" s="123"/>
      <c r="P170" s="123"/>
      <c r="Q170" s="123"/>
      <c r="R170" s="123"/>
      <c r="S170" s="123"/>
      <c r="T170" s="132"/>
      <c r="W170" s="133"/>
      <c r="X170" s="133"/>
      <c r="Y170" s="133"/>
      <c r="Z170" s="133"/>
      <c r="AA170" s="133"/>
      <c r="AB170" s="133"/>
      <c r="AC170" s="133"/>
      <c r="AD170" s="133"/>
      <c r="AE170" s="123"/>
      <c r="AF170" s="123"/>
      <c r="AG170" s="123"/>
      <c r="AH170" s="123"/>
      <c r="AI170" s="123"/>
      <c r="AJ170" s="123"/>
      <c r="AK170" s="123"/>
      <c r="AL170" s="123"/>
    </row>
    <row r="171" spans="1:38" ht="15.75" customHeight="1">
      <c r="A171" s="123"/>
      <c r="B171" s="123"/>
      <c r="C171" s="123"/>
      <c r="D171" s="282"/>
      <c r="E171" s="282"/>
      <c r="F171" s="282"/>
      <c r="G171" s="123"/>
      <c r="H171" s="123"/>
      <c r="I171" s="285"/>
      <c r="J171" s="123"/>
      <c r="K171" s="123"/>
      <c r="L171" s="123"/>
      <c r="M171" s="123"/>
      <c r="N171" s="123"/>
      <c r="O171" s="123"/>
      <c r="P171" s="123"/>
      <c r="Q171" s="123"/>
      <c r="R171" s="123"/>
      <c r="S171" s="123"/>
      <c r="T171" s="132"/>
      <c r="W171" s="133"/>
      <c r="X171" s="133"/>
      <c r="Y171" s="133"/>
      <c r="Z171" s="133"/>
      <c r="AA171" s="133"/>
      <c r="AB171" s="133"/>
      <c r="AC171" s="133"/>
      <c r="AD171" s="133"/>
      <c r="AE171" s="123"/>
      <c r="AF171" s="123"/>
      <c r="AG171" s="123"/>
      <c r="AH171" s="123"/>
      <c r="AI171" s="123"/>
      <c r="AJ171" s="123"/>
      <c r="AK171" s="123"/>
      <c r="AL171" s="123"/>
    </row>
    <row r="172" spans="1:38" ht="15.75" customHeight="1">
      <c r="A172" s="123"/>
      <c r="B172" s="123"/>
      <c r="C172" s="123"/>
      <c r="D172" s="282"/>
      <c r="E172" s="282"/>
      <c r="F172" s="282"/>
      <c r="G172" s="123"/>
      <c r="H172" s="123"/>
      <c r="I172" s="285"/>
      <c r="J172" s="123"/>
      <c r="K172" s="123"/>
      <c r="L172" s="123"/>
      <c r="M172" s="123"/>
      <c r="N172" s="123"/>
      <c r="O172" s="123"/>
      <c r="P172" s="123"/>
      <c r="Q172" s="123"/>
      <c r="R172" s="123"/>
      <c r="S172" s="123"/>
      <c r="T172" s="132"/>
      <c r="W172" s="133"/>
      <c r="X172" s="133"/>
      <c r="Y172" s="133"/>
      <c r="Z172" s="133"/>
      <c r="AA172" s="133"/>
      <c r="AB172" s="133"/>
      <c r="AC172" s="133"/>
      <c r="AD172" s="133"/>
      <c r="AE172" s="123"/>
      <c r="AF172" s="123"/>
      <c r="AG172" s="123"/>
      <c r="AH172" s="123"/>
      <c r="AI172" s="123"/>
      <c r="AJ172" s="123"/>
      <c r="AK172" s="123"/>
      <c r="AL172" s="123"/>
    </row>
    <row r="173" spans="1:38" ht="15.75" customHeight="1">
      <c r="A173" s="123"/>
      <c r="B173" s="123"/>
      <c r="C173" s="123"/>
      <c r="D173" s="282"/>
      <c r="E173" s="282"/>
      <c r="F173" s="282"/>
      <c r="G173" s="123"/>
      <c r="H173" s="123"/>
      <c r="I173" s="285"/>
      <c r="J173" s="123"/>
      <c r="K173" s="123"/>
      <c r="L173" s="123"/>
      <c r="M173" s="123"/>
      <c r="N173" s="123"/>
      <c r="O173" s="123"/>
      <c r="P173" s="123"/>
      <c r="Q173" s="123"/>
      <c r="R173" s="123"/>
      <c r="S173" s="123"/>
      <c r="T173" s="132"/>
      <c r="W173" s="133"/>
      <c r="X173" s="133"/>
      <c r="Y173" s="133"/>
      <c r="Z173" s="133"/>
      <c r="AA173" s="133"/>
      <c r="AB173" s="133"/>
      <c r="AC173" s="133"/>
      <c r="AD173" s="133"/>
      <c r="AE173" s="123"/>
      <c r="AF173" s="123"/>
      <c r="AG173" s="123"/>
      <c r="AH173" s="123"/>
      <c r="AI173" s="123"/>
      <c r="AJ173" s="123"/>
      <c r="AK173" s="123"/>
      <c r="AL173" s="123"/>
    </row>
    <row r="174" spans="1:38" ht="15.75" customHeight="1">
      <c r="A174" s="123"/>
      <c r="B174" s="123"/>
      <c r="C174" s="123"/>
      <c r="D174" s="282"/>
      <c r="E174" s="282"/>
      <c r="F174" s="282"/>
      <c r="G174" s="123"/>
      <c r="H174" s="123"/>
      <c r="I174" s="285"/>
      <c r="J174" s="123"/>
      <c r="K174" s="123"/>
      <c r="L174" s="123"/>
      <c r="M174" s="123"/>
      <c r="N174" s="123"/>
      <c r="O174" s="123"/>
      <c r="P174" s="123"/>
      <c r="Q174" s="123"/>
      <c r="R174" s="123"/>
      <c r="S174" s="123"/>
      <c r="T174" s="132"/>
      <c r="W174" s="133"/>
      <c r="X174" s="133"/>
      <c r="Y174" s="133"/>
      <c r="Z174" s="133"/>
      <c r="AA174" s="133"/>
      <c r="AB174" s="133"/>
      <c r="AC174" s="133"/>
      <c r="AD174" s="133"/>
      <c r="AE174" s="123"/>
      <c r="AF174" s="123"/>
      <c r="AG174" s="123"/>
      <c r="AH174" s="123"/>
      <c r="AI174" s="123"/>
      <c r="AJ174" s="123"/>
      <c r="AK174" s="123"/>
      <c r="AL174" s="123"/>
    </row>
    <row r="175" spans="1:38" ht="15.75" customHeight="1">
      <c r="A175" s="123"/>
      <c r="B175" s="123"/>
      <c r="C175" s="123"/>
      <c r="D175" s="282"/>
      <c r="E175" s="282"/>
      <c r="F175" s="282"/>
      <c r="G175" s="123"/>
      <c r="H175" s="123"/>
      <c r="I175" s="285"/>
      <c r="J175" s="123"/>
      <c r="K175" s="123"/>
      <c r="L175" s="123"/>
      <c r="M175" s="123"/>
      <c r="N175" s="123"/>
      <c r="O175" s="123"/>
      <c r="P175" s="123"/>
      <c r="Q175" s="123"/>
      <c r="R175" s="123"/>
      <c r="S175" s="123"/>
      <c r="T175" s="132"/>
      <c r="W175" s="133"/>
      <c r="X175" s="133"/>
      <c r="Y175" s="133"/>
      <c r="Z175" s="133"/>
      <c r="AA175" s="133"/>
      <c r="AB175" s="133"/>
      <c r="AC175" s="133"/>
      <c r="AD175" s="133"/>
      <c r="AE175" s="123"/>
      <c r="AF175" s="123"/>
      <c r="AG175" s="123"/>
      <c r="AH175" s="123"/>
      <c r="AI175" s="123"/>
      <c r="AJ175" s="123"/>
      <c r="AK175" s="123"/>
      <c r="AL175" s="123"/>
    </row>
    <row r="176" spans="1:38" ht="15.75" customHeight="1">
      <c r="A176" s="123"/>
      <c r="B176" s="123"/>
      <c r="C176" s="123"/>
      <c r="D176" s="282"/>
      <c r="E176" s="282"/>
      <c r="F176" s="282"/>
      <c r="G176" s="123"/>
      <c r="H176" s="123"/>
      <c r="I176" s="285"/>
      <c r="J176" s="123"/>
      <c r="K176" s="123"/>
      <c r="L176" s="123"/>
      <c r="M176" s="123"/>
      <c r="N176" s="123"/>
      <c r="O176" s="123"/>
      <c r="P176" s="123"/>
      <c r="Q176" s="123"/>
      <c r="R176" s="123"/>
      <c r="S176" s="123"/>
      <c r="T176" s="132"/>
      <c r="W176" s="133"/>
      <c r="X176" s="133"/>
      <c r="Y176" s="133"/>
      <c r="Z176" s="133"/>
      <c r="AA176" s="133"/>
      <c r="AB176" s="133"/>
      <c r="AC176" s="133"/>
      <c r="AD176" s="133"/>
      <c r="AE176" s="123"/>
      <c r="AF176" s="123"/>
      <c r="AG176" s="123"/>
      <c r="AH176" s="123"/>
      <c r="AI176" s="123"/>
      <c r="AJ176" s="123"/>
      <c r="AK176" s="123"/>
      <c r="AL176" s="123"/>
    </row>
    <row r="177" spans="1:38" ht="15.75" customHeight="1">
      <c r="A177" s="123"/>
      <c r="B177" s="123"/>
      <c r="C177" s="123"/>
      <c r="D177" s="282"/>
      <c r="E177" s="282"/>
      <c r="F177" s="282"/>
      <c r="G177" s="123"/>
      <c r="H177" s="123"/>
      <c r="I177" s="285"/>
      <c r="J177" s="123"/>
      <c r="K177" s="123"/>
      <c r="L177" s="123"/>
      <c r="M177" s="123"/>
      <c r="N177" s="123"/>
      <c r="O177" s="123"/>
      <c r="P177" s="123"/>
      <c r="Q177" s="123"/>
      <c r="R177" s="123"/>
      <c r="S177" s="123"/>
      <c r="T177" s="132"/>
      <c r="W177" s="133"/>
      <c r="X177" s="133"/>
      <c r="Y177" s="133"/>
      <c r="Z177" s="133"/>
      <c r="AA177" s="133"/>
      <c r="AB177" s="133"/>
      <c r="AC177" s="133"/>
      <c r="AD177" s="133"/>
      <c r="AE177" s="123"/>
      <c r="AF177" s="123"/>
      <c r="AG177" s="123"/>
      <c r="AH177" s="123"/>
      <c r="AI177" s="123"/>
      <c r="AJ177" s="123"/>
      <c r="AK177" s="123"/>
      <c r="AL177" s="123"/>
    </row>
    <row r="178" spans="1:38" ht="15.75" customHeight="1">
      <c r="A178" s="123"/>
      <c r="B178" s="123"/>
      <c r="C178" s="123"/>
      <c r="D178" s="282"/>
      <c r="E178" s="282"/>
      <c r="F178" s="282"/>
      <c r="G178" s="123"/>
      <c r="H178" s="123"/>
      <c r="I178" s="285"/>
      <c r="J178" s="123"/>
      <c r="K178" s="123"/>
      <c r="L178" s="123"/>
      <c r="M178" s="123"/>
      <c r="N178" s="123"/>
      <c r="O178" s="123"/>
      <c r="P178" s="123"/>
      <c r="Q178" s="123"/>
      <c r="R178" s="123"/>
      <c r="S178" s="123"/>
      <c r="T178" s="132"/>
      <c r="W178" s="133"/>
      <c r="X178" s="133"/>
      <c r="Y178" s="133"/>
      <c r="Z178" s="133"/>
      <c r="AA178" s="133"/>
      <c r="AB178" s="133"/>
      <c r="AC178" s="133"/>
      <c r="AD178" s="133"/>
      <c r="AE178" s="123"/>
      <c r="AF178" s="123"/>
      <c r="AG178" s="123"/>
      <c r="AH178" s="123"/>
      <c r="AI178" s="123"/>
      <c r="AJ178" s="123"/>
      <c r="AK178" s="123"/>
      <c r="AL178" s="123"/>
    </row>
    <row r="179" spans="1:38" ht="15.75" customHeight="1">
      <c r="A179" s="123"/>
      <c r="B179" s="123"/>
      <c r="C179" s="123"/>
      <c r="D179" s="282"/>
      <c r="E179" s="282"/>
      <c r="F179" s="282"/>
      <c r="G179" s="123"/>
      <c r="H179" s="123"/>
      <c r="I179" s="285"/>
      <c r="J179" s="123"/>
      <c r="K179" s="123"/>
      <c r="L179" s="123"/>
      <c r="M179" s="123"/>
      <c r="N179" s="123"/>
      <c r="O179" s="123"/>
      <c r="P179" s="123"/>
      <c r="Q179" s="123"/>
      <c r="R179" s="123"/>
      <c r="S179" s="123"/>
      <c r="T179" s="132"/>
      <c r="W179" s="133"/>
      <c r="X179" s="133"/>
      <c r="Y179" s="133"/>
      <c r="Z179" s="133"/>
      <c r="AA179" s="133"/>
      <c r="AB179" s="133"/>
      <c r="AC179" s="133"/>
      <c r="AD179" s="133"/>
      <c r="AE179" s="123"/>
      <c r="AF179" s="123"/>
      <c r="AG179" s="123"/>
      <c r="AH179" s="123"/>
      <c r="AI179" s="123"/>
      <c r="AJ179" s="123"/>
      <c r="AK179" s="123"/>
      <c r="AL179" s="123"/>
    </row>
    <row r="180" spans="1:38" ht="15.75" customHeight="1">
      <c r="A180" s="123"/>
      <c r="B180" s="123"/>
      <c r="C180" s="123"/>
      <c r="D180" s="282"/>
      <c r="E180" s="282"/>
      <c r="F180" s="282"/>
      <c r="G180" s="123"/>
      <c r="H180" s="123"/>
      <c r="I180" s="285"/>
      <c r="J180" s="123"/>
      <c r="K180" s="123"/>
      <c r="L180" s="123"/>
      <c r="M180" s="123"/>
      <c r="N180" s="123"/>
      <c r="O180" s="123"/>
      <c r="P180" s="123"/>
      <c r="Q180" s="123"/>
      <c r="R180" s="123"/>
      <c r="S180" s="123"/>
      <c r="T180" s="132"/>
      <c r="W180" s="133"/>
      <c r="X180" s="133"/>
      <c r="Y180" s="133"/>
      <c r="Z180" s="133"/>
      <c r="AA180" s="133"/>
      <c r="AB180" s="133"/>
      <c r="AC180" s="133"/>
      <c r="AD180" s="133"/>
      <c r="AE180" s="123"/>
      <c r="AF180" s="123"/>
      <c r="AG180" s="123"/>
      <c r="AH180" s="123"/>
      <c r="AI180" s="123"/>
      <c r="AJ180" s="123"/>
      <c r="AK180" s="123"/>
      <c r="AL180" s="123"/>
    </row>
    <row r="181" spans="1:38" ht="15.75" customHeight="1">
      <c r="A181" s="123"/>
      <c r="B181" s="123"/>
      <c r="C181" s="123"/>
      <c r="D181" s="282"/>
      <c r="E181" s="282"/>
      <c r="F181" s="282"/>
      <c r="G181" s="123"/>
      <c r="H181" s="123"/>
      <c r="I181" s="285"/>
      <c r="J181" s="123"/>
      <c r="K181" s="123"/>
      <c r="L181" s="123"/>
      <c r="M181" s="123"/>
      <c r="N181" s="123"/>
      <c r="O181" s="123"/>
      <c r="P181" s="123"/>
      <c r="Q181" s="123"/>
      <c r="R181" s="123"/>
      <c r="S181" s="123"/>
      <c r="T181" s="132"/>
      <c r="W181" s="133"/>
      <c r="X181" s="133"/>
      <c r="Y181" s="133"/>
      <c r="Z181" s="133"/>
      <c r="AA181" s="133"/>
      <c r="AB181" s="133"/>
      <c r="AC181" s="133"/>
      <c r="AD181" s="133"/>
      <c r="AE181" s="123"/>
      <c r="AF181" s="123"/>
      <c r="AG181" s="123"/>
      <c r="AH181" s="123"/>
      <c r="AI181" s="123"/>
      <c r="AJ181" s="123"/>
      <c r="AK181" s="123"/>
      <c r="AL181" s="123"/>
    </row>
    <row r="182" spans="1:38" ht="15.75" customHeight="1">
      <c r="A182" s="123"/>
      <c r="B182" s="123"/>
      <c r="C182" s="123"/>
      <c r="D182" s="282"/>
      <c r="E182" s="282"/>
      <c r="F182" s="282"/>
      <c r="G182" s="123"/>
      <c r="H182" s="123"/>
      <c r="I182" s="285"/>
      <c r="J182" s="123"/>
      <c r="K182" s="123"/>
      <c r="L182" s="123"/>
      <c r="M182" s="123"/>
      <c r="N182" s="123"/>
      <c r="O182" s="123"/>
      <c r="P182" s="123"/>
      <c r="Q182" s="123"/>
      <c r="R182" s="123"/>
      <c r="S182" s="123"/>
      <c r="T182" s="132"/>
      <c r="W182" s="133"/>
      <c r="X182" s="133"/>
      <c r="Y182" s="133"/>
      <c r="Z182" s="133"/>
      <c r="AA182" s="133"/>
      <c r="AB182" s="133"/>
      <c r="AC182" s="133"/>
      <c r="AD182" s="133"/>
      <c r="AE182" s="123"/>
      <c r="AF182" s="123"/>
      <c r="AG182" s="123"/>
      <c r="AH182" s="123"/>
      <c r="AI182" s="123"/>
      <c r="AJ182" s="123"/>
      <c r="AK182" s="123"/>
      <c r="AL182" s="123"/>
    </row>
    <row r="183" spans="1:38" ht="15.75" customHeight="1">
      <c r="A183" s="123"/>
      <c r="B183" s="123"/>
      <c r="C183" s="123"/>
      <c r="D183" s="282"/>
      <c r="E183" s="282"/>
      <c r="F183" s="282"/>
      <c r="G183" s="123"/>
      <c r="H183" s="123"/>
      <c r="I183" s="285"/>
      <c r="J183" s="123"/>
      <c r="K183" s="123"/>
      <c r="L183" s="123"/>
      <c r="M183" s="123"/>
      <c r="N183" s="123"/>
      <c r="O183" s="123"/>
      <c r="P183" s="123"/>
      <c r="Q183" s="123"/>
      <c r="R183" s="123"/>
      <c r="S183" s="123"/>
      <c r="T183" s="132"/>
      <c r="W183" s="133"/>
      <c r="X183" s="133"/>
      <c r="Y183" s="133"/>
      <c r="Z183" s="133"/>
      <c r="AA183" s="133"/>
      <c r="AB183" s="133"/>
      <c r="AC183" s="133"/>
      <c r="AD183" s="133"/>
      <c r="AE183" s="123"/>
      <c r="AF183" s="123"/>
      <c r="AG183" s="123"/>
      <c r="AH183" s="123"/>
      <c r="AI183" s="123"/>
      <c r="AJ183" s="123"/>
      <c r="AK183" s="123"/>
      <c r="AL183" s="123"/>
    </row>
    <row r="184" spans="1:38" ht="15.75" customHeight="1">
      <c r="A184" s="123"/>
      <c r="B184" s="123"/>
      <c r="C184" s="123"/>
      <c r="D184" s="282"/>
      <c r="E184" s="282"/>
      <c r="F184" s="282"/>
      <c r="G184" s="123"/>
      <c r="H184" s="123"/>
      <c r="I184" s="285"/>
      <c r="J184" s="123"/>
      <c r="K184" s="123"/>
      <c r="L184" s="123"/>
      <c r="M184" s="123"/>
      <c r="N184" s="123"/>
      <c r="O184" s="123"/>
      <c r="P184" s="123"/>
      <c r="Q184" s="123"/>
      <c r="R184" s="123"/>
      <c r="S184" s="123"/>
      <c r="T184" s="132"/>
      <c r="W184" s="133"/>
      <c r="X184" s="133"/>
      <c r="Y184" s="133"/>
      <c r="Z184" s="133"/>
      <c r="AA184" s="133"/>
      <c r="AB184" s="133"/>
      <c r="AC184" s="133"/>
      <c r="AD184" s="133"/>
      <c r="AE184" s="123"/>
      <c r="AF184" s="123"/>
      <c r="AG184" s="123"/>
      <c r="AH184" s="123"/>
      <c r="AI184" s="123"/>
      <c r="AJ184" s="123"/>
      <c r="AK184" s="123"/>
      <c r="AL184" s="123"/>
    </row>
    <row r="185" spans="1:38" ht="15.75" customHeight="1">
      <c r="A185" s="123"/>
      <c r="B185" s="123"/>
      <c r="C185" s="123"/>
      <c r="D185" s="282"/>
      <c r="E185" s="282"/>
      <c r="F185" s="282"/>
      <c r="G185" s="123"/>
      <c r="H185" s="123"/>
      <c r="I185" s="285"/>
      <c r="J185" s="123"/>
      <c r="K185" s="123"/>
      <c r="L185" s="123"/>
      <c r="M185" s="123"/>
      <c r="N185" s="123"/>
      <c r="O185" s="123"/>
      <c r="P185" s="123"/>
      <c r="Q185" s="123"/>
      <c r="R185" s="123"/>
      <c r="S185" s="123"/>
      <c r="T185" s="132"/>
      <c r="W185" s="133"/>
      <c r="X185" s="133"/>
      <c r="Y185" s="133"/>
      <c r="Z185" s="133"/>
      <c r="AA185" s="133"/>
      <c r="AB185" s="133"/>
      <c r="AC185" s="133"/>
      <c r="AD185" s="133"/>
      <c r="AE185" s="123"/>
      <c r="AF185" s="123"/>
      <c r="AG185" s="123"/>
      <c r="AH185" s="123"/>
      <c r="AI185" s="123"/>
      <c r="AJ185" s="123"/>
      <c r="AK185" s="123"/>
      <c r="AL185" s="123"/>
    </row>
    <row r="186" spans="1:38" ht="15.75" customHeight="1">
      <c r="A186" s="123"/>
      <c r="B186" s="123"/>
      <c r="C186" s="123"/>
      <c r="D186" s="282"/>
      <c r="E186" s="282"/>
      <c r="F186" s="282"/>
      <c r="G186" s="123"/>
      <c r="H186" s="123"/>
      <c r="I186" s="285"/>
      <c r="J186" s="123"/>
      <c r="K186" s="123"/>
      <c r="L186" s="123"/>
      <c r="M186" s="123"/>
      <c r="N186" s="123"/>
      <c r="O186" s="123"/>
      <c r="P186" s="123"/>
      <c r="Q186" s="123"/>
      <c r="R186" s="123"/>
      <c r="S186" s="123"/>
      <c r="T186" s="132"/>
      <c r="W186" s="133"/>
      <c r="X186" s="133"/>
      <c r="Y186" s="133"/>
      <c r="Z186" s="133"/>
      <c r="AA186" s="133"/>
      <c r="AB186" s="133"/>
      <c r="AC186" s="133"/>
      <c r="AD186" s="133"/>
      <c r="AE186" s="123"/>
      <c r="AF186" s="123"/>
      <c r="AG186" s="123"/>
      <c r="AH186" s="123"/>
      <c r="AI186" s="123"/>
      <c r="AJ186" s="123"/>
      <c r="AK186" s="123"/>
      <c r="AL186" s="123"/>
    </row>
    <row r="187" spans="1:38" ht="15.75" customHeight="1">
      <c r="A187" s="123"/>
      <c r="B187" s="123"/>
      <c r="C187" s="123"/>
      <c r="D187" s="282"/>
      <c r="E187" s="282"/>
      <c r="F187" s="282"/>
      <c r="G187" s="123"/>
      <c r="H187" s="123"/>
      <c r="I187" s="285"/>
      <c r="J187" s="123"/>
      <c r="K187" s="123"/>
      <c r="L187" s="123"/>
      <c r="M187" s="123"/>
      <c r="N187" s="123"/>
      <c r="O187" s="123"/>
      <c r="P187" s="123"/>
      <c r="Q187" s="123"/>
      <c r="R187" s="123"/>
      <c r="S187" s="123"/>
      <c r="T187" s="132"/>
      <c r="W187" s="133"/>
      <c r="X187" s="133"/>
      <c r="Y187" s="133"/>
      <c r="Z187" s="133"/>
      <c r="AA187" s="133"/>
      <c r="AB187" s="133"/>
      <c r="AC187" s="133"/>
      <c r="AD187" s="133"/>
      <c r="AE187" s="123"/>
      <c r="AF187" s="123"/>
      <c r="AG187" s="123"/>
      <c r="AH187" s="123"/>
      <c r="AI187" s="123"/>
      <c r="AJ187" s="123"/>
      <c r="AK187" s="123"/>
      <c r="AL187" s="123"/>
    </row>
    <row r="188" spans="1:38" ht="15.75" customHeight="1">
      <c r="A188" s="123"/>
      <c r="B188" s="123"/>
      <c r="C188" s="123"/>
      <c r="D188" s="282"/>
      <c r="E188" s="282"/>
      <c r="F188" s="282"/>
      <c r="G188" s="123"/>
      <c r="H188" s="123"/>
      <c r="I188" s="285"/>
      <c r="J188" s="123"/>
      <c r="K188" s="123"/>
      <c r="L188" s="123"/>
      <c r="M188" s="123"/>
      <c r="N188" s="123"/>
      <c r="O188" s="123"/>
      <c r="P188" s="123"/>
      <c r="Q188" s="123"/>
      <c r="R188" s="123"/>
      <c r="S188" s="123"/>
      <c r="T188" s="132"/>
      <c r="W188" s="133"/>
      <c r="X188" s="133"/>
      <c r="Y188" s="133"/>
      <c r="Z188" s="133"/>
      <c r="AA188" s="133"/>
      <c r="AB188" s="133"/>
      <c r="AC188" s="133"/>
      <c r="AD188" s="133"/>
      <c r="AE188" s="123"/>
      <c r="AF188" s="123"/>
      <c r="AG188" s="123"/>
      <c r="AH188" s="123"/>
      <c r="AI188" s="123"/>
      <c r="AJ188" s="123"/>
      <c r="AK188" s="123"/>
      <c r="AL188" s="123"/>
    </row>
    <row r="189" spans="1:38" ht="15.75" customHeight="1">
      <c r="A189" s="123"/>
      <c r="B189" s="123"/>
      <c r="C189" s="123"/>
      <c r="D189" s="282"/>
      <c r="E189" s="282"/>
      <c r="F189" s="282"/>
      <c r="G189" s="123"/>
      <c r="H189" s="123"/>
      <c r="I189" s="285"/>
      <c r="J189" s="123"/>
      <c r="K189" s="123"/>
      <c r="L189" s="123"/>
      <c r="M189" s="123"/>
      <c r="N189" s="123"/>
      <c r="O189" s="123"/>
      <c r="P189" s="123"/>
      <c r="Q189" s="123"/>
      <c r="R189" s="123"/>
      <c r="S189" s="123"/>
      <c r="T189" s="132"/>
      <c r="W189" s="133"/>
      <c r="X189" s="133"/>
      <c r="Y189" s="133"/>
      <c r="Z189" s="133"/>
      <c r="AA189" s="133"/>
      <c r="AB189" s="133"/>
      <c r="AC189" s="133"/>
      <c r="AD189" s="133"/>
      <c r="AE189" s="123"/>
      <c r="AF189" s="123"/>
      <c r="AG189" s="123"/>
      <c r="AH189" s="123"/>
      <c r="AI189" s="123"/>
      <c r="AJ189" s="123"/>
      <c r="AK189" s="123"/>
      <c r="AL189" s="123"/>
    </row>
    <row r="190" spans="1:38" ht="15.75" customHeight="1">
      <c r="A190" s="123"/>
      <c r="B190" s="123"/>
      <c r="C190" s="123"/>
      <c r="D190" s="282"/>
      <c r="E190" s="282"/>
      <c r="F190" s="282"/>
      <c r="G190" s="123"/>
      <c r="H190" s="123"/>
      <c r="I190" s="285"/>
      <c r="J190" s="123"/>
      <c r="K190" s="123"/>
      <c r="L190" s="123"/>
      <c r="M190" s="123"/>
      <c r="N190" s="123"/>
      <c r="O190" s="123"/>
      <c r="P190" s="123"/>
      <c r="Q190" s="123"/>
      <c r="R190" s="123"/>
      <c r="S190" s="123"/>
      <c r="T190" s="132"/>
      <c r="W190" s="133"/>
      <c r="X190" s="133"/>
      <c r="Y190" s="133"/>
      <c r="Z190" s="133"/>
      <c r="AA190" s="133"/>
      <c r="AB190" s="133"/>
      <c r="AC190" s="133"/>
      <c r="AD190" s="133"/>
      <c r="AE190" s="123"/>
      <c r="AF190" s="123"/>
      <c r="AG190" s="123"/>
      <c r="AH190" s="123"/>
      <c r="AI190" s="123"/>
      <c r="AJ190" s="123"/>
      <c r="AK190" s="123"/>
      <c r="AL190" s="123"/>
    </row>
    <row r="191" spans="1:38" ht="15.75" customHeight="1">
      <c r="A191" s="123"/>
      <c r="B191" s="123"/>
      <c r="C191" s="123"/>
      <c r="D191" s="282"/>
      <c r="E191" s="282"/>
      <c r="F191" s="282"/>
      <c r="G191" s="123"/>
      <c r="H191" s="123"/>
      <c r="I191" s="285"/>
      <c r="J191" s="123"/>
      <c r="K191" s="123"/>
      <c r="L191" s="123"/>
      <c r="M191" s="123"/>
      <c r="N191" s="123"/>
      <c r="O191" s="123"/>
      <c r="P191" s="123"/>
      <c r="Q191" s="123"/>
      <c r="R191" s="123"/>
      <c r="S191" s="123"/>
      <c r="T191" s="132"/>
      <c r="W191" s="133"/>
      <c r="X191" s="133"/>
      <c r="Y191" s="133"/>
      <c r="Z191" s="133"/>
      <c r="AA191" s="133"/>
      <c r="AB191" s="133"/>
      <c r="AC191" s="133"/>
      <c r="AD191" s="133"/>
      <c r="AE191" s="123"/>
      <c r="AF191" s="123"/>
      <c r="AG191" s="123"/>
      <c r="AH191" s="123"/>
      <c r="AI191" s="123"/>
      <c r="AJ191" s="123"/>
      <c r="AK191" s="123"/>
      <c r="AL191" s="123"/>
    </row>
    <row r="192" spans="1:38" ht="15.75" customHeight="1">
      <c r="A192" s="123"/>
      <c r="B192" s="123"/>
      <c r="C192" s="123"/>
      <c r="D192" s="282"/>
      <c r="E192" s="282"/>
      <c r="F192" s="282"/>
      <c r="G192" s="123"/>
      <c r="H192" s="123"/>
      <c r="I192" s="285"/>
      <c r="J192" s="123"/>
      <c r="K192" s="123"/>
      <c r="L192" s="123"/>
      <c r="M192" s="123"/>
      <c r="N192" s="123"/>
      <c r="O192" s="123"/>
      <c r="P192" s="123"/>
      <c r="Q192" s="123"/>
      <c r="R192" s="123"/>
      <c r="S192" s="123"/>
      <c r="T192" s="132"/>
      <c r="W192" s="133"/>
      <c r="X192" s="133"/>
      <c r="Y192" s="133"/>
      <c r="Z192" s="133"/>
      <c r="AA192" s="133"/>
      <c r="AB192" s="133"/>
      <c r="AC192" s="133"/>
      <c r="AD192" s="133"/>
      <c r="AE192" s="123"/>
      <c r="AF192" s="123"/>
      <c r="AG192" s="123"/>
      <c r="AH192" s="123"/>
      <c r="AI192" s="123"/>
      <c r="AJ192" s="123"/>
      <c r="AK192" s="123"/>
      <c r="AL192" s="123"/>
    </row>
    <row r="193" spans="1:38" ht="15.75" customHeight="1">
      <c r="A193" s="123"/>
      <c r="B193" s="123"/>
      <c r="C193" s="123"/>
      <c r="D193" s="282"/>
      <c r="E193" s="282"/>
      <c r="F193" s="282"/>
      <c r="G193" s="123"/>
      <c r="H193" s="123"/>
      <c r="I193" s="285"/>
      <c r="J193" s="123"/>
      <c r="K193" s="123"/>
      <c r="L193" s="123"/>
      <c r="M193" s="123"/>
      <c r="N193" s="123"/>
      <c r="O193" s="123"/>
      <c r="P193" s="123"/>
      <c r="Q193" s="123"/>
      <c r="R193" s="123"/>
      <c r="S193" s="123"/>
      <c r="T193" s="132"/>
      <c r="W193" s="133"/>
      <c r="X193" s="133"/>
      <c r="Y193" s="133"/>
      <c r="Z193" s="133"/>
      <c r="AA193" s="133"/>
      <c r="AB193" s="133"/>
      <c r="AC193" s="133"/>
      <c r="AD193" s="133"/>
      <c r="AE193" s="123"/>
      <c r="AF193" s="123"/>
      <c r="AG193" s="123"/>
      <c r="AH193" s="123"/>
      <c r="AI193" s="123"/>
      <c r="AJ193" s="123"/>
      <c r="AK193" s="123"/>
      <c r="AL193" s="123"/>
    </row>
    <row r="194" spans="1:38" ht="15.75" customHeight="1">
      <c r="A194" s="123"/>
      <c r="B194" s="123"/>
      <c r="C194" s="123"/>
      <c r="D194" s="282"/>
      <c r="E194" s="282"/>
      <c r="F194" s="282"/>
      <c r="G194" s="123"/>
      <c r="H194" s="123"/>
      <c r="I194" s="285"/>
      <c r="J194" s="123"/>
      <c r="K194" s="123"/>
      <c r="L194" s="123"/>
      <c r="M194" s="123"/>
      <c r="N194" s="123"/>
      <c r="O194" s="123"/>
      <c r="P194" s="123"/>
      <c r="Q194" s="123"/>
      <c r="R194" s="123"/>
      <c r="S194" s="123"/>
      <c r="T194" s="132"/>
      <c r="W194" s="133"/>
      <c r="X194" s="133"/>
      <c r="Y194" s="133"/>
      <c r="Z194" s="133"/>
      <c r="AA194" s="133"/>
      <c r="AB194" s="133"/>
      <c r="AC194" s="133"/>
      <c r="AD194" s="133"/>
      <c r="AE194" s="123"/>
      <c r="AF194" s="123"/>
      <c r="AG194" s="123"/>
      <c r="AH194" s="123"/>
      <c r="AI194" s="123"/>
      <c r="AJ194" s="123"/>
      <c r="AK194" s="123"/>
      <c r="AL194" s="123"/>
    </row>
    <row r="195" spans="1:38" ht="15.75" customHeight="1">
      <c r="A195" s="123"/>
      <c r="B195" s="123"/>
      <c r="C195" s="123"/>
      <c r="D195" s="282"/>
      <c r="E195" s="282"/>
      <c r="F195" s="282"/>
      <c r="G195" s="123"/>
      <c r="H195" s="123"/>
      <c r="I195" s="285"/>
      <c r="J195" s="123"/>
      <c r="K195" s="123"/>
      <c r="L195" s="123"/>
      <c r="M195" s="123"/>
      <c r="N195" s="123"/>
      <c r="O195" s="123"/>
      <c r="P195" s="123"/>
      <c r="Q195" s="123"/>
      <c r="R195" s="123"/>
      <c r="S195" s="123"/>
      <c r="T195" s="132"/>
      <c r="W195" s="133"/>
      <c r="X195" s="133"/>
      <c r="Y195" s="133"/>
      <c r="Z195" s="133"/>
      <c r="AA195" s="133"/>
      <c r="AB195" s="133"/>
      <c r="AC195" s="133"/>
      <c r="AD195" s="133"/>
      <c r="AE195" s="123"/>
      <c r="AF195" s="123"/>
      <c r="AG195" s="123"/>
      <c r="AH195" s="123"/>
      <c r="AI195" s="123"/>
      <c r="AJ195" s="123"/>
      <c r="AK195" s="123"/>
      <c r="AL195" s="123"/>
    </row>
    <row r="196" spans="1:38" ht="15.75" customHeight="1">
      <c r="A196" s="123"/>
      <c r="B196" s="123"/>
      <c r="C196" s="123"/>
      <c r="D196" s="282"/>
      <c r="E196" s="282"/>
      <c r="F196" s="282"/>
      <c r="G196" s="123"/>
      <c r="H196" s="123"/>
      <c r="I196" s="285"/>
      <c r="J196" s="123"/>
      <c r="K196" s="123"/>
      <c r="L196" s="123"/>
      <c r="M196" s="123"/>
      <c r="N196" s="123"/>
      <c r="O196" s="123"/>
      <c r="P196" s="123"/>
      <c r="Q196" s="123"/>
      <c r="R196" s="123"/>
      <c r="S196" s="123"/>
      <c r="T196" s="132"/>
      <c r="W196" s="133"/>
      <c r="X196" s="133"/>
      <c r="Y196" s="133"/>
      <c r="Z196" s="133"/>
      <c r="AA196" s="133"/>
      <c r="AB196" s="133"/>
      <c r="AC196" s="133"/>
      <c r="AD196" s="133"/>
      <c r="AE196" s="123"/>
      <c r="AF196" s="123"/>
      <c r="AG196" s="123"/>
      <c r="AH196" s="123"/>
      <c r="AI196" s="123"/>
      <c r="AJ196" s="123"/>
      <c r="AK196" s="123"/>
      <c r="AL196" s="123"/>
    </row>
    <row r="197" spans="1:38" ht="15.75" customHeight="1">
      <c r="A197" s="123"/>
      <c r="B197" s="123"/>
      <c r="C197" s="123"/>
      <c r="D197" s="282"/>
      <c r="E197" s="282"/>
      <c r="F197" s="282"/>
      <c r="G197" s="123"/>
      <c r="H197" s="123"/>
      <c r="I197" s="285"/>
      <c r="J197" s="123"/>
      <c r="K197" s="123"/>
      <c r="L197" s="123"/>
      <c r="M197" s="123"/>
      <c r="N197" s="123"/>
      <c r="O197" s="123"/>
      <c r="P197" s="123"/>
      <c r="Q197" s="123"/>
      <c r="R197" s="123"/>
      <c r="S197" s="123"/>
      <c r="T197" s="132"/>
      <c r="W197" s="133"/>
      <c r="X197" s="133"/>
      <c r="Y197" s="133"/>
      <c r="Z197" s="133"/>
      <c r="AA197" s="133"/>
      <c r="AB197" s="133"/>
      <c r="AC197" s="133"/>
      <c r="AD197" s="133"/>
      <c r="AE197" s="123"/>
      <c r="AF197" s="123"/>
      <c r="AG197" s="123"/>
      <c r="AH197" s="123"/>
      <c r="AI197" s="123"/>
      <c r="AJ197" s="123"/>
      <c r="AK197" s="123"/>
      <c r="AL197" s="123"/>
    </row>
    <row r="198" spans="1:38" ht="15.75" customHeight="1">
      <c r="A198" s="123"/>
      <c r="B198" s="123"/>
      <c r="C198" s="123"/>
      <c r="D198" s="282"/>
      <c r="E198" s="282"/>
      <c r="F198" s="282"/>
      <c r="G198" s="123"/>
      <c r="H198" s="123"/>
      <c r="I198" s="285"/>
      <c r="J198" s="123"/>
      <c r="K198" s="123"/>
      <c r="L198" s="123"/>
      <c r="M198" s="123"/>
      <c r="N198" s="123"/>
      <c r="O198" s="123"/>
      <c r="P198" s="123"/>
      <c r="Q198" s="123"/>
      <c r="R198" s="123"/>
      <c r="S198" s="123"/>
      <c r="T198" s="132"/>
      <c r="W198" s="133"/>
      <c r="X198" s="133"/>
      <c r="Y198" s="133"/>
      <c r="Z198" s="133"/>
      <c r="AA198" s="133"/>
      <c r="AB198" s="133"/>
      <c r="AC198" s="133"/>
      <c r="AD198" s="133"/>
      <c r="AE198" s="123"/>
      <c r="AF198" s="123"/>
      <c r="AG198" s="123"/>
      <c r="AH198" s="123"/>
      <c r="AI198" s="123"/>
      <c r="AJ198" s="123"/>
      <c r="AK198" s="123"/>
      <c r="AL198" s="123"/>
    </row>
    <row r="199" spans="1:38" ht="15.75" customHeight="1">
      <c r="A199" s="123"/>
      <c r="B199" s="123"/>
      <c r="C199" s="123"/>
      <c r="D199" s="282"/>
      <c r="E199" s="282"/>
      <c r="F199" s="282"/>
      <c r="G199" s="123"/>
      <c r="H199" s="123"/>
      <c r="I199" s="285"/>
      <c r="J199" s="123"/>
      <c r="K199" s="123"/>
      <c r="L199" s="123"/>
      <c r="M199" s="123"/>
      <c r="N199" s="123"/>
      <c r="O199" s="123"/>
      <c r="P199" s="123"/>
      <c r="Q199" s="123"/>
      <c r="R199" s="123"/>
      <c r="S199" s="123"/>
      <c r="T199" s="132"/>
      <c r="W199" s="133"/>
      <c r="X199" s="133"/>
      <c r="Y199" s="133"/>
      <c r="Z199" s="133"/>
      <c r="AA199" s="133"/>
      <c r="AB199" s="133"/>
      <c r="AC199" s="133"/>
      <c r="AD199" s="133"/>
      <c r="AE199" s="123"/>
      <c r="AF199" s="123"/>
      <c r="AG199" s="123"/>
      <c r="AH199" s="123"/>
      <c r="AI199" s="123"/>
      <c r="AJ199" s="123"/>
      <c r="AK199" s="123"/>
      <c r="AL199" s="123"/>
    </row>
    <row r="200" spans="1:38" ht="15.75" customHeight="1">
      <c r="A200" s="123"/>
      <c r="B200" s="123"/>
      <c r="C200" s="123"/>
      <c r="D200" s="282"/>
      <c r="E200" s="282"/>
      <c r="F200" s="282"/>
      <c r="G200" s="123"/>
      <c r="H200" s="123"/>
      <c r="I200" s="285"/>
      <c r="J200" s="123"/>
      <c r="K200" s="123"/>
      <c r="L200" s="123"/>
      <c r="M200" s="123"/>
      <c r="N200" s="123"/>
      <c r="O200" s="123"/>
      <c r="P200" s="123"/>
      <c r="Q200" s="123"/>
      <c r="R200" s="123"/>
      <c r="S200" s="123"/>
      <c r="T200" s="132"/>
      <c r="W200" s="133"/>
      <c r="X200" s="133"/>
      <c r="Y200" s="133"/>
      <c r="Z200" s="133"/>
      <c r="AA200" s="133"/>
      <c r="AB200" s="133"/>
      <c r="AC200" s="133"/>
      <c r="AD200" s="133"/>
      <c r="AE200" s="123"/>
      <c r="AF200" s="123"/>
      <c r="AG200" s="123"/>
      <c r="AH200" s="123"/>
      <c r="AI200" s="123"/>
      <c r="AJ200" s="123"/>
      <c r="AK200" s="123"/>
      <c r="AL200" s="123"/>
    </row>
    <row r="201" spans="1:38" ht="15.75" customHeight="1">
      <c r="A201" s="123"/>
      <c r="B201" s="123"/>
      <c r="C201" s="123"/>
      <c r="D201" s="282"/>
      <c r="E201" s="282"/>
      <c r="F201" s="282"/>
      <c r="G201" s="123"/>
      <c r="H201" s="123"/>
      <c r="I201" s="285"/>
      <c r="J201" s="123"/>
      <c r="K201" s="123"/>
      <c r="L201" s="123"/>
      <c r="M201" s="123"/>
      <c r="N201" s="123"/>
      <c r="O201" s="123"/>
      <c r="P201" s="123"/>
      <c r="Q201" s="123"/>
      <c r="R201" s="123"/>
      <c r="S201" s="123"/>
      <c r="T201" s="132"/>
      <c r="W201" s="133"/>
      <c r="X201" s="133"/>
      <c r="Y201" s="133"/>
      <c r="Z201" s="133"/>
      <c r="AA201" s="133"/>
      <c r="AB201" s="133"/>
      <c r="AC201" s="133"/>
      <c r="AD201" s="133"/>
      <c r="AE201" s="123"/>
      <c r="AF201" s="123"/>
      <c r="AG201" s="123"/>
      <c r="AH201" s="123"/>
      <c r="AI201" s="123"/>
      <c r="AJ201" s="123"/>
      <c r="AK201" s="123"/>
      <c r="AL201" s="123"/>
    </row>
    <row r="202" spans="1:38" ht="15.75" customHeight="1">
      <c r="A202" s="123"/>
      <c r="B202" s="123"/>
      <c r="C202" s="123"/>
      <c r="D202" s="282"/>
      <c r="E202" s="282"/>
      <c r="F202" s="282"/>
      <c r="G202" s="123"/>
      <c r="H202" s="123"/>
      <c r="I202" s="285"/>
      <c r="J202" s="123"/>
      <c r="K202" s="123"/>
      <c r="L202" s="123"/>
      <c r="M202" s="123"/>
      <c r="N202" s="123"/>
      <c r="O202" s="123"/>
      <c r="P202" s="123"/>
      <c r="Q202" s="123"/>
      <c r="R202" s="123"/>
      <c r="S202" s="123"/>
      <c r="T202" s="132"/>
      <c r="W202" s="133"/>
      <c r="X202" s="133"/>
      <c r="Y202" s="133"/>
      <c r="Z202" s="133"/>
      <c r="AA202" s="133"/>
      <c r="AB202" s="133"/>
      <c r="AC202" s="133"/>
      <c r="AD202" s="133"/>
      <c r="AE202" s="123"/>
      <c r="AF202" s="123"/>
      <c r="AG202" s="123"/>
      <c r="AH202" s="123"/>
      <c r="AI202" s="123"/>
      <c r="AJ202" s="123"/>
      <c r="AK202" s="123"/>
      <c r="AL202" s="123"/>
    </row>
    <row r="203" spans="1:38" ht="15.75" customHeight="1">
      <c r="A203" s="123"/>
      <c r="B203" s="123"/>
      <c r="C203" s="123"/>
      <c r="D203" s="282"/>
      <c r="E203" s="282"/>
      <c r="F203" s="282"/>
      <c r="G203" s="123"/>
      <c r="H203" s="123"/>
      <c r="I203" s="285"/>
      <c r="J203" s="123"/>
      <c r="K203" s="123"/>
      <c r="L203" s="123"/>
      <c r="M203" s="123"/>
      <c r="N203" s="123"/>
      <c r="O203" s="123"/>
      <c r="P203" s="123"/>
      <c r="Q203" s="123"/>
      <c r="R203" s="123"/>
      <c r="S203" s="123"/>
      <c r="T203" s="132"/>
      <c r="W203" s="133"/>
      <c r="X203" s="133"/>
      <c r="Y203" s="133"/>
      <c r="Z203" s="133"/>
      <c r="AA203" s="133"/>
      <c r="AB203" s="133"/>
      <c r="AC203" s="133"/>
      <c r="AD203" s="133"/>
      <c r="AE203" s="123"/>
      <c r="AF203" s="123"/>
      <c r="AG203" s="123"/>
      <c r="AH203" s="123"/>
      <c r="AI203" s="123"/>
      <c r="AJ203" s="123"/>
      <c r="AK203" s="123"/>
      <c r="AL203" s="123"/>
    </row>
    <row r="204" spans="1:38" ht="15.75" customHeight="1">
      <c r="A204" s="123"/>
      <c r="B204" s="123"/>
      <c r="C204" s="123"/>
      <c r="D204" s="282"/>
      <c r="E204" s="282"/>
      <c r="F204" s="282"/>
      <c r="G204" s="123"/>
      <c r="H204" s="123"/>
      <c r="I204" s="285"/>
      <c r="J204" s="123"/>
      <c r="K204" s="123"/>
      <c r="L204" s="123"/>
      <c r="M204" s="123"/>
      <c r="N204" s="123"/>
      <c r="O204" s="123"/>
      <c r="P204" s="123"/>
      <c r="Q204" s="123"/>
      <c r="R204" s="123"/>
      <c r="S204" s="123"/>
      <c r="T204" s="132"/>
      <c r="W204" s="133"/>
      <c r="X204" s="133"/>
      <c r="Y204" s="133"/>
      <c r="Z204" s="133"/>
      <c r="AA204" s="133"/>
      <c r="AB204" s="133"/>
      <c r="AC204" s="133"/>
      <c r="AD204" s="133"/>
      <c r="AE204" s="123"/>
      <c r="AF204" s="123"/>
      <c r="AG204" s="123"/>
      <c r="AH204" s="123"/>
      <c r="AI204" s="123"/>
      <c r="AJ204" s="123"/>
      <c r="AK204" s="123"/>
      <c r="AL204" s="123"/>
    </row>
    <row r="205" spans="1:38" ht="15.75" customHeight="1">
      <c r="A205" s="123"/>
      <c r="B205" s="123"/>
      <c r="C205" s="123"/>
      <c r="D205" s="282"/>
      <c r="E205" s="282"/>
      <c r="F205" s="282"/>
      <c r="G205" s="123"/>
      <c r="H205" s="123"/>
      <c r="I205" s="285"/>
      <c r="J205" s="123"/>
      <c r="K205" s="123"/>
      <c r="L205" s="123"/>
      <c r="M205" s="123"/>
      <c r="N205" s="123"/>
      <c r="O205" s="123"/>
      <c r="P205" s="123"/>
      <c r="Q205" s="123"/>
      <c r="R205" s="123"/>
      <c r="S205" s="123"/>
      <c r="T205" s="132"/>
      <c r="W205" s="133"/>
      <c r="X205" s="133"/>
      <c r="Y205" s="133"/>
      <c r="Z205" s="133"/>
      <c r="AA205" s="133"/>
      <c r="AB205" s="133"/>
      <c r="AC205" s="133"/>
      <c r="AD205" s="133"/>
      <c r="AE205" s="123"/>
      <c r="AF205" s="123"/>
      <c r="AG205" s="123"/>
      <c r="AH205" s="123"/>
      <c r="AI205" s="123"/>
      <c r="AJ205" s="123"/>
      <c r="AK205" s="123"/>
      <c r="AL205" s="123"/>
    </row>
    <row r="206" spans="1:38" ht="15.75" customHeight="1">
      <c r="A206" s="123"/>
      <c r="B206" s="123"/>
      <c r="C206" s="123"/>
      <c r="D206" s="282"/>
      <c r="E206" s="282"/>
      <c r="F206" s="282"/>
      <c r="G206" s="123"/>
      <c r="H206" s="123"/>
      <c r="I206" s="285"/>
      <c r="J206" s="123"/>
      <c r="K206" s="123"/>
      <c r="L206" s="123"/>
      <c r="M206" s="123"/>
      <c r="N206" s="123"/>
      <c r="O206" s="123"/>
      <c r="P206" s="123"/>
      <c r="Q206" s="123"/>
      <c r="R206" s="123"/>
      <c r="S206" s="123"/>
      <c r="T206" s="132"/>
      <c r="W206" s="133"/>
      <c r="X206" s="133"/>
      <c r="Y206" s="133"/>
      <c r="Z206" s="133"/>
      <c r="AA206" s="133"/>
      <c r="AB206" s="133"/>
      <c r="AC206" s="133"/>
      <c r="AD206" s="133"/>
      <c r="AE206" s="123"/>
      <c r="AF206" s="123"/>
      <c r="AG206" s="123"/>
      <c r="AH206" s="123"/>
      <c r="AI206" s="123"/>
      <c r="AJ206" s="123"/>
      <c r="AK206" s="123"/>
      <c r="AL206" s="123"/>
    </row>
    <row r="207" spans="1:38" ht="15.75" customHeight="1">
      <c r="A207" s="123"/>
      <c r="B207" s="123"/>
      <c r="C207" s="123"/>
      <c r="D207" s="282"/>
      <c r="E207" s="282"/>
      <c r="F207" s="282"/>
      <c r="G207" s="123"/>
      <c r="H207" s="123"/>
      <c r="I207" s="285"/>
      <c r="J207" s="123"/>
      <c r="K207" s="123"/>
      <c r="L207" s="123"/>
      <c r="M207" s="123"/>
      <c r="N207" s="123"/>
      <c r="O207" s="123"/>
      <c r="P207" s="123"/>
      <c r="Q207" s="123"/>
      <c r="R207" s="123"/>
      <c r="S207" s="123"/>
      <c r="T207" s="132"/>
      <c r="W207" s="133"/>
      <c r="X207" s="133"/>
      <c r="Y207" s="133"/>
      <c r="Z207" s="133"/>
      <c r="AA207" s="133"/>
      <c r="AB207" s="133"/>
      <c r="AC207" s="133"/>
      <c r="AD207" s="133"/>
      <c r="AE207" s="123"/>
      <c r="AF207" s="123"/>
      <c r="AG207" s="123"/>
      <c r="AH207" s="123"/>
      <c r="AI207" s="123"/>
      <c r="AJ207" s="123"/>
      <c r="AK207" s="123"/>
      <c r="AL207" s="123"/>
    </row>
    <row r="208" spans="1:38" ht="15.75" customHeight="1">
      <c r="A208" s="123"/>
      <c r="B208" s="123"/>
      <c r="C208" s="123"/>
      <c r="D208" s="282"/>
      <c r="E208" s="282"/>
      <c r="F208" s="282"/>
      <c r="G208" s="123"/>
      <c r="H208" s="123"/>
      <c r="I208" s="285"/>
      <c r="J208" s="123"/>
      <c r="K208" s="123"/>
      <c r="L208" s="123"/>
      <c r="M208" s="123"/>
      <c r="N208" s="123"/>
      <c r="O208" s="123"/>
      <c r="P208" s="123"/>
      <c r="Q208" s="123"/>
      <c r="R208" s="123"/>
      <c r="S208" s="123"/>
      <c r="T208" s="132"/>
      <c r="W208" s="133"/>
      <c r="X208" s="133"/>
      <c r="Y208" s="133"/>
      <c r="Z208" s="133"/>
      <c r="AA208" s="133"/>
      <c r="AB208" s="133"/>
      <c r="AC208" s="133"/>
      <c r="AD208" s="133"/>
      <c r="AE208" s="123"/>
      <c r="AF208" s="123"/>
      <c r="AG208" s="123"/>
      <c r="AH208" s="123"/>
      <c r="AI208" s="123"/>
      <c r="AJ208" s="123"/>
      <c r="AK208" s="123"/>
      <c r="AL208" s="123"/>
    </row>
    <row r="209" spans="1:38" ht="15.75" customHeight="1">
      <c r="A209" s="123"/>
      <c r="B209" s="123"/>
      <c r="C209" s="123"/>
      <c r="D209" s="282"/>
      <c r="E209" s="282"/>
      <c r="F209" s="282"/>
      <c r="G209" s="123"/>
      <c r="H209" s="123"/>
      <c r="I209" s="285"/>
      <c r="J209" s="123"/>
      <c r="K209" s="123"/>
      <c r="L209" s="123"/>
      <c r="M209" s="123"/>
      <c r="N209" s="123"/>
      <c r="O209" s="123"/>
      <c r="P209" s="123"/>
      <c r="Q209" s="123"/>
      <c r="R209" s="123"/>
      <c r="S209" s="123"/>
      <c r="T209" s="132"/>
      <c r="W209" s="133"/>
      <c r="X209" s="133"/>
      <c r="Y209" s="133"/>
      <c r="Z209" s="133"/>
      <c r="AA209" s="133"/>
      <c r="AB209" s="133"/>
      <c r="AC209" s="133"/>
      <c r="AD209" s="133"/>
      <c r="AE209" s="123"/>
      <c r="AF209" s="123"/>
      <c r="AG209" s="123"/>
      <c r="AH209" s="123"/>
      <c r="AI209" s="123"/>
      <c r="AJ209" s="123"/>
      <c r="AK209" s="123"/>
      <c r="AL209" s="123"/>
    </row>
    <row r="210" spans="1:38" ht="15.75" customHeight="1">
      <c r="A210" s="123"/>
      <c r="B210" s="123"/>
      <c r="C210" s="123"/>
      <c r="D210" s="282"/>
      <c r="E210" s="282"/>
      <c r="F210" s="282"/>
      <c r="G210" s="123"/>
      <c r="H210" s="123"/>
      <c r="I210" s="285"/>
      <c r="J210" s="123"/>
      <c r="K210" s="123"/>
      <c r="L210" s="123"/>
      <c r="M210" s="123"/>
      <c r="N210" s="123"/>
      <c r="O210" s="123"/>
      <c r="P210" s="123"/>
      <c r="Q210" s="123"/>
      <c r="R210" s="123"/>
      <c r="S210" s="123"/>
      <c r="T210" s="132"/>
      <c r="W210" s="133"/>
      <c r="X210" s="133"/>
      <c r="Y210" s="133"/>
      <c r="Z210" s="133"/>
      <c r="AA210" s="133"/>
      <c r="AB210" s="133"/>
      <c r="AC210" s="133"/>
      <c r="AD210" s="133"/>
      <c r="AE210" s="123"/>
      <c r="AF210" s="123"/>
      <c r="AG210" s="123"/>
      <c r="AH210" s="123"/>
      <c r="AI210" s="123"/>
      <c r="AJ210" s="123"/>
      <c r="AK210" s="123"/>
      <c r="AL210" s="123"/>
    </row>
    <row r="211" spans="1:38" ht="15.75" customHeight="1">
      <c r="A211" s="123"/>
      <c r="B211" s="123"/>
      <c r="C211" s="123"/>
      <c r="D211" s="282"/>
      <c r="E211" s="282"/>
      <c r="F211" s="282"/>
      <c r="G211" s="123"/>
      <c r="H211" s="123"/>
      <c r="I211" s="285"/>
      <c r="J211" s="123"/>
      <c r="K211" s="123"/>
      <c r="L211" s="123"/>
      <c r="M211" s="123"/>
      <c r="N211" s="123"/>
      <c r="O211" s="123"/>
      <c r="P211" s="123"/>
      <c r="Q211" s="123"/>
      <c r="R211" s="123"/>
      <c r="S211" s="123"/>
      <c r="T211" s="132"/>
      <c r="W211" s="133"/>
      <c r="X211" s="133"/>
      <c r="Y211" s="133"/>
      <c r="Z211" s="133"/>
      <c r="AA211" s="133"/>
      <c r="AB211" s="133"/>
      <c r="AC211" s="133"/>
      <c r="AD211" s="133"/>
      <c r="AE211" s="123"/>
      <c r="AF211" s="123"/>
      <c r="AG211" s="123"/>
      <c r="AH211" s="123"/>
      <c r="AI211" s="123"/>
      <c r="AJ211" s="123"/>
      <c r="AK211" s="123"/>
      <c r="AL211" s="123"/>
    </row>
    <row r="212" spans="1:38" ht="15.75" customHeight="1">
      <c r="A212" s="123"/>
      <c r="B212" s="123"/>
      <c r="C212" s="123"/>
      <c r="D212" s="282"/>
      <c r="E212" s="282"/>
      <c r="F212" s="282"/>
      <c r="G212" s="123"/>
      <c r="H212" s="123"/>
      <c r="I212" s="285"/>
      <c r="J212" s="123"/>
      <c r="K212" s="123"/>
      <c r="L212" s="123"/>
      <c r="M212" s="123"/>
      <c r="N212" s="123"/>
      <c r="O212" s="123"/>
      <c r="P212" s="123"/>
      <c r="Q212" s="123"/>
      <c r="R212" s="123"/>
      <c r="S212" s="123"/>
      <c r="T212" s="132"/>
      <c r="W212" s="133"/>
      <c r="X212" s="133"/>
      <c r="Y212" s="133"/>
      <c r="Z212" s="133"/>
      <c r="AA212" s="133"/>
      <c r="AB212" s="133"/>
      <c r="AC212" s="133"/>
      <c r="AD212" s="133"/>
      <c r="AE212" s="123"/>
      <c r="AF212" s="123"/>
      <c r="AG212" s="123"/>
      <c r="AH212" s="123"/>
      <c r="AI212" s="123"/>
      <c r="AJ212" s="123"/>
      <c r="AK212" s="123"/>
      <c r="AL212" s="123"/>
    </row>
    <row r="213" spans="1:38" ht="15.75" customHeight="1">
      <c r="A213" s="123"/>
      <c r="B213" s="123"/>
      <c r="C213" s="123"/>
      <c r="D213" s="282"/>
      <c r="E213" s="282"/>
      <c r="F213" s="282"/>
      <c r="G213" s="123"/>
      <c r="H213" s="123"/>
      <c r="I213" s="285"/>
      <c r="J213" s="123"/>
      <c r="K213" s="123"/>
      <c r="L213" s="123"/>
      <c r="M213" s="123"/>
      <c r="N213" s="123"/>
      <c r="O213" s="123"/>
      <c r="P213" s="123"/>
      <c r="Q213" s="123"/>
      <c r="R213" s="123"/>
      <c r="S213" s="123"/>
      <c r="T213" s="132"/>
      <c r="W213" s="133"/>
      <c r="X213" s="133"/>
      <c r="Y213" s="133"/>
      <c r="Z213" s="133"/>
      <c r="AA213" s="133"/>
      <c r="AB213" s="133"/>
      <c r="AC213" s="133"/>
      <c r="AD213" s="133"/>
      <c r="AE213" s="123"/>
      <c r="AF213" s="123"/>
      <c r="AG213" s="123"/>
      <c r="AH213" s="123"/>
      <c r="AI213" s="123"/>
      <c r="AJ213" s="123"/>
      <c r="AK213" s="123"/>
      <c r="AL213" s="123"/>
    </row>
    <row r="214" spans="1:38" ht="15.75" customHeight="1">
      <c r="A214" s="123"/>
      <c r="B214" s="123"/>
      <c r="C214" s="123"/>
      <c r="D214" s="282"/>
      <c r="E214" s="282"/>
      <c r="F214" s="282"/>
      <c r="G214" s="123"/>
      <c r="H214" s="123"/>
      <c r="I214" s="285"/>
      <c r="J214" s="123"/>
      <c r="K214" s="123"/>
      <c r="L214" s="123"/>
      <c r="M214" s="123"/>
      <c r="N214" s="123"/>
      <c r="O214" s="123"/>
      <c r="P214" s="123"/>
      <c r="Q214" s="123"/>
      <c r="R214" s="123"/>
      <c r="S214" s="123"/>
      <c r="T214" s="132"/>
      <c r="W214" s="133"/>
      <c r="X214" s="133"/>
      <c r="Y214" s="133"/>
      <c r="Z214" s="133"/>
      <c r="AA214" s="133"/>
      <c r="AB214" s="133"/>
      <c r="AC214" s="133"/>
      <c r="AD214" s="133"/>
      <c r="AE214" s="123"/>
      <c r="AF214" s="123"/>
      <c r="AG214" s="123"/>
      <c r="AH214" s="123"/>
      <c r="AI214" s="123"/>
      <c r="AJ214" s="123"/>
      <c r="AK214" s="123"/>
      <c r="AL214" s="123"/>
    </row>
    <row r="215" spans="1:38" ht="15.75" customHeight="1">
      <c r="A215" s="123"/>
      <c r="B215" s="123"/>
      <c r="C215" s="123"/>
      <c r="D215" s="282"/>
      <c r="E215" s="282"/>
      <c r="F215" s="282"/>
      <c r="G215" s="123"/>
      <c r="H215" s="123"/>
      <c r="I215" s="285"/>
      <c r="J215" s="123"/>
      <c r="K215" s="123"/>
      <c r="L215" s="123"/>
      <c r="M215" s="123"/>
      <c r="N215" s="123"/>
      <c r="O215" s="123"/>
      <c r="P215" s="123"/>
      <c r="Q215" s="123"/>
      <c r="R215" s="123"/>
      <c r="S215" s="123"/>
      <c r="T215" s="132"/>
      <c r="W215" s="133"/>
      <c r="X215" s="133"/>
      <c r="Y215" s="133"/>
      <c r="Z215" s="133"/>
      <c r="AA215" s="133"/>
      <c r="AB215" s="133"/>
      <c r="AC215" s="133"/>
      <c r="AD215" s="133"/>
      <c r="AE215" s="123"/>
      <c r="AF215" s="123"/>
      <c r="AG215" s="123"/>
      <c r="AH215" s="123"/>
      <c r="AI215" s="123"/>
      <c r="AJ215" s="123"/>
      <c r="AK215" s="123"/>
      <c r="AL215" s="123"/>
    </row>
    <row r="216" spans="1:38" ht="15.75" customHeight="1">
      <c r="A216" s="123"/>
      <c r="B216" s="123"/>
      <c r="C216" s="123"/>
      <c r="D216" s="282"/>
      <c r="E216" s="282"/>
      <c r="F216" s="282"/>
      <c r="G216" s="123"/>
      <c r="H216" s="123"/>
      <c r="I216" s="285"/>
      <c r="J216" s="123"/>
      <c r="K216" s="123"/>
      <c r="L216" s="123"/>
      <c r="M216" s="123"/>
      <c r="N216" s="123"/>
      <c r="O216" s="123"/>
      <c r="P216" s="123"/>
      <c r="Q216" s="123"/>
      <c r="R216" s="123"/>
      <c r="S216" s="123"/>
      <c r="T216" s="132"/>
      <c r="W216" s="133"/>
      <c r="X216" s="133"/>
      <c r="Y216" s="133"/>
      <c r="Z216" s="133"/>
      <c r="AA216" s="133"/>
      <c r="AB216" s="133"/>
      <c r="AC216" s="133"/>
      <c r="AD216" s="133"/>
      <c r="AE216" s="123"/>
      <c r="AF216" s="123"/>
      <c r="AG216" s="123"/>
      <c r="AH216" s="123"/>
      <c r="AI216" s="123"/>
      <c r="AJ216" s="123"/>
      <c r="AK216" s="123"/>
      <c r="AL216" s="123"/>
    </row>
    <row r="217" spans="1:38" ht="15.75" customHeight="1">
      <c r="A217" s="123"/>
      <c r="B217" s="123"/>
      <c r="C217" s="123"/>
      <c r="D217" s="282"/>
      <c r="E217" s="282"/>
      <c r="F217" s="282"/>
      <c r="G217" s="123"/>
      <c r="H217" s="123"/>
      <c r="I217" s="285"/>
      <c r="J217" s="123"/>
      <c r="K217" s="123"/>
      <c r="L217" s="123"/>
      <c r="M217" s="123"/>
      <c r="N217" s="123"/>
      <c r="O217" s="123"/>
      <c r="P217" s="123"/>
      <c r="Q217" s="123"/>
      <c r="R217" s="123"/>
      <c r="S217" s="123"/>
      <c r="T217" s="132"/>
      <c r="W217" s="133"/>
      <c r="X217" s="133"/>
      <c r="Y217" s="133"/>
      <c r="Z217" s="133"/>
      <c r="AA217" s="133"/>
      <c r="AB217" s="133"/>
      <c r="AC217" s="133"/>
      <c r="AD217" s="133"/>
      <c r="AE217" s="123"/>
      <c r="AF217" s="123"/>
      <c r="AG217" s="123"/>
      <c r="AH217" s="123"/>
      <c r="AI217" s="123"/>
      <c r="AJ217" s="123"/>
      <c r="AK217" s="123"/>
      <c r="AL217" s="123"/>
    </row>
    <row r="218" spans="1:38" ht="15.75" customHeight="1">
      <c r="A218" s="123"/>
      <c r="B218" s="123"/>
      <c r="C218" s="123"/>
      <c r="D218" s="282"/>
      <c r="E218" s="282"/>
      <c r="F218" s="282"/>
      <c r="G218" s="123"/>
      <c r="H218" s="123"/>
      <c r="I218" s="285"/>
      <c r="J218" s="123"/>
      <c r="K218" s="123"/>
      <c r="L218" s="123"/>
      <c r="M218" s="123"/>
      <c r="N218" s="123"/>
      <c r="O218" s="123"/>
      <c r="P218" s="123"/>
      <c r="Q218" s="123"/>
      <c r="R218" s="123"/>
      <c r="S218" s="123"/>
      <c r="T218" s="132"/>
      <c r="W218" s="133"/>
      <c r="X218" s="133"/>
      <c r="Y218" s="133"/>
      <c r="Z218" s="133"/>
      <c r="AA218" s="133"/>
      <c r="AB218" s="133"/>
      <c r="AC218" s="133"/>
      <c r="AD218" s="133"/>
      <c r="AE218" s="123"/>
      <c r="AF218" s="123"/>
      <c r="AG218" s="123"/>
      <c r="AH218" s="123"/>
      <c r="AI218" s="123"/>
      <c r="AJ218" s="123"/>
      <c r="AK218" s="123"/>
      <c r="AL218" s="123"/>
    </row>
    <row r="219" spans="1:38" ht="15.75" customHeight="1">
      <c r="A219" s="123"/>
      <c r="B219" s="123"/>
      <c r="C219" s="123"/>
      <c r="D219" s="282"/>
      <c r="E219" s="282"/>
      <c r="F219" s="282"/>
      <c r="G219" s="123"/>
      <c r="H219" s="123"/>
      <c r="I219" s="285"/>
      <c r="J219" s="123"/>
      <c r="K219" s="123"/>
      <c r="L219" s="123"/>
      <c r="M219" s="123"/>
      <c r="N219" s="123"/>
      <c r="O219" s="123"/>
      <c r="P219" s="123"/>
      <c r="Q219" s="123"/>
      <c r="R219" s="123"/>
      <c r="S219" s="123"/>
      <c r="T219" s="132"/>
      <c r="W219" s="133"/>
      <c r="X219" s="133"/>
      <c r="Y219" s="133"/>
      <c r="Z219" s="133"/>
      <c r="AA219" s="133"/>
      <c r="AB219" s="133"/>
      <c r="AC219" s="133"/>
      <c r="AD219" s="133"/>
      <c r="AE219" s="123"/>
      <c r="AF219" s="123"/>
      <c r="AG219" s="123"/>
      <c r="AH219" s="123"/>
      <c r="AI219" s="123"/>
      <c r="AJ219" s="123"/>
      <c r="AK219" s="123"/>
      <c r="AL219" s="123"/>
    </row>
    <row r="220" spans="1:38" ht="15.75" customHeight="1">
      <c r="A220" s="123"/>
      <c r="B220" s="123"/>
      <c r="C220" s="123"/>
      <c r="D220" s="282"/>
      <c r="E220" s="282"/>
      <c r="F220" s="282"/>
      <c r="G220" s="123"/>
      <c r="H220" s="123"/>
      <c r="I220" s="285"/>
      <c r="J220" s="123"/>
      <c r="K220" s="123"/>
      <c r="L220" s="123"/>
      <c r="M220" s="123"/>
      <c r="N220" s="123"/>
      <c r="O220" s="123"/>
      <c r="P220" s="123"/>
      <c r="Q220" s="123"/>
      <c r="R220" s="123"/>
      <c r="S220" s="123"/>
      <c r="T220" s="132"/>
      <c r="W220" s="133"/>
      <c r="X220" s="133"/>
      <c r="Y220" s="133"/>
      <c r="Z220" s="133"/>
      <c r="AA220" s="133"/>
      <c r="AB220" s="133"/>
      <c r="AC220" s="133"/>
      <c r="AD220" s="133"/>
      <c r="AE220" s="123"/>
      <c r="AF220" s="123"/>
      <c r="AG220" s="123"/>
      <c r="AH220" s="123"/>
      <c r="AI220" s="123"/>
      <c r="AJ220" s="123"/>
      <c r="AK220" s="123"/>
      <c r="AL220" s="123"/>
    </row>
    <row r="221" spans="1:38" ht="15.75" customHeight="1">
      <c r="A221" s="123"/>
      <c r="B221" s="123"/>
      <c r="C221" s="123"/>
      <c r="D221" s="282"/>
      <c r="E221" s="282"/>
      <c r="F221" s="282"/>
      <c r="G221" s="123"/>
      <c r="H221" s="123"/>
      <c r="I221" s="285"/>
      <c r="J221" s="123"/>
      <c r="K221" s="123"/>
      <c r="L221" s="123"/>
      <c r="M221" s="123"/>
      <c r="N221" s="123"/>
      <c r="O221" s="123"/>
      <c r="P221" s="123"/>
      <c r="Q221" s="123"/>
      <c r="R221" s="123"/>
      <c r="S221" s="123"/>
      <c r="T221" s="132"/>
      <c r="W221" s="133"/>
      <c r="X221" s="133"/>
      <c r="Y221" s="133"/>
      <c r="Z221" s="133"/>
      <c r="AA221" s="133"/>
      <c r="AB221" s="133"/>
      <c r="AC221" s="133"/>
      <c r="AD221" s="133"/>
      <c r="AE221" s="123"/>
      <c r="AF221" s="123"/>
      <c r="AG221" s="123"/>
      <c r="AH221" s="123"/>
      <c r="AI221" s="123"/>
      <c r="AJ221" s="123"/>
      <c r="AK221" s="123"/>
      <c r="AL221" s="123"/>
    </row>
    <row r="222" spans="1:38" ht="15.75" customHeight="1">
      <c r="A222" s="123"/>
      <c r="B222" s="123"/>
      <c r="C222" s="123"/>
      <c r="D222" s="282"/>
      <c r="E222" s="282"/>
      <c r="F222" s="282"/>
      <c r="G222" s="123"/>
      <c r="H222" s="123"/>
      <c r="I222" s="285"/>
      <c r="J222" s="123"/>
      <c r="K222" s="123"/>
      <c r="L222" s="123"/>
      <c r="M222" s="123"/>
      <c r="N222" s="123"/>
      <c r="O222" s="123"/>
      <c r="P222" s="123"/>
      <c r="Q222" s="123"/>
      <c r="R222" s="123"/>
      <c r="S222" s="123"/>
      <c r="T222" s="132"/>
      <c r="W222" s="133"/>
      <c r="X222" s="133"/>
      <c r="Y222" s="133"/>
      <c r="Z222" s="133"/>
      <c r="AA222" s="133"/>
      <c r="AB222" s="133"/>
      <c r="AC222" s="133"/>
      <c r="AD222" s="133"/>
      <c r="AE222" s="123"/>
      <c r="AF222" s="123"/>
      <c r="AG222" s="123"/>
      <c r="AH222" s="123"/>
      <c r="AI222" s="123"/>
      <c r="AJ222" s="123"/>
      <c r="AK222" s="123"/>
      <c r="AL222" s="123"/>
    </row>
    <row r="223" spans="1:38" ht="15.75" customHeight="1">
      <c r="A223" s="123"/>
      <c r="B223" s="123"/>
      <c r="C223" s="123"/>
      <c r="D223" s="282"/>
      <c r="E223" s="282"/>
      <c r="F223" s="282"/>
      <c r="G223" s="123"/>
      <c r="H223" s="123"/>
      <c r="I223" s="285"/>
      <c r="J223" s="123"/>
      <c r="K223" s="123"/>
      <c r="L223" s="123"/>
      <c r="M223" s="123"/>
      <c r="N223" s="123"/>
      <c r="O223" s="123"/>
      <c r="P223" s="123"/>
      <c r="Q223" s="123"/>
      <c r="R223" s="123"/>
      <c r="S223" s="123"/>
      <c r="T223" s="132"/>
      <c r="W223" s="133"/>
      <c r="X223" s="133"/>
      <c r="Y223" s="133"/>
      <c r="Z223" s="133"/>
      <c r="AA223" s="133"/>
      <c r="AB223" s="133"/>
      <c r="AC223" s="133"/>
      <c r="AD223" s="133"/>
      <c r="AE223" s="123"/>
      <c r="AF223" s="123"/>
      <c r="AG223" s="123"/>
      <c r="AH223" s="123"/>
      <c r="AI223" s="123"/>
      <c r="AJ223" s="123"/>
      <c r="AK223" s="123"/>
      <c r="AL223" s="123"/>
    </row>
    <row r="224" spans="1:38" ht="15.75" customHeight="1">
      <c r="A224" s="123"/>
      <c r="B224" s="123"/>
      <c r="C224" s="123"/>
      <c r="D224" s="282"/>
      <c r="E224" s="282"/>
      <c r="F224" s="282"/>
      <c r="G224" s="123"/>
      <c r="H224" s="123"/>
      <c r="I224" s="285"/>
      <c r="J224" s="123"/>
      <c r="K224" s="123"/>
      <c r="L224" s="123"/>
      <c r="M224" s="123"/>
      <c r="N224" s="123"/>
      <c r="O224" s="123"/>
      <c r="P224" s="123"/>
      <c r="Q224" s="123"/>
      <c r="R224" s="123"/>
      <c r="S224" s="123"/>
      <c r="T224" s="132"/>
      <c r="W224" s="133"/>
      <c r="X224" s="133"/>
      <c r="Y224" s="133"/>
      <c r="Z224" s="133"/>
      <c r="AA224" s="133"/>
      <c r="AB224" s="133"/>
      <c r="AC224" s="133"/>
      <c r="AD224" s="133"/>
      <c r="AE224" s="123"/>
      <c r="AF224" s="123"/>
      <c r="AG224" s="123"/>
      <c r="AH224" s="123"/>
      <c r="AI224" s="123"/>
      <c r="AJ224" s="123"/>
      <c r="AK224" s="123"/>
      <c r="AL224" s="123"/>
    </row>
    <row r="225" spans="1:38" ht="15.75" customHeight="1">
      <c r="A225" s="123"/>
      <c r="B225" s="123"/>
      <c r="C225" s="123"/>
      <c r="D225" s="282"/>
      <c r="E225" s="282"/>
      <c r="F225" s="282"/>
      <c r="G225" s="123"/>
      <c r="H225" s="123"/>
      <c r="I225" s="285"/>
      <c r="J225" s="123"/>
      <c r="K225" s="123"/>
      <c r="L225" s="123"/>
      <c r="M225" s="123"/>
      <c r="N225" s="123"/>
      <c r="O225" s="123"/>
      <c r="P225" s="123"/>
      <c r="Q225" s="123"/>
      <c r="R225" s="123"/>
      <c r="S225" s="123"/>
      <c r="T225" s="132"/>
      <c r="W225" s="133"/>
      <c r="X225" s="133"/>
      <c r="Y225" s="133"/>
      <c r="Z225" s="133"/>
      <c r="AA225" s="133"/>
      <c r="AB225" s="133"/>
      <c r="AC225" s="133"/>
      <c r="AD225" s="133"/>
      <c r="AE225" s="123"/>
      <c r="AF225" s="123"/>
      <c r="AG225" s="123"/>
      <c r="AH225" s="123"/>
      <c r="AI225" s="123"/>
      <c r="AJ225" s="123"/>
      <c r="AK225" s="123"/>
      <c r="AL225" s="123"/>
    </row>
    <row r="226" spans="1:38" ht="15.75" customHeight="1">
      <c r="A226" s="123"/>
      <c r="B226" s="123"/>
      <c r="C226" s="123"/>
      <c r="D226" s="282"/>
      <c r="E226" s="282"/>
      <c r="F226" s="282"/>
      <c r="G226" s="123"/>
      <c r="H226" s="123"/>
      <c r="I226" s="285"/>
      <c r="J226" s="123"/>
      <c r="K226" s="123"/>
      <c r="L226" s="123"/>
      <c r="M226" s="123"/>
      <c r="N226" s="123"/>
      <c r="O226" s="123"/>
      <c r="P226" s="123"/>
      <c r="Q226" s="123"/>
      <c r="R226" s="123"/>
      <c r="S226" s="123"/>
      <c r="T226" s="132"/>
      <c r="W226" s="133"/>
      <c r="X226" s="133"/>
      <c r="Y226" s="133"/>
      <c r="Z226" s="133"/>
      <c r="AA226" s="133"/>
      <c r="AB226" s="133"/>
      <c r="AC226" s="133"/>
      <c r="AD226" s="133"/>
      <c r="AE226" s="123"/>
      <c r="AF226" s="123"/>
      <c r="AG226" s="123"/>
      <c r="AH226" s="123"/>
      <c r="AI226" s="123"/>
      <c r="AJ226" s="123"/>
      <c r="AK226" s="123"/>
      <c r="AL226" s="123"/>
    </row>
    <row r="227" spans="1:38" ht="15.75" customHeight="1">
      <c r="A227" s="123"/>
      <c r="B227" s="123"/>
      <c r="C227" s="123"/>
      <c r="D227" s="282"/>
      <c r="E227" s="282"/>
      <c r="F227" s="282"/>
      <c r="G227" s="123"/>
      <c r="H227" s="123"/>
      <c r="I227" s="285"/>
      <c r="J227" s="123"/>
      <c r="K227" s="123"/>
      <c r="L227" s="123"/>
      <c r="M227" s="123"/>
      <c r="N227" s="123"/>
      <c r="O227" s="123"/>
      <c r="P227" s="123"/>
      <c r="Q227" s="123"/>
      <c r="R227" s="123"/>
      <c r="S227" s="123"/>
      <c r="T227" s="132"/>
      <c r="W227" s="133"/>
      <c r="X227" s="133"/>
      <c r="Y227" s="133"/>
      <c r="Z227" s="133"/>
      <c r="AA227" s="133"/>
      <c r="AB227" s="133"/>
      <c r="AC227" s="133"/>
      <c r="AD227" s="133"/>
      <c r="AE227" s="123"/>
      <c r="AF227" s="123"/>
      <c r="AG227" s="123"/>
      <c r="AH227" s="123"/>
      <c r="AI227" s="123"/>
      <c r="AJ227" s="123"/>
      <c r="AK227" s="123"/>
      <c r="AL227" s="123"/>
    </row>
    <row r="228" spans="1:38" ht="15.75" customHeight="1">
      <c r="A228" s="123"/>
      <c r="B228" s="123"/>
      <c r="C228" s="123"/>
      <c r="D228" s="282"/>
      <c r="E228" s="282"/>
      <c r="F228" s="282"/>
      <c r="G228" s="123"/>
      <c r="H228" s="123"/>
      <c r="I228" s="285"/>
      <c r="J228" s="123"/>
      <c r="K228" s="123"/>
      <c r="L228" s="123"/>
      <c r="M228" s="123"/>
      <c r="N228" s="123"/>
      <c r="O228" s="123"/>
      <c r="P228" s="123"/>
      <c r="Q228" s="123"/>
      <c r="R228" s="123"/>
      <c r="S228" s="123"/>
      <c r="T228" s="132"/>
      <c r="W228" s="133"/>
      <c r="X228" s="133"/>
      <c r="Y228" s="133"/>
      <c r="Z228" s="133"/>
      <c r="AA228" s="133"/>
      <c r="AB228" s="133"/>
      <c r="AC228" s="133"/>
      <c r="AD228" s="133"/>
      <c r="AE228" s="123"/>
      <c r="AF228" s="123"/>
      <c r="AG228" s="123"/>
      <c r="AH228" s="123"/>
      <c r="AI228" s="123"/>
      <c r="AJ228" s="123"/>
      <c r="AK228" s="123"/>
      <c r="AL228" s="123"/>
    </row>
    <row r="229" spans="1:38" ht="15.75" customHeight="1">
      <c r="A229" s="123"/>
      <c r="B229" s="123"/>
      <c r="C229" s="123"/>
      <c r="D229" s="282"/>
      <c r="E229" s="282"/>
      <c r="F229" s="282"/>
      <c r="G229" s="123"/>
      <c r="H229" s="123"/>
      <c r="I229" s="285"/>
      <c r="J229" s="123"/>
      <c r="K229" s="123"/>
      <c r="L229" s="123"/>
      <c r="M229" s="123"/>
      <c r="N229" s="123"/>
      <c r="O229" s="123"/>
      <c r="P229" s="123"/>
      <c r="Q229" s="123"/>
      <c r="R229" s="123"/>
      <c r="S229" s="123"/>
      <c r="T229" s="132"/>
      <c r="W229" s="133"/>
      <c r="X229" s="133"/>
      <c r="Y229" s="133"/>
      <c r="Z229" s="133"/>
      <c r="AA229" s="133"/>
      <c r="AB229" s="133"/>
      <c r="AC229" s="133"/>
      <c r="AD229" s="133"/>
      <c r="AE229" s="123"/>
      <c r="AF229" s="123"/>
      <c r="AG229" s="123"/>
      <c r="AH229" s="123"/>
      <c r="AI229" s="123"/>
      <c r="AJ229" s="123"/>
      <c r="AK229" s="123"/>
      <c r="AL229" s="123"/>
    </row>
    <row r="230" spans="1:38" ht="15.75" customHeight="1">
      <c r="A230" s="123"/>
      <c r="B230" s="123"/>
      <c r="C230" s="123"/>
      <c r="D230" s="282"/>
      <c r="E230" s="282"/>
      <c r="F230" s="282"/>
      <c r="G230" s="123"/>
      <c r="H230" s="123"/>
      <c r="I230" s="285"/>
      <c r="J230" s="123"/>
      <c r="K230" s="123"/>
      <c r="L230" s="123"/>
      <c r="M230" s="123"/>
      <c r="N230" s="123"/>
      <c r="O230" s="123"/>
      <c r="P230" s="123"/>
      <c r="Q230" s="123"/>
      <c r="R230" s="123"/>
      <c r="S230" s="123"/>
      <c r="T230" s="132"/>
      <c r="W230" s="133"/>
      <c r="X230" s="133"/>
      <c r="Y230" s="133"/>
      <c r="Z230" s="133"/>
      <c r="AA230" s="133"/>
      <c r="AB230" s="133"/>
      <c r="AC230" s="133"/>
      <c r="AD230" s="133"/>
      <c r="AE230" s="123"/>
      <c r="AF230" s="123"/>
      <c r="AG230" s="123"/>
      <c r="AH230" s="123"/>
      <c r="AI230" s="123"/>
      <c r="AJ230" s="123"/>
      <c r="AK230" s="123"/>
      <c r="AL230" s="123"/>
    </row>
    <row r="231" spans="1:38" ht="15.75" customHeight="1">
      <c r="A231" s="123"/>
      <c r="B231" s="123"/>
      <c r="C231" s="123"/>
      <c r="D231" s="282"/>
      <c r="E231" s="282"/>
      <c r="F231" s="282"/>
      <c r="G231" s="123"/>
      <c r="H231" s="123"/>
      <c r="I231" s="285"/>
      <c r="J231" s="123"/>
      <c r="K231" s="123"/>
      <c r="L231" s="123"/>
      <c r="M231" s="123"/>
      <c r="N231" s="123"/>
      <c r="O231" s="123"/>
      <c r="P231" s="123"/>
      <c r="Q231" s="123"/>
      <c r="R231" s="123"/>
      <c r="S231" s="123"/>
      <c r="T231" s="132"/>
      <c r="W231" s="133"/>
      <c r="X231" s="133"/>
      <c r="Y231" s="133"/>
      <c r="Z231" s="133"/>
      <c r="AA231" s="133"/>
      <c r="AB231" s="133"/>
      <c r="AC231" s="133"/>
      <c r="AD231" s="133"/>
      <c r="AE231" s="123"/>
      <c r="AF231" s="123"/>
      <c r="AG231" s="123"/>
      <c r="AH231" s="123"/>
      <c r="AI231" s="123"/>
      <c r="AJ231" s="123"/>
      <c r="AK231" s="123"/>
      <c r="AL231" s="123"/>
    </row>
    <row r="232" spans="1:38" ht="15.75" customHeight="1">
      <c r="A232" s="123"/>
      <c r="B232" s="123"/>
      <c r="C232" s="123"/>
      <c r="D232" s="282"/>
      <c r="E232" s="282"/>
      <c r="F232" s="282"/>
      <c r="G232" s="123"/>
      <c r="H232" s="123"/>
      <c r="I232" s="285"/>
      <c r="J232" s="123"/>
      <c r="K232" s="123"/>
      <c r="L232" s="123"/>
      <c r="M232" s="123"/>
      <c r="N232" s="123"/>
      <c r="O232" s="123"/>
      <c r="P232" s="123"/>
      <c r="Q232" s="123"/>
      <c r="R232" s="123"/>
      <c r="S232" s="123"/>
      <c r="T232" s="132"/>
      <c r="W232" s="133"/>
      <c r="X232" s="133"/>
      <c r="Y232" s="133"/>
      <c r="Z232" s="133"/>
      <c r="AA232" s="133"/>
      <c r="AB232" s="133"/>
      <c r="AC232" s="133"/>
      <c r="AD232" s="133"/>
      <c r="AE232" s="123"/>
      <c r="AF232" s="123"/>
      <c r="AG232" s="123"/>
      <c r="AH232" s="123"/>
      <c r="AI232" s="123"/>
      <c r="AJ232" s="123"/>
      <c r="AK232" s="123"/>
      <c r="AL232" s="123"/>
    </row>
    <row r="233" spans="1:38" ht="15.75" customHeight="1">
      <c r="A233" s="123"/>
      <c r="B233" s="123"/>
      <c r="C233" s="123"/>
      <c r="D233" s="282"/>
      <c r="E233" s="282"/>
      <c r="F233" s="282"/>
      <c r="G233" s="123"/>
      <c r="H233" s="123"/>
      <c r="I233" s="285"/>
      <c r="J233" s="123"/>
      <c r="K233" s="123"/>
      <c r="L233" s="123"/>
      <c r="M233" s="123"/>
      <c r="N233" s="123"/>
      <c r="O233" s="123"/>
      <c r="P233" s="123"/>
      <c r="Q233" s="123"/>
      <c r="R233" s="123"/>
      <c r="S233" s="123"/>
      <c r="T233" s="132"/>
      <c r="W233" s="133"/>
      <c r="X233" s="133"/>
      <c r="Y233" s="133"/>
      <c r="Z233" s="133"/>
      <c r="AA233" s="133"/>
      <c r="AB233" s="133"/>
      <c r="AC233" s="133"/>
      <c r="AD233" s="133"/>
      <c r="AE233" s="123"/>
      <c r="AF233" s="123"/>
      <c r="AG233" s="123"/>
      <c r="AH233" s="123"/>
      <c r="AI233" s="123"/>
      <c r="AJ233" s="123"/>
      <c r="AK233" s="123"/>
      <c r="AL233" s="123"/>
    </row>
    <row r="234" spans="1:38" ht="15.75" customHeight="1">
      <c r="A234" s="123"/>
      <c r="B234" s="123"/>
      <c r="C234" s="123"/>
      <c r="D234" s="282"/>
      <c r="E234" s="282"/>
      <c r="F234" s="282"/>
      <c r="G234" s="123"/>
      <c r="H234" s="123"/>
      <c r="I234" s="285"/>
      <c r="J234" s="123"/>
      <c r="K234" s="123"/>
      <c r="L234" s="123"/>
      <c r="M234" s="123"/>
      <c r="N234" s="123"/>
      <c r="O234" s="123"/>
      <c r="P234" s="123"/>
      <c r="Q234" s="123"/>
      <c r="R234" s="123"/>
      <c r="S234" s="123"/>
      <c r="T234" s="132"/>
      <c r="W234" s="133"/>
      <c r="X234" s="133"/>
      <c r="Y234" s="133"/>
      <c r="Z234" s="133"/>
      <c r="AA234" s="133"/>
      <c r="AB234" s="133"/>
      <c r="AC234" s="133"/>
      <c r="AD234" s="133"/>
      <c r="AE234" s="123"/>
      <c r="AF234" s="123"/>
      <c r="AG234" s="123"/>
      <c r="AH234" s="123"/>
      <c r="AI234" s="123"/>
      <c r="AJ234" s="123"/>
      <c r="AK234" s="123"/>
      <c r="AL234" s="123"/>
    </row>
    <row r="235" spans="1:38" ht="15.75" customHeight="1">
      <c r="A235" s="123"/>
      <c r="B235" s="123"/>
      <c r="C235" s="123"/>
      <c r="D235" s="282"/>
      <c r="E235" s="282"/>
      <c r="F235" s="282"/>
      <c r="G235" s="123"/>
      <c r="H235" s="123"/>
      <c r="I235" s="285"/>
      <c r="J235" s="123"/>
      <c r="K235" s="123"/>
      <c r="L235" s="123"/>
      <c r="M235" s="123"/>
      <c r="N235" s="123"/>
      <c r="O235" s="123"/>
      <c r="P235" s="123"/>
      <c r="Q235" s="123"/>
      <c r="R235" s="123"/>
      <c r="S235" s="123"/>
      <c r="T235" s="132"/>
      <c r="W235" s="133"/>
      <c r="X235" s="133"/>
      <c r="Y235" s="133"/>
      <c r="Z235" s="133"/>
      <c r="AA235" s="133"/>
      <c r="AB235" s="133"/>
      <c r="AC235" s="133"/>
      <c r="AD235" s="133"/>
      <c r="AE235" s="123"/>
      <c r="AF235" s="123"/>
      <c r="AG235" s="123"/>
      <c r="AH235" s="123"/>
      <c r="AI235" s="123"/>
      <c r="AJ235" s="123"/>
      <c r="AK235" s="123"/>
      <c r="AL235" s="123"/>
    </row>
    <row r="236" spans="1:38" ht="15.75" customHeight="1">
      <c r="A236" s="123"/>
      <c r="B236" s="123"/>
      <c r="C236" s="123"/>
      <c r="D236" s="282"/>
      <c r="E236" s="282"/>
      <c r="F236" s="282"/>
      <c r="G236" s="123"/>
      <c r="H236" s="123"/>
      <c r="I236" s="285"/>
      <c r="J236" s="123"/>
      <c r="K236" s="123"/>
      <c r="L236" s="123"/>
      <c r="M236" s="123"/>
      <c r="N236" s="123"/>
      <c r="O236" s="123"/>
      <c r="P236" s="123"/>
      <c r="Q236" s="123"/>
      <c r="R236" s="123"/>
      <c r="S236" s="123"/>
      <c r="T236" s="132"/>
      <c r="W236" s="133"/>
      <c r="X236" s="133"/>
      <c r="Y236" s="133"/>
      <c r="Z236" s="133"/>
      <c r="AA236" s="133"/>
      <c r="AB236" s="133"/>
      <c r="AC236" s="133"/>
      <c r="AD236" s="133"/>
      <c r="AE236" s="123"/>
      <c r="AF236" s="123"/>
      <c r="AG236" s="123"/>
      <c r="AH236" s="123"/>
      <c r="AI236" s="123"/>
      <c r="AJ236" s="123"/>
      <c r="AK236" s="123"/>
      <c r="AL236" s="123"/>
    </row>
    <row r="237" spans="1:38" ht="15.75" customHeight="1">
      <c r="A237" s="123"/>
      <c r="B237" s="123"/>
      <c r="C237" s="123"/>
      <c r="D237" s="282"/>
      <c r="E237" s="282"/>
      <c r="F237" s="282"/>
      <c r="G237" s="123"/>
      <c r="H237" s="123"/>
      <c r="I237" s="285"/>
      <c r="J237" s="123"/>
      <c r="K237" s="123"/>
      <c r="L237" s="123"/>
      <c r="M237" s="123"/>
      <c r="N237" s="123"/>
      <c r="O237" s="123"/>
      <c r="P237" s="123"/>
      <c r="Q237" s="123"/>
      <c r="R237" s="123"/>
      <c r="S237" s="123"/>
      <c r="T237" s="132"/>
      <c r="W237" s="133"/>
      <c r="X237" s="133"/>
      <c r="Y237" s="133"/>
      <c r="Z237" s="133"/>
      <c r="AA237" s="133"/>
      <c r="AB237" s="133"/>
      <c r="AC237" s="133"/>
      <c r="AD237" s="133"/>
      <c r="AE237" s="123"/>
      <c r="AF237" s="123"/>
      <c r="AG237" s="123"/>
      <c r="AH237" s="123"/>
      <c r="AI237" s="123"/>
      <c r="AJ237" s="123"/>
      <c r="AK237" s="123"/>
      <c r="AL237" s="123"/>
    </row>
    <row r="238" spans="1:38" ht="15.75" customHeight="1">
      <c r="A238" s="123"/>
      <c r="B238" s="123"/>
      <c r="C238" s="123"/>
      <c r="D238" s="282"/>
      <c r="E238" s="282"/>
      <c r="F238" s="282"/>
      <c r="G238" s="123"/>
      <c r="H238" s="123"/>
      <c r="I238" s="285"/>
      <c r="J238" s="123"/>
      <c r="K238" s="123"/>
      <c r="L238" s="123"/>
      <c r="M238" s="123"/>
      <c r="N238" s="123"/>
      <c r="O238" s="123"/>
      <c r="P238" s="123"/>
      <c r="Q238" s="123"/>
      <c r="R238" s="123"/>
      <c r="S238" s="123"/>
      <c r="T238" s="132"/>
      <c r="W238" s="133"/>
      <c r="X238" s="133"/>
      <c r="Y238" s="133"/>
      <c r="Z238" s="133"/>
      <c r="AA238" s="133"/>
      <c r="AB238" s="133"/>
      <c r="AC238" s="133"/>
      <c r="AD238" s="133"/>
      <c r="AE238" s="123"/>
      <c r="AF238" s="123"/>
      <c r="AG238" s="123"/>
      <c r="AH238" s="123"/>
      <c r="AI238" s="123"/>
      <c r="AJ238" s="123"/>
      <c r="AK238" s="123"/>
      <c r="AL238" s="123"/>
    </row>
    <row r="239" spans="1:38" ht="15.75" customHeight="1">
      <c r="A239" s="123"/>
      <c r="B239" s="123"/>
      <c r="C239" s="123"/>
      <c r="D239" s="282"/>
      <c r="E239" s="282"/>
      <c r="F239" s="282"/>
      <c r="G239" s="123"/>
      <c r="H239" s="123"/>
      <c r="I239" s="285"/>
      <c r="J239" s="123"/>
      <c r="K239" s="123"/>
      <c r="L239" s="123"/>
      <c r="M239" s="123"/>
      <c r="N239" s="123"/>
      <c r="O239" s="123"/>
      <c r="P239" s="123"/>
      <c r="Q239" s="123"/>
      <c r="R239" s="123"/>
      <c r="S239" s="123"/>
      <c r="T239" s="132"/>
      <c r="W239" s="133"/>
      <c r="X239" s="133"/>
      <c r="Y239" s="133"/>
      <c r="Z239" s="133"/>
      <c r="AA239" s="133"/>
      <c r="AB239" s="133"/>
      <c r="AC239" s="133"/>
      <c r="AD239" s="133"/>
      <c r="AE239" s="123"/>
      <c r="AF239" s="123"/>
      <c r="AG239" s="123"/>
      <c r="AH239" s="123"/>
      <c r="AI239" s="123"/>
      <c r="AJ239" s="123"/>
      <c r="AK239" s="123"/>
      <c r="AL239" s="123"/>
    </row>
    <row r="240" spans="1:38" ht="15.75" customHeight="1">
      <c r="A240" s="123"/>
      <c r="B240" s="123"/>
      <c r="C240" s="123"/>
      <c r="D240" s="282"/>
      <c r="E240" s="282"/>
      <c r="F240" s="282"/>
      <c r="G240" s="123"/>
      <c r="H240" s="123"/>
      <c r="I240" s="285"/>
      <c r="J240" s="123"/>
      <c r="K240" s="123"/>
      <c r="L240" s="123"/>
      <c r="M240" s="123"/>
      <c r="N240" s="123"/>
      <c r="O240" s="123"/>
      <c r="P240" s="123"/>
      <c r="Q240" s="123"/>
      <c r="R240" s="123"/>
      <c r="S240" s="123"/>
      <c r="T240" s="132"/>
      <c r="W240" s="133"/>
      <c r="X240" s="133"/>
      <c r="Y240" s="133"/>
      <c r="Z240" s="133"/>
      <c r="AA240" s="133"/>
      <c r="AB240" s="133"/>
      <c r="AC240" s="133"/>
      <c r="AD240" s="133"/>
      <c r="AE240" s="123"/>
      <c r="AF240" s="123"/>
      <c r="AG240" s="123"/>
      <c r="AH240" s="123"/>
      <c r="AI240" s="123"/>
      <c r="AJ240" s="123"/>
      <c r="AK240" s="123"/>
      <c r="AL240" s="123"/>
    </row>
    <row r="241" spans="1:38" ht="15.75" customHeight="1">
      <c r="A241" s="123"/>
      <c r="B241" s="123"/>
      <c r="C241" s="123"/>
      <c r="D241" s="282"/>
      <c r="E241" s="282"/>
      <c r="F241" s="282"/>
      <c r="G241" s="123"/>
      <c r="H241" s="123"/>
      <c r="I241" s="285"/>
      <c r="J241" s="123"/>
      <c r="K241" s="123"/>
      <c r="L241" s="123"/>
      <c r="M241" s="123"/>
      <c r="N241" s="123"/>
      <c r="O241" s="123"/>
      <c r="P241" s="123"/>
      <c r="Q241" s="123"/>
      <c r="R241" s="123"/>
      <c r="S241" s="123"/>
      <c r="T241" s="132"/>
      <c r="W241" s="133"/>
      <c r="X241" s="133"/>
      <c r="Y241" s="133"/>
      <c r="Z241" s="133"/>
      <c r="AA241" s="133"/>
      <c r="AB241" s="133"/>
      <c r="AC241" s="133"/>
      <c r="AD241" s="133"/>
      <c r="AE241" s="123"/>
      <c r="AF241" s="123"/>
      <c r="AG241" s="123"/>
      <c r="AH241" s="123"/>
      <c r="AI241" s="123"/>
      <c r="AJ241" s="123"/>
      <c r="AK241" s="123"/>
      <c r="AL241" s="123"/>
    </row>
    <row r="242" spans="1:38" ht="15.75" customHeight="1">
      <c r="A242" s="123"/>
      <c r="B242" s="123"/>
      <c r="C242" s="123"/>
      <c r="D242" s="282"/>
      <c r="E242" s="282"/>
      <c r="F242" s="282"/>
      <c r="G242" s="123"/>
      <c r="H242" s="123"/>
      <c r="I242" s="285"/>
      <c r="J242" s="123"/>
      <c r="K242" s="123"/>
      <c r="L242" s="123"/>
      <c r="M242" s="123"/>
      <c r="N242" s="123"/>
      <c r="O242" s="123"/>
      <c r="P242" s="123"/>
      <c r="Q242" s="123"/>
      <c r="R242" s="123"/>
      <c r="S242" s="123"/>
      <c r="T242" s="132"/>
      <c r="W242" s="133"/>
      <c r="X242" s="133"/>
      <c r="Y242" s="133"/>
      <c r="Z242" s="133"/>
      <c r="AA242" s="133"/>
      <c r="AB242" s="133"/>
      <c r="AC242" s="133"/>
      <c r="AD242" s="133"/>
      <c r="AE242" s="123"/>
      <c r="AF242" s="123"/>
      <c r="AG242" s="123"/>
      <c r="AH242" s="123"/>
      <c r="AI242" s="123"/>
      <c r="AJ242" s="123"/>
      <c r="AK242" s="123"/>
      <c r="AL242" s="123"/>
    </row>
    <row r="243" spans="1:38" ht="15.75" customHeight="1">
      <c r="A243" s="123"/>
      <c r="B243" s="123"/>
      <c r="C243" s="123"/>
      <c r="D243" s="282"/>
      <c r="E243" s="282"/>
      <c r="F243" s="282"/>
      <c r="G243" s="123"/>
      <c r="H243" s="123"/>
      <c r="I243" s="285"/>
      <c r="J243" s="123"/>
      <c r="K243" s="123"/>
      <c r="L243" s="123"/>
      <c r="M243" s="123"/>
      <c r="N243" s="123"/>
      <c r="O243" s="123"/>
      <c r="P243" s="123"/>
      <c r="Q243" s="123"/>
      <c r="R243" s="123"/>
      <c r="S243" s="123"/>
      <c r="T243" s="132"/>
      <c r="W243" s="133"/>
      <c r="X243" s="133"/>
      <c r="Y243" s="133"/>
      <c r="Z243" s="133"/>
      <c r="AA243" s="133"/>
      <c r="AB243" s="133"/>
      <c r="AC243" s="133"/>
      <c r="AD243" s="133"/>
      <c r="AE243" s="123"/>
      <c r="AF243" s="123"/>
      <c r="AG243" s="123"/>
      <c r="AH243" s="123"/>
      <c r="AI243" s="123"/>
      <c r="AJ243" s="123"/>
      <c r="AK243" s="123"/>
      <c r="AL243" s="123"/>
    </row>
    <row r="244" spans="1:38" ht="15.75" customHeight="1">
      <c r="A244" s="123"/>
      <c r="B244" s="123"/>
      <c r="C244" s="123"/>
      <c r="D244" s="282"/>
      <c r="E244" s="282"/>
      <c r="F244" s="282"/>
      <c r="G244" s="123"/>
      <c r="H244" s="123"/>
      <c r="I244" s="285"/>
      <c r="J244" s="123"/>
      <c r="K244" s="123"/>
      <c r="L244" s="123"/>
      <c r="M244" s="123"/>
      <c r="N244" s="123"/>
      <c r="O244" s="123"/>
      <c r="P244" s="123"/>
      <c r="Q244" s="123"/>
      <c r="R244" s="123"/>
      <c r="S244" s="123"/>
      <c r="T244" s="132"/>
      <c r="W244" s="133"/>
      <c r="X244" s="133"/>
      <c r="Y244" s="133"/>
      <c r="Z244" s="133"/>
      <c r="AA244" s="133"/>
      <c r="AB244" s="133"/>
      <c r="AC244" s="133"/>
      <c r="AD244" s="133"/>
      <c r="AE244" s="123"/>
      <c r="AF244" s="123"/>
      <c r="AG244" s="123"/>
      <c r="AH244" s="123"/>
      <c r="AI244" s="123"/>
      <c r="AJ244" s="123"/>
      <c r="AK244" s="123"/>
      <c r="AL244" s="123"/>
    </row>
    <row r="245" spans="1:38" ht="15.75" customHeight="1">
      <c r="A245" s="123"/>
      <c r="B245" s="123"/>
      <c r="C245" s="123"/>
      <c r="D245" s="282"/>
      <c r="E245" s="282"/>
      <c r="F245" s="282"/>
      <c r="G245" s="123"/>
      <c r="H245" s="123"/>
      <c r="I245" s="285"/>
      <c r="J245" s="123"/>
      <c r="K245" s="123"/>
      <c r="L245" s="123"/>
      <c r="M245" s="123"/>
      <c r="N245" s="123"/>
      <c r="O245" s="123"/>
      <c r="P245" s="123"/>
      <c r="Q245" s="123"/>
      <c r="R245" s="123"/>
      <c r="S245" s="123"/>
      <c r="T245" s="132"/>
      <c r="W245" s="133"/>
      <c r="X245" s="133"/>
      <c r="Y245" s="133"/>
      <c r="Z245" s="133"/>
      <c r="AA245" s="133"/>
      <c r="AB245" s="133"/>
      <c r="AC245" s="133"/>
      <c r="AD245" s="133"/>
      <c r="AE245" s="123"/>
      <c r="AF245" s="123"/>
      <c r="AG245" s="123"/>
      <c r="AH245" s="123"/>
      <c r="AI245" s="123"/>
      <c r="AJ245" s="123"/>
      <c r="AK245" s="123"/>
      <c r="AL245" s="123"/>
    </row>
    <row r="246" spans="1:38" ht="15.75" customHeight="1">
      <c r="A246" s="123"/>
      <c r="B246" s="123"/>
      <c r="C246" s="123"/>
      <c r="D246" s="282"/>
      <c r="E246" s="282"/>
      <c r="F246" s="282"/>
      <c r="G246" s="123"/>
      <c r="H246" s="123"/>
      <c r="I246" s="285"/>
      <c r="J246" s="123"/>
      <c r="K246" s="123"/>
      <c r="L246" s="123"/>
      <c r="M246" s="123"/>
      <c r="N246" s="123"/>
      <c r="O246" s="123"/>
      <c r="P246" s="123"/>
      <c r="Q246" s="123"/>
      <c r="R246" s="123"/>
      <c r="S246" s="123"/>
      <c r="T246" s="132"/>
      <c r="W246" s="133"/>
      <c r="X246" s="133"/>
      <c r="Y246" s="133"/>
      <c r="Z246" s="133"/>
      <c r="AA246" s="133"/>
      <c r="AB246" s="133"/>
      <c r="AC246" s="133"/>
      <c r="AD246" s="133"/>
      <c r="AE246" s="123"/>
      <c r="AF246" s="123"/>
      <c r="AG246" s="123"/>
      <c r="AH246" s="123"/>
      <c r="AI246" s="123"/>
      <c r="AJ246" s="123"/>
      <c r="AK246" s="123"/>
      <c r="AL246" s="123"/>
    </row>
    <row r="247" spans="1:38" ht="15.75" customHeight="1">
      <c r="A247" s="123"/>
      <c r="B247" s="123"/>
      <c r="C247" s="123"/>
      <c r="D247" s="282"/>
      <c r="E247" s="282"/>
      <c r="F247" s="282"/>
      <c r="G247" s="123"/>
      <c r="H247" s="123"/>
      <c r="I247" s="285"/>
      <c r="J247" s="123"/>
      <c r="K247" s="123"/>
      <c r="L247" s="123"/>
      <c r="M247" s="123"/>
      <c r="N247" s="123"/>
      <c r="O247" s="123"/>
      <c r="P247" s="123"/>
      <c r="Q247" s="123"/>
      <c r="R247" s="123"/>
      <c r="S247" s="123"/>
      <c r="T247" s="132"/>
      <c r="W247" s="133"/>
      <c r="X247" s="133"/>
      <c r="Y247" s="133"/>
      <c r="Z247" s="133"/>
      <c r="AA247" s="133"/>
      <c r="AB247" s="133"/>
      <c r="AC247" s="133"/>
      <c r="AD247" s="133"/>
      <c r="AE247" s="123"/>
      <c r="AF247" s="123"/>
      <c r="AG247" s="123"/>
      <c r="AH247" s="123"/>
      <c r="AI247" s="123"/>
      <c r="AJ247" s="123"/>
      <c r="AK247" s="123"/>
      <c r="AL247" s="123"/>
    </row>
    <row r="248" spans="1:38" ht="15.75" customHeight="1">
      <c r="A248" s="123"/>
      <c r="B248" s="123"/>
      <c r="C248" s="123"/>
      <c r="D248" s="282"/>
      <c r="E248" s="282"/>
      <c r="F248" s="282"/>
      <c r="G248" s="123"/>
      <c r="H248" s="123"/>
      <c r="I248" s="285"/>
      <c r="J248" s="123"/>
      <c r="K248" s="123"/>
      <c r="L248" s="123"/>
      <c r="M248" s="123"/>
      <c r="N248" s="123"/>
      <c r="O248" s="123"/>
      <c r="P248" s="123"/>
      <c r="Q248" s="123"/>
      <c r="R248" s="123"/>
      <c r="S248" s="123"/>
      <c r="T248" s="132"/>
      <c r="W248" s="133"/>
      <c r="X248" s="133"/>
      <c r="Y248" s="133"/>
      <c r="Z248" s="133"/>
      <c r="AA248" s="133"/>
      <c r="AB248" s="133"/>
      <c r="AC248" s="133"/>
      <c r="AD248" s="133"/>
      <c r="AE248" s="123"/>
      <c r="AF248" s="123"/>
      <c r="AG248" s="123"/>
      <c r="AH248" s="123"/>
      <c r="AI248" s="123"/>
      <c r="AJ248" s="123"/>
      <c r="AK248" s="123"/>
      <c r="AL248" s="123"/>
    </row>
    <row r="249" spans="1:38" ht="15.75" customHeight="1">
      <c r="A249" s="123"/>
      <c r="B249" s="123"/>
      <c r="C249" s="123"/>
      <c r="D249" s="282"/>
      <c r="E249" s="282"/>
      <c r="F249" s="282"/>
      <c r="G249" s="123"/>
      <c r="H249" s="123"/>
      <c r="I249" s="285"/>
      <c r="J249" s="123"/>
      <c r="K249" s="123"/>
      <c r="L249" s="123"/>
      <c r="M249" s="123"/>
      <c r="N249" s="123"/>
      <c r="O249" s="123"/>
      <c r="P249" s="123"/>
      <c r="Q249" s="123"/>
      <c r="R249" s="123"/>
      <c r="S249" s="123"/>
      <c r="T249" s="132"/>
      <c r="W249" s="133"/>
      <c r="X249" s="133"/>
      <c r="Y249" s="133"/>
      <c r="Z249" s="133"/>
      <c r="AA249" s="133"/>
      <c r="AB249" s="133"/>
      <c r="AC249" s="133"/>
      <c r="AD249" s="133"/>
      <c r="AE249" s="123"/>
      <c r="AF249" s="123"/>
      <c r="AG249" s="123"/>
      <c r="AH249" s="123"/>
      <c r="AI249" s="123"/>
      <c r="AJ249" s="123"/>
      <c r="AK249" s="123"/>
      <c r="AL249" s="123"/>
    </row>
    <row r="250" spans="1:38" ht="15.75" customHeight="1">
      <c r="A250" s="123"/>
      <c r="B250" s="123"/>
      <c r="C250" s="123"/>
      <c r="D250" s="282"/>
      <c r="E250" s="282"/>
      <c r="F250" s="282"/>
      <c r="G250" s="123"/>
      <c r="H250" s="123"/>
      <c r="I250" s="285"/>
      <c r="J250" s="123"/>
      <c r="K250" s="123"/>
      <c r="L250" s="123"/>
      <c r="M250" s="123"/>
      <c r="N250" s="123"/>
      <c r="O250" s="123"/>
      <c r="P250" s="123"/>
      <c r="Q250" s="123"/>
      <c r="R250" s="123"/>
      <c r="S250" s="123"/>
      <c r="T250" s="132"/>
      <c r="W250" s="133"/>
      <c r="X250" s="133"/>
      <c r="Y250" s="133"/>
      <c r="Z250" s="133"/>
      <c r="AA250" s="133"/>
      <c r="AB250" s="133"/>
      <c r="AC250" s="133"/>
      <c r="AD250" s="133"/>
      <c r="AE250" s="123"/>
      <c r="AF250" s="123"/>
      <c r="AG250" s="123"/>
      <c r="AH250" s="123"/>
      <c r="AI250" s="123"/>
      <c r="AJ250" s="123"/>
      <c r="AK250" s="123"/>
      <c r="AL250" s="123"/>
    </row>
    <row r="251" spans="1:38" ht="15.75" customHeight="1">
      <c r="A251" s="123"/>
      <c r="B251" s="123"/>
      <c r="C251" s="123"/>
      <c r="D251" s="282"/>
      <c r="E251" s="282"/>
      <c r="F251" s="282"/>
      <c r="G251" s="123"/>
      <c r="H251" s="123"/>
      <c r="I251" s="285"/>
      <c r="J251" s="123"/>
      <c r="K251" s="123"/>
      <c r="L251" s="123"/>
      <c r="M251" s="123"/>
      <c r="N251" s="123"/>
      <c r="O251" s="123"/>
      <c r="P251" s="123"/>
      <c r="Q251" s="123"/>
      <c r="R251" s="123"/>
      <c r="S251" s="123"/>
      <c r="T251" s="132"/>
      <c r="W251" s="133"/>
      <c r="X251" s="133"/>
      <c r="Y251" s="133"/>
      <c r="Z251" s="133"/>
      <c r="AA251" s="133"/>
      <c r="AB251" s="133"/>
      <c r="AC251" s="133"/>
      <c r="AD251" s="133"/>
      <c r="AE251" s="123"/>
      <c r="AF251" s="123"/>
      <c r="AG251" s="123"/>
      <c r="AH251" s="123"/>
      <c r="AI251" s="123"/>
      <c r="AJ251" s="123"/>
      <c r="AK251" s="123"/>
      <c r="AL251" s="123"/>
    </row>
    <row r="252" spans="1:38" ht="15.75" customHeight="1">
      <c r="A252" s="123"/>
      <c r="B252" s="123"/>
      <c r="C252" s="123"/>
      <c r="D252" s="282"/>
      <c r="E252" s="282"/>
      <c r="F252" s="282"/>
      <c r="G252" s="123"/>
      <c r="H252" s="123"/>
      <c r="I252" s="285"/>
      <c r="J252" s="123"/>
      <c r="K252" s="123"/>
      <c r="L252" s="123"/>
      <c r="M252" s="123"/>
      <c r="N252" s="123"/>
      <c r="O252" s="123"/>
      <c r="P252" s="123"/>
      <c r="Q252" s="123"/>
      <c r="R252" s="123"/>
      <c r="S252" s="123"/>
      <c r="T252" s="132"/>
      <c r="W252" s="133"/>
      <c r="X252" s="133"/>
      <c r="Y252" s="133"/>
      <c r="Z252" s="133"/>
      <c r="AA252" s="133"/>
      <c r="AB252" s="133"/>
      <c r="AC252" s="133"/>
      <c r="AD252" s="133"/>
      <c r="AE252" s="123"/>
      <c r="AF252" s="123"/>
      <c r="AG252" s="123"/>
      <c r="AH252" s="123"/>
      <c r="AI252" s="123"/>
      <c r="AJ252" s="123"/>
      <c r="AK252" s="123"/>
      <c r="AL252" s="123"/>
    </row>
    <row r="253" spans="1:38" ht="15.75" customHeight="1">
      <c r="A253" s="123"/>
      <c r="B253" s="123"/>
      <c r="C253" s="123"/>
      <c r="D253" s="282"/>
      <c r="E253" s="282"/>
      <c r="F253" s="282"/>
      <c r="G253" s="123"/>
      <c r="H253" s="123"/>
      <c r="I253" s="285"/>
      <c r="J253" s="123"/>
      <c r="K253" s="123"/>
      <c r="L253" s="123"/>
      <c r="M253" s="123"/>
      <c r="N253" s="123"/>
      <c r="O253" s="123"/>
      <c r="P253" s="123"/>
      <c r="Q253" s="123"/>
      <c r="R253" s="123"/>
      <c r="S253" s="123"/>
      <c r="T253" s="132"/>
      <c r="W253" s="133"/>
      <c r="X253" s="133"/>
      <c r="Y253" s="133"/>
      <c r="Z253" s="133"/>
      <c r="AA253" s="133"/>
      <c r="AB253" s="133"/>
      <c r="AC253" s="133"/>
      <c r="AD253" s="133"/>
      <c r="AE253" s="123"/>
      <c r="AF253" s="123"/>
      <c r="AG253" s="123"/>
      <c r="AH253" s="123"/>
      <c r="AI253" s="123"/>
      <c r="AJ253" s="123"/>
      <c r="AK253" s="123"/>
      <c r="AL253" s="123"/>
    </row>
    <row r="254" spans="1:38" ht="15.75" customHeight="1">
      <c r="A254" s="123"/>
      <c r="B254" s="123"/>
      <c r="C254" s="123"/>
      <c r="D254" s="282"/>
      <c r="E254" s="282"/>
      <c r="F254" s="282"/>
      <c r="G254" s="123"/>
      <c r="H254" s="123"/>
      <c r="I254" s="285"/>
      <c r="J254" s="123"/>
      <c r="K254" s="123"/>
      <c r="L254" s="123"/>
      <c r="M254" s="123"/>
      <c r="N254" s="123"/>
      <c r="O254" s="123"/>
      <c r="P254" s="123"/>
      <c r="Q254" s="123"/>
      <c r="R254" s="123"/>
      <c r="S254" s="123"/>
      <c r="T254" s="132"/>
      <c r="W254" s="133"/>
      <c r="X254" s="133"/>
      <c r="Y254" s="133"/>
      <c r="Z254" s="133"/>
      <c r="AA254" s="133"/>
      <c r="AB254" s="133"/>
      <c r="AC254" s="133"/>
      <c r="AD254" s="133"/>
      <c r="AE254" s="123"/>
      <c r="AF254" s="123"/>
      <c r="AG254" s="123"/>
      <c r="AH254" s="123"/>
      <c r="AI254" s="123"/>
      <c r="AJ254" s="123"/>
      <c r="AK254" s="123"/>
      <c r="AL254" s="123"/>
    </row>
    <row r="255" spans="1:38" ht="15.75" customHeight="1">
      <c r="A255" s="123"/>
      <c r="B255" s="123"/>
      <c r="C255" s="123"/>
      <c r="D255" s="282"/>
      <c r="E255" s="282"/>
      <c r="F255" s="282"/>
      <c r="G255" s="123"/>
      <c r="H255" s="123"/>
      <c r="I255" s="285"/>
      <c r="J255" s="123"/>
      <c r="K255" s="123"/>
      <c r="L255" s="123"/>
      <c r="M255" s="123"/>
      <c r="N255" s="123"/>
      <c r="O255" s="123"/>
      <c r="P255" s="123"/>
      <c r="Q255" s="123"/>
      <c r="R255" s="123"/>
      <c r="S255" s="123"/>
      <c r="T255" s="132"/>
      <c r="W255" s="133"/>
      <c r="X255" s="133"/>
      <c r="Y255" s="133"/>
      <c r="Z255" s="133"/>
      <c r="AA255" s="133"/>
      <c r="AB255" s="133"/>
      <c r="AC255" s="133"/>
      <c r="AD255" s="133"/>
      <c r="AE255" s="123"/>
      <c r="AF255" s="123"/>
      <c r="AG255" s="123"/>
      <c r="AH255" s="123"/>
      <c r="AI255" s="123"/>
      <c r="AJ255" s="123"/>
      <c r="AK255" s="123"/>
      <c r="AL255" s="123"/>
    </row>
    <row r="256" spans="1:38"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B51:B55"/>
    <mergeCell ref="AB1:AG1"/>
    <mergeCell ref="W3:X3"/>
    <mergeCell ref="AB3:AC3"/>
    <mergeCell ref="B6:B10"/>
    <mergeCell ref="B11:B15"/>
    <mergeCell ref="B16:B20"/>
    <mergeCell ref="B21:B25"/>
    <mergeCell ref="B26:B30"/>
    <mergeCell ref="B31:B35"/>
    <mergeCell ref="B36:B40"/>
    <mergeCell ref="B41:B45"/>
    <mergeCell ref="B46:B50"/>
  </mergeCells>
  <pageMargins left="0.31496062992125984" right="0.31496062992125984" top="0.74803149606299213" bottom="0.74803149606299213" header="0" footer="0"/>
  <pageSetup orientation="landscape"/>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U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9.42578125" customWidth="1"/>
    <col min="7" max="7" width="9.28515625" customWidth="1"/>
    <col min="8" max="8" width="12.28515625" customWidth="1"/>
    <col min="9" max="9" width="1.42578125" customWidth="1"/>
    <col min="10" max="11" width="9.28515625" customWidth="1"/>
    <col min="12" max="12" width="12.28515625" customWidth="1"/>
    <col min="13" max="13" width="1.42578125" customWidth="1"/>
    <col min="14" max="14" width="11" customWidth="1"/>
    <col min="15" max="15" width="10" customWidth="1"/>
    <col min="16" max="16" width="1.7109375" customWidth="1"/>
    <col min="17" max="18" width="9.28515625" customWidth="1"/>
    <col min="19" max="19" width="12.28515625" customWidth="1"/>
    <col min="20" max="20" width="0.42578125" customWidth="1"/>
    <col min="21" max="21" width="11" customWidth="1"/>
    <col min="22" max="22" width="10" customWidth="1"/>
    <col min="23" max="23" width="0.42578125" customWidth="1"/>
    <col min="24" max="25" width="9.28515625" customWidth="1"/>
    <col min="26" max="26" width="12.28515625" customWidth="1"/>
    <col min="27" max="27" width="0.42578125" customWidth="1"/>
    <col min="28" max="28" width="11" customWidth="1"/>
    <col min="29" max="29" width="10" customWidth="1"/>
    <col min="30" max="30" width="2.140625" customWidth="1"/>
    <col min="31" max="31" width="10.42578125" customWidth="1"/>
    <col min="32" max="32" width="9.28515625" customWidth="1"/>
    <col min="33" max="33" width="12.28515625" customWidth="1"/>
    <col min="34" max="34" width="0.42578125" customWidth="1"/>
    <col min="35" max="35" width="9.42578125" customWidth="1"/>
    <col min="36" max="36" width="10" customWidth="1"/>
    <col min="37" max="37" width="0.7109375" customWidth="1"/>
    <col min="38" max="38" width="10.42578125" customWidth="1"/>
    <col min="39" max="39" width="9.28515625" customWidth="1"/>
    <col min="40" max="40" width="12.28515625" customWidth="1"/>
    <col min="41" max="41" width="1.28515625" customWidth="1"/>
    <col min="42" max="42" width="9.42578125" customWidth="1"/>
    <col min="43" max="43" width="10" customWidth="1"/>
    <col min="44" max="44" width="1.28515625" customWidth="1"/>
    <col min="45" max="47" width="12.42578125" customWidth="1"/>
  </cols>
  <sheetData>
    <row r="1" spans="1:47" ht="12" customHeight="1">
      <c r="A1" s="53"/>
      <c r="B1" s="53"/>
      <c r="C1" s="53"/>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3"/>
      <c r="AT1" s="3"/>
      <c r="AU1" s="3"/>
    </row>
    <row r="2" spans="1:47" ht="12" customHeight="1">
      <c r="A2" s="53"/>
      <c r="B2" s="53"/>
      <c r="C2" s="373"/>
      <c r="D2" s="373"/>
      <c r="E2" s="373"/>
      <c r="F2" s="373" t="s">
        <v>320</v>
      </c>
      <c r="G2" s="373"/>
      <c r="H2" s="373"/>
      <c r="I2" s="373"/>
      <c r="J2" s="373"/>
      <c r="K2" s="373"/>
      <c r="L2" s="373"/>
      <c r="M2" s="373"/>
      <c r="N2" s="373"/>
      <c r="O2" s="373"/>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3"/>
      <c r="AT2" s="3"/>
      <c r="AU2" s="3"/>
    </row>
    <row r="3" spans="1:47" ht="12" customHeight="1">
      <c r="A3" s="53"/>
      <c r="B3" s="53"/>
      <c r="C3" s="373"/>
      <c r="D3" s="373"/>
      <c r="E3" s="373"/>
      <c r="F3" s="373" t="s">
        <v>322</v>
      </c>
      <c r="G3" s="373"/>
      <c r="H3" s="373"/>
      <c r="I3" s="373"/>
      <c r="J3" s="373"/>
      <c r="K3" s="373"/>
      <c r="L3" s="373"/>
      <c r="M3" s="373"/>
      <c r="N3" s="373"/>
      <c r="O3" s="373"/>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c r="AU3" s="3"/>
    </row>
    <row r="4" spans="1:47" ht="12" customHeight="1">
      <c r="A4" s="53"/>
      <c r="B4" s="53"/>
      <c r="C4" s="53"/>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c r="AU4" s="3"/>
    </row>
    <row r="5" spans="1:47" ht="12" customHeight="1">
      <c r="A5" s="53"/>
      <c r="B5" s="53"/>
      <c r="C5" s="53"/>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c r="AU5" s="3"/>
    </row>
    <row r="6" spans="1:47" ht="12" customHeight="1">
      <c r="A6" s="53"/>
      <c r="B6" s="327" t="s">
        <v>323</v>
      </c>
      <c r="C6" s="53"/>
      <c r="D6" s="499" t="s">
        <v>249</v>
      </c>
      <c r="E6" s="500"/>
      <c r="F6" s="500"/>
      <c r="G6" s="500"/>
      <c r="H6" s="500"/>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row>
    <row r="7" spans="1:47"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row>
    <row r="8" spans="1:47" ht="12" customHeight="1">
      <c r="A8" s="53"/>
      <c r="B8" s="327" t="s">
        <v>324</v>
      </c>
      <c r="C8" s="53"/>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3"/>
      <c r="AT8" s="3"/>
      <c r="AU8" s="3"/>
    </row>
    <row r="9" spans="1:47" ht="12" customHeight="1">
      <c r="A9" s="53"/>
      <c r="B9" s="377"/>
      <c r="C9" s="53"/>
      <c r="D9" s="314" t="s">
        <v>326</v>
      </c>
      <c r="E9" s="314"/>
      <c r="F9" s="380">
        <v>255500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3"/>
      <c r="AT9" s="3"/>
      <c r="AU9" s="3"/>
    </row>
    <row r="10" spans="1:47" ht="12" customHeight="1">
      <c r="A10" s="53"/>
      <c r="B10" s="53"/>
      <c r="C10" s="53"/>
      <c r="D10" s="53"/>
      <c r="E10" s="53"/>
      <c r="F10" s="380">
        <v>1000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3"/>
      <c r="AT10" s="3"/>
      <c r="AU10" s="3"/>
    </row>
    <row r="11" spans="1:47" ht="12" customHeight="1">
      <c r="A11" s="53"/>
      <c r="B11" s="53"/>
      <c r="C11" s="53"/>
      <c r="D11" s="3"/>
      <c r="E11" s="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c r="AS11" s="3"/>
      <c r="AT11" s="3"/>
      <c r="AU11" s="3"/>
    </row>
    <row r="12" spans="1:47" ht="12" customHeight="1">
      <c r="A12" s="53"/>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c r="AS12" s="3"/>
      <c r="AT12" s="3"/>
      <c r="AU12" s="3"/>
    </row>
    <row r="13" spans="1:47" ht="12" customHeight="1">
      <c r="A13" s="53"/>
      <c r="B13" s="53"/>
      <c r="C13" s="53"/>
      <c r="D13" s="644" t="s">
        <v>328</v>
      </c>
      <c r="E13" s="317"/>
      <c r="F13" s="383" t="s">
        <v>329</v>
      </c>
      <c r="G13" s="383" t="s">
        <v>330</v>
      </c>
      <c r="H13" s="385" t="s">
        <v>331</v>
      </c>
      <c r="I13" s="53"/>
      <c r="J13" s="383" t="s">
        <v>329</v>
      </c>
      <c r="K13" s="384" t="s">
        <v>330</v>
      </c>
      <c r="L13" s="385" t="s">
        <v>331</v>
      </c>
      <c r="M13" s="53"/>
      <c r="N13" s="638" t="s">
        <v>332</v>
      </c>
      <c r="O13" s="639" t="s">
        <v>333</v>
      </c>
      <c r="P13" s="53"/>
      <c r="Q13" s="383" t="s">
        <v>329</v>
      </c>
      <c r="R13" s="384" t="s">
        <v>330</v>
      </c>
      <c r="S13" s="385" t="s">
        <v>331</v>
      </c>
      <c r="T13" s="53"/>
      <c r="U13" s="638" t="s">
        <v>332</v>
      </c>
      <c r="V13" s="639" t="s">
        <v>333</v>
      </c>
      <c r="W13" s="53"/>
      <c r="X13" s="383" t="s">
        <v>329</v>
      </c>
      <c r="Y13" s="384" t="s">
        <v>330</v>
      </c>
      <c r="Z13" s="385" t="s">
        <v>331</v>
      </c>
      <c r="AA13" s="53"/>
      <c r="AB13" s="638" t="s">
        <v>332</v>
      </c>
      <c r="AC13" s="639" t="s">
        <v>333</v>
      </c>
      <c r="AD13" s="53"/>
      <c r="AE13" s="383" t="s">
        <v>329</v>
      </c>
      <c r="AF13" s="384" t="s">
        <v>330</v>
      </c>
      <c r="AG13" s="385" t="s">
        <v>331</v>
      </c>
      <c r="AH13" s="53"/>
      <c r="AI13" s="638" t="s">
        <v>332</v>
      </c>
      <c r="AJ13" s="639" t="s">
        <v>333</v>
      </c>
      <c r="AK13" s="53"/>
      <c r="AL13" s="383" t="s">
        <v>329</v>
      </c>
      <c r="AM13" s="384" t="s">
        <v>330</v>
      </c>
      <c r="AN13" s="385" t="s">
        <v>331</v>
      </c>
      <c r="AO13" s="53"/>
      <c r="AP13" s="638" t="s">
        <v>332</v>
      </c>
      <c r="AQ13" s="639" t="s">
        <v>333</v>
      </c>
      <c r="AR13" s="317"/>
      <c r="AS13" s="3"/>
      <c r="AT13" s="3"/>
      <c r="AU13" s="3"/>
    </row>
    <row r="14" spans="1:47" ht="12" customHeight="1">
      <c r="A14" s="53"/>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17"/>
      <c r="AS14" s="3"/>
      <c r="AT14" s="3"/>
      <c r="AU14" s="3"/>
    </row>
    <row r="15" spans="1:47" ht="12" customHeight="1">
      <c r="A15" s="53"/>
      <c r="B15" s="328" t="s">
        <v>246</v>
      </c>
      <c r="C15" s="389" t="str">
        <f t="shared" ref="C15:C28" si="0">D$6&amp;"."&amp;B15</f>
        <v>General Service 50 to 1,499 KW.Monthly Service Charge</v>
      </c>
      <c r="D15" s="390" t="s">
        <v>335</v>
      </c>
      <c r="E15" s="328"/>
      <c r="F15" s="391">
        <f>VLOOKUP($C15,'Proposed Rates'!$B:$J,F$11,FALSE)</f>
        <v>200</v>
      </c>
      <c r="G15" s="409">
        <f t="shared" ref="G15:G28" si="1">IF($D15="Monthly",1,IF($D15="per KW",$F$10,IF($D15="per kWh",$F$9,0)))</f>
        <v>1</v>
      </c>
      <c r="H15" s="394">
        <f t="shared" ref="H15:H28" si="2">G15*F15</f>
        <v>200</v>
      </c>
      <c r="I15" s="138"/>
      <c r="J15" s="391">
        <f>VLOOKUP($C15,'Proposed Rates'!$B:$J,J$11,FALSE)</f>
        <v>200</v>
      </c>
      <c r="K15" s="409">
        <f t="shared" ref="K15:K28" si="3">IF($D15="Monthly",1,IF($D15="per KW",$F$10,IF($D15="per kWh",$F$9,0)))</f>
        <v>1</v>
      </c>
      <c r="L15" s="394">
        <f t="shared" ref="L15:L28" si="4">K15*J15</f>
        <v>200</v>
      </c>
      <c r="M15" s="138"/>
      <c r="N15" s="395">
        <f t="shared" ref="N15:N46" si="5">L15-H15</f>
        <v>0</v>
      </c>
      <c r="O15" s="396">
        <f t="shared" ref="O15:O46" si="6">IF((H15)=0,"",(N15/H15))</f>
        <v>0</v>
      </c>
      <c r="P15" s="53"/>
      <c r="Q15" s="391">
        <f>VLOOKUP($C15,'Proposed Rates'!$B:$J,Q$11,FALSE)</f>
        <v>200</v>
      </c>
      <c r="R15" s="409">
        <f t="shared" ref="R15:R28" si="7">IF($D15="Monthly",1,IF($D15="per KW",$F$10,IF($D15="per kWh",$F$9,0)))</f>
        <v>1</v>
      </c>
      <c r="S15" s="394">
        <f t="shared" ref="S15:S28" si="8">R15*Q15</f>
        <v>200</v>
      </c>
      <c r="T15" s="138"/>
      <c r="U15" s="395">
        <f t="shared" ref="U15:U46" si="9">S15-L15</f>
        <v>0</v>
      </c>
      <c r="V15" s="396">
        <f t="shared" ref="V15:V46" si="10">IF((L15)=0,"",(U15/L15))</f>
        <v>0</v>
      </c>
      <c r="W15" s="53"/>
      <c r="X15" s="391">
        <f>VLOOKUP($C15,'Proposed Rates'!$B:$J,X$11,FALSE)</f>
        <v>200</v>
      </c>
      <c r="Y15" s="409">
        <f t="shared" ref="Y15:Y28" si="11">IF($D15="Monthly",1,IF($D15="per KW",$F$10,IF($D15="per kWh",$F$9,0)))</f>
        <v>1</v>
      </c>
      <c r="Z15" s="394">
        <f t="shared" ref="Z15:Z28" si="12">Y15*X15</f>
        <v>200</v>
      </c>
      <c r="AA15" s="138"/>
      <c r="AB15" s="395">
        <f t="shared" ref="AB15:AB46" si="13">Z15-S15</f>
        <v>0</v>
      </c>
      <c r="AC15" s="396">
        <f t="shared" ref="AC15:AC46" si="14">IF((S15)=0,"",(AB15/S15))</f>
        <v>0</v>
      </c>
      <c r="AD15" s="53"/>
      <c r="AE15" s="391">
        <f>VLOOKUP($C15,'Proposed Rates'!$B:$J,AE$11,FALSE)</f>
        <v>200</v>
      </c>
      <c r="AF15" s="409">
        <f t="shared" ref="AF15:AF28" si="15">IF($D15="Monthly",1,IF($D15="per KW",$F$10,IF($D15="per kWh",$F$9,0)))</f>
        <v>1</v>
      </c>
      <c r="AG15" s="394">
        <f t="shared" ref="AG15:AG28" si="16">AF15*AE15</f>
        <v>200</v>
      </c>
      <c r="AH15" s="138"/>
      <c r="AI15" s="395">
        <f t="shared" ref="AI15:AI46" si="17">AG15-Z15</f>
        <v>0</v>
      </c>
      <c r="AJ15" s="396">
        <f t="shared" ref="AJ15:AJ46" si="18">IF((Z15)=0,"",(AI15/Z15))</f>
        <v>0</v>
      </c>
      <c r="AK15" s="53"/>
      <c r="AL15" s="391">
        <f>VLOOKUP($C15,'Proposed Rates'!$B:$J,AL$11,FALSE)</f>
        <v>200</v>
      </c>
      <c r="AM15" s="409">
        <f t="shared" ref="AM15:AM28" si="19">IF($D15="Monthly",1,IF($D15="per KW",$F$10,IF($D15="per kWh",$F$9,0)))</f>
        <v>1</v>
      </c>
      <c r="AN15" s="394">
        <f t="shared" ref="AN15:AN28" si="20">AM15*AL15</f>
        <v>200</v>
      </c>
      <c r="AO15" s="138"/>
      <c r="AP15" s="395">
        <f t="shared" ref="AP15:AP46" si="21">AN15-AG15</f>
        <v>0</v>
      </c>
      <c r="AQ15" s="396">
        <f t="shared" ref="AQ15:AQ46" si="22">IF((AG15)=0,"",(AP15/AG15))</f>
        <v>0</v>
      </c>
      <c r="AR15" s="397"/>
      <c r="AS15" s="3"/>
      <c r="AT15" s="3"/>
      <c r="AU15" s="3"/>
    </row>
    <row r="16" spans="1:47" ht="12" customHeight="1">
      <c r="A16" s="53"/>
      <c r="B16" s="328" t="s">
        <v>336</v>
      </c>
      <c r="C16" s="389" t="str">
        <f t="shared" si="0"/>
        <v>General Service 50 to 1,499 KW.Smart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c r="AS16" s="3"/>
      <c r="AT16" s="3"/>
      <c r="AU16" s="3"/>
    </row>
    <row r="17" spans="1:47" ht="12" customHeight="1">
      <c r="A17" s="53"/>
      <c r="B17" s="398" t="str">
        <f>'Proposed Rates'!C115</f>
        <v>Rate Rider Calculation for Forgone Revenue - variable</v>
      </c>
      <c r="C17" s="389" t="str">
        <f t="shared" si="0"/>
        <v>General Service 50 to 1,499 KW.Rate Rider Calculation for Forgone Revenue - variable</v>
      </c>
      <c r="D17" s="390" t="s">
        <v>406</v>
      </c>
      <c r="E17" s="328"/>
      <c r="F17" s="391">
        <f>IFERROR(VLOOKUP($C17,'Proposed Rates'!$B:$J,F$11,FALSE),0)</f>
        <v>0</v>
      </c>
      <c r="G17" s="409">
        <f t="shared" si="1"/>
        <v>1000</v>
      </c>
      <c r="H17" s="394">
        <f t="shared" si="2"/>
        <v>0</v>
      </c>
      <c r="I17" s="138"/>
      <c r="J17" s="391">
        <f>IFERROR(VLOOKUP($C17,'Proposed Rates'!$B:$J,J$11,FALSE),0)</f>
        <v>0.45269999999999999</v>
      </c>
      <c r="K17" s="409">
        <f t="shared" si="3"/>
        <v>1000</v>
      </c>
      <c r="L17" s="394">
        <f t="shared" si="4"/>
        <v>452.7</v>
      </c>
      <c r="M17" s="138"/>
      <c r="N17" s="395">
        <f t="shared" si="5"/>
        <v>452.7</v>
      </c>
      <c r="O17" s="396" t="str">
        <f t="shared" si="6"/>
        <v/>
      </c>
      <c r="P17" s="53"/>
      <c r="Q17" s="391">
        <f>IFERROR(VLOOKUP($C17,'Proposed Rates'!$B:$J,Q$11,FALSE),0)</f>
        <v>0.45269999999999999</v>
      </c>
      <c r="R17" s="409">
        <f t="shared" si="7"/>
        <v>1000</v>
      </c>
      <c r="S17" s="394">
        <f t="shared" si="8"/>
        <v>452.7</v>
      </c>
      <c r="T17" s="138"/>
      <c r="U17" s="395">
        <f t="shared" si="9"/>
        <v>0</v>
      </c>
      <c r="V17" s="396">
        <f t="shared" si="10"/>
        <v>0</v>
      </c>
      <c r="W17" s="53"/>
      <c r="X17" s="391">
        <f>IFERROR(VLOOKUP($C17,'Proposed Rates'!$B:$J,X$11,FALSE),0)</f>
        <v>0</v>
      </c>
      <c r="Y17" s="409">
        <f t="shared" si="11"/>
        <v>1000</v>
      </c>
      <c r="Z17" s="394">
        <f t="shared" si="12"/>
        <v>0</v>
      </c>
      <c r="AA17" s="138"/>
      <c r="AB17" s="395">
        <f t="shared" si="13"/>
        <v>-452.7</v>
      </c>
      <c r="AC17" s="396">
        <f t="shared" si="14"/>
        <v>-1</v>
      </c>
      <c r="AD17" s="53"/>
      <c r="AE17" s="391">
        <f>IFERROR(VLOOKUP($C17,'Proposed Rates'!$B:$J,AE$11,FALSE),0)</f>
        <v>0</v>
      </c>
      <c r="AF17" s="409">
        <f t="shared" si="15"/>
        <v>1000</v>
      </c>
      <c r="AG17" s="394">
        <f t="shared" si="16"/>
        <v>0</v>
      </c>
      <c r="AH17" s="138"/>
      <c r="AI17" s="395">
        <f t="shared" si="17"/>
        <v>0</v>
      </c>
      <c r="AJ17" s="396" t="str">
        <f t="shared" si="18"/>
        <v/>
      </c>
      <c r="AK17" s="53"/>
      <c r="AL17" s="391">
        <f>IFERROR(VLOOKUP($C17,'Proposed Rates'!$B:$J,AL$11,FALSE),0)</f>
        <v>0</v>
      </c>
      <c r="AM17" s="409">
        <f t="shared" si="19"/>
        <v>1000</v>
      </c>
      <c r="AN17" s="394">
        <f t="shared" si="20"/>
        <v>0</v>
      </c>
      <c r="AO17" s="138"/>
      <c r="AP17" s="395">
        <f t="shared" si="21"/>
        <v>0</v>
      </c>
      <c r="AQ17" s="396" t="str">
        <f t="shared" si="22"/>
        <v/>
      </c>
      <c r="AR17" s="397"/>
      <c r="AS17" s="3"/>
      <c r="AT17" s="3"/>
      <c r="AU17" s="3"/>
    </row>
    <row r="18" spans="1:47" ht="12" customHeight="1">
      <c r="A18" s="53"/>
      <c r="B18" s="398" t="str">
        <f>'Proposed Rates'!C128</f>
        <v>Rate Rider Calculation for Forgone Revenue - fixed</v>
      </c>
      <c r="C18" s="389" t="str">
        <f t="shared" si="0"/>
        <v>General Service 50 to 1,499 KW.Rate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-0.62</v>
      </c>
      <c r="K18" s="409">
        <f t="shared" si="3"/>
        <v>1</v>
      </c>
      <c r="L18" s="394">
        <f t="shared" si="4"/>
        <v>-0.62</v>
      </c>
      <c r="M18" s="138"/>
      <c r="N18" s="395">
        <f t="shared" si="5"/>
        <v>-0.62</v>
      </c>
      <c r="O18" s="396" t="str">
        <f t="shared" si="6"/>
        <v/>
      </c>
      <c r="P18" s="53"/>
      <c r="Q18" s="391">
        <f>IFERROR(VLOOKUP($C18,'Proposed Rates'!$B:$J,Q$11,FALSE),0)</f>
        <v>-0.62</v>
      </c>
      <c r="R18" s="409">
        <f t="shared" si="7"/>
        <v>1</v>
      </c>
      <c r="S18" s="394">
        <f t="shared" si="8"/>
        <v>-0.62</v>
      </c>
      <c r="T18" s="138"/>
      <c r="U18" s="395">
        <f t="shared" si="9"/>
        <v>0</v>
      </c>
      <c r="V18" s="396">
        <f t="shared" si="10"/>
        <v>0</v>
      </c>
      <c r="W18" s="53"/>
      <c r="X18" s="391">
        <f>IFERROR(VLOOKUP($C18,'Proposed Rates'!$B:$J,X$11,FALSE),0)</f>
        <v>0</v>
      </c>
      <c r="Y18" s="409">
        <f t="shared" si="11"/>
        <v>1</v>
      </c>
      <c r="Z18" s="394">
        <f t="shared" si="12"/>
        <v>0</v>
      </c>
      <c r="AA18" s="138"/>
      <c r="AB18" s="395">
        <f t="shared" si="13"/>
        <v>0.62</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c r="AS18" s="3"/>
      <c r="AT18" s="3"/>
      <c r="AU18" s="3"/>
    </row>
    <row r="19" spans="1:47" ht="12" customHeight="1">
      <c r="A19" s="53"/>
      <c r="B19" s="328" t="s">
        <v>62</v>
      </c>
      <c r="C19" s="389" t="str">
        <f t="shared" si="0"/>
        <v>General Service 50 to 1,499 KW.Distribution Volumetric Rate</v>
      </c>
      <c r="D19" s="390" t="s">
        <v>406</v>
      </c>
      <c r="E19" s="328"/>
      <c r="F19" s="408">
        <f>IFERROR(VLOOKUP($C19,'Proposed Rates'!$B:$J,F$11,FALSE),0)</f>
        <v>6.5552999999999999</v>
      </c>
      <c r="G19" s="409">
        <f t="shared" si="1"/>
        <v>1000</v>
      </c>
      <c r="H19" s="394">
        <f t="shared" si="2"/>
        <v>6555.3</v>
      </c>
      <c r="I19" s="138"/>
      <c r="J19" s="408">
        <f>IFERROR(VLOOKUP($C19,'Proposed Rates'!$B:$J,J$11,FALSE),0)</f>
        <v>7.6543000000000001</v>
      </c>
      <c r="K19" s="409">
        <f t="shared" si="3"/>
        <v>1000</v>
      </c>
      <c r="L19" s="394">
        <f t="shared" si="4"/>
        <v>7654.3</v>
      </c>
      <c r="M19" s="138"/>
      <c r="N19" s="395">
        <f t="shared" si="5"/>
        <v>1099</v>
      </c>
      <c r="O19" s="396">
        <f t="shared" si="6"/>
        <v>0.16765060332860432</v>
      </c>
      <c r="P19" s="53"/>
      <c r="Q19" s="408">
        <f>IFERROR(VLOOKUP($C19,'Proposed Rates'!$B:$J,Q$11,FALSE),0)</f>
        <v>8.0783000000000005</v>
      </c>
      <c r="R19" s="409">
        <f t="shared" si="7"/>
        <v>1000</v>
      </c>
      <c r="S19" s="394">
        <f t="shared" si="8"/>
        <v>8078.3</v>
      </c>
      <c r="T19" s="138"/>
      <c r="U19" s="395">
        <f t="shared" si="9"/>
        <v>424</v>
      </c>
      <c r="V19" s="396">
        <f t="shared" si="10"/>
        <v>5.5393700273049136E-2</v>
      </c>
      <c r="W19" s="53"/>
      <c r="X19" s="408">
        <f>IFERROR(VLOOKUP($C19,'Proposed Rates'!$B:$J,X$11,FALSE),0)</f>
        <v>8.7073</v>
      </c>
      <c r="Y19" s="409">
        <f t="shared" si="11"/>
        <v>1000</v>
      </c>
      <c r="Z19" s="394">
        <f t="shared" si="12"/>
        <v>8707.2999999999993</v>
      </c>
      <c r="AA19" s="138"/>
      <c r="AB19" s="395">
        <f t="shared" si="13"/>
        <v>628.99999999999909</v>
      </c>
      <c r="AC19" s="396">
        <f t="shared" si="14"/>
        <v>7.7862916702771512E-2</v>
      </c>
      <c r="AD19" s="53"/>
      <c r="AE19" s="408">
        <f>IFERROR(VLOOKUP($C19,'Proposed Rates'!$B:$J,AE$11,FALSE),0)</f>
        <v>9.0386000000000006</v>
      </c>
      <c r="AF19" s="409">
        <f t="shared" si="15"/>
        <v>1000</v>
      </c>
      <c r="AG19" s="394">
        <f t="shared" si="16"/>
        <v>9038.6</v>
      </c>
      <c r="AH19" s="138"/>
      <c r="AI19" s="395">
        <f t="shared" si="17"/>
        <v>331.30000000000109</v>
      </c>
      <c r="AJ19" s="396">
        <f t="shared" si="18"/>
        <v>3.8048533988722238E-2</v>
      </c>
      <c r="AK19" s="53"/>
      <c r="AL19" s="408">
        <f>IFERROR(VLOOKUP($C19,'Proposed Rates'!$B:$J,AL$11,FALSE),0)</f>
        <v>9.3415999999999997</v>
      </c>
      <c r="AM19" s="409">
        <f t="shared" si="19"/>
        <v>1000</v>
      </c>
      <c r="AN19" s="394">
        <f t="shared" si="20"/>
        <v>9341.6</v>
      </c>
      <c r="AO19" s="138"/>
      <c r="AP19" s="395">
        <f t="shared" si="21"/>
        <v>303</v>
      </c>
      <c r="AQ19" s="396">
        <f t="shared" si="22"/>
        <v>3.3522890713163542E-2</v>
      </c>
      <c r="AR19" s="397"/>
      <c r="AS19" s="3"/>
      <c r="AT19" s="3"/>
      <c r="AU19" s="3"/>
    </row>
    <row r="20" spans="1:47" ht="12" customHeight="1">
      <c r="A20" s="53"/>
      <c r="B20" s="328" t="s">
        <v>338</v>
      </c>
      <c r="C20" s="389" t="str">
        <f t="shared" si="0"/>
        <v>General Service 50 to 1,499 KW.Smart Meter Disposition Rider</v>
      </c>
      <c r="D20" s="390" t="s">
        <v>337</v>
      </c>
      <c r="E20" s="328"/>
      <c r="F20" s="391">
        <f>IFERROR(VLOOKUP($C20,'Proposed Rates'!$B:$J,F$11,FALSE),0)</f>
        <v>0</v>
      </c>
      <c r="G20" s="409">
        <f t="shared" si="1"/>
        <v>255500</v>
      </c>
      <c r="H20" s="394">
        <f t="shared" si="2"/>
        <v>0</v>
      </c>
      <c r="I20" s="138"/>
      <c r="J20" s="391">
        <f>IFERROR(VLOOKUP($C20,'Proposed Rates'!$B:$J,J$11,FALSE),0)</f>
        <v>0</v>
      </c>
      <c r="K20" s="409">
        <f t="shared" si="3"/>
        <v>255500</v>
      </c>
      <c r="L20" s="394">
        <f t="shared" si="4"/>
        <v>0</v>
      </c>
      <c r="M20" s="138"/>
      <c r="N20" s="395">
        <f t="shared" si="5"/>
        <v>0</v>
      </c>
      <c r="O20" s="396" t="str">
        <f t="shared" si="6"/>
        <v/>
      </c>
      <c r="P20" s="53"/>
      <c r="Q20" s="391">
        <f>IFERROR(VLOOKUP($C20,'Proposed Rates'!$B:$J,Q$11,FALSE),0)</f>
        <v>0</v>
      </c>
      <c r="R20" s="409">
        <f t="shared" si="7"/>
        <v>255500</v>
      </c>
      <c r="S20" s="394">
        <f t="shared" si="8"/>
        <v>0</v>
      </c>
      <c r="T20" s="138"/>
      <c r="U20" s="395">
        <f t="shared" si="9"/>
        <v>0</v>
      </c>
      <c r="V20" s="396" t="str">
        <f t="shared" si="10"/>
        <v/>
      </c>
      <c r="W20" s="53"/>
      <c r="X20" s="391">
        <f>IFERROR(VLOOKUP($C20,'Proposed Rates'!$B:$J,X$11,FALSE),0)</f>
        <v>0</v>
      </c>
      <c r="Y20" s="409">
        <f t="shared" si="11"/>
        <v>255500</v>
      </c>
      <c r="Z20" s="394">
        <f t="shared" si="12"/>
        <v>0</v>
      </c>
      <c r="AA20" s="138"/>
      <c r="AB20" s="395">
        <f t="shared" si="13"/>
        <v>0</v>
      </c>
      <c r="AC20" s="396" t="str">
        <f t="shared" si="14"/>
        <v/>
      </c>
      <c r="AD20" s="53"/>
      <c r="AE20" s="391">
        <f>IFERROR(VLOOKUP($C20,'Proposed Rates'!$B:$J,AE$11,FALSE),0)</f>
        <v>0</v>
      </c>
      <c r="AF20" s="409">
        <f t="shared" si="15"/>
        <v>255500</v>
      </c>
      <c r="AG20" s="394">
        <f t="shared" si="16"/>
        <v>0</v>
      </c>
      <c r="AH20" s="138"/>
      <c r="AI20" s="395">
        <f t="shared" si="17"/>
        <v>0</v>
      </c>
      <c r="AJ20" s="396" t="str">
        <f t="shared" si="18"/>
        <v/>
      </c>
      <c r="AK20" s="53"/>
      <c r="AL20" s="391">
        <f>IFERROR(VLOOKUP($C20,'Proposed Rates'!$B:$J,AL$11,FALSE),0)</f>
        <v>0</v>
      </c>
      <c r="AM20" s="409">
        <f t="shared" si="19"/>
        <v>255500</v>
      </c>
      <c r="AN20" s="394">
        <f t="shared" si="20"/>
        <v>0</v>
      </c>
      <c r="AO20" s="138"/>
      <c r="AP20" s="395">
        <f t="shared" si="21"/>
        <v>0</v>
      </c>
      <c r="AQ20" s="396" t="str">
        <f t="shared" si="22"/>
        <v/>
      </c>
      <c r="AR20" s="397"/>
      <c r="AS20" s="3"/>
      <c r="AT20" s="3"/>
      <c r="AU20" s="3"/>
    </row>
    <row r="21" spans="1:47" ht="12" customHeight="1">
      <c r="A21" s="53"/>
      <c r="B21" s="328" t="s">
        <v>269</v>
      </c>
      <c r="C21" s="389" t="str">
        <f t="shared" si="0"/>
        <v>General Service 50 to 1,499 KW.LRAM Rate Rider</v>
      </c>
      <c r="D21" s="390" t="s">
        <v>406</v>
      </c>
      <c r="E21" s="328"/>
      <c r="F21" s="408">
        <f>'Proposed Rates'!E79+'Proposed Rates'!E92</f>
        <v>-0.2477</v>
      </c>
      <c r="G21" s="409">
        <f t="shared" si="1"/>
        <v>1000</v>
      </c>
      <c r="H21" s="394">
        <f t="shared" si="2"/>
        <v>-247.70000000000002</v>
      </c>
      <c r="I21" s="138"/>
      <c r="J21" s="408">
        <f>'Proposed Rates'!F79+'Proposed Rates'!F92</f>
        <v>0</v>
      </c>
      <c r="K21" s="409">
        <f t="shared" si="3"/>
        <v>1000</v>
      </c>
      <c r="L21" s="394">
        <f t="shared" si="4"/>
        <v>0</v>
      </c>
      <c r="M21" s="138"/>
      <c r="N21" s="395">
        <f t="shared" si="5"/>
        <v>247.70000000000002</v>
      </c>
      <c r="O21" s="396">
        <f t="shared" si="6"/>
        <v>-1</v>
      </c>
      <c r="P21" s="53"/>
      <c r="Q21" s="408">
        <f>'Proposed Rates'!G79+'Proposed Rates'!G92</f>
        <v>2.9499999999999998E-2</v>
      </c>
      <c r="R21" s="409">
        <f t="shared" si="7"/>
        <v>1000</v>
      </c>
      <c r="S21" s="394">
        <f t="shared" si="8"/>
        <v>29.5</v>
      </c>
      <c r="T21" s="138"/>
      <c r="U21" s="395">
        <f t="shared" si="9"/>
        <v>29.5</v>
      </c>
      <c r="V21" s="396" t="str">
        <f t="shared" si="10"/>
        <v/>
      </c>
      <c r="W21" s="53"/>
      <c r="X21" s="408">
        <f>IFERROR(VLOOKUP($C21,'Proposed Rates'!$B:$J,X$11,FALSE),0)</f>
        <v>0</v>
      </c>
      <c r="Y21" s="409">
        <f t="shared" si="11"/>
        <v>1000</v>
      </c>
      <c r="Z21" s="394">
        <f t="shared" si="12"/>
        <v>0</v>
      </c>
      <c r="AA21" s="138"/>
      <c r="AB21" s="395">
        <f t="shared" si="13"/>
        <v>-29.5</v>
      </c>
      <c r="AC21" s="396">
        <f t="shared" si="14"/>
        <v>-1</v>
      </c>
      <c r="AD21" s="53"/>
      <c r="AE21" s="408">
        <f>IFERROR(VLOOKUP($C21,'Proposed Rates'!$B:$J,AE$11,FALSE),0)</f>
        <v>0</v>
      </c>
      <c r="AF21" s="409">
        <f t="shared" si="15"/>
        <v>1000</v>
      </c>
      <c r="AG21" s="394">
        <f t="shared" si="16"/>
        <v>0</v>
      </c>
      <c r="AH21" s="138"/>
      <c r="AI21" s="395">
        <f t="shared" si="17"/>
        <v>0</v>
      </c>
      <c r="AJ21" s="396" t="str">
        <f t="shared" si="18"/>
        <v/>
      </c>
      <c r="AK21" s="53"/>
      <c r="AL21" s="408">
        <f>IFERROR(VLOOKUP($C21,'Proposed Rates'!$B:$J,AL$11,FALSE),0)</f>
        <v>0</v>
      </c>
      <c r="AM21" s="409">
        <f t="shared" si="19"/>
        <v>1000</v>
      </c>
      <c r="AN21" s="394">
        <f t="shared" si="20"/>
        <v>0</v>
      </c>
      <c r="AO21" s="138"/>
      <c r="AP21" s="395">
        <f t="shared" si="21"/>
        <v>0</v>
      </c>
      <c r="AQ21" s="396" t="str">
        <f t="shared" si="22"/>
        <v/>
      </c>
      <c r="AR21" s="397"/>
      <c r="AS21" s="3"/>
      <c r="AT21" s="3"/>
      <c r="AU21" s="3"/>
    </row>
    <row r="22" spans="1:47" ht="12" customHeight="1">
      <c r="A22" s="53"/>
      <c r="B22" s="398" t="s">
        <v>265</v>
      </c>
      <c r="C22" s="389" t="str">
        <f t="shared" si="0"/>
        <v>General Service 50 to 1,499 KW.Deferral/Variance Account Disposition Rate Rider Group 2</v>
      </c>
      <c r="D22" s="390" t="s">
        <v>406</v>
      </c>
      <c r="E22" s="328"/>
      <c r="F22" s="391">
        <f>IFERROR(VLOOKUP($C22,'Proposed Rates'!$B:$J,F$11,FALSE),0)</f>
        <v>0</v>
      </c>
      <c r="G22" s="409">
        <f t="shared" si="1"/>
        <v>1000</v>
      </c>
      <c r="H22" s="394">
        <f t="shared" si="2"/>
        <v>0</v>
      </c>
      <c r="I22" s="138"/>
      <c r="J22" s="391">
        <f>IFERROR(VLOOKUP($C22,'Proposed Rates'!$B:$J,J$11,FALSE),0)</f>
        <v>-0.26340000000000002</v>
      </c>
      <c r="K22" s="409">
        <f t="shared" si="3"/>
        <v>1000</v>
      </c>
      <c r="L22" s="394">
        <f t="shared" si="4"/>
        <v>-263.40000000000003</v>
      </c>
      <c r="M22" s="138"/>
      <c r="N22" s="395">
        <f t="shared" si="5"/>
        <v>-263.40000000000003</v>
      </c>
      <c r="O22" s="396" t="str">
        <f t="shared" si="6"/>
        <v/>
      </c>
      <c r="P22" s="53"/>
      <c r="Q22" s="391">
        <f>IFERROR(VLOOKUP($C22,'Proposed Rates'!$B:$J,Q$11,FALSE),0)</f>
        <v>0</v>
      </c>
      <c r="R22" s="409">
        <f t="shared" si="7"/>
        <v>1000</v>
      </c>
      <c r="S22" s="394">
        <f t="shared" si="8"/>
        <v>0</v>
      </c>
      <c r="T22" s="138"/>
      <c r="U22" s="395">
        <f t="shared" si="9"/>
        <v>263.40000000000003</v>
      </c>
      <c r="V22" s="396">
        <f t="shared" si="10"/>
        <v>-1</v>
      </c>
      <c r="W22" s="53"/>
      <c r="X22" s="391">
        <f>IFERROR(VLOOKUP($C22,'Proposed Rates'!$B:$J,X$11,FALSE),0)</f>
        <v>0</v>
      </c>
      <c r="Y22" s="409">
        <f t="shared" si="11"/>
        <v>1000</v>
      </c>
      <c r="Z22" s="394">
        <f t="shared" si="12"/>
        <v>0</v>
      </c>
      <c r="AA22" s="138"/>
      <c r="AB22" s="395">
        <f t="shared" si="13"/>
        <v>0</v>
      </c>
      <c r="AC22" s="396" t="str">
        <f t="shared" si="14"/>
        <v/>
      </c>
      <c r="AD22" s="53"/>
      <c r="AE22" s="391">
        <f>IFERROR(VLOOKUP($C22,'Proposed Rates'!$B:$J,AE$11,FALSE),0)</f>
        <v>0</v>
      </c>
      <c r="AF22" s="409">
        <f t="shared" si="15"/>
        <v>1000</v>
      </c>
      <c r="AG22" s="394">
        <f t="shared" si="16"/>
        <v>0</v>
      </c>
      <c r="AH22" s="138"/>
      <c r="AI22" s="395">
        <f t="shared" si="17"/>
        <v>0</v>
      </c>
      <c r="AJ22" s="396" t="str">
        <f t="shared" si="18"/>
        <v/>
      </c>
      <c r="AK22" s="53"/>
      <c r="AL22" s="391">
        <f>IFERROR(VLOOKUP($C22,'Proposed Rates'!$B:$J,AL$11,FALSE),0)</f>
        <v>0</v>
      </c>
      <c r="AM22" s="409">
        <f t="shared" si="19"/>
        <v>1000</v>
      </c>
      <c r="AN22" s="394">
        <f t="shared" si="20"/>
        <v>0</v>
      </c>
      <c r="AO22" s="138"/>
      <c r="AP22" s="395">
        <f t="shared" si="21"/>
        <v>0</v>
      </c>
      <c r="AQ22" s="396" t="str">
        <f t="shared" si="22"/>
        <v/>
      </c>
      <c r="AR22" s="397"/>
      <c r="AS22" s="3"/>
      <c r="AT22" s="3"/>
      <c r="AU22" s="3"/>
    </row>
    <row r="23" spans="1:47" ht="12" customHeight="1">
      <c r="A23" s="53"/>
      <c r="B23" s="398"/>
      <c r="C23" s="389" t="str">
        <f t="shared" si="0"/>
        <v>General Service 50 to 1,499 KW.</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c r="AS23" s="3"/>
      <c r="AT23" s="3"/>
      <c r="AU23" s="3"/>
    </row>
    <row r="24" spans="1:47" ht="12" customHeight="1">
      <c r="A24" s="53"/>
      <c r="B24" s="398"/>
      <c r="C24" s="389" t="str">
        <f t="shared" si="0"/>
        <v>General Service 50 to 1,499 KW.</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c r="AS24" s="3"/>
      <c r="AT24" s="3"/>
      <c r="AU24" s="3"/>
    </row>
    <row r="25" spans="1:47" ht="12" customHeight="1">
      <c r="A25" s="53"/>
      <c r="B25" s="398"/>
      <c r="C25" s="389" t="str">
        <f t="shared" si="0"/>
        <v>General Service 50 to 1,499 KW.</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c r="AS25" s="3"/>
      <c r="AT25" s="3"/>
      <c r="AU25" s="3"/>
    </row>
    <row r="26" spans="1:47" ht="12" customHeight="1">
      <c r="A26" s="53"/>
      <c r="B26" s="398"/>
      <c r="C26" s="389" t="str">
        <f t="shared" si="0"/>
        <v>General Service 50 to 1,499 KW.</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c r="AS26" s="3"/>
      <c r="AT26" s="3"/>
      <c r="AU26" s="3"/>
    </row>
    <row r="27" spans="1:47" ht="12" customHeight="1">
      <c r="A27" s="53"/>
      <c r="B27" s="398"/>
      <c r="C27" s="389" t="str">
        <f t="shared" si="0"/>
        <v>General Service 50 to 1,499 KW.</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c r="AS27" s="3"/>
      <c r="AT27" s="3"/>
      <c r="AU27" s="3"/>
    </row>
    <row r="28" spans="1:47" ht="12" customHeight="1">
      <c r="A28" s="53"/>
      <c r="B28" s="398"/>
      <c r="C28" s="389" t="str">
        <f t="shared" si="0"/>
        <v>General Service 50 to 1,499 KW.</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c r="AS28" s="3"/>
      <c r="AT28" s="3"/>
      <c r="AU28" s="3"/>
    </row>
    <row r="29" spans="1:47" ht="12" customHeight="1">
      <c r="A29" s="314"/>
      <c r="B29" s="399" t="s">
        <v>339</v>
      </c>
      <c r="C29" s="400"/>
      <c r="D29" s="400"/>
      <c r="E29" s="400"/>
      <c r="F29" s="401"/>
      <c r="G29" s="494"/>
      <c r="H29" s="403">
        <f>SUM(H15:H28)</f>
        <v>6507.6</v>
      </c>
      <c r="I29" s="404"/>
      <c r="J29" s="401"/>
      <c r="K29" s="494"/>
      <c r="L29" s="403">
        <f>SUM(L15:L28)</f>
        <v>8042.9800000000014</v>
      </c>
      <c r="M29" s="404"/>
      <c r="N29" s="405">
        <f t="shared" si="5"/>
        <v>1535.380000000001</v>
      </c>
      <c r="O29" s="406">
        <f t="shared" si="6"/>
        <v>0.23593644354293455</v>
      </c>
      <c r="P29" s="314"/>
      <c r="Q29" s="401"/>
      <c r="R29" s="494"/>
      <c r="S29" s="403">
        <f>SUM(S15:S28)</f>
        <v>8759.880000000001</v>
      </c>
      <c r="T29" s="404"/>
      <c r="U29" s="405">
        <f t="shared" si="9"/>
        <v>716.89999999999964</v>
      </c>
      <c r="V29" s="406">
        <f t="shared" si="10"/>
        <v>8.9133629575107676E-2</v>
      </c>
      <c r="W29" s="314"/>
      <c r="X29" s="401"/>
      <c r="Y29" s="494"/>
      <c r="Z29" s="403">
        <f>SUM(Z15:Z28)</f>
        <v>8907.2999999999993</v>
      </c>
      <c r="AA29" s="404"/>
      <c r="AB29" s="405">
        <f t="shared" si="13"/>
        <v>147.41999999999825</v>
      </c>
      <c r="AC29" s="406">
        <f t="shared" si="14"/>
        <v>1.6828997657501957E-2</v>
      </c>
      <c r="AD29" s="314"/>
      <c r="AE29" s="401"/>
      <c r="AF29" s="494"/>
      <c r="AG29" s="403">
        <f>SUM(AG15:AG28)</f>
        <v>9238.6</v>
      </c>
      <c r="AH29" s="404"/>
      <c r="AI29" s="405">
        <f t="shared" si="17"/>
        <v>331.30000000000109</v>
      </c>
      <c r="AJ29" s="406">
        <f t="shared" si="18"/>
        <v>3.7194211489452594E-2</v>
      </c>
      <c r="AK29" s="314"/>
      <c r="AL29" s="401"/>
      <c r="AM29" s="494"/>
      <c r="AN29" s="403">
        <f>SUM(AN15:AN28)</f>
        <v>9541.6</v>
      </c>
      <c r="AO29" s="404"/>
      <c r="AP29" s="405">
        <f t="shared" si="21"/>
        <v>303</v>
      </c>
      <c r="AQ29" s="406">
        <f t="shared" si="22"/>
        <v>3.2797177061459529E-2</v>
      </c>
      <c r="AR29" s="407"/>
      <c r="AS29" s="3"/>
      <c r="AT29" s="3"/>
      <c r="AU29" s="3"/>
    </row>
    <row r="30" spans="1:47" ht="12" customHeight="1">
      <c r="A30" s="53"/>
      <c r="B30" s="398" t="s">
        <v>262</v>
      </c>
      <c r="C30" s="389" t="str">
        <f t="shared" ref="C30:C38" si="23">D$6&amp;"."&amp;B30</f>
        <v>General Service 50 to 1,499 KW.DVA Disposition Rate Rider Group 1 -2025</v>
      </c>
      <c r="D30" s="390" t="s">
        <v>406</v>
      </c>
      <c r="E30" s="328"/>
      <c r="F30" s="408">
        <f>IFERROR(VLOOKUP($C30,'Proposed Rates'!$B:$J,F$11,FALSE),0)</f>
        <v>0.35310000000000002</v>
      </c>
      <c r="G30" s="409">
        <f t="shared" ref="G30:G36" si="24">IF($D30="Monthly",1,IF($D30="per KW",$F$10,IF($D30="per kWh",$F$9,0)))</f>
        <v>1000</v>
      </c>
      <c r="H30" s="394">
        <f t="shared" ref="H30:H38" si="25">G30*F30</f>
        <v>353.1</v>
      </c>
      <c r="I30" s="138"/>
      <c r="J30" s="408">
        <f>IFERROR(VLOOKUP($C30,'Proposed Rates'!$B:$J,J$11,FALSE),0)</f>
        <v>1.2999999999999999E-2</v>
      </c>
      <c r="K30" s="409">
        <f t="shared" ref="K30:K36" si="26">IF($D30="Monthly",1,IF($D30="per KW",$F$10,IF($D30="per kWh",$F$9,0)))</f>
        <v>1000</v>
      </c>
      <c r="L30" s="394">
        <f t="shared" ref="L30:L38" si="27">K30*J30</f>
        <v>13</v>
      </c>
      <c r="M30" s="138"/>
      <c r="N30" s="395">
        <f t="shared" si="5"/>
        <v>-340.1</v>
      </c>
      <c r="O30" s="396">
        <f t="shared" si="6"/>
        <v>-0.96318323421127161</v>
      </c>
      <c r="P30" s="53"/>
      <c r="Q30" s="408">
        <f>IFERROR(VLOOKUP($C30,'Proposed Rates'!$B:$J,Q$11,FALSE),0)</f>
        <v>0</v>
      </c>
      <c r="R30" s="409">
        <f t="shared" ref="R30:R36" si="28">IF($D30="Monthly",1,IF($D30="per KW",$F$10,IF($D30="per kWh",$F$9,0)))</f>
        <v>1000</v>
      </c>
      <c r="S30" s="394">
        <f t="shared" ref="S30:S38" si="29">R30*Q30</f>
        <v>0</v>
      </c>
      <c r="T30" s="138"/>
      <c r="U30" s="395">
        <f t="shared" si="9"/>
        <v>-13</v>
      </c>
      <c r="V30" s="396">
        <f t="shared" si="10"/>
        <v>-1</v>
      </c>
      <c r="W30" s="53"/>
      <c r="X30" s="408">
        <f>IFERROR(VLOOKUP($C30,'Proposed Rates'!$B:$J,X$11,FALSE),0)</f>
        <v>0</v>
      </c>
      <c r="Y30" s="409">
        <f t="shared" ref="Y30:Y36" si="30">IF($D30="Monthly",1,IF($D30="per KW",$F$10,IF($D30="per kWh",$F$9,0)))</f>
        <v>1000</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1000</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1000</v>
      </c>
      <c r="AN30" s="394">
        <f t="shared" ref="AN30:AN38" si="35">AM30*AL30</f>
        <v>0</v>
      </c>
      <c r="AO30" s="138"/>
      <c r="AP30" s="395">
        <f t="shared" si="21"/>
        <v>0</v>
      </c>
      <c r="AQ30" s="396" t="str">
        <f t="shared" si="22"/>
        <v/>
      </c>
      <c r="AR30" s="397"/>
      <c r="AS30" s="3"/>
      <c r="AT30" s="3"/>
      <c r="AU30" s="3"/>
    </row>
    <row r="31" spans="1:47" ht="12" customHeight="1">
      <c r="A31" s="53"/>
      <c r="B31" s="398" t="s">
        <v>264</v>
      </c>
      <c r="C31" s="389" t="str">
        <f t="shared" si="23"/>
        <v>General Service 50 to 1,499 KW.DVA Disposition Rate Rider Group 1 - 2024</v>
      </c>
      <c r="D31" s="390" t="s">
        <v>406</v>
      </c>
      <c r="E31" s="328"/>
      <c r="F31" s="408">
        <f>IFERROR(VLOOKUP($C31,'Proposed Rates'!$B:$J,F$11,FALSE),0)</f>
        <v>0</v>
      </c>
      <c r="G31" s="409">
        <f t="shared" si="24"/>
        <v>1000</v>
      </c>
      <c r="H31" s="394">
        <f t="shared" si="25"/>
        <v>0</v>
      </c>
      <c r="I31" s="138"/>
      <c r="J31" s="408">
        <f>IFERROR(VLOOKUP($C31,'Proposed Rates'!$B:$J,J$11,FALSE),0)</f>
        <v>0</v>
      </c>
      <c r="K31" s="409">
        <f t="shared" si="26"/>
        <v>1000</v>
      </c>
      <c r="L31" s="394">
        <f t="shared" si="27"/>
        <v>0</v>
      </c>
      <c r="M31" s="138"/>
      <c r="N31" s="395">
        <f t="shared" si="5"/>
        <v>0</v>
      </c>
      <c r="O31" s="396" t="str">
        <f t="shared" si="6"/>
        <v/>
      </c>
      <c r="P31" s="53"/>
      <c r="Q31" s="408">
        <f>IFERROR(VLOOKUP($C31,'Proposed Rates'!$B:$J,Q$11,FALSE),0)</f>
        <v>0</v>
      </c>
      <c r="R31" s="409">
        <f t="shared" si="28"/>
        <v>1000</v>
      </c>
      <c r="S31" s="394">
        <f t="shared" si="29"/>
        <v>0</v>
      </c>
      <c r="T31" s="138"/>
      <c r="U31" s="395">
        <f t="shared" si="9"/>
        <v>0</v>
      </c>
      <c r="V31" s="396" t="str">
        <f t="shared" si="10"/>
        <v/>
      </c>
      <c r="W31" s="53"/>
      <c r="X31" s="408">
        <f>IFERROR(VLOOKUP($C31,'Proposed Rates'!$B:$J,X$11,FALSE),0)</f>
        <v>0</v>
      </c>
      <c r="Y31" s="409">
        <f t="shared" si="30"/>
        <v>1000</v>
      </c>
      <c r="Z31" s="394">
        <f t="shared" si="31"/>
        <v>0</v>
      </c>
      <c r="AA31" s="138"/>
      <c r="AB31" s="395">
        <f t="shared" si="13"/>
        <v>0</v>
      </c>
      <c r="AC31" s="396" t="str">
        <f t="shared" si="14"/>
        <v/>
      </c>
      <c r="AD31" s="53"/>
      <c r="AE31" s="408">
        <f>IFERROR(VLOOKUP($C31,'Proposed Rates'!$B:$J,AE$11,FALSE),0)</f>
        <v>0</v>
      </c>
      <c r="AF31" s="409">
        <f t="shared" si="32"/>
        <v>1000</v>
      </c>
      <c r="AG31" s="394">
        <f t="shared" si="33"/>
        <v>0</v>
      </c>
      <c r="AH31" s="138"/>
      <c r="AI31" s="395">
        <f t="shared" si="17"/>
        <v>0</v>
      </c>
      <c r="AJ31" s="396" t="str">
        <f t="shared" si="18"/>
        <v/>
      </c>
      <c r="AK31" s="53"/>
      <c r="AL31" s="408">
        <f>IFERROR(VLOOKUP($C31,'Proposed Rates'!$B:$J,AL$11,FALSE),0)</f>
        <v>0</v>
      </c>
      <c r="AM31" s="409">
        <f t="shared" si="34"/>
        <v>1000</v>
      </c>
      <c r="AN31" s="394">
        <f t="shared" si="35"/>
        <v>0</v>
      </c>
      <c r="AO31" s="138"/>
      <c r="AP31" s="395">
        <f t="shared" si="21"/>
        <v>0</v>
      </c>
      <c r="AQ31" s="396" t="str">
        <f t="shared" si="22"/>
        <v/>
      </c>
      <c r="AR31" s="397"/>
      <c r="AS31" s="3"/>
      <c r="AT31" s="3"/>
      <c r="AU31" s="3"/>
    </row>
    <row r="32" spans="1:47" ht="12" customHeight="1">
      <c r="A32" s="53"/>
      <c r="B32" s="398" t="s">
        <v>272</v>
      </c>
      <c r="C32" s="389" t="str">
        <f t="shared" si="23"/>
        <v>General Service 50 to 1,499 KW.CBR Class B Rate Riders</v>
      </c>
      <c r="D32" s="390" t="s">
        <v>337</v>
      </c>
      <c r="E32" s="328"/>
      <c r="F32" s="408">
        <f>IFERROR(VLOOKUP($C32,'Proposed Rates'!$B:$J,F$11,FALSE),0)</f>
        <v>2.0000000000000001E-4</v>
      </c>
      <c r="G32" s="409">
        <f t="shared" si="24"/>
        <v>255500</v>
      </c>
      <c r="H32" s="394">
        <f t="shared" si="25"/>
        <v>51.1</v>
      </c>
      <c r="I32" s="479"/>
      <c r="J32" s="408">
        <f>IFERROR(VLOOKUP($C32,'Proposed Rates'!$B:$J,J$11,FALSE),0)</f>
        <v>6.9999999999999999E-4</v>
      </c>
      <c r="K32" s="409">
        <f t="shared" si="26"/>
        <v>255500</v>
      </c>
      <c r="L32" s="394">
        <f t="shared" si="27"/>
        <v>178.85</v>
      </c>
      <c r="M32" s="411"/>
      <c r="N32" s="395">
        <f t="shared" si="5"/>
        <v>127.75</v>
      </c>
      <c r="O32" s="396">
        <f t="shared" si="6"/>
        <v>2.5</v>
      </c>
      <c r="P32" s="53"/>
      <c r="Q32" s="408">
        <f>IFERROR(VLOOKUP($C32,'Proposed Rates'!$B:$J,Q$11,FALSE),0)</f>
        <v>0</v>
      </c>
      <c r="R32" s="409">
        <f t="shared" si="28"/>
        <v>255500</v>
      </c>
      <c r="S32" s="394">
        <f t="shared" si="29"/>
        <v>0</v>
      </c>
      <c r="T32" s="411"/>
      <c r="U32" s="395">
        <f t="shared" si="9"/>
        <v>-178.85</v>
      </c>
      <c r="V32" s="396">
        <f t="shared" si="10"/>
        <v>-1</v>
      </c>
      <c r="W32" s="53"/>
      <c r="X32" s="408">
        <f>IFERROR(VLOOKUP($C32,'Proposed Rates'!$B:$J,X$11,FALSE),0)</f>
        <v>0</v>
      </c>
      <c r="Y32" s="409">
        <f t="shared" si="30"/>
        <v>255500</v>
      </c>
      <c r="Z32" s="394">
        <f t="shared" si="31"/>
        <v>0</v>
      </c>
      <c r="AA32" s="138"/>
      <c r="AB32" s="395">
        <f t="shared" si="13"/>
        <v>0</v>
      </c>
      <c r="AC32" s="396" t="str">
        <f t="shared" si="14"/>
        <v/>
      </c>
      <c r="AD32" s="53"/>
      <c r="AE32" s="408">
        <f>IFERROR(VLOOKUP($C32,'Proposed Rates'!$B:$J,AE$11,FALSE),0)</f>
        <v>0</v>
      </c>
      <c r="AF32" s="409">
        <f t="shared" si="32"/>
        <v>255500</v>
      </c>
      <c r="AG32" s="394">
        <f t="shared" si="33"/>
        <v>0</v>
      </c>
      <c r="AH32" s="138"/>
      <c r="AI32" s="395">
        <f t="shared" si="17"/>
        <v>0</v>
      </c>
      <c r="AJ32" s="396" t="str">
        <f t="shared" si="18"/>
        <v/>
      </c>
      <c r="AK32" s="53"/>
      <c r="AL32" s="408">
        <f>IFERROR(VLOOKUP($C32,'Proposed Rates'!$B:$J,AL$11,FALSE),0)</f>
        <v>0</v>
      </c>
      <c r="AM32" s="409">
        <f t="shared" si="34"/>
        <v>255500</v>
      </c>
      <c r="AN32" s="394">
        <f t="shared" si="35"/>
        <v>0</v>
      </c>
      <c r="AO32" s="411"/>
      <c r="AP32" s="395">
        <f t="shared" si="21"/>
        <v>0</v>
      </c>
      <c r="AQ32" s="396" t="str">
        <f t="shared" si="22"/>
        <v/>
      </c>
      <c r="AR32" s="397"/>
      <c r="AS32" s="3"/>
      <c r="AT32" s="3"/>
      <c r="AU32" s="3"/>
    </row>
    <row r="33" spans="1:47" ht="12" customHeight="1">
      <c r="A33" s="53"/>
      <c r="B33" s="398" t="s">
        <v>279</v>
      </c>
      <c r="C33" s="389" t="str">
        <f t="shared" si="23"/>
        <v>General Service 50 to 1,499 KW.GA Rate Riders</v>
      </c>
      <c r="D33" s="390" t="s">
        <v>337</v>
      </c>
      <c r="E33" s="328"/>
      <c r="F33" s="408">
        <f>IFERROR(VLOOKUP($C33,'Proposed Rates'!$B:$J,F$11,FALSE),0)</f>
        <v>3.8999999999999998E-3</v>
      </c>
      <c r="G33" s="409">
        <f t="shared" si="24"/>
        <v>255500</v>
      </c>
      <c r="H33" s="394">
        <f t="shared" si="25"/>
        <v>996.44999999999993</v>
      </c>
      <c r="I33" s="479"/>
      <c r="J33" s="408">
        <f>IFERROR(VLOOKUP($C33,'Proposed Rates'!$B:$J,J$11,FALSE),0)</f>
        <v>4.4999999999999997E-3</v>
      </c>
      <c r="K33" s="409">
        <f t="shared" si="26"/>
        <v>255500</v>
      </c>
      <c r="L33" s="394">
        <f t="shared" si="27"/>
        <v>1149.75</v>
      </c>
      <c r="M33" s="411"/>
      <c r="N33" s="395">
        <f t="shared" si="5"/>
        <v>153.30000000000007</v>
      </c>
      <c r="O33" s="396">
        <f t="shared" si="6"/>
        <v>0.15384615384615394</v>
      </c>
      <c r="P33" s="53"/>
      <c r="Q33" s="408">
        <f>IFERROR(VLOOKUP($C33,'Proposed Rates'!$B:$J,Q$11,FALSE),0)</f>
        <v>4.4999999999999997E-3</v>
      </c>
      <c r="R33" s="409">
        <f t="shared" si="28"/>
        <v>255500</v>
      </c>
      <c r="S33" s="394">
        <f t="shared" si="29"/>
        <v>1149.75</v>
      </c>
      <c r="T33" s="411"/>
      <c r="U33" s="395">
        <f t="shared" si="9"/>
        <v>0</v>
      </c>
      <c r="V33" s="396">
        <f t="shared" si="10"/>
        <v>0</v>
      </c>
      <c r="W33" s="53"/>
      <c r="X33" s="408">
        <f>IFERROR(VLOOKUP($C33,'Proposed Rates'!$B:$J,X$11,FALSE),0)</f>
        <v>0</v>
      </c>
      <c r="Y33" s="409">
        <f t="shared" si="30"/>
        <v>255500</v>
      </c>
      <c r="Z33" s="394">
        <f t="shared" si="31"/>
        <v>0</v>
      </c>
      <c r="AA33" s="411"/>
      <c r="AB33" s="395">
        <f t="shared" si="13"/>
        <v>-1149.75</v>
      </c>
      <c r="AC33" s="396">
        <f t="shared" si="14"/>
        <v>-1</v>
      </c>
      <c r="AD33" s="53"/>
      <c r="AE33" s="408">
        <f>IFERROR(VLOOKUP($C33,'Proposed Rates'!$B:$J,AE$11,FALSE),0)</f>
        <v>0</v>
      </c>
      <c r="AF33" s="409">
        <f t="shared" si="32"/>
        <v>255500</v>
      </c>
      <c r="AG33" s="394">
        <f t="shared" si="33"/>
        <v>0</v>
      </c>
      <c r="AH33" s="411"/>
      <c r="AI33" s="395">
        <f t="shared" si="17"/>
        <v>0</v>
      </c>
      <c r="AJ33" s="396" t="str">
        <f t="shared" si="18"/>
        <v/>
      </c>
      <c r="AK33" s="53"/>
      <c r="AL33" s="408">
        <f>IFERROR(VLOOKUP($C33,'Proposed Rates'!$B:$J,AL$11,FALSE),0)</f>
        <v>0</v>
      </c>
      <c r="AM33" s="409">
        <f t="shared" si="34"/>
        <v>255500</v>
      </c>
      <c r="AN33" s="394">
        <f t="shared" si="35"/>
        <v>0</v>
      </c>
      <c r="AO33" s="411"/>
      <c r="AP33" s="395">
        <f t="shared" si="21"/>
        <v>0</v>
      </c>
      <c r="AQ33" s="396" t="str">
        <f t="shared" si="22"/>
        <v/>
      </c>
      <c r="AR33" s="397"/>
      <c r="AS33" s="3"/>
      <c r="AT33" s="3"/>
      <c r="AU33" s="3"/>
    </row>
    <row r="34" spans="1:47" ht="12" customHeight="1">
      <c r="A34" s="53"/>
      <c r="B34" s="398" t="s">
        <v>282</v>
      </c>
      <c r="C34" s="389" t="str">
        <f t="shared" si="23"/>
        <v>General Service 50 to 1,499 KW.Total Deferral/Variance Account Rate RidersYr2</v>
      </c>
      <c r="D34" s="390" t="s">
        <v>406</v>
      </c>
      <c r="E34" s="328"/>
      <c r="F34" s="408">
        <f>IFERROR(VLOOKUP($C34,'Proposed Rates'!$B:$J,F$11,FALSE),0)</f>
        <v>-0.30499999999999999</v>
      </c>
      <c r="G34" s="409">
        <f t="shared" si="24"/>
        <v>1000</v>
      </c>
      <c r="H34" s="394">
        <f t="shared" si="25"/>
        <v>-305</v>
      </c>
      <c r="I34" s="479"/>
      <c r="J34" s="408">
        <f>IFERROR(VLOOKUP($C34,'Proposed Rates'!$B:$J,J$11,FALSE),0)</f>
        <v>-0.37569999999999998</v>
      </c>
      <c r="K34" s="409">
        <f t="shared" si="26"/>
        <v>1000</v>
      </c>
      <c r="L34" s="394">
        <f t="shared" si="27"/>
        <v>-375.7</v>
      </c>
      <c r="M34" s="411"/>
      <c r="N34" s="395">
        <f t="shared" si="5"/>
        <v>-70.699999999999989</v>
      </c>
      <c r="O34" s="396">
        <f t="shared" si="6"/>
        <v>0.23180327868852454</v>
      </c>
      <c r="P34" s="53"/>
      <c r="Q34" s="408">
        <f>IFERROR(VLOOKUP($C34,'Proposed Rates'!$B:$J,Q$11,FALSE),0)</f>
        <v>0</v>
      </c>
      <c r="R34" s="409">
        <f t="shared" si="28"/>
        <v>1000</v>
      </c>
      <c r="S34" s="394">
        <f t="shared" si="29"/>
        <v>0</v>
      </c>
      <c r="T34" s="411"/>
      <c r="U34" s="395">
        <f t="shared" si="9"/>
        <v>375.7</v>
      </c>
      <c r="V34" s="396">
        <f t="shared" si="10"/>
        <v>-1</v>
      </c>
      <c r="W34" s="53"/>
      <c r="X34" s="408">
        <f>IFERROR(VLOOKUP($C34,'Proposed Rates'!$B:$J,X$11,FALSE),0)</f>
        <v>0</v>
      </c>
      <c r="Y34" s="409">
        <f t="shared" si="30"/>
        <v>1000</v>
      </c>
      <c r="Z34" s="394">
        <f t="shared" si="31"/>
        <v>0</v>
      </c>
      <c r="AA34" s="411"/>
      <c r="AB34" s="395">
        <f t="shared" si="13"/>
        <v>0</v>
      </c>
      <c r="AC34" s="396" t="str">
        <f t="shared" si="14"/>
        <v/>
      </c>
      <c r="AD34" s="53"/>
      <c r="AE34" s="408">
        <f>IFERROR(VLOOKUP($C34,'Proposed Rates'!$B:$J,AE$11,FALSE),0)</f>
        <v>0</v>
      </c>
      <c r="AF34" s="409">
        <f t="shared" si="32"/>
        <v>1000</v>
      </c>
      <c r="AG34" s="394">
        <f t="shared" si="33"/>
        <v>0</v>
      </c>
      <c r="AH34" s="411"/>
      <c r="AI34" s="395">
        <f t="shared" si="17"/>
        <v>0</v>
      </c>
      <c r="AJ34" s="396" t="str">
        <f t="shared" si="18"/>
        <v/>
      </c>
      <c r="AK34" s="53"/>
      <c r="AL34" s="408">
        <f>IFERROR(VLOOKUP($C34,'Proposed Rates'!$B:$J,AL$11,FALSE),0)</f>
        <v>0</v>
      </c>
      <c r="AM34" s="409">
        <f t="shared" si="34"/>
        <v>1000</v>
      </c>
      <c r="AN34" s="394">
        <f t="shared" si="35"/>
        <v>0</v>
      </c>
      <c r="AO34" s="411"/>
      <c r="AP34" s="395">
        <f t="shared" si="21"/>
        <v>0</v>
      </c>
      <c r="AQ34" s="396" t="str">
        <f t="shared" si="22"/>
        <v/>
      </c>
      <c r="AR34" s="397"/>
      <c r="AS34" s="3"/>
      <c r="AT34" s="3"/>
      <c r="AU34" s="3"/>
    </row>
    <row r="35" spans="1:47" ht="12" customHeight="1">
      <c r="A35" s="53"/>
      <c r="B35" s="398" t="s">
        <v>284</v>
      </c>
      <c r="C35" s="389" t="str">
        <f t="shared" si="23"/>
        <v>General Service 50 to 1,499 KW.Total Deferral/Variance Account Rate Riders</v>
      </c>
      <c r="D35" s="390" t="s">
        <v>406</v>
      </c>
      <c r="E35" s="328"/>
      <c r="F35" s="408">
        <f>IFERROR(VLOOKUP($C35,'Proposed Rates'!$B:$J,F$11,FALSE),0)</f>
        <v>0</v>
      </c>
      <c r="G35" s="409">
        <f t="shared" si="24"/>
        <v>1000</v>
      </c>
      <c r="H35" s="394">
        <f t="shared" si="25"/>
        <v>0</v>
      </c>
      <c r="I35" s="138"/>
      <c r="J35" s="408">
        <f>IFERROR(VLOOKUP($C35,'Proposed Rates'!$B:$J,J$11,FALSE),0)</f>
        <v>0</v>
      </c>
      <c r="K35" s="409">
        <f t="shared" si="26"/>
        <v>1000</v>
      </c>
      <c r="L35" s="394">
        <f t="shared" si="27"/>
        <v>0</v>
      </c>
      <c r="M35" s="138"/>
      <c r="N35" s="395">
        <f t="shared" si="5"/>
        <v>0</v>
      </c>
      <c r="O35" s="396" t="str">
        <f t="shared" si="6"/>
        <v/>
      </c>
      <c r="P35" s="53"/>
      <c r="Q35" s="408">
        <f>IFERROR(VLOOKUP($C35,'Proposed Rates'!$B:$J,Q$11,FALSE),0)</f>
        <v>0</v>
      </c>
      <c r="R35" s="409">
        <f t="shared" si="28"/>
        <v>1000</v>
      </c>
      <c r="S35" s="394">
        <f t="shared" si="29"/>
        <v>0</v>
      </c>
      <c r="T35" s="138"/>
      <c r="U35" s="395">
        <f t="shared" si="9"/>
        <v>0</v>
      </c>
      <c r="V35" s="396" t="str">
        <f t="shared" si="10"/>
        <v/>
      </c>
      <c r="W35" s="53"/>
      <c r="X35" s="408">
        <f>IFERROR(VLOOKUP($C35,'Proposed Rates'!$B:$J,X$11,FALSE),0)</f>
        <v>0</v>
      </c>
      <c r="Y35" s="409">
        <f t="shared" si="30"/>
        <v>1000</v>
      </c>
      <c r="Z35" s="394">
        <f t="shared" si="31"/>
        <v>0</v>
      </c>
      <c r="AA35" s="138"/>
      <c r="AB35" s="395">
        <f t="shared" si="13"/>
        <v>0</v>
      </c>
      <c r="AC35" s="396" t="str">
        <f t="shared" si="14"/>
        <v/>
      </c>
      <c r="AD35" s="53"/>
      <c r="AE35" s="408">
        <f>IFERROR(VLOOKUP($C35,'Proposed Rates'!$B:$J,AE$11,FALSE),0)</f>
        <v>0</v>
      </c>
      <c r="AF35" s="409">
        <f t="shared" si="32"/>
        <v>1000</v>
      </c>
      <c r="AG35" s="394">
        <f t="shared" si="33"/>
        <v>0</v>
      </c>
      <c r="AH35" s="138"/>
      <c r="AI35" s="395">
        <f t="shared" si="17"/>
        <v>0</v>
      </c>
      <c r="AJ35" s="396" t="str">
        <f t="shared" si="18"/>
        <v/>
      </c>
      <c r="AK35" s="53"/>
      <c r="AL35" s="408">
        <f>IFERROR(VLOOKUP($C35,'Proposed Rates'!$B:$J,AL$11,FALSE),0)</f>
        <v>0</v>
      </c>
      <c r="AM35" s="409">
        <f t="shared" si="34"/>
        <v>1000</v>
      </c>
      <c r="AN35" s="394">
        <f t="shared" si="35"/>
        <v>0</v>
      </c>
      <c r="AO35" s="138"/>
      <c r="AP35" s="395">
        <f t="shared" si="21"/>
        <v>0</v>
      </c>
      <c r="AQ35" s="396" t="str">
        <f t="shared" si="22"/>
        <v/>
      </c>
      <c r="AR35" s="397"/>
      <c r="AS35" s="3"/>
      <c r="AT35" s="3"/>
      <c r="AU35" s="3"/>
    </row>
    <row r="36" spans="1:47" ht="12" customHeight="1">
      <c r="A36" s="53"/>
      <c r="B36" s="328" t="s">
        <v>300</v>
      </c>
      <c r="C36" s="389" t="str">
        <f t="shared" si="23"/>
        <v>General Service 50 to 1,499 KW.Low Voltage Service Charge</v>
      </c>
      <c r="D36" s="390" t="s">
        <v>406</v>
      </c>
      <c r="E36" s="328"/>
      <c r="F36" s="408">
        <f>IFERROR(VLOOKUP($C36,'Proposed Rates'!$B:$J,F$11,FALSE),0)</f>
        <v>2.0629999999999999E-2</v>
      </c>
      <c r="G36" s="409">
        <f t="shared" si="24"/>
        <v>1000</v>
      </c>
      <c r="H36" s="394">
        <f t="shared" si="25"/>
        <v>20.63</v>
      </c>
      <c r="I36" s="138"/>
      <c r="J36" s="408">
        <f>IFERROR(VLOOKUP($C36,'Proposed Rates'!$B:$J,J$11,FALSE),0)</f>
        <v>2.332E-2</v>
      </c>
      <c r="K36" s="409">
        <f t="shared" si="26"/>
        <v>1000</v>
      </c>
      <c r="L36" s="394">
        <f t="shared" si="27"/>
        <v>23.32</v>
      </c>
      <c r="M36" s="138"/>
      <c r="N36" s="395">
        <f t="shared" si="5"/>
        <v>2.6900000000000013</v>
      </c>
      <c r="O36" s="396">
        <f t="shared" si="6"/>
        <v>0.13039263208919058</v>
      </c>
      <c r="P36" s="53"/>
      <c r="Q36" s="408">
        <f>IFERROR(VLOOKUP($C36,'Proposed Rates'!$B:$J,Q$11,FALSE),0)</f>
        <v>2.392E-2</v>
      </c>
      <c r="R36" s="409">
        <f t="shared" si="28"/>
        <v>1000</v>
      </c>
      <c r="S36" s="394">
        <f t="shared" si="29"/>
        <v>23.92</v>
      </c>
      <c r="T36" s="138"/>
      <c r="U36" s="395">
        <f t="shared" si="9"/>
        <v>0.60000000000000142</v>
      </c>
      <c r="V36" s="396">
        <f t="shared" si="10"/>
        <v>2.5728987993138996E-2</v>
      </c>
      <c r="W36" s="53"/>
      <c r="X36" s="408">
        <f>IFERROR(VLOOKUP($C36,'Proposed Rates'!$B:$J,X$11,FALSE),0)</f>
        <v>2.4209999999999999E-2</v>
      </c>
      <c r="Y36" s="409">
        <f t="shared" si="30"/>
        <v>1000</v>
      </c>
      <c r="Z36" s="394">
        <f t="shared" si="31"/>
        <v>24.209999999999997</v>
      </c>
      <c r="AA36" s="138"/>
      <c r="AB36" s="395">
        <f t="shared" si="13"/>
        <v>0.28999999999999559</v>
      </c>
      <c r="AC36" s="396">
        <f t="shared" si="14"/>
        <v>1.2123745819397808E-2</v>
      </c>
      <c r="AD36" s="53"/>
      <c r="AE36" s="408">
        <f>IFERROR(VLOOKUP($C36,'Proposed Rates'!$B:$J,AE$11,FALSE),0)</f>
        <v>2.46E-2</v>
      </c>
      <c r="AF36" s="409">
        <f t="shared" si="32"/>
        <v>1000</v>
      </c>
      <c r="AG36" s="394">
        <f t="shared" si="33"/>
        <v>24.6</v>
      </c>
      <c r="AH36" s="138"/>
      <c r="AI36" s="395">
        <f t="shared" si="17"/>
        <v>0.39000000000000412</v>
      </c>
      <c r="AJ36" s="396">
        <f t="shared" si="18"/>
        <v>1.6109045848822973E-2</v>
      </c>
      <c r="AK36" s="53"/>
      <c r="AL36" s="408">
        <f>IFERROR(VLOOKUP($C36,'Proposed Rates'!$B:$J,AL$11,FALSE),0)</f>
        <v>2.504E-2</v>
      </c>
      <c r="AM36" s="409">
        <f t="shared" si="34"/>
        <v>1000</v>
      </c>
      <c r="AN36" s="394">
        <f t="shared" si="35"/>
        <v>25.04</v>
      </c>
      <c r="AO36" s="138"/>
      <c r="AP36" s="395">
        <f t="shared" si="21"/>
        <v>0.43999999999999773</v>
      </c>
      <c r="AQ36" s="396">
        <f t="shared" si="22"/>
        <v>1.7886178861788525E-2</v>
      </c>
      <c r="AR36" s="397"/>
      <c r="AS36" s="3"/>
      <c r="AT36" s="3"/>
      <c r="AU36" s="3"/>
    </row>
    <row r="37" spans="1:47" ht="12" customHeight="1">
      <c r="A37" s="53"/>
      <c r="B37" s="328" t="s">
        <v>341</v>
      </c>
      <c r="C37" s="389" t="str">
        <f t="shared" si="23"/>
        <v>General Service 50 to 1,499 KW.Line Losses on Cost of Power</v>
      </c>
      <c r="D37" s="390" t="s">
        <v>337</v>
      </c>
      <c r="E37" s="328"/>
      <c r="F37" s="424"/>
      <c r="G37" s="415">
        <f>$F$9*(1+F$65)-$F$9</f>
        <v>8635.9000000000233</v>
      </c>
      <c r="H37" s="394">
        <f t="shared" si="25"/>
        <v>0</v>
      </c>
      <c r="I37" s="138"/>
      <c r="J37" s="424"/>
      <c r="K37" s="415">
        <f>$F$9*(1+J$65)-$F$9</f>
        <v>8482.5999999999767</v>
      </c>
      <c r="L37" s="394">
        <f t="shared" si="27"/>
        <v>0</v>
      </c>
      <c r="M37" s="138"/>
      <c r="N37" s="395">
        <f t="shared" si="5"/>
        <v>0</v>
      </c>
      <c r="O37" s="396" t="str">
        <f t="shared" si="6"/>
        <v/>
      </c>
      <c r="P37" s="53"/>
      <c r="Q37" s="424"/>
      <c r="R37" s="415">
        <f>$F$9*(1+Q$65)-$F$9</f>
        <v>8482.5999999999767</v>
      </c>
      <c r="S37" s="394">
        <f t="shared" si="29"/>
        <v>0</v>
      </c>
      <c r="T37" s="138"/>
      <c r="U37" s="395">
        <f t="shared" si="9"/>
        <v>0</v>
      </c>
      <c r="V37" s="396" t="str">
        <f t="shared" si="10"/>
        <v/>
      </c>
      <c r="W37" s="53"/>
      <c r="X37" s="424"/>
      <c r="Y37" s="415">
        <f>$F$9*(1+X$65)-$F$9</f>
        <v>8482.5999999999767</v>
      </c>
      <c r="Z37" s="394">
        <f t="shared" si="31"/>
        <v>0</v>
      </c>
      <c r="AA37" s="138"/>
      <c r="AB37" s="395">
        <f t="shared" si="13"/>
        <v>0</v>
      </c>
      <c r="AC37" s="396" t="str">
        <f t="shared" si="14"/>
        <v/>
      </c>
      <c r="AD37" s="53"/>
      <c r="AE37" s="424"/>
      <c r="AF37" s="415">
        <f>$F$9*(1+AE$65)-$F$9</f>
        <v>8482.5999999999767</v>
      </c>
      <c r="AG37" s="394">
        <f t="shared" si="33"/>
        <v>0</v>
      </c>
      <c r="AH37" s="138"/>
      <c r="AI37" s="395">
        <f t="shared" si="17"/>
        <v>0</v>
      </c>
      <c r="AJ37" s="396" t="str">
        <f t="shared" si="18"/>
        <v/>
      </c>
      <c r="AK37" s="53"/>
      <c r="AL37" s="424"/>
      <c r="AM37" s="415">
        <f>$F$9*(1+AL$65)-$F$9</f>
        <v>8482.5999999999767</v>
      </c>
      <c r="AN37" s="394">
        <f t="shared" si="35"/>
        <v>0</v>
      </c>
      <c r="AO37" s="138"/>
      <c r="AP37" s="395">
        <f t="shared" si="21"/>
        <v>0</v>
      </c>
      <c r="AQ37" s="396" t="str">
        <f t="shared" si="22"/>
        <v/>
      </c>
      <c r="AR37" s="397"/>
      <c r="AS37" s="3"/>
      <c r="AT37" s="3"/>
      <c r="AU37" s="3"/>
    </row>
    <row r="38" spans="1:47" ht="12" customHeight="1">
      <c r="A38" s="53"/>
      <c r="B38" s="328" t="s">
        <v>302</v>
      </c>
      <c r="C38" s="389" t="str">
        <f t="shared" si="23"/>
        <v>General Service 50 to 1,499 KW.Smart Meter Entity Charge</v>
      </c>
      <c r="D38" s="390" t="s">
        <v>335</v>
      </c>
      <c r="E38" s="328"/>
      <c r="F38" s="408">
        <f>IFERROR(VLOOKUP($C38,'Proposed Rates'!$B:$J,F$11,FALSE),0)</f>
        <v>0</v>
      </c>
      <c r="G38" s="409">
        <f>IF($D38="Monthly",1,IF($D38="per KW",$F$10,IF($D38="per kWh",$F$9,0)))</f>
        <v>1</v>
      </c>
      <c r="H38" s="394">
        <f t="shared" si="25"/>
        <v>0</v>
      </c>
      <c r="I38" s="138"/>
      <c r="J38" s="408">
        <f>IFERROR(VLOOKUP($C38,'Proposed Rates'!$B:$J,J$11,FALSE),0)</f>
        <v>0</v>
      </c>
      <c r="K38" s="409">
        <f>IF($D38="Monthly",1,IF($D38="per KW",$F$10,IF($D38="per kWh",$F$9,0)))</f>
        <v>1</v>
      </c>
      <c r="L38" s="394">
        <f t="shared" si="27"/>
        <v>0</v>
      </c>
      <c r="M38" s="138"/>
      <c r="N38" s="395">
        <f t="shared" si="5"/>
        <v>0</v>
      </c>
      <c r="O38" s="396" t="str">
        <f t="shared" si="6"/>
        <v/>
      </c>
      <c r="P38" s="53"/>
      <c r="Q38" s="408">
        <f>IFERROR(VLOOKUP($C38,'Proposed Rates'!$B:$J,Q$11,FALSE),0)</f>
        <v>0</v>
      </c>
      <c r="R38" s="409">
        <f>IF($D38="Monthly",1,IF($D38="per KW",$F$10,IF($D38="per kWh",$F$9,0)))</f>
        <v>1</v>
      </c>
      <c r="S38" s="394">
        <f t="shared" si="29"/>
        <v>0</v>
      </c>
      <c r="T38" s="138"/>
      <c r="U38" s="395">
        <f t="shared" si="9"/>
        <v>0</v>
      </c>
      <c r="V38" s="396" t="str">
        <f t="shared" si="10"/>
        <v/>
      </c>
      <c r="W38" s="53"/>
      <c r="X38" s="408">
        <f>IFERROR(VLOOKUP($C38,'Proposed Rates'!$B:$J,X$11,FALSE),0)</f>
        <v>0</v>
      </c>
      <c r="Y38" s="409">
        <f>IF($D38="Monthly",1,IF($D38="per KW",$F$10,IF($D38="per kWh",$F$9,0)))</f>
        <v>1</v>
      </c>
      <c r="Z38" s="394">
        <f t="shared" si="31"/>
        <v>0</v>
      </c>
      <c r="AA38" s="138"/>
      <c r="AB38" s="395">
        <f t="shared" si="13"/>
        <v>0</v>
      </c>
      <c r="AC38" s="396" t="str">
        <f t="shared" si="14"/>
        <v/>
      </c>
      <c r="AD38" s="53"/>
      <c r="AE38" s="408">
        <f>IFERROR(VLOOKUP($C38,'Proposed Rates'!$B:$J,AE$11,FALSE),0)</f>
        <v>0</v>
      </c>
      <c r="AF38" s="409">
        <f>IF($D38="Monthly",1,IF($D38="per KW",$F$10,IF($D38="per kWh",$F$9,0)))</f>
        <v>1</v>
      </c>
      <c r="AG38" s="394">
        <f t="shared" si="33"/>
        <v>0</v>
      </c>
      <c r="AH38" s="138"/>
      <c r="AI38" s="395">
        <f t="shared" si="17"/>
        <v>0</v>
      </c>
      <c r="AJ38" s="396" t="str">
        <f t="shared" si="18"/>
        <v/>
      </c>
      <c r="AK38" s="53"/>
      <c r="AL38" s="408">
        <f>IFERROR(VLOOKUP($C38,'Proposed Rates'!$B:$J,AL$11,FALSE),0)</f>
        <v>0</v>
      </c>
      <c r="AM38" s="409">
        <f>IF($D38="Monthly",1,IF($D38="per KW",$F$10,IF($D38="per kWh",$F$9,0)))</f>
        <v>1</v>
      </c>
      <c r="AN38" s="394">
        <f t="shared" si="35"/>
        <v>0</v>
      </c>
      <c r="AO38" s="138"/>
      <c r="AP38" s="395">
        <f t="shared" si="21"/>
        <v>0</v>
      </c>
      <c r="AQ38" s="396" t="str">
        <f t="shared" si="22"/>
        <v/>
      </c>
      <c r="AR38" s="397"/>
      <c r="AS38" s="3"/>
      <c r="AT38" s="3"/>
      <c r="AU38" s="3"/>
    </row>
    <row r="39" spans="1:47" ht="12" customHeight="1">
      <c r="A39" s="53"/>
      <c r="B39" s="399" t="s">
        <v>342</v>
      </c>
      <c r="C39" s="416"/>
      <c r="D39" s="416"/>
      <c r="E39" s="416"/>
      <c r="F39" s="417"/>
      <c r="G39" s="495"/>
      <c r="H39" s="403">
        <f>SUM(H30:H38)+H29</f>
        <v>7623.880000000001</v>
      </c>
      <c r="I39" s="419"/>
      <c r="J39" s="417"/>
      <c r="K39" s="495"/>
      <c r="L39" s="403">
        <f>SUM(L30:L38)+L29</f>
        <v>9032.2000000000007</v>
      </c>
      <c r="M39" s="419"/>
      <c r="N39" s="405">
        <f t="shared" si="5"/>
        <v>1408.3199999999997</v>
      </c>
      <c r="O39" s="406">
        <f t="shared" si="6"/>
        <v>0.18472483827132635</v>
      </c>
      <c r="P39" s="53"/>
      <c r="Q39" s="417"/>
      <c r="R39" s="495"/>
      <c r="S39" s="403">
        <f>SUM(S30:S38)+S29</f>
        <v>9933.5500000000011</v>
      </c>
      <c r="T39" s="419"/>
      <c r="U39" s="405">
        <f t="shared" si="9"/>
        <v>901.35000000000036</v>
      </c>
      <c r="V39" s="406">
        <f t="shared" si="10"/>
        <v>9.979296295476188E-2</v>
      </c>
      <c r="W39" s="53"/>
      <c r="X39" s="417"/>
      <c r="Y39" s="495"/>
      <c r="Z39" s="403">
        <f>SUM(Z30:Z38)+Z29</f>
        <v>8931.5099999999984</v>
      </c>
      <c r="AA39" s="419"/>
      <c r="AB39" s="405">
        <f t="shared" si="13"/>
        <v>-1002.0400000000027</v>
      </c>
      <c r="AC39" s="406">
        <f t="shared" si="14"/>
        <v>-0.10087430978854514</v>
      </c>
      <c r="AD39" s="53"/>
      <c r="AE39" s="417"/>
      <c r="AF39" s="495"/>
      <c r="AG39" s="403">
        <f>SUM(AG30:AG38)+AG29</f>
        <v>9263.2000000000007</v>
      </c>
      <c r="AH39" s="419"/>
      <c r="AI39" s="405">
        <f t="shared" si="17"/>
        <v>331.69000000000233</v>
      </c>
      <c r="AJ39" s="406">
        <f t="shared" si="18"/>
        <v>3.713705745165178E-2</v>
      </c>
      <c r="AK39" s="53"/>
      <c r="AL39" s="417"/>
      <c r="AM39" s="495"/>
      <c r="AN39" s="403">
        <f>SUM(AN30:AN38)+AN29</f>
        <v>9566.6400000000012</v>
      </c>
      <c r="AO39" s="419"/>
      <c r="AP39" s="405">
        <f t="shared" si="21"/>
        <v>303.44000000000051</v>
      </c>
      <c r="AQ39" s="406">
        <f t="shared" si="22"/>
        <v>3.2757578374643805E-2</v>
      </c>
      <c r="AR39" s="407"/>
      <c r="AS39" s="3"/>
      <c r="AT39" s="3"/>
      <c r="AU39" s="3"/>
    </row>
    <row r="40" spans="1:47" ht="12" customHeight="1">
      <c r="A40" s="53"/>
      <c r="B40" s="138" t="s">
        <v>285</v>
      </c>
      <c r="C40" s="389" t="str">
        <f t="shared" ref="C40:C41" si="36">D$6&amp;"."&amp;B40</f>
        <v>General Service 50 to 1,499 KW.RTSR - Network</v>
      </c>
      <c r="D40" s="420" t="s">
        <v>406</v>
      </c>
      <c r="E40" s="138"/>
      <c r="F40" s="408">
        <f>IFERROR(VLOOKUP($C40,'Proposed Rates'!$B:$J,F$11,FALSE),0)</f>
        <v>4.8479999999999999</v>
      </c>
      <c r="G40" s="409">
        <f t="shared" ref="G40:G41" si="37">IF($D40="Monthly",1,IF($D40="per KW",$F$10,IF($D40="per kWh",$F$9,0)))</f>
        <v>1000</v>
      </c>
      <c r="H40" s="394">
        <f t="shared" ref="H40:H41" si="38">G40*F40</f>
        <v>4848</v>
      </c>
      <c r="I40" s="138"/>
      <c r="J40" s="408">
        <f>IFERROR(VLOOKUP($C40,'Proposed Rates'!$B:$J,J$11,FALSE),0)</f>
        <v>4.5787000000000004</v>
      </c>
      <c r="K40" s="409">
        <f t="shared" ref="K40:K41" si="39">IF($D40="Monthly",1,IF($D40="per KW",$F$10,IF($D40="per kWh",$F$9,0)))</f>
        <v>1000</v>
      </c>
      <c r="L40" s="394">
        <f t="shared" ref="L40:L41" si="40">K40*J40</f>
        <v>4578.7000000000007</v>
      </c>
      <c r="M40" s="138"/>
      <c r="N40" s="395">
        <f t="shared" si="5"/>
        <v>-269.29999999999927</v>
      </c>
      <c r="O40" s="396">
        <f t="shared" si="6"/>
        <v>-5.5548679867986651E-2</v>
      </c>
      <c r="P40" s="53"/>
      <c r="Q40" s="408">
        <f>IFERROR(VLOOKUP($C40,'Proposed Rates'!$B:$J,Q$11,FALSE),0)</f>
        <v>4.5787000000000004</v>
      </c>
      <c r="R40" s="409">
        <f t="shared" ref="R40:R41" si="41">IF($D40="Monthly",1,IF($D40="per KW",$F$10,IF($D40="per kWh",$F$9,0)))</f>
        <v>1000</v>
      </c>
      <c r="S40" s="394">
        <f t="shared" ref="S40:S41" si="42">R40*Q40</f>
        <v>4578.7000000000007</v>
      </c>
      <c r="T40" s="138"/>
      <c r="U40" s="395">
        <f t="shared" si="9"/>
        <v>0</v>
      </c>
      <c r="V40" s="396">
        <f t="shared" si="10"/>
        <v>0</v>
      </c>
      <c r="W40" s="53"/>
      <c r="X40" s="408">
        <f>IFERROR(VLOOKUP($C40,'Proposed Rates'!$B:$J,X$11,FALSE),0)</f>
        <v>4.5787000000000004</v>
      </c>
      <c r="Y40" s="409">
        <f t="shared" ref="Y40:Y41" si="43">IF($D40="Monthly",1,IF($D40="per KW",$F$10,IF($D40="per kWh",$F$9,0)))</f>
        <v>1000</v>
      </c>
      <c r="Z40" s="394">
        <f t="shared" ref="Z40:Z41" si="44">Y40*X40</f>
        <v>4578.7000000000007</v>
      </c>
      <c r="AA40" s="138"/>
      <c r="AB40" s="395">
        <f t="shared" si="13"/>
        <v>0</v>
      </c>
      <c r="AC40" s="396">
        <f t="shared" si="14"/>
        <v>0</v>
      </c>
      <c r="AD40" s="53"/>
      <c r="AE40" s="408">
        <f>IFERROR(VLOOKUP($C40,'Proposed Rates'!$B:$J,AE$11,FALSE),0)</f>
        <v>4.5787000000000004</v>
      </c>
      <c r="AF40" s="409">
        <f t="shared" ref="AF40:AF41" si="45">IF($D40="Monthly",1,IF($D40="per KW",$F$10,IF($D40="per kWh",$F$9,0)))</f>
        <v>1000</v>
      </c>
      <c r="AG40" s="394">
        <f t="shared" ref="AG40:AG41" si="46">AF40*AE40</f>
        <v>4578.7000000000007</v>
      </c>
      <c r="AH40" s="138"/>
      <c r="AI40" s="395">
        <f t="shared" si="17"/>
        <v>0</v>
      </c>
      <c r="AJ40" s="396">
        <f t="shared" si="18"/>
        <v>0</v>
      </c>
      <c r="AK40" s="53"/>
      <c r="AL40" s="408">
        <f>IFERROR(VLOOKUP($C40,'Proposed Rates'!$B:$J,AL$11,FALSE),0)</f>
        <v>4.5787000000000004</v>
      </c>
      <c r="AM40" s="409">
        <f t="shared" ref="AM40:AM41" si="47">IF($D40="Monthly",1,IF($D40="per KW",$F$10,IF($D40="per kWh",$F$9,0)))</f>
        <v>1000</v>
      </c>
      <c r="AN40" s="394">
        <f t="shared" ref="AN40:AN41" si="48">AM40*AL40</f>
        <v>4578.7000000000007</v>
      </c>
      <c r="AO40" s="138"/>
      <c r="AP40" s="395">
        <f t="shared" si="21"/>
        <v>0</v>
      </c>
      <c r="AQ40" s="396">
        <f t="shared" si="22"/>
        <v>0</v>
      </c>
      <c r="AR40" s="397"/>
      <c r="AS40" s="3"/>
      <c r="AT40" s="3"/>
      <c r="AU40" s="3"/>
    </row>
    <row r="41" spans="1:47" ht="12" customHeight="1">
      <c r="A41" s="53"/>
      <c r="B41" s="138" t="s">
        <v>288</v>
      </c>
      <c r="C41" s="389" t="str">
        <f t="shared" si="36"/>
        <v>General Service 50 to 1,499 KW.RTSR - Line and Transformation Connection</v>
      </c>
      <c r="D41" s="420" t="s">
        <v>406</v>
      </c>
      <c r="E41" s="138"/>
      <c r="F41" s="408">
        <f>IFERROR(VLOOKUP($C41,'Proposed Rates'!$B:$J,F$11,FALSE),0)</f>
        <v>2.8187000000000002</v>
      </c>
      <c r="G41" s="409">
        <f t="shared" si="37"/>
        <v>1000</v>
      </c>
      <c r="H41" s="394">
        <f t="shared" si="38"/>
        <v>2818.7000000000003</v>
      </c>
      <c r="I41" s="138"/>
      <c r="J41" s="408">
        <f>IFERROR(VLOOKUP($C41,'Proposed Rates'!$B:$J,J$11,FALSE),0)</f>
        <v>2.5918000000000001</v>
      </c>
      <c r="K41" s="409">
        <f t="shared" si="39"/>
        <v>1000</v>
      </c>
      <c r="L41" s="394">
        <f t="shared" si="40"/>
        <v>2591.8000000000002</v>
      </c>
      <c r="M41" s="138"/>
      <c r="N41" s="395">
        <f t="shared" si="5"/>
        <v>-226.90000000000009</v>
      </c>
      <c r="O41" s="396">
        <f t="shared" si="6"/>
        <v>-8.0498101961897356E-2</v>
      </c>
      <c r="P41" s="53"/>
      <c r="Q41" s="408">
        <f>IFERROR(VLOOKUP($C41,'Proposed Rates'!$B:$J,Q$11,FALSE),0)</f>
        <v>2.5918000000000001</v>
      </c>
      <c r="R41" s="409">
        <f t="shared" si="41"/>
        <v>1000</v>
      </c>
      <c r="S41" s="394">
        <f t="shared" si="42"/>
        <v>2591.8000000000002</v>
      </c>
      <c r="T41" s="138"/>
      <c r="U41" s="395">
        <f t="shared" si="9"/>
        <v>0</v>
      </c>
      <c r="V41" s="396">
        <f t="shared" si="10"/>
        <v>0</v>
      </c>
      <c r="W41" s="53"/>
      <c r="X41" s="408">
        <f>IFERROR(VLOOKUP($C41,'Proposed Rates'!$B:$J,X$11,FALSE),0)</f>
        <v>2.5918000000000001</v>
      </c>
      <c r="Y41" s="409">
        <f t="shared" si="43"/>
        <v>1000</v>
      </c>
      <c r="Z41" s="394">
        <f t="shared" si="44"/>
        <v>2591.8000000000002</v>
      </c>
      <c r="AA41" s="138"/>
      <c r="AB41" s="395">
        <f t="shared" si="13"/>
        <v>0</v>
      </c>
      <c r="AC41" s="396">
        <f t="shared" si="14"/>
        <v>0</v>
      </c>
      <c r="AD41" s="53"/>
      <c r="AE41" s="408">
        <f>IFERROR(VLOOKUP($C41,'Proposed Rates'!$B:$J,AE$11,FALSE),0)</f>
        <v>2.5918000000000001</v>
      </c>
      <c r="AF41" s="409">
        <f t="shared" si="45"/>
        <v>1000</v>
      </c>
      <c r="AG41" s="394">
        <f t="shared" si="46"/>
        <v>2591.8000000000002</v>
      </c>
      <c r="AH41" s="138"/>
      <c r="AI41" s="395">
        <f t="shared" si="17"/>
        <v>0</v>
      </c>
      <c r="AJ41" s="396">
        <f t="shared" si="18"/>
        <v>0</v>
      </c>
      <c r="AK41" s="53"/>
      <c r="AL41" s="408">
        <f>IFERROR(VLOOKUP($C41,'Proposed Rates'!$B:$J,AL$11,FALSE),0)</f>
        <v>2.5918000000000001</v>
      </c>
      <c r="AM41" s="409">
        <f t="shared" si="47"/>
        <v>1000</v>
      </c>
      <c r="AN41" s="394">
        <f t="shared" si="48"/>
        <v>2591.8000000000002</v>
      </c>
      <c r="AO41" s="138"/>
      <c r="AP41" s="395">
        <f t="shared" si="21"/>
        <v>0</v>
      </c>
      <c r="AQ41" s="396">
        <f t="shared" si="22"/>
        <v>0</v>
      </c>
      <c r="AR41" s="397"/>
      <c r="AS41" s="3"/>
      <c r="AT41" s="3"/>
      <c r="AU41" s="3"/>
    </row>
    <row r="42" spans="1:47" ht="12" customHeight="1">
      <c r="A42" s="53"/>
      <c r="B42" s="399" t="s">
        <v>343</v>
      </c>
      <c r="C42" s="421"/>
      <c r="D42" s="421"/>
      <c r="E42" s="421"/>
      <c r="F42" s="422"/>
      <c r="G42" s="495"/>
      <c r="H42" s="403">
        <f>SUM(H39:H41)</f>
        <v>15290.580000000002</v>
      </c>
      <c r="I42" s="404"/>
      <c r="J42" s="422"/>
      <c r="K42" s="495"/>
      <c r="L42" s="403">
        <f>SUM(L39:L41)</f>
        <v>16202.7</v>
      </c>
      <c r="M42" s="404"/>
      <c r="N42" s="405">
        <f t="shared" si="5"/>
        <v>912.11999999999898</v>
      </c>
      <c r="O42" s="406">
        <f t="shared" si="6"/>
        <v>5.9652413446710253E-2</v>
      </c>
      <c r="P42" s="53"/>
      <c r="Q42" s="422"/>
      <c r="R42" s="495"/>
      <c r="S42" s="403">
        <f>SUM(S39:S41)</f>
        <v>17104.050000000003</v>
      </c>
      <c r="T42" s="404"/>
      <c r="U42" s="405">
        <f t="shared" si="9"/>
        <v>901.35000000000218</v>
      </c>
      <c r="V42" s="406">
        <f t="shared" si="10"/>
        <v>5.5629617286008022E-2</v>
      </c>
      <c r="W42" s="53"/>
      <c r="X42" s="422"/>
      <c r="Y42" s="495"/>
      <c r="Z42" s="403">
        <f>SUM(Z39:Z41)</f>
        <v>16102.009999999998</v>
      </c>
      <c r="AA42" s="404"/>
      <c r="AB42" s="405">
        <f t="shared" si="13"/>
        <v>-1002.0400000000045</v>
      </c>
      <c r="AC42" s="406">
        <f t="shared" si="14"/>
        <v>-5.8584955025272049E-2</v>
      </c>
      <c r="AD42" s="53"/>
      <c r="AE42" s="422"/>
      <c r="AF42" s="495"/>
      <c r="AG42" s="403">
        <f>SUM(AG39:AG41)</f>
        <v>16433.7</v>
      </c>
      <c r="AH42" s="404"/>
      <c r="AI42" s="405">
        <f t="shared" si="17"/>
        <v>331.69000000000233</v>
      </c>
      <c r="AJ42" s="406">
        <f t="shared" si="18"/>
        <v>2.059929164123003E-2</v>
      </c>
      <c r="AK42" s="53"/>
      <c r="AL42" s="422"/>
      <c r="AM42" s="495"/>
      <c r="AN42" s="403">
        <f>SUM(AN39:AN41)</f>
        <v>16737.140000000003</v>
      </c>
      <c r="AO42" s="404"/>
      <c r="AP42" s="405">
        <f t="shared" si="21"/>
        <v>303.44000000000233</v>
      </c>
      <c r="AQ42" s="406">
        <f t="shared" si="22"/>
        <v>1.8464496735367101E-2</v>
      </c>
      <c r="AR42" s="407"/>
      <c r="AS42" s="3"/>
      <c r="AT42" s="3"/>
      <c r="AU42" s="3"/>
    </row>
    <row r="43" spans="1:47" ht="12" customHeight="1">
      <c r="A43" s="53"/>
      <c r="B43" s="328" t="s">
        <v>289</v>
      </c>
      <c r="C43" s="389" t="str">
        <f t="shared" ref="C43:C45" si="49">D$6&amp;"."&amp;B43</f>
        <v>General Service 50 to 1,499 KW.Wholesale Market Service Charge (WMSC)</v>
      </c>
      <c r="D43" s="390" t="s">
        <v>337</v>
      </c>
      <c r="E43" s="328"/>
      <c r="F43" s="408">
        <f>IFERROR(VLOOKUP($C43,'Proposed Rates'!$B:$J,F$11,FALSE),0)</f>
        <v>4.4999999999999997E-3</v>
      </c>
      <c r="G43" s="415">
        <f t="shared" ref="G43:G44" si="50">$F$9+G$37</f>
        <v>264135.90000000002</v>
      </c>
      <c r="H43" s="394">
        <f t="shared" ref="H43:H46" si="51">G43*F43</f>
        <v>1188.6115500000001</v>
      </c>
      <c r="I43" s="138"/>
      <c r="J43" s="408">
        <f>IFERROR(VLOOKUP($C43,'Proposed Rates'!$B:$J,J$11,FALSE),0)</f>
        <v>4.7000000000000002E-3</v>
      </c>
      <c r="K43" s="415">
        <f t="shared" ref="K43:K44" si="52">$F$9+K$37</f>
        <v>263982.59999999998</v>
      </c>
      <c r="L43" s="394">
        <f t="shared" ref="L43:L46" si="53">K43*J43</f>
        <v>1240.71822</v>
      </c>
      <c r="M43" s="138"/>
      <c r="N43" s="395">
        <f t="shared" si="5"/>
        <v>52.106669999999895</v>
      </c>
      <c r="O43" s="396">
        <f t="shared" si="6"/>
        <v>4.3838266589282165E-2</v>
      </c>
      <c r="P43" s="53"/>
      <c r="Q43" s="408">
        <f>IFERROR(VLOOKUP($C43,'Proposed Rates'!$B:$J,Q$11,FALSE),0)</f>
        <v>4.7000000000000002E-3</v>
      </c>
      <c r="R43" s="415">
        <f t="shared" ref="R43:R44" si="54">$F$9+R$37</f>
        <v>263982.59999999998</v>
      </c>
      <c r="S43" s="394">
        <f t="shared" ref="S43:S46" si="55">R43*Q43</f>
        <v>1240.71822</v>
      </c>
      <c r="T43" s="138"/>
      <c r="U43" s="395">
        <f t="shared" si="9"/>
        <v>0</v>
      </c>
      <c r="V43" s="396">
        <f t="shared" si="10"/>
        <v>0</v>
      </c>
      <c r="W43" s="53"/>
      <c r="X43" s="408">
        <f>IFERROR(VLOOKUP($C43,'Proposed Rates'!$B:$J,X$11,FALSE),0)</f>
        <v>4.7000000000000002E-3</v>
      </c>
      <c r="Y43" s="415">
        <f t="shared" ref="Y43:Y44" si="56">$F$9+Y$37</f>
        <v>263982.59999999998</v>
      </c>
      <c r="Z43" s="394">
        <f t="shared" ref="Z43:Z46" si="57">Y43*X43</f>
        <v>1240.71822</v>
      </c>
      <c r="AA43" s="138"/>
      <c r="AB43" s="395">
        <f t="shared" si="13"/>
        <v>0</v>
      </c>
      <c r="AC43" s="396">
        <f t="shared" si="14"/>
        <v>0</v>
      </c>
      <c r="AD43" s="53"/>
      <c r="AE43" s="408">
        <f>IFERROR(VLOOKUP($C43,'Proposed Rates'!$B:$J,AE$11,FALSE),0)</f>
        <v>4.7000000000000002E-3</v>
      </c>
      <c r="AF43" s="415">
        <f t="shared" ref="AF43:AF44" si="58">$F$9+AF$37</f>
        <v>263982.59999999998</v>
      </c>
      <c r="AG43" s="394">
        <f t="shared" ref="AG43:AG46" si="59">AF43*AE43</f>
        <v>1240.71822</v>
      </c>
      <c r="AH43" s="138"/>
      <c r="AI43" s="395">
        <f t="shared" si="17"/>
        <v>0</v>
      </c>
      <c r="AJ43" s="396">
        <f t="shared" si="18"/>
        <v>0</v>
      </c>
      <c r="AK43" s="53"/>
      <c r="AL43" s="408">
        <f>IFERROR(VLOOKUP($C43,'Proposed Rates'!$B:$J,AL$11,FALSE),0)</f>
        <v>4.7000000000000002E-3</v>
      </c>
      <c r="AM43" s="415">
        <f t="shared" ref="AM43:AM44" si="60">$F$9+AM$37</f>
        <v>263982.59999999998</v>
      </c>
      <c r="AN43" s="394">
        <f t="shared" ref="AN43:AN46" si="61">AM43*AL43</f>
        <v>1240.71822</v>
      </c>
      <c r="AO43" s="138"/>
      <c r="AP43" s="395">
        <f t="shared" si="21"/>
        <v>0</v>
      </c>
      <c r="AQ43" s="396">
        <f t="shared" si="22"/>
        <v>0</v>
      </c>
      <c r="AR43" s="397"/>
      <c r="AS43" s="3"/>
      <c r="AT43" s="3"/>
      <c r="AU43" s="3"/>
    </row>
    <row r="44" spans="1:47" ht="12" customHeight="1">
      <c r="A44" s="53"/>
      <c r="B44" s="328" t="s">
        <v>290</v>
      </c>
      <c r="C44" s="389" t="str">
        <f t="shared" si="49"/>
        <v>General Service 50 to 1,499 KW.Rural and Remote Rate Protection (RRRP)</v>
      </c>
      <c r="D44" s="390" t="s">
        <v>337</v>
      </c>
      <c r="E44" s="328"/>
      <c r="F44" s="408">
        <f>IFERROR(VLOOKUP($C44,'Proposed Rates'!$B:$J,F$11,FALSE),0)</f>
        <v>1.5E-3</v>
      </c>
      <c r="G44" s="415">
        <f t="shared" si="50"/>
        <v>264135.90000000002</v>
      </c>
      <c r="H44" s="394">
        <f t="shared" si="51"/>
        <v>396.20385000000005</v>
      </c>
      <c r="I44" s="138"/>
      <c r="J44" s="408">
        <f>IFERROR(VLOOKUP($C44,'Proposed Rates'!$B:$J,J$11,FALSE),0)</f>
        <v>5.9999999999999995E-4</v>
      </c>
      <c r="K44" s="415">
        <f t="shared" si="52"/>
        <v>263982.59999999998</v>
      </c>
      <c r="L44" s="394">
        <f t="shared" si="53"/>
        <v>158.38955999999996</v>
      </c>
      <c r="M44" s="138"/>
      <c r="N44" s="395">
        <f t="shared" si="5"/>
        <v>-237.81429000000009</v>
      </c>
      <c r="O44" s="396">
        <f t="shared" si="6"/>
        <v>-0.60023215322112611</v>
      </c>
      <c r="P44" s="53"/>
      <c r="Q44" s="408">
        <f>IFERROR(VLOOKUP($C44,'Proposed Rates'!$B:$J,Q$11,FALSE),0)</f>
        <v>5.9999999999999995E-4</v>
      </c>
      <c r="R44" s="415">
        <f t="shared" si="54"/>
        <v>263982.59999999998</v>
      </c>
      <c r="S44" s="394">
        <f t="shared" si="55"/>
        <v>158.38955999999996</v>
      </c>
      <c r="T44" s="138"/>
      <c r="U44" s="395">
        <f t="shared" si="9"/>
        <v>0</v>
      </c>
      <c r="V44" s="396">
        <f t="shared" si="10"/>
        <v>0</v>
      </c>
      <c r="W44" s="53"/>
      <c r="X44" s="408">
        <f>IFERROR(VLOOKUP($C44,'Proposed Rates'!$B:$J,X$11,FALSE),0)</f>
        <v>5.9999999999999995E-4</v>
      </c>
      <c r="Y44" s="415">
        <f t="shared" si="56"/>
        <v>263982.59999999998</v>
      </c>
      <c r="Z44" s="394">
        <f t="shared" si="57"/>
        <v>158.38955999999996</v>
      </c>
      <c r="AA44" s="138"/>
      <c r="AB44" s="395">
        <f t="shared" si="13"/>
        <v>0</v>
      </c>
      <c r="AC44" s="396">
        <f t="shared" si="14"/>
        <v>0</v>
      </c>
      <c r="AD44" s="53"/>
      <c r="AE44" s="408">
        <f>IFERROR(VLOOKUP($C44,'Proposed Rates'!$B:$J,AE$11,FALSE),0)</f>
        <v>5.9999999999999995E-4</v>
      </c>
      <c r="AF44" s="415">
        <f t="shared" si="58"/>
        <v>263982.59999999998</v>
      </c>
      <c r="AG44" s="394">
        <f t="shared" si="59"/>
        <v>158.38955999999996</v>
      </c>
      <c r="AH44" s="138"/>
      <c r="AI44" s="395">
        <f t="shared" si="17"/>
        <v>0</v>
      </c>
      <c r="AJ44" s="396">
        <f t="shared" si="18"/>
        <v>0</v>
      </c>
      <c r="AK44" s="53"/>
      <c r="AL44" s="408">
        <f>IFERROR(VLOOKUP($C44,'Proposed Rates'!$B:$J,AL$11,FALSE),0)</f>
        <v>5.9999999999999995E-4</v>
      </c>
      <c r="AM44" s="415">
        <f t="shared" si="60"/>
        <v>263982.59999999998</v>
      </c>
      <c r="AN44" s="394">
        <f t="shared" si="61"/>
        <v>158.38955999999996</v>
      </c>
      <c r="AO44" s="138"/>
      <c r="AP44" s="395">
        <f t="shared" si="21"/>
        <v>0</v>
      </c>
      <c r="AQ44" s="396">
        <f t="shared" si="22"/>
        <v>0</v>
      </c>
      <c r="AR44" s="397"/>
      <c r="AS44" s="3"/>
      <c r="AT44" s="3"/>
      <c r="AU44" s="3"/>
    </row>
    <row r="45" spans="1:47" ht="12" customHeight="1">
      <c r="A45" s="53"/>
      <c r="B45" s="328" t="s">
        <v>291</v>
      </c>
      <c r="C45" s="389" t="str">
        <f t="shared" si="49"/>
        <v>General Service 50 to 1,499 KW.Standard Supply Service Charge</v>
      </c>
      <c r="D45" s="390" t="s">
        <v>335</v>
      </c>
      <c r="E45" s="328"/>
      <c r="F45" s="391">
        <f>IFERROR(VLOOKUP($C45,'Proposed Rates'!$B:$J,F$11,FALSE),0)</f>
        <v>0.25</v>
      </c>
      <c r="G45" s="409">
        <f>IF($D45="Monthly",1,IF($D45="per KW",$F$10,IF($D45="per kWh",$F$9,0)))</f>
        <v>1</v>
      </c>
      <c r="H45" s="394">
        <f t="shared" si="51"/>
        <v>0.25</v>
      </c>
      <c r="I45" s="138"/>
      <c r="J45" s="391">
        <f>IFERROR(VLOOKUP($C45,'Proposed Rates'!$B:$J,J$11,FALSE),0)</f>
        <v>0.25</v>
      </c>
      <c r="K45" s="409">
        <f>IF($D45="Monthly",1,IF($D45="per KW",$F$10,IF($D45="per kWh",$F$9,0)))</f>
        <v>1</v>
      </c>
      <c r="L45" s="394">
        <f t="shared" si="53"/>
        <v>0.25</v>
      </c>
      <c r="M45" s="138"/>
      <c r="N45" s="395">
        <f t="shared" si="5"/>
        <v>0</v>
      </c>
      <c r="O45" s="396">
        <f t="shared" si="6"/>
        <v>0</v>
      </c>
      <c r="P45" s="53"/>
      <c r="Q45" s="391">
        <f>IFERROR(VLOOKUP($C45,'Proposed Rates'!$B:$J,Q$11,FALSE),0)</f>
        <v>0.25</v>
      </c>
      <c r="R45" s="409">
        <f>IF($D45="Monthly",1,IF($D45="per KW",$F$10,IF($D45="per kWh",$F$9,0)))</f>
        <v>1</v>
      </c>
      <c r="S45" s="394">
        <f t="shared" si="55"/>
        <v>0.25</v>
      </c>
      <c r="T45" s="138"/>
      <c r="U45" s="395">
        <f t="shared" si="9"/>
        <v>0</v>
      </c>
      <c r="V45" s="396">
        <f t="shared" si="10"/>
        <v>0</v>
      </c>
      <c r="W45" s="53"/>
      <c r="X45" s="391">
        <f>IFERROR(VLOOKUP($C45,'Proposed Rates'!$B:$J,X$11,FALSE),0)</f>
        <v>0.25</v>
      </c>
      <c r="Y45" s="409">
        <f>IF($D45="Monthly",1,IF($D45="per KW",$F$10,IF($D45="per kWh",$F$9,0)))</f>
        <v>1</v>
      </c>
      <c r="Z45" s="394">
        <f t="shared" si="57"/>
        <v>0.25</v>
      </c>
      <c r="AA45" s="138"/>
      <c r="AB45" s="395">
        <f t="shared" si="13"/>
        <v>0</v>
      </c>
      <c r="AC45" s="396">
        <f t="shared" si="14"/>
        <v>0</v>
      </c>
      <c r="AD45" s="53"/>
      <c r="AE45" s="391">
        <f>IFERROR(VLOOKUP($C45,'Proposed Rates'!$B:$J,AE$11,FALSE),0)</f>
        <v>0.25</v>
      </c>
      <c r="AF45" s="409">
        <f>IF($D45="Monthly",1,IF($D45="per KW",$F$10,IF($D45="per kWh",$F$9,0)))</f>
        <v>1</v>
      </c>
      <c r="AG45" s="394">
        <f t="shared" si="59"/>
        <v>0.25</v>
      </c>
      <c r="AH45" s="138"/>
      <c r="AI45" s="395">
        <f t="shared" si="17"/>
        <v>0</v>
      </c>
      <c r="AJ45" s="396">
        <f t="shared" si="18"/>
        <v>0</v>
      </c>
      <c r="AK45" s="53"/>
      <c r="AL45" s="391">
        <f>IFERROR(VLOOKUP($C45,'Proposed Rates'!$B:$J,AL$11,FALSE),0)</f>
        <v>0.25</v>
      </c>
      <c r="AM45" s="409">
        <f>IF($D45="Monthly",1,IF($D45="per KW",$F$10,IF($D45="per kWh",$F$9,0)))</f>
        <v>1</v>
      </c>
      <c r="AN45" s="394">
        <f t="shared" si="61"/>
        <v>0.25</v>
      </c>
      <c r="AO45" s="138"/>
      <c r="AP45" s="395">
        <f t="shared" si="21"/>
        <v>0</v>
      </c>
      <c r="AQ45" s="396">
        <f t="shared" si="22"/>
        <v>0</v>
      </c>
      <c r="AR45" s="397"/>
      <c r="AS45" s="3"/>
      <c r="AT45" s="3"/>
      <c r="AU45" s="3"/>
    </row>
    <row r="46" spans="1:47" ht="12" customHeight="1">
      <c r="A46" s="53"/>
      <c r="B46" s="328" t="s">
        <v>298</v>
      </c>
      <c r="C46" s="389" t="str">
        <f>B46</f>
        <v>Average IESO Wholesale Market Price</v>
      </c>
      <c r="D46" s="390" t="s">
        <v>337</v>
      </c>
      <c r="E46" s="328"/>
      <c r="F46" s="408">
        <f>IFERROR(VLOOKUP($C46,'Proposed Rates'!$B:$J,F$11,FALSE),0)</f>
        <v>0.10453</v>
      </c>
      <c r="G46" s="415">
        <f>$F$9+G$37</f>
        <v>264135.90000000002</v>
      </c>
      <c r="H46" s="394">
        <f t="shared" si="51"/>
        <v>27610.125627000001</v>
      </c>
      <c r="I46" s="138"/>
      <c r="J46" s="408">
        <f>IFERROR(VLOOKUP($C46,'Proposed Rates'!$B:$J,J$11,FALSE),0)</f>
        <v>0.10453</v>
      </c>
      <c r="K46" s="415">
        <f>$F$9+K$37</f>
        <v>263982.59999999998</v>
      </c>
      <c r="L46" s="394">
        <f t="shared" si="53"/>
        <v>27594.101177999997</v>
      </c>
      <c r="M46" s="138"/>
      <c r="N46" s="395">
        <f t="shared" si="5"/>
        <v>-16.024449000004097</v>
      </c>
      <c r="O46" s="396">
        <f t="shared" si="6"/>
        <v>-5.8038305281500613E-4</v>
      </c>
      <c r="P46" s="53"/>
      <c r="Q46" s="408">
        <f>IFERROR(VLOOKUP($C46,'Proposed Rates'!$B:$J,Q$11,FALSE),0)</f>
        <v>0.10453</v>
      </c>
      <c r="R46" s="415">
        <f>$F$9+R$37</f>
        <v>263982.59999999998</v>
      </c>
      <c r="S46" s="394">
        <f t="shared" si="55"/>
        <v>27594.101177999997</v>
      </c>
      <c r="T46" s="138"/>
      <c r="U46" s="395">
        <f t="shared" si="9"/>
        <v>0</v>
      </c>
      <c r="V46" s="396">
        <f t="shared" si="10"/>
        <v>0</v>
      </c>
      <c r="W46" s="53"/>
      <c r="X46" s="408">
        <f>IFERROR(VLOOKUP($C46,'Proposed Rates'!$B:$J,X$11,FALSE),0)</f>
        <v>0.10453</v>
      </c>
      <c r="Y46" s="415">
        <f>$F$9+Y$37</f>
        <v>263982.59999999998</v>
      </c>
      <c r="Z46" s="394">
        <f t="shared" si="57"/>
        <v>27594.101177999997</v>
      </c>
      <c r="AA46" s="138"/>
      <c r="AB46" s="395">
        <f t="shared" si="13"/>
        <v>0</v>
      </c>
      <c r="AC46" s="396">
        <f t="shared" si="14"/>
        <v>0</v>
      </c>
      <c r="AD46" s="53"/>
      <c r="AE46" s="408">
        <f>IFERROR(VLOOKUP($C46,'Proposed Rates'!$B:$J,AE$11,FALSE),0)</f>
        <v>0.10453</v>
      </c>
      <c r="AF46" s="415">
        <f>$F$9+AF$37</f>
        <v>263982.59999999998</v>
      </c>
      <c r="AG46" s="394">
        <f t="shared" si="59"/>
        <v>27594.101177999997</v>
      </c>
      <c r="AH46" s="138"/>
      <c r="AI46" s="395">
        <f t="shared" si="17"/>
        <v>0</v>
      </c>
      <c r="AJ46" s="396">
        <f t="shared" si="18"/>
        <v>0</v>
      </c>
      <c r="AK46" s="53"/>
      <c r="AL46" s="408">
        <f>IFERROR(VLOOKUP($C46,'Proposed Rates'!$B:$J,AL$11,FALSE),0)</f>
        <v>0.10453</v>
      </c>
      <c r="AM46" s="415">
        <f>$F$9+AM$37</f>
        <v>263982.59999999998</v>
      </c>
      <c r="AN46" s="394">
        <f t="shared" si="61"/>
        <v>27594.101177999997</v>
      </c>
      <c r="AO46" s="138"/>
      <c r="AP46" s="395">
        <f t="shared" si="21"/>
        <v>0</v>
      </c>
      <c r="AQ46" s="396">
        <f t="shared" si="22"/>
        <v>0</v>
      </c>
      <c r="AR46" s="397"/>
      <c r="AS46" s="3"/>
      <c r="AT46" s="3"/>
      <c r="AU46" s="3"/>
    </row>
    <row r="47" spans="1:47" ht="12" customHeight="1">
      <c r="A47" s="53"/>
      <c r="B47" s="328"/>
      <c r="C47" s="389" t="str">
        <f t="shared" ref="C47:C50" si="62">D$6&amp;"."&amp;B47</f>
        <v>General Service 50 to 1,499 KW.</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c r="AS47" s="3"/>
      <c r="AT47" s="3"/>
      <c r="AU47" s="3"/>
    </row>
    <row r="48" spans="1:47" ht="12" customHeight="1">
      <c r="A48" s="53"/>
      <c r="B48" s="53"/>
      <c r="C48" s="389" t="str">
        <f t="shared" si="62"/>
        <v>General Service 50 to 1,499 KW.</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c r="AS48" s="3"/>
      <c r="AT48" s="3"/>
      <c r="AU48" s="3"/>
    </row>
    <row r="49" spans="1:47" ht="12" customHeight="1">
      <c r="A49" s="53"/>
      <c r="B49" s="328"/>
      <c r="C49" s="389" t="str">
        <f t="shared" si="62"/>
        <v>General Service 50 to 1,499 KW.</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c r="AS49" s="3"/>
      <c r="AT49" s="3"/>
      <c r="AU49" s="3"/>
    </row>
    <row r="50" spans="1:47" ht="12" customHeight="1">
      <c r="A50" s="53"/>
      <c r="B50" s="328"/>
      <c r="C50" s="389" t="str">
        <f t="shared" si="62"/>
        <v>General Service 50 to 1,499 KW.</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c r="AS50" s="3"/>
      <c r="AT50" s="3"/>
      <c r="AU50" s="3"/>
    </row>
    <row r="51" spans="1:47" ht="12" customHeight="1">
      <c r="A51" s="53"/>
      <c r="B51" s="428"/>
      <c r="C51" s="429"/>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c r="AS51" s="3"/>
      <c r="AT51" s="3"/>
      <c r="AU51" s="3"/>
    </row>
    <row r="52" spans="1:47" ht="12" customHeight="1">
      <c r="A52" s="53"/>
      <c r="B52" s="438" t="s">
        <v>344</v>
      </c>
      <c r="C52" s="328"/>
      <c r="D52" s="328"/>
      <c r="E52" s="328"/>
      <c r="F52" s="439"/>
      <c r="G52" s="483"/>
      <c r="H52" s="441">
        <f>SUM(H43:H48,H42)</f>
        <v>44485.771027000003</v>
      </c>
      <c r="I52" s="476"/>
      <c r="J52" s="440"/>
      <c r="K52" s="440"/>
      <c r="L52" s="441">
        <f>SUM(L43:L48,L42)</f>
        <v>45196.158958</v>
      </c>
      <c r="M52" s="443"/>
      <c r="N52" s="442">
        <f t="shared" ref="N52:N56" si="63">L52-H52</f>
        <v>710.38793099999748</v>
      </c>
      <c r="O52" s="444">
        <f t="shared" ref="O52:O56" si="64">IF((H52)=0,"",(N52/H52))</f>
        <v>1.5968879814825233E-2</v>
      </c>
      <c r="P52" s="53"/>
      <c r="Q52" s="440"/>
      <c r="R52" s="440"/>
      <c r="S52" s="441">
        <f>SUM(S43:S48,S42)</f>
        <v>46097.508957999999</v>
      </c>
      <c r="T52" s="443"/>
      <c r="U52" s="442">
        <f t="shared" ref="U52:U56" si="65">S52-L52</f>
        <v>901.34999999999854</v>
      </c>
      <c r="V52" s="444">
        <f t="shared" ref="V52:V56" si="66">IF((L52)=0,"",(U52/L52))</f>
        <v>1.9943066419374426E-2</v>
      </c>
      <c r="W52" s="53"/>
      <c r="X52" s="440"/>
      <c r="Y52" s="440"/>
      <c r="Z52" s="441">
        <f>SUM(Z43:Z48,Z42)</f>
        <v>45095.468957999998</v>
      </c>
      <c r="AA52" s="443"/>
      <c r="AB52" s="442">
        <f t="shared" ref="AB52:AB56" si="67">Z52-S52</f>
        <v>-1002.0400000000009</v>
      </c>
      <c r="AC52" s="444">
        <f t="shared" ref="AC52:AC56" si="68">IF((S52)=0,"",(AB52/S52))</f>
        <v>-2.1737400190387113E-2</v>
      </c>
      <c r="AD52" s="53"/>
      <c r="AE52" s="440"/>
      <c r="AF52" s="440"/>
      <c r="AG52" s="441">
        <f>SUM(AG43:AG48,AG42)</f>
        <v>45427.158958</v>
      </c>
      <c r="AH52" s="443"/>
      <c r="AI52" s="442">
        <f t="shared" ref="AI52:AI56" si="69">AG52-Z52</f>
        <v>331.69000000000233</v>
      </c>
      <c r="AJ52" s="444">
        <f t="shared" ref="AJ52:AJ56" si="70">IF((Z52)=0,"",(AI52/Z52))</f>
        <v>7.3552844146919571E-3</v>
      </c>
      <c r="AK52" s="53"/>
      <c r="AL52" s="440"/>
      <c r="AM52" s="440"/>
      <c r="AN52" s="441">
        <f>SUM(AN43:AN48,AN42)</f>
        <v>45730.598958000002</v>
      </c>
      <c r="AO52" s="443"/>
      <c r="AP52" s="442">
        <f t="shared" ref="AP52:AP56" si="71">AN52-AG52</f>
        <v>303.44000000000233</v>
      </c>
      <c r="AQ52" s="444">
        <f t="shared" ref="AQ52:AQ56" si="72">IF((AG52)=0,"",(AP52/AG52))</f>
        <v>6.6797045415177714E-3</v>
      </c>
      <c r="AR52" s="445"/>
      <c r="AS52" s="3"/>
      <c r="AT52" s="3"/>
      <c r="AU52" s="3"/>
    </row>
    <row r="53" spans="1:47" ht="12" customHeight="1">
      <c r="A53" s="53"/>
      <c r="B53" s="446" t="s">
        <v>345</v>
      </c>
      <c r="C53" s="328"/>
      <c r="D53" s="328"/>
      <c r="E53" s="328"/>
      <c r="F53" s="439">
        <v>0.13</v>
      </c>
      <c r="G53" s="138"/>
      <c r="H53" s="484">
        <f>H52*F53</f>
        <v>5783.1502335100004</v>
      </c>
      <c r="I53" s="411"/>
      <c r="J53" s="447">
        <v>0.13</v>
      </c>
      <c r="K53" s="411"/>
      <c r="L53" s="394">
        <f>L52*J53</f>
        <v>5875.5006645399999</v>
      </c>
      <c r="M53" s="138"/>
      <c r="N53" s="395">
        <f t="shared" si="63"/>
        <v>92.350431029999527</v>
      </c>
      <c r="O53" s="396">
        <f t="shared" si="64"/>
        <v>1.5968879814825206E-2</v>
      </c>
      <c r="P53" s="53"/>
      <c r="Q53" s="447">
        <v>0.13</v>
      </c>
      <c r="R53" s="411"/>
      <c r="S53" s="394">
        <f>S52*Q53</f>
        <v>5992.6761645400002</v>
      </c>
      <c r="T53" s="138"/>
      <c r="U53" s="395">
        <f t="shared" si="65"/>
        <v>117.17550000000028</v>
      </c>
      <c r="V53" s="396">
        <f t="shared" si="66"/>
        <v>1.994306641937451E-2</v>
      </c>
      <c r="W53" s="53"/>
      <c r="X53" s="447">
        <v>0.13</v>
      </c>
      <c r="Y53" s="411"/>
      <c r="Z53" s="394">
        <f>Z52*X53</f>
        <v>5862.4109645400004</v>
      </c>
      <c r="AA53" s="138"/>
      <c r="AB53" s="395">
        <f t="shared" si="67"/>
        <v>-130.26519999999982</v>
      </c>
      <c r="AC53" s="396">
        <f t="shared" si="68"/>
        <v>-2.1737400190387064E-2</v>
      </c>
      <c r="AD53" s="53"/>
      <c r="AE53" s="447">
        <v>0.13</v>
      </c>
      <c r="AF53" s="411"/>
      <c r="AG53" s="394">
        <f>AG52*AE53</f>
        <v>5905.5306645400005</v>
      </c>
      <c r="AH53" s="138"/>
      <c r="AI53" s="395">
        <f t="shared" si="69"/>
        <v>43.119700000000194</v>
      </c>
      <c r="AJ53" s="396">
        <f t="shared" si="70"/>
        <v>7.3552844146919372E-3</v>
      </c>
      <c r="AK53" s="53"/>
      <c r="AL53" s="447">
        <v>0.13</v>
      </c>
      <c r="AM53" s="411"/>
      <c r="AN53" s="394">
        <f>AN52*AL53</f>
        <v>5944.9778645400002</v>
      </c>
      <c r="AO53" s="138"/>
      <c r="AP53" s="395">
        <f t="shared" si="71"/>
        <v>39.447199999999611</v>
      </c>
      <c r="AQ53" s="396">
        <f t="shared" si="72"/>
        <v>6.6797045415176544E-3</v>
      </c>
      <c r="AR53" s="397"/>
      <c r="AS53" s="3"/>
      <c r="AT53" s="3"/>
      <c r="AU53" s="3"/>
    </row>
    <row r="54" spans="1:47" ht="12" customHeight="1">
      <c r="A54" s="53"/>
      <c r="B54" s="448" t="s">
        <v>422</v>
      </c>
      <c r="C54" s="328"/>
      <c r="D54" s="328"/>
      <c r="E54" s="328"/>
      <c r="F54" s="449"/>
      <c r="G54" s="138"/>
      <c r="H54" s="484">
        <f>H52+H53</f>
        <v>50268.921260510004</v>
      </c>
      <c r="I54" s="411"/>
      <c r="J54" s="411"/>
      <c r="K54" s="411"/>
      <c r="L54" s="394">
        <f>L52+L53</f>
        <v>51071.659622539999</v>
      </c>
      <c r="M54" s="138"/>
      <c r="N54" s="395">
        <f t="shared" si="63"/>
        <v>802.73836202999519</v>
      </c>
      <c r="O54" s="396">
        <f t="shared" si="64"/>
        <v>1.5968879814825192E-2</v>
      </c>
      <c r="P54" s="53"/>
      <c r="Q54" s="411"/>
      <c r="R54" s="411"/>
      <c r="S54" s="394">
        <f>S52+S53</f>
        <v>52090.185122540002</v>
      </c>
      <c r="T54" s="138"/>
      <c r="U54" s="395">
        <f t="shared" si="65"/>
        <v>1018.5255000000034</v>
      </c>
      <c r="V54" s="396">
        <f t="shared" si="66"/>
        <v>1.9943066419374527E-2</v>
      </c>
      <c r="W54" s="53"/>
      <c r="X54" s="411"/>
      <c r="Y54" s="411"/>
      <c r="Z54" s="394">
        <f>Z52+Z53</f>
        <v>50957.87992254</v>
      </c>
      <c r="AA54" s="138"/>
      <c r="AB54" s="395">
        <f t="shared" si="67"/>
        <v>-1132.3052000000025</v>
      </c>
      <c r="AC54" s="396">
        <f t="shared" si="68"/>
        <v>-2.1737400190387141E-2</v>
      </c>
      <c r="AD54" s="53"/>
      <c r="AE54" s="411"/>
      <c r="AF54" s="411"/>
      <c r="AG54" s="394">
        <f>AG52+AG53</f>
        <v>51332.689622539998</v>
      </c>
      <c r="AH54" s="138"/>
      <c r="AI54" s="395">
        <f t="shared" si="69"/>
        <v>374.80969999999797</v>
      </c>
      <c r="AJ54" s="396">
        <f t="shared" si="70"/>
        <v>7.3552844146918652E-3</v>
      </c>
      <c r="AK54" s="53"/>
      <c r="AL54" s="411"/>
      <c r="AM54" s="411"/>
      <c r="AN54" s="394">
        <f>AN52+AN53</f>
        <v>51675.576822540002</v>
      </c>
      <c r="AO54" s="138"/>
      <c r="AP54" s="395">
        <f t="shared" si="71"/>
        <v>342.88720000000467</v>
      </c>
      <c r="AQ54" s="396">
        <f t="shared" si="72"/>
        <v>6.6797045415178113E-3</v>
      </c>
      <c r="AR54" s="397"/>
      <c r="AS54" s="3"/>
      <c r="AT54" s="3"/>
      <c r="AU54" s="3"/>
    </row>
    <row r="55" spans="1:47" ht="12" customHeight="1">
      <c r="A55" s="53"/>
      <c r="B55" s="640" t="s">
        <v>304</v>
      </c>
      <c r="C55" s="616"/>
      <c r="D55" s="616"/>
      <c r="E55" s="328"/>
      <c r="F55" s="449"/>
      <c r="G55" s="138"/>
      <c r="H55" s="486">
        <f>F55*H52</f>
        <v>0</v>
      </c>
      <c r="I55" s="411"/>
      <c r="J55" s="411"/>
      <c r="K55" s="411"/>
      <c r="L55" s="506">
        <f>J55*L52</f>
        <v>0</v>
      </c>
      <c r="M55" s="138"/>
      <c r="N55" s="451">
        <f t="shared" si="63"/>
        <v>0</v>
      </c>
      <c r="O55" s="453" t="str">
        <f t="shared" si="64"/>
        <v/>
      </c>
      <c r="P55" s="53"/>
      <c r="Q55" s="411"/>
      <c r="R55" s="411"/>
      <c r="S55" s="506">
        <f>Q55*S52</f>
        <v>0</v>
      </c>
      <c r="T55" s="138"/>
      <c r="U55" s="451">
        <f t="shared" si="65"/>
        <v>0</v>
      </c>
      <c r="V55" s="453" t="str">
        <f t="shared" si="66"/>
        <v/>
      </c>
      <c r="W55" s="53"/>
      <c r="X55" s="411"/>
      <c r="Y55" s="411"/>
      <c r="Z55" s="506">
        <f>X55*Z52</f>
        <v>0</v>
      </c>
      <c r="AA55" s="138"/>
      <c r="AB55" s="451">
        <f t="shared" si="67"/>
        <v>0</v>
      </c>
      <c r="AC55" s="453" t="str">
        <f t="shared" si="68"/>
        <v/>
      </c>
      <c r="AD55" s="53"/>
      <c r="AE55" s="411"/>
      <c r="AF55" s="411"/>
      <c r="AG55" s="506">
        <f>AE55*AG52</f>
        <v>0</v>
      </c>
      <c r="AH55" s="138"/>
      <c r="AI55" s="451">
        <f t="shared" si="69"/>
        <v>0</v>
      </c>
      <c r="AJ55" s="453" t="str">
        <f t="shared" si="70"/>
        <v/>
      </c>
      <c r="AK55" s="53"/>
      <c r="AL55" s="411"/>
      <c r="AM55" s="411"/>
      <c r="AN55" s="506">
        <f>AL55*AN52</f>
        <v>0</v>
      </c>
      <c r="AO55" s="138"/>
      <c r="AP55" s="451">
        <f t="shared" si="71"/>
        <v>0</v>
      </c>
      <c r="AQ55" s="453" t="str">
        <f t="shared" si="72"/>
        <v/>
      </c>
      <c r="AR55" s="454"/>
      <c r="AS55" s="3"/>
      <c r="AT55" s="3"/>
      <c r="AU55" s="3"/>
    </row>
    <row r="56" spans="1:47" ht="12" customHeight="1">
      <c r="A56" s="53"/>
      <c r="B56" s="641" t="s">
        <v>347</v>
      </c>
      <c r="C56" s="608"/>
      <c r="D56" s="600"/>
      <c r="E56" s="455"/>
      <c r="F56" s="456"/>
      <c r="G56" s="487"/>
      <c r="H56" s="488">
        <f>H54-H55</f>
        <v>50268.921260510004</v>
      </c>
      <c r="I56" s="457"/>
      <c r="J56" s="457"/>
      <c r="K56" s="457"/>
      <c r="L56" s="458">
        <f>L54-L55</f>
        <v>51071.659622539999</v>
      </c>
      <c r="M56" s="459"/>
      <c r="N56" s="460">
        <f t="shared" si="63"/>
        <v>802.73836202999519</v>
      </c>
      <c r="O56" s="461">
        <f t="shared" si="64"/>
        <v>1.5968879814825192E-2</v>
      </c>
      <c r="P56" s="53"/>
      <c r="Q56" s="457"/>
      <c r="R56" s="457"/>
      <c r="S56" s="458">
        <f>S54-S55</f>
        <v>52090.185122540002</v>
      </c>
      <c r="T56" s="459"/>
      <c r="U56" s="460">
        <f t="shared" si="65"/>
        <v>1018.5255000000034</v>
      </c>
      <c r="V56" s="461">
        <f t="shared" si="66"/>
        <v>1.9943066419374527E-2</v>
      </c>
      <c r="W56" s="53"/>
      <c r="X56" s="457"/>
      <c r="Y56" s="457"/>
      <c r="Z56" s="458">
        <f>Z54-Z55</f>
        <v>50957.87992254</v>
      </c>
      <c r="AA56" s="459"/>
      <c r="AB56" s="460">
        <f t="shared" si="67"/>
        <v>-1132.3052000000025</v>
      </c>
      <c r="AC56" s="461">
        <f t="shared" si="68"/>
        <v>-2.1737400190387141E-2</v>
      </c>
      <c r="AD56" s="53"/>
      <c r="AE56" s="457"/>
      <c r="AF56" s="457"/>
      <c r="AG56" s="458">
        <f>AG54-AG55</f>
        <v>51332.689622539998</v>
      </c>
      <c r="AH56" s="459"/>
      <c r="AI56" s="460">
        <f t="shared" si="69"/>
        <v>374.80969999999797</v>
      </c>
      <c r="AJ56" s="461">
        <f t="shared" si="70"/>
        <v>7.3552844146918652E-3</v>
      </c>
      <c r="AK56" s="53"/>
      <c r="AL56" s="457"/>
      <c r="AM56" s="457"/>
      <c r="AN56" s="458">
        <f>AN54-AN55</f>
        <v>51675.576822540002</v>
      </c>
      <c r="AO56" s="459"/>
      <c r="AP56" s="460">
        <f t="shared" si="71"/>
        <v>342.88720000000467</v>
      </c>
      <c r="AQ56" s="461">
        <f t="shared" si="72"/>
        <v>6.6797045415178113E-3</v>
      </c>
      <c r="AR56" s="462"/>
      <c r="AS56" s="3"/>
      <c r="AT56" s="3"/>
      <c r="AU56" s="3"/>
    </row>
    <row r="57" spans="1:47" ht="12" customHeight="1">
      <c r="A57" s="53"/>
      <c r="B57" s="428"/>
      <c r="C57" s="429"/>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c r="AS57" s="3"/>
      <c r="AT57" s="3"/>
      <c r="AU57" s="3"/>
    </row>
    <row r="58" spans="1:47" ht="12" customHeight="1">
      <c r="A58" s="507"/>
      <c r="B58" s="508" t="s">
        <v>348</v>
      </c>
      <c r="C58" s="509"/>
      <c r="D58" s="509"/>
      <c r="E58" s="509"/>
      <c r="F58" s="510"/>
      <c r="G58" s="511"/>
      <c r="H58" s="512">
        <f>SUM(H49:H50,H42,H43:H45)</f>
        <v>16875.645400000005</v>
      </c>
      <c r="I58" s="513"/>
      <c r="J58" s="514"/>
      <c r="K58" s="514"/>
      <c r="L58" s="512">
        <f>SUM(L49:L50,L42,L43:L45)</f>
        <v>17602.057779999999</v>
      </c>
      <c r="M58" s="515"/>
      <c r="N58" s="516">
        <f t="shared" ref="N58:N62" si="73">L58-H58</f>
        <v>726.4123799999943</v>
      </c>
      <c r="O58" s="517">
        <f t="shared" ref="O58:O62" si="74">IF((H58)=0,"",(N58/H58))</f>
        <v>4.3045013259166612E-2</v>
      </c>
      <c r="P58" s="507"/>
      <c r="Q58" s="514"/>
      <c r="R58" s="514"/>
      <c r="S58" s="512">
        <f>SUM(S49:S50,S42,S43:S45)</f>
        <v>18503.407780000001</v>
      </c>
      <c r="T58" s="515"/>
      <c r="U58" s="516">
        <f t="shared" ref="U58:U62" si="75">S58-L58</f>
        <v>901.35000000000218</v>
      </c>
      <c r="V58" s="517">
        <f t="shared" ref="V58:V62" si="76">IF((L58)=0,"",(U58/L58))</f>
        <v>5.1207081084811791E-2</v>
      </c>
      <c r="W58" s="507"/>
      <c r="X58" s="514"/>
      <c r="Y58" s="514"/>
      <c r="Z58" s="512">
        <f>SUM(Z49:Z50,Z42,Z43:Z45)</f>
        <v>17501.367779999997</v>
      </c>
      <c r="AA58" s="515"/>
      <c r="AB58" s="516">
        <f t="shared" ref="AB58:AB62" si="77">Z58-S58</f>
        <v>-1002.0400000000045</v>
      </c>
      <c r="AC58" s="517">
        <f t="shared" ref="AC58:AC62" si="78">IF((S58)=0,"",(AB58/S58))</f>
        <v>-5.4154348859083754E-2</v>
      </c>
      <c r="AD58" s="507"/>
      <c r="AE58" s="514"/>
      <c r="AF58" s="514"/>
      <c r="AG58" s="512">
        <f>SUM(AG49:AG50,AG42,AG43:AG45)</f>
        <v>17833.057779999999</v>
      </c>
      <c r="AH58" s="515"/>
      <c r="AI58" s="516">
        <f t="shared" ref="AI58:AI62" si="79">AG58-Z58</f>
        <v>331.69000000000233</v>
      </c>
      <c r="AJ58" s="517">
        <f t="shared" ref="AJ58:AJ62" si="80">IF((Z58)=0,"",(AI58/Z58))</f>
        <v>1.8952233000842773E-2</v>
      </c>
      <c r="AK58" s="507"/>
      <c r="AL58" s="514"/>
      <c r="AM58" s="514"/>
      <c r="AN58" s="512">
        <f>SUM(AN49:AN50,AN42,AN43:AN45)</f>
        <v>18136.497780000002</v>
      </c>
      <c r="AO58" s="515"/>
      <c r="AP58" s="516">
        <f t="shared" ref="AP58:AP62" si="81">AN58-AG58</f>
        <v>303.44000000000233</v>
      </c>
      <c r="AQ58" s="517">
        <f t="shared" ref="AQ58:AQ62" si="82">IF((AG58)=0,"",(AP58/AG58))</f>
        <v>1.7015590020703804E-2</v>
      </c>
      <c r="AR58" s="518"/>
      <c r="AS58" s="3"/>
      <c r="AT58" s="3"/>
      <c r="AU58" s="3"/>
    </row>
    <row r="59" spans="1:47" ht="12" customHeight="1">
      <c r="A59" s="507"/>
      <c r="B59" s="519" t="s">
        <v>345</v>
      </c>
      <c r="C59" s="509"/>
      <c r="D59" s="509"/>
      <c r="E59" s="509"/>
      <c r="F59" s="510">
        <v>0.13</v>
      </c>
      <c r="G59" s="511"/>
      <c r="H59" s="520">
        <f>H58*F59</f>
        <v>2193.8339020000008</v>
      </c>
      <c r="I59" s="521"/>
      <c r="J59" s="510">
        <v>0.13</v>
      </c>
      <c r="K59" s="522"/>
      <c r="L59" s="523">
        <f>L58*J59</f>
        <v>2288.2675113999999</v>
      </c>
      <c r="M59" s="524"/>
      <c r="N59" s="525">
        <f t="shared" si="73"/>
        <v>94.433609399999114</v>
      </c>
      <c r="O59" s="526">
        <f t="shared" si="74"/>
        <v>4.3045013259166549E-2</v>
      </c>
      <c r="P59" s="507"/>
      <c r="Q59" s="510">
        <v>0.13</v>
      </c>
      <c r="R59" s="522"/>
      <c r="S59" s="523">
        <f>S58*Q59</f>
        <v>2405.4430114000002</v>
      </c>
      <c r="T59" s="524"/>
      <c r="U59" s="525">
        <f t="shared" si="75"/>
        <v>117.17550000000028</v>
      </c>
      <c r="V59" s="526">
        <f t="shared" si="76"/>
        <v>5.1207081084811791E-2</v>
      </c>
      <c r="W59" s="507"/>
      <c r="X59" s="510">
        <v>0.13</v>
      </c>
      <c r="Y59" s="522"/>
      <c r="Z59" s="523">
        <f>Z58*X59</f>
        <v>2275.1778113999999</v>
      </c>
      <c r="AA59" s="524"/>
      <c r="AB59" s="525">
        <f t="shared" si="77"/>
        <v>-130.26520000000028</v>
      </c>
      <c r="AC59" s="526">
        <f t="shared" si="78"/>
        <v>-5.4154348859083622E-2</v>
      </c>
      <c r="AD59" s="507"/>
      <c r="AE59" s="510">
        <v>0.13</v>
      </c>
      <c r="AF59" s="522"/>
      <c r="AG59" s="523">
        <f>AG58*AE59</f>
        <v>2318.2975114000001</v>
      </c>
      <c r="AH59" s="524"/>
      <c r="AI59" s="525">
        <f t="shared" si="79"/>
        <v>43.119700000000194</v>
      </c>
      <c r="AJ59" s="526">
        <f t="shared" si="80"/>
        <v>1.8952233000842721E-2</v>
      </c>
      <c r="AK59" s="507"/>
      <c r="AL59" s="510">
        <v>0.13</v>
      </c>
      <c r="AM59" s="522"/>
      <c r="AN59" s="523">
        <f>AN58*AL59</f>
        <v>2357.7447114000001</v>
      </c>
      <c r="AO59" s="524"/>
      <c r="AP59" s="525">
        <f t="shared" si="81"/>
        <v>39.447200000000066</v>
      </c>
      <c r="AQ59" s="526">
        <f t="shared" si="82"/>
        <v>1.70155900207037E-2</v>
      </c>
      <c r="AR59" s="527"/>
      <c r="AS59" s="3"/>
      <c r="AT59" s="3"/>
      <c r="AU59" s="3"/>
    </row>
    <row r="60" spans="1:47" ht="12" customHeight="1">
      <c r="A60" s="507"/>
      <c r="B60" s="528" t="s">
        <v>423</v>
      </c>
      <c r="C60" s="509"/>
      <c r="D60" s="509"/>
      <c r="E60" s="509"/>
      <c r="F60" s="529"/>
      <c r="G60" s="524"/>
      <c r="H60" s="520">
        <f>H58+H59</f>
        <v>19069.479302000007</v>
      </c>
      <c r="I60" s="521"/>
      <c r="J60" s="521"/>
      <c r="K60" s="521"/>
      <c r="L60" s="523">
        <f>L58+L59</f>
        <v>19890.3252914</v>
      </c>
      <c r="M60" s="524"/>
      <c r="N60" s="525">
        <f t="shared" si="73"/>
        <v>820.84598939999341</v>
      </c>
      <c r="O60" s="526">
        <f t="shared" si="74"/>
        <v>4.3045013259166605E-2</v>
      </c>
      <c r="P60" s="507"/>
      <c r="Q60" s="521"/>
      <c r="R60" s="521"/>
      <c r="S60" s="523">
        <f>S58+S59</f>
        <v>20908.8507914</v>
      </c>
      <c r="T60" s="524"/>
      <c r="U60" s="525">
        <f t="shared" si="75"/>
        <v>1018.5254999999997</v>
      </c>
      <c r="V60" s="526">
        <f t="shared" si="76"/>
        <v>5.1207081084811652E-2</v>
      </c>
      <c r="W60" s="507"/>
      <c r="X60" s="521"/>
      <c r="Y60" s="521"/>
      <c r="Z60" s="523">
        <f>Z58+Z59</f>
        <v>19776.545591399998</v>
      </c>
      <c r="AA60" s="524"/>
      <c r="AB60" s="525">
        <f t="shared" si="77"/>
        <v>-1132.3052000000025</v>
      </c>
      <c r="AC60" s="526">
        <f t="shared" si="78"/>
        <v>-5.4154348859083636E-2</v>
      </c>
      <c r="AD60" s="507"/>
      <c r="AE60" s="521"/>
      <c r="AF60" s="521"/>
      <c r="AG60" s="523">
        <f>AG58+AG59</f>
        <v>20151.355291399999</v>
      </c>
      <c r="AH60" s="524"/>
      <c r="AI60" s="525">
        <f t="shared" si="79"/>
        <v>374.80970000000161</v>
      </c>
      <c r="AJ60" s="526">
        <f t="shared" si="80"/>
        <v>1.8952233000842717E-2</v>
      </c>
      <c r="AK60" s="507"/>
      <c r="AL60" s="521"/>
      <c r="AM60" s="521"/>
      <c r="AN60" s="523">
        <f>AN58+AN59</f>
        <v>20494.2424914</v>
      </c>
      <c r="AO60" s="524"/>
      <c r="AP60" s="525">
        <f t="shared" si="81"/>
        <v>342.88720000000103</v>
      </c>
      <c r="AQ60" s="526">
        <f t="shared" si="82"/>
        <v>1.7015590020703724E-2</v>
      </c>
      <c r="AR60" s="527"/>
      <c r="AS60" s="3"/>
      <c r="AT60" s="3"/>
      <c r="AU60" s="3"/>
    </row>
    <row r="61" spans="1:47" ht="12" customHeight="1">
      <c r="A61" s="507"/>
      <c r="B61" s="642" t="s">
        <v>304</v>
      </c>
      <c r="C61" s="616"/>
      <c r="D61" s="616"/>
      <c r="E61" s="509"/>
      <c r="F61" s="529"/>
      <c r="G61" s="524"/>
      <c r="H61" s="530">
        <f>F61*H58</f>
        <v>0</v>
      </c>
      <c r="I61" s="521"/>
      <c r="J61" s="521"/>
      <c r="K61" s="521"/>
      <c r="L61" s="531">
        <f>J61*L58</f>
        <v>0</v>
      </c>
      <c r="M61" s="524"/>
      <c r="N61" s="532">
        <f t="shared" si="73"/>
        <v>0</v>
      </c>
      <c r="O61" s="533" t="str">
        <f t="shared" si="74"/>
        <v/>
      </c>
      <c r="P61" s="507"/>
      <c r="Q61" s="521"/>
      <c r="R61" s="521"/>
      <c r="S61" s="531">
        <f>Q61*S58</f>
        <v>0</v>
      </c>
      <c r="T61" s="524"/>
      <c r="U61" s="532">
        <f t="shared" si="75"/>
        <v>0</v>
      </c>
      <c r="V61" s="533" t="str">
        <f t="shared" si="76"/>
        <v/>
      </c>
      <c r="W61" s="507"/>
      <c r="X61" s="521"/>
      <c r="Y61" s="521"/>
      <c r="Z61" s="531">
        <f>X61*Z58</f>
        <v>0</v>
      </c>
      <c r="AA61" s="524"/>
      <c r="AB61" s="532">
        <f t="shared" si="77"/>
        <v>0</v>
      </c>
      <c r="AC61" s="533" t="str">
        <f t="shared" si="78"/>
        <v/>
      </c>
      <c r="AD61" s="507"/>
      <c r="AE61" s="521"/>
      <c r="AF61" s="521"/>
      <c r="AG61" s="531">
        <f>AE61*AG58</f>
        <v>0</v>
      </c>
      <c r="AH61" s="524"/>
      <c r="AI61" s="532">
        <f t="shared" si="79"/>
        <v>0</v>
      </c>
      <c r="AJ61" s="533" t="str">
        <f t="shared" si="80"/>
        <v/>
      </c>
      <c r="AK61" s="507"/>
      <c r="AL61" s="521"/>
      <c r="AM61" s="521"/>
      <c r="AN61" s="531">
        <f>AL61*AN58</f>
        <v>0</v>
      </c>
      <c r="AO61" s="524"/>
      <c r="AP61" s="532">
        <f t="shared" si="81"/>
        <v>0</v>
      </c>
      <c r="AQ61" s="533" t="str">
        <f t="shared" si="82"/>
        <v/>
      </c>
      <c r="AR61" s="534"/>
      <c r="AS61" s="3"/>
      <c r="AT61" s="3"/>
      <c r="AU61" s="3"/>
    </row>
    <row r="62" spans="1:47" ht="12" customHeight="1">
      <c r="A62" s="507"/>
      <c r="B62" s="643" t="s">
        <v>350</v>
      </c>
      <c r="C62" s="608"/>
      <c r="D62" s="600"/>
      <c r="E62" s="535"/>
      <c r="F62" s="536"/>
      <c r="G62" s="537"/>
      <c r="H62" s="538">
        <f>H60-H61</f>
        <v>19069.479302000007</v>
      </c>
      <c r="I62" s="539"/>
      <c r="J62" s="539"/>
      <c r="K62" s="539"/>
      <c r="L62" s="540">
        <f>L60-L61</f>
        <v>19890.3252914</v>
      </c>
      <c r="M62" s="541"/>
      <c r="N62" s="542">
        <f t="shared" si="73"/>
        <v>820.84598939999341</v>
      </c>
      <c r="O62" s="543">
        <f t="shared" si="74"/>
        <v>4.3045013259166605E-2</v>
      </c>
      <c r="P62" s="507"/>
      <c r="Q62" s="539"/>
      <c r="R62" s="539"/>
      <c r="S62" s="540">
        <f>S60-S61</f>
        <v>20908.8507914</v>
      </c>
      <c r="T62" s="541"/>
      <c r="U62" s="542">
        <f t="shared" si="75"/>
        <v>1018.5254999999997</v>
      </c>
      <c r="V62" s="543">
        <f t="shared" si="76"/>
        <v>5.1207081084811652E-2</v>
      </c>
      <c r="W62" s="507"/>
      <c r="X62" s="539"/>
      <c r="Y62" s="539"/>
      <c r="Z62" s="540">
        <f>Z60-Z61</f>
        <v>19776.545591399998</v>
      </c>
      <c r="AA62" s="541"/>
      <c r="AB62" s="542">
        <f t="shared" si="77"/>
        <v>-1132.3052000000025</v>
      </c>
      <c r="AC62" s="543">
        <f t="shared" si="78"/>
        <v>-5.4154348859083636E-2</v>
      </c>
      <c r="AD62" s="507"/>
      <c r="AE62" s="539"/>
      <c r="AF62" s="539"/>
      <c r="AG62" s="540">
        <f>AG60-AG61</f>
        <v>20151.355291399999</v>
      </c>
      <c r="AH62" s="541"/>
      <c r="AI62" s="542">
        <f t="shared" si="79"/>
        <v>374.80970000000161</v>
      </c>
      <c r="AJ62" s="543">
        <f t="shared" si="80"/>
        <v>1.8952233000842717E-2</v>
      </c>
      <c r="AK62" s="507"/>
      <c r="AL62" s="539"/>
      <c r="AM62" s="539"/>
      <c r="AN62" s="540">
        <f>AN60-AN61</f>
        <v>20494.2424914</v>
      </c>
      <c r="AO62" s="541"/>
      <c r="AP62" s="542">
        <f t="shared" si="81"/>
        <v>342.88720000000103</v>
      </c>
      <c r="AQ62" s="543">
        <f t="shared" si="82"/>
        <v>1.7015590020703724E-2</v>
      </c>
      <c r="AR62" s="544"/>
      <c r="AS62" s="3"/>
      <c r="AT62" s="3"/>
      <c r="AU62" s="3"/>
    </row>
    <row r="63" spans="1:47" ht="12" customHeight="1">
      <c r="A63" s="53"/>
      <c r="B63" s="428"/>
      <c r="C63" s="429"/>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c r="AS63" s="3"/>
      <c r="AT63" s="3"/>
      <c r="AU63" s="3"/>
    </row>
    <row r="64" spans="1:47" ht="12" customHeight="1">
      <c r="A64" s="53"/>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3"/>
      <c r="AT64" s="3"/>
      <c r="AU64" s="3"/>
    </row>
    <row r="65" spans="1:47" ht="12" customHeight="1">
      <c r="A65" s="53"/>
      <c r="B65" s="314" t="s">
        <v>351</v>
      </c>
      <c r="C65" s="53"/>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c r="AS65" s="3"/>
      <c r="AT65" s="3"/>
      <c r="AU65" s="3"/>
    </row>
    <row r="66" spans="1:47"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3"/>
      <c r="AT66" s="3"/>
      <c r="AU66" s="3"/>
    </row>
    <row r="67" spans="1:47" ht="12" customHeight="1">
      <c r="A67" s="473" t="s">
        <v>424</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3"/>
      <c r="AT67" s="3"/>
      <c r="AU67" s="3"/>
    </row>
    <row r="68" spans="1:47"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3"/>
      <c r="AT68" s="3"/>
      <c r="AU68" s="3"/>
    </row>
    <row r="69" spans="1:47" ht="12" customHeight="1">
      <c r="A69" s="53" t="s">
        <v>353</v>
      </c>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3"/>
      <c r="AT69" s="3"/>
      <c r="AU69" s="3"/>
    </row>
    <row r="70" spans="1:47" ht="12" customHeight="1">
      <c r="A70" s="53" t="s">
        <v>354</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3"/>
      <c r="AT70" s="3"/>
      <c r="AU70" s="3"/>
    </row>
    <row r="71" spans="1:47"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3"/>
      <c r="AT71" s="3"/>
      <c r="AU71" s="3"/>
    </row>
    <row r="72" spans="1:47" ht="12" customHeight="1">
      <c r="A72" s="53" t="s">
        <v>355</v>
      </c>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3"/>
      <c r="AT72" s="3"/>
      <c r="AU72" s="3"/>
    </row>
    <row r="73" spans="1:47" ht="12" customHeight="1">
      <c r="A73" s="53" t="s">
        <v>356</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3"/>
      <c r="AT73" s="3"/>
      <c r="AU73" s="3"/>
    </row>
    <row r="74" spans="1:47"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3"/>
      <c r="AT74" s="3"/>
      <c r="AU74" s="3"/>
    </row>
    <row r="75" spans="1:47" ht="12" customHeight="1">
      <c r="A75" s="53" t="s">
        <v>357</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3"/>
      <c r="AT75" s="3"/>
      <c r="AU75" s="3"/>
    </row>
    <row r="76" spans="1:47" ht="12" customHeight="1">
      <c r="A76" s="53" t="s">
        <v>358</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3"/>
      <c r="AT76" s="3"/>
      <c r="AU76" s="3"/>
    </row>
    <row r="77" spans="1:47" ht="12" customHeight="1">
      <c r="A77" s="53" t="s">
        <v>359</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3"/>
      <c r="AT77" s="3"/>
      <c r="AU77" s="3"/>
    </row>
    <row r="78" spans="1:47" ht="12" customHeight="1">
      <c r="A78" s="53" t="s">
        <v>360</v>
      </c>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3"/>
      <c r="AT78" s="3"/>
      <c r="AU78" s="3"/>
    </row>
    <row r="79" spans="1:47" ht="12" customHeight="1">
      <c r="A79" s="53" t="s">
        <v>361</v>
      </c>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3"/>
      <c r="AT79" s="3"/>
      <c r="AU79" s="3"/>
    </row>
    <row r="80" spans="1:47"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3"/>
      <c r="AT80" s="3"/>
      <c r="AU80" s="3"/>
    </row>
    <row r="81" spans="1:47" ht="12" customHeight="1">
      <c r="A81" s="474"/>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3"/>
      <c r="AT81" s="3"/>
      <c r="AU81" s="3"/>
    </row>
    <row r="82" spans="1:47"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3"/>
      <c r="AT82" s="3"/>
      <c r="AU82" s="3"/>
    </row>
    <row r="83" spans="1:47"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3"/>
      <c r="AT83" s="3"/>
      <c r="AU83" s="3"/>
    </row>
    <row r="84" spans="1:47"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3"/>
      <c r="AT84" s="3"/>
      <c r="AU84" s="3"/>
    </row>
    <row r="85" spans="1:47"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3"/>
      <c r="AT85" s="3"/>
      <c r="AU85" s="3"/>
    </row>
    <row r="86" spans="1:47"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3"/>
      <c r="AT86" s="3"/>
      <c r="AU86" s="3"/>
    </row>
    <row r="87" spans="1:47"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3"/>
      <c r="AT87" s="3"/>
      <c r="AU87" s="3"/>
    </row>
    <row r="88" spans="1:47"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3"/>
      <c r="AT88" s="3"/>
      <c r="AU88" s="3"/>
    </row>
    <row r="89" spans="1:47"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3"/>
      <c r="AT89" s="3"/>
      <c r="AU89" s="3"/>
    </row>
    <row r="90" spans="1:47"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3"/>
      <c r="AT90" s="3"/>
      <c r="AU90" s="3"/>
    </row>
    <row r="91" spans="1:47"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3"/>
      <c r="AT91" s="3"/>
      <c r="AU91" s="3"/>
    </row>
    <row r="92" spans="1:47"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3"/>
      <c r="AT92" s="3"/>
      <c r="AU92" s="3"/>
    </row>
    <row r="93" spans="1:47"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3"/>
      <c r="AT93" s="3"/>
      <c r="AU93" s="3"/>
    </row>
    <row r="94" spans="1:47"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3"/>
      <c r="AT94" s="3"/>
      <c r="AU94" s="3"/>
    </row>
    <row r="95" spans="1:47"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3"/>
      <c r="AT95" s="3"/>
      <c r="AU95" s="3"/>
    </row>
    <row r="96" spans="1:47"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3"/>
      <c r="AT96" s="3"/>
      <c r="AU96" s="3"/>
    </row>
    <row r="97" spans="1:47"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3"/>
      <c r="AT97" s="3"/>
      <c r="AU97" s="3"/>
    </row>
    <row r="98" spans="1:47"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3"/>
      <c r="AT98" s="3"/>
      <c r="AU98" s="3"/>
    </row>
    <row r="99" spans="1:47"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3"/>
      <c r="AT99" s="3"/>
      <c r="AU99" s="3"/>
    </row>
    <row r="100" spans="1:47"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3"/>
      <c r="AT100" s="3"/>
      <c r="AU100" s="3"/>
    </row>
    <row r="101" spans="1:47"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3"/>
      <c r="AT101" s="3"/>
      <c r="AU101" s="3"/>
    </row>
    <row r="102" spans="1:47"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3"/>
      <c r="AT102" s="3"/>
      <c r="AU102" s="3"/>
    </row>
    <row r="103" spans="1:47"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3"/>
      <c r="AT103" s="3"/>
      <c r="AU103" s="3"/>
    </row>
    <row r="104" spans="1:47"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3"/>
      <c r="AT104" s="3"/>
      <c r="AU104" s="3"/>
    </row>
    <row r="105" spans="1:47"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3"/>
      <c r="AT105" s="3"/>
      <c r="AU105" s="3"/>
    </row>
    <row r="106" spans="1:47"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3"/>
      <c r="AT106" s="3"/>
      <c r="AU106" s="3"/>
    </row>
    <row r="107" spans="1:47"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3"/>
      <c r="AT107" s="3"/>
      <c r="AU107" s="3"/>
    </row>
    <row r="108" spans="1:47"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3"/>
      <c r="AT108" s="3"/>
      <c r="AU108" s="3"/>
    </row>
    <row r="109" spans="1:47"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3"/>
      <c r="AT109" s="3"/>
      <c r="AU109" s="3"/>
    </row>
    <row r="110" spans="1:47"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3"/>
      <c r="AT110" s="3"/>
      <c r="AU110" s="3"/>
    </row>
    <row r="111" spans="1:47"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3"/>
      <c r="AT111" s="3"/>
      <c r="AU111" s="3"/>
    </row>
    <row r="112" spans="1:47"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3"/>
      <c r="AT112" s="3"/>
      <c r="AU112" s="3"/>
    </row>
    <row r="113" spans="1:47"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3"/>
      <c r="AT113" s="3"/>
      <c r="AU113" s="3"/>
    </row>
    <row r="114" spans="1:47"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3"/>
      <c r="AT114" s="3"/>
      <c r="AU114" s="3"/>
    </row>
    <row r="115" spans="1:47"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3"/>
      <c r="AT115" s="3"/>
      <c r="AU115" s="3"/>
    </row>
    <row r="116" spans="1:47"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3"/>
      <c r="AT116" s="3"/>
      <c r="AU116" s="3"/>
    </row>
    <row r="117" spans="1:47"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3"/>
      <c r="AT117" s="3"/>
      <c r="AU117" s="3"/>
    </row>
    <row r="118" spans="1:47"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3"/>
      <c r="AT118" s="3"/>
      <c r="AU118" s="3"/>
    </row>
    <row r="119" spans="1:47"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3"/>
      <c r="AT119" s="3"/>
      <c r="AU119" s="3"/>
    </row>
    <row r="120" spans="1:47"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3"/>
      <c r="AT120" s="3"/>
      <c r="AU120" s="3"/>
    </row>
    <row r="121" spans="1:47"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3"/>
      <c r="AT121" s="3"/>
      <c r="AU121" s="3"/>
    </row>
    <row r="122" spans="1:47"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3"/>
      <c r="AT122" s="3"/>
      <c r="AU122" s="3"/>
    </row>
    <row r="123" spans="1:47"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3"/>
      <c r="AT123" s="3"/>
      <c r="AU123" s="3"/>
    </row>
    <row r="124" spans="1:47"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3"/>
      <c r="AT124" s="3"/>
      <c r="AU124" s="3"/>
    </row>
    <row r="125" spans="1:47"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3"/>
      <c r="AT125" s="3"/>
      <c r="AU125" s="3"/>
    </row>
    <row r="126" spans="1:47"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3"/>
      <c r="AT126" s="3"/>
      <c r="AU126" s="3"/>
    </row>
    <row r="127" spans="1:47"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3"/>
      <c r="AT127" s="3"/>
      <c r="AU127" s="3"/>
    </row>
    <row r="128" spans="1:47"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3"/>
      <c r="AT128" s="3"/>
      <c r="AU128" s="3"/>
    </row>
    <row r="129" spans="1:47"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3"/>
      <c r="AT129" s="3"/>
      <c r="AU129" s="3"/>
    </row>
    <row r="130" spans="1:47"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3"/>
      <c r="AT130" s="3"/>
      <c r="AU130" s="3"/>
    </row>
    <row r="131" spans="1:47"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3"/>
      <c r="AT131" s="3"/>
      <c r="AU131" s="3"/>
    </row>
    <row r="132" spans="1:47"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3"/>
      <c r="AT132" s="3"/>
      <c r="AU132" s="3"/>
    </row>
    <row r="133" spans="1:47"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3"/>
      <c r="AT133" s="3"/>
      <c r="AU133" s="3"/>
    </row>
    <row r="134" spans="1:47"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3"/>
      <c r="AT134" s="3"/>
      <c r="AU134" s="3"/>
    </row>
    <row r="135" spans="1:47"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3"/>
      <c r="AT135" s="3"/>
      <c r="AU135" s="3"/>
    </row>
    <row r="136" spans="1:47"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3"/>
      <c r="AT136" s="3"/>
      <c r="AU136" s="3"/>
    </row>
    <row r="137" spans="1:47"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3"/>
      <c r="AT137" s="3"/>
      <c r="AU137" s="3"/>
    </row>
    <row r="138" spans="1:47"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3"/>
      <c r="AT138" s="3"/>
      <c r="AU138" s="3"/>
    </row>
    <row r="139" spans="1:47"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3"/>
      <c r="AT139" s="3"/>
      <c r="AU139" s="3"/>
    </row>
    <row r="140" spans="1:47"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3"/>
      <c r="AT140" s="3"/>
      <c r="AU140" s="3"/>
    </row>
    <row r="141" spans="1:47"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3"/>
      <c r="AT141" s="3"/>
      <c r="AU141" s="3"/>
    </row>
    <row r="142" spans="1:47"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3"/>
      <c r="AT142" s="3"/>
      <c r="AU142" s="3"/>
    </row>
    <row r="143" spans="1:47"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3"/>
      <c r="AT143" s="3"/>
      <c r="AU143" s="3"/>
    </row>
    <row r="144" spans="1:47"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3"/>
      <c r="AT144" s="3"/>
      <c r="AU144" s="3"/>
    </row>
    <row r="145" spans="1:47"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3"/>
      <c r="AT145" s="3"/>
      <c r="AU145" s="3"/>
    </row>
    <row r="146" spans="1:47"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3"/>
      <c r="AT146" s="3"/>
      <c r="AU146" s="3"/>
    </row>
    <row r="147" spans="1:47"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3"/>
      <c r="AT147" s="3"/>
      <c r="AU147" s="3"/>
    </row>
    <row r="148" spans="1:47"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3"/>
      <c r="AT148" s="3"/>
      <c r="AU148" s="3"/>
    </row>
    <row r="149" spans="1:47"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3"/>
      <c r="AT149" s="3"/>
      <c r="AU149" s="3"/>
    </row>
    <row r="150" spans="1:47"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3"/>
      <c r="AT150" s="3"/>
      <c r="AU150" s="3"/>
    </row>
    <row r="151" spans="1:47"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3"/>
      <c r="AT151" s="3"/>
      <c r="AU151" s="3"/>
    </row>
    <row r="152" spans="1:47"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3"/>
      <c r="AT152" s="3"/>
      <c r="AU152" s="3"/>
    </row>
    <row r="153" spans="1:47"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3"/>
      <c r="AT153" s="3"/>
      <c r="AU153" s="3"/>
    </row>
    <row r="154" spans="1:47"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3"/>
      <c r="AT154" s="3"/>
      <c r="AU154" s="3"/>
    </row>
    <row r="155" spans="1:47"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3"/>
      <c r="AT155" s="3"/>
      <c r="AU155" s="3"/>
    </row>
    <row r="156" spans="1:47"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3"/>
      <c r="AT156" s="3"/>
      <c r="AU156" s="3"/>
    </row>
    <row r="157" spans="1:47"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3"/>
      <c r="AT157" s="3"/>
      <c r="AU157" s="3"/>
    </row>
    <row r="158" spans="1:47"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3"/>
      <c r="AT158" s="3"/>
      <c r="AU158" s="3"/>
    </row>
    <row r="159" spans="1:47"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3"/>
      <c r="AT159" s="3"/>
      <c r="AU159" s="3"/>
    </row>
    <row r="160" spans="1:47"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3"/>
      <c r="AT160" s="3"/>
      <c r="AU160" s="3"/>
    </row>
    <row r="161" spans="1:47"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
      <c r="AT161" s="3"/>
      <c r="AU161" s="3"/>
    </row>
    <row r="162" spans="1:47"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3"/>
      <c r="AT162" s="3"/>
      <c r="AU162" s="3"/>
    </row>
    <row r="163" spans="1:47"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3"/>
      <c r="AT163" s="3"/>
      <c r="AU163" s="3"/>
    </row>
    <row r="164" spans="1:47"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3"/>
      <c r="AT164" s="3"/>
      <c r="AU164" s="3"/>
    </row>
    <row r="165" spans="1:47"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3"/>
      <c r="AT165" s="3"/>
      <c r="AU165" s="3"/>
    </row>
    <row r="166" spans="1:47"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3"/>
      <c r="AT166" s="3"/>
      <c r="AU166" s="3"/>
    </row>
    <row r="167" spans="1:47"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3"/>
      <c r="AT167" s="3"/>
      <c r="AU167" s="3"/>
    </row>
    <row r="168" spans="1:47"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3"/>
      <c r="AT168" s="3"/>
      <c r="AU168" s="3"/>
    </row>
    <row r="169" spans="1:47"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3"/>
      <c r="AT169" s="3"/>
      <c r="AU169" s="3"/>
    </row>
    <row r="170" spans="1:47"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3"/>
      <c r="AT170" s="3"/>
      <c r="AU170" s="3"/>
    </row>
    <row r="171" spans="1:47"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3"/>
      <c r="AT171" s="3"/>
      <c r="AU171" s="3"/>
    </row>
    <row r="172" spans="1:47"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3"/>
      <c r="AT172" s="3"/>
      <c r="AU172" s="3"/>
    </row>
    <row r="173" spans="1:47"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3"/>
      <c r="AT173" s="3"/>
      <c r="AU173" s="3"/>
    </row>
    <row r="174" spans="1:47"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3"/>
      <c r="AT174" s="3"/>
      <c r="AU174" s="3"/>
    </row>
    <row r="175" spans="1:47"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3"/>
      <c r="AT175" s="3"/>
      <c r="AU175" s="3"/>
    </row>
    <row r="176" spans="1:47"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3"/>
      <c r="AT176" s="3"/>
      <c r="AU176" s="3"/>
    </row>
    <row r="177" spans="1:47"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3"/>
      <c r="AT177" s="3"/>
      <c r="AU177" s="3"/>
    </row>
    <row r="178" spans="1:47"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3"/>
      <c r="AT178" s="3"/>
      <c r="AU178" s="3"/>
    </row>
    <row r="179" spans="1:47"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3"/>
      <c r="AT179" s="3"/>
      <c r="AU179" s="3"/>
    </row>
    <row r="180" spans="1:47"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3"/>
      <c r="AT180" s="3"/>
      <c r="AU180" s="3"/>
    </row>
    <row r="181" spans="1:47"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3"/>
      <c r="AT181" s="3"/>
      <c r="AU181" s="3"/>
    </row>
    <row r="182" spans="1:47"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3"/>
      <c r="AT182" s="3"/>
      <c r="AU182" s="3"/>
    </row>
    <row r="183" spans="1:47"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3"/>
      <c r="AT183" s="3"/>
      <c r="AU183" s="3"/>
    </row>
    <row r="184" spans="1:47"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3"/>
      <c r="AT184" s="3"/>
      <c r="AU184" s="3"/>
    </row>
    <row r="185" spans="1:47"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3"/>
      <c r="AT185" s="3"/>
      <c r="AU185" s="3"/>
    </row>
    <row r="186" spans="1:47"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3"/>
      <c r="AT186" s="3"/>
      <c r="AU186" s="3"/>
    </row>
    <row r="187" spans="1:47"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3"/>
      <c r="AT187" s="3"/>
      <c r="AU187" s="3"/>
    </row>
    <row r="188" spans="1:47"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3"/>
      <c r="AT188" s="3"/>
      <c r="AU188" s="3"/>
    </row>
    <row r="189" spans="1:47"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3"/>
      <c r="AT189" s="3"/>
      <c r="AU189" s="3"/>
    </row>
    <row r="190" spans="1:47"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3"/>
      <c r="AT190" s="3"/>
      <c r="AU190" s="3"/>
    </row>
    <row r="191" spans="1:47"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3"/>
      <c r="AT191" s="3"/>
      <c r="AU191" s="3"/>
    </row>
    <row r="192" spans="1:47"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c r="AS192" s="3"/>
      <c r="AT192" s="3"/>
      <c r="AU192" s="3"/>
    </row>
    <row r="193" spans="1:47"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c r="AS193" s="3"/>
      <c r="AT193" s="3"/>
      <c r="AU193" s="3"/>
    </row>
    <row r="194" spans="1:47"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c r="AS194" s="3"/>
      <c r="AT194" s="3"/>
      <c r="AU194" s="3"/>
    </row>
    <row r="195" spans="1:47"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c r="AS195" s="3"/>
      <c r="AT195" s="3"/>
      <c r="AU195" s="3"/>
    </row>
    <row r="196" spans="1:47"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c r="AS196" s="3"/>
      <c r="AT196" s="3"/>
      <c r="AU196" s="3"/>
    </row>
    <row r="197" spans="1:47"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c r="AS197" s="3"/>
      <c r="AT197" s="3"/>
      <c r="AU197" s="3"/>
    </row>
    <row r="198" spans="1:47"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c r="AS198" s="3"/>
      <c r="AT198" s="3"/>
      <c r="AU198" s="3"/>
    </row>
    <row r="199" spans="1:47"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c r="AS199" s="3"/>
      <c r="AT199" s="3"/>
      <c r="AU199" s="3"/>
    </row>
    <row r="200" spans="1:47"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c r="AS200" s="3"/>
      <c r="AT200" s="3"/>
      <c r="AU200" s="3"/>
    </row>
    <row r="201" spans="1:47"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c r="AS201" s="3"/>
      <c r="AT201" s="3"/>
      <c r="AU201" s="3"/>
    </row>
    <row r="202" spans="1:47"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c r="AS202" s="3"/>
      <c r="AT202" s="3"/>
      <c r="AU202" s="3"/>
    </row>
    <row r="203" spans="1:47"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c r="AS203" s="3"/>
      <c r="AT203" s="3"/>
      <c r="AU203" s="3"/>
    </row>
    <row r="204" spans="1:47"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c r="AS204" s="3"/>
      <c r="AT204" s="3"/>
      <c r="AU204" s="3"/>
    </row>
    <row r="205" spans="1:47"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c r="AS205" s="3"/>
      <c r="AT205" s="3"/>
      <c r="AU205" s="3"/>
    </row>
    <row r="206" spans="1:47"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c r="AS206" s="3"/>
      <c r="AT206" s="3"/>
      <c r="AU206" s="3"/>
    </row>
    <row r="207" spans="1:47"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c r="AS207" s="3"/>
      <c r="AT207" s="3"/>
      <c r="AU207" s="3"/>
    </row>
    <row r="208" spans="1:47"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c r="AS208" s="3"/>
      <c r="AT208" s="3"/>
      <c r="AU208" s="3"/>
    </row>
    <row r="209" spans="1:47"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c r="AS209" s="3"/>
      <c r="AT209" s="3"/>
      <c r="AU209" s="3"/>
    </row>
    <row r="210" spans="1:47"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c r="AS210" s="3"/>
      <c r="AT210" s="3"/>
      <c r="AU210" s="3"/>
    </row>
    <row r="211" spans="1:47"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c r="AS211" s="3"/>
      <c r="AT211" s="3"/>
      <c r="AU211" s="3"/>
    </row>
    <row r="212" spans="1:47"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c r="AS212" s="3"/>
      <c r="AT212" s="3"/>
      <c r="AU212" s="3"/>
    </row>
    <row r="213" spans="1:47"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c r="AS213" s="3"/>
      <c r="AT213" s="3"/>
      <c r="AU213" s="3"/>
    </row>
    <row r="214" spans="1:47"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c r="AS214" s="3"/>
      <c r="AT214" s="3"/>
      <c r="AU214" s="3"/>
    </row>
    <row r="215" spans="1:47"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c r="AS215" s="3"/>
      <c r="AT215" s="3"/>
      <c r="AU215" s="3"/>
    </row>
    <row r="216" spans="1:47"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c r="AS216" s="3"/>
      <c r="AT216" s="3"/>
      <c r="AU216" s="3"/>
    </row>
    <row r="217" spans="1:47"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c r="AS217" s="3"/>
      <c r="AT217" s="3"/>
      <c r="AU217" s="3"/>
    </row>
    <row r="218" spans="1:47"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c r="AS218" s="3"/>
      <c r="AT218" s="3"/>
      <c r="AU218" s="3"/>
    </row>
    <row r="219" spans="1:47"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c r="AS219" s="3"/>
      <c r="AT219" s="3"/>
      <c r="AU219" s="3"/>
    </row>
    <row r="220" spans="1:47"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c r="AS220" s="3"/>
      <c r="AT220" s="3"/>
      <c r="AU220" s="3"/>
    </row>
    <row r="221" spans="1:47"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c r="AS221" s="3"/>
      <c r="AT221" s="3"/>
      <c r="AU221" s="3"/>
    </row>
    <row r="222" spans="1:47"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c r="AS222" s="3"/>
      <c r="AT222" s="3"/>
      <c r="AU222" s="3"/>
    </row>
    <row r="223" spans="1:47"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c r="AS223" s="3"/>
      <c r="AT223" s="3"/>
      <c r="AU223" s="3"/>
    </row>
    <row r="224" spans="1:47"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c r="AS224" s="3"/>
      <c r="AT224" s="3"/>
      <c r="AU224" s="3"/>
    </row>
    <row r="225" spans="1:47"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c r="AS225" s="3"/>
      <c r="AT225" s="3"/>
      <c r="AU225" s="3"/>
    </row>
    <row r="226" spans="1:47"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c r="AS226" s="3"/>
      <c r="AT226" s="3"/>
      <c r="AU226" s="3"/>
    </row>
    <row r="227" spans="1:47"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c r="AS227" s="3"/>
      <c r="AT227" s="3"/>
      <c r="AU227" s="3"/>
    </row>
    <row r="228" spans="1:47"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c r="AS228" s="3"/>
      <c r="AT228" s="3"/>
      <c r="AU228" s="3"/>
    </row>
    <row r="229" spans="1:47"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c r="AS229" s="3"/>
      <c r="AT229" s="3"/>
      <c r="AU229" s="3"/>
    </row>
    <row r="230" spans="1:47"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c r="AS230" s="3"/>
      <c r="AT230" s="3"/>
      <c r="AU230" s="3"/>
    </row>
    <row r="231" spans="1:47"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c r="AS231" s="3"/>
      <c r="AT231" s="3"/>
      <c r="AU231" s="3"/>
    </row>
    <row r="232" spans="1:47"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c r="AS232" s="3"/>
      <c r="AT232" s="3"/>
      <c r="AU232" s="3"/>
    </row>
    <row r="233" spans="1:47"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c r="AS233" s="3"/>
      <c r="AT233" s="3"/>
      <c r="AU233" s="3"/>
    </row>
    <row r="234" spans="1:47"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c r="AS234" s="3"/>
      <c r="AT234" s="3"/>
      <c r="AU234" s="3"/>
    </row>
    <row r="235" spans="1:47"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c r="AS235" s="3"/>
      <c r="AT235" s="3"/>
      <c r="AU235" s="3"/>
    </row>
    <row r="236" spans="1:47"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c r="AS236" s="3"/>
      <c r="AT236" s="3"/>
      <c r="AU236" s="3"/>
    </row>
    <row r="237" spans="1:47"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c r="AS237" s="3"/>
      <c r="AT237" s="3"/>
      <c r="AU237" s="3"/>
    </row>
    <row r="238" spans="1:47"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c r="AS238" s="3"/>
      <c r="AT238" s="3"/>
      <c r="AU238" s="3"/>
    </row>
    <row r="239" spans="1:47"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c r="AS239" s="3"/>
      <c r="AT239" s="3"/>
      <c r="AU239" s="3"/>
    </row>
    <row r="240" spans="1:47"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c r="AS240" s="3"/>
      <c r="AT240" s="3"/>
      <c r="AU240" s="3"/>
    </row>
    <row r="241" spans="1:47"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c r="AS241" s="3"/>
      <c r="AT241" s="3"/>
      <c r="AU241" s="3"/>
    </row>
    <row r="242" spans="1:47"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c r="AS242" s="3"/>
      <c r="AT242" s="3"/>
      <c r="AU242" s="3"/>
    </row>
    <row r="243" spans="1:47"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c r="AS243" s="3"/>
      <c r="AT243" s="3"/>
      <c r="AU243" s="3"/>
    </row>
    <row r="244" spans="1:47"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c r="AS244" s="3"/>
      <c r="AT244" s="3"/>
      <c r="AU244" s="3"/>
    </row>
    <row r="245" spans="1:47"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c r="AS245" s="3"/>
      <c r="AT245" s="3"/>
      <c r="AU245" s="3"/>
    </row>
    <row r="246" spans="1:47"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c r="AS246" s="3"/>
      <c r="AT246" s="3"/>
      <c r="AU246" s="3"/>
    </row>
    <row r="247" spans="1:47"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c r="AS247" s="3"/>
      <c r="AT247" s="3"/>
      <c r="AU247" s="3"/>
    </row>
    <row r="248" spans="1:47"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c r="AS248" s="3"/>
      <c r="AT248" s="3"/>
      <c r="AU248" s="3"/>
    </row>
    <row r="249" spans="1:47"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c r="AS249" s="3"/>
      <c r="AT249" s="3"/>
      <c r="AU249" s="3"/>
    </row>
    <row r="250" spans="1:47"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c r="AS250" s="3"/>
      <c r="AT250" s="3"/>
      <c r="AU250" s="3"/>
    </row>
    <row r="251" spans="1:47"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c r="AS251" s="3"/>
      <c r="AT251" s="3"/>
      <c r="AU251" s="3"/>
    </row>
    <row r="252" spans="1:47"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c r="AS252" s="3"/>
      <c r="AT252" s="3"/>
      <c r="AU252" s="3"/>
    </row>
    <row r="253" spans="1:47"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c r="AS253" s="3"/>
      <c r="AT253" s="3"/>
      <c r="AU253" s="3"/>
    </row>
    <row r="254" spans="1:47"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c r="AS254" s="3"/>
      <c r="AT254" s="3"/>
      <c r="AU254" s="3"/>
    </row>
    <row r="255" spans="1:47"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c r="AS255" s="3"/>
      <c r="AT255" s="3"/>
      <c r="AU255" s="3"/>
    </row>
    <row r="256" spans="1:47"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c r="AS256" s="3"/>
      <c r="AT256" s="3"/>
      <c r="AU256" s="3"/>
    </row>
    <row r="257" spans="1:47"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c r="AS257" s="3"/>
      <c r="AT257" s="3"/>
      <c r="AU257" s="3"/>
    </row>
    <row r="258" spans="1:47"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c r="AS258" s="3"/>
      <c r="AT258" s="3"/>
      <c r="AU258" s="3"/>
    </row>
    <row r="259" spans="1:47"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c r="AS259" s="3"/>
      <c r="AT259" s="3"/>
      <c r="AU259" s="3"/>
    </row>
    <row r="260" spans="1:47"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c r="AS260" s="3"/>
      <c r="AT260" s="3"/>
      <c r="AU260" s="3"/>
    </row>
    <row r="261" spans="1:47"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c r="AS261" s="3"/>
      <c r="AT261" s="3"/>
      <c r="AU261" s="3"/>
    </row>
    <row r="262" spans="1:47"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c r="AS262" s="3"/>
      <c r="AT262" s="3"/>
      <c r="AU262" s="3"/>
    </row>
    <row r="263" spans="1:47"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c r="AS263" s="3"/>
      <c r="AT263" s="3"/>
      <c r="AU263" s="3"/>
    </row>
    <row r="264" spans="1:47"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c r="AS264" s="3"/>
      <c r="AT264" s="3"/>
      <c r="AU264" s="3"/>
    </row>
    <row r="265" spans="1:47"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c r="AS265" s="3"/>
      <c r="AT265" s="3"/>
      <c r="AU265" s="3"/>
    </row>
    <row r="266" spans="1:47"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c r="AS266" s="3"/>
      <c r="AT266" s="3"/>
      <c r="AU266" s="3"/>
    </row>
    <row r="267" spans="1:47"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c r="AS267" s="3"/>
      <c r="AT267" s="3"/>
      <c r="AU267" s="3"/>
    </row>
    <row r="268" spans="1:47"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c r="AS268" s="3"/>
      <c r="AT268" s="3"/>
      <c r="AU268" s="3"/>
    </row>
    <row r="269" spans="1:47"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c r="AS269" s="3"/>
      <c r="AT269" s="3"/>
      <c r="AU269" s="3"/>
    </row>
    <row r="270" spans="1:47"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c r="AS270" s="3"/>
      <c r="AT270" s="3"/>
      <c r="AU270" s="3"/>
    </row>
    <row r="271" spans="1:47"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c r="AS271" s="3"/>
      <c r="AT271" s="3"/>
      <c r="AU271" s="3"/>
    </row>
    <row r="272" spans="1:47"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c r="AS272" s="3"/>
      <c r="AT272" s="3"/>
      <c r="AU272" s="3"/>
    </row>
    <row r="273" spans="1:47"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c r="AS273" s="3"/>
      <c r="AT273" s="3"/>
      <c r="AU273" s="3"/>
    </row>
    <row r="274" spans="1:47"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c r="AS274" s="3"/>
      <c r="AT274" s="3"/>
      <c r="AU274" s="3"/>
    </row>
    <row r="275" spans="1:47"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c r="AS275" s="3"/>
      <c r="AT275" s="3"/>
      <c r="AU275" s="3"/>
    </row>
    <row r="276" spans="1:47"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3"/>
      <c r="AS276" s="3"/>
      <c r="AT276" s="3"/>
      <c r="AU276" s="3"/>
    </row>
    <row r="277" spans="1:47"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3"/>
      <c r="AS277" s="3"/>
      <c r="AT277" s="3"/>
      <c r="AU277" s="3"/>
    </row>
    <row r="278" spans="1:47"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3"/>
      <c r="AS278" s="3"/>
      <c r="AT278" s="3"/>
      <c r="AU278" s="3"/>
    </row>
    <row r="279" spans="1:47"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3"/>
      <c r="AS279" s="3"/>
      <c r="AT279" s="3"/>
      <c r="AU279" s="3"/>
    </row>
    <row r="280" spans="1:47"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3"/>
      <c r="AS280" s="3"/>
      <c r="AT280" s="3"/>
      <c r="AU280" s="3"/>
    </row>
    <row r="281" spans="1:47"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3"/>
      <c r="AS281" s="3"/>
      <c r="AT281" s="3"/>
      <c r="AU281" s="3"/>
    </row>
    <row r="282" spans="1:47"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3"/>
      <c r="AS282" s="3"/>
      <c r="AT282" s="3"/>
      <c r="AU282" s="3"/>
    </row>
    <row r="283" spans="1:47"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3"/>
      <c r="AS283" s="3"/>
      <c r="AT283" s="3"/>
      <c r="AU283" s="3"/>
    </row>
    <row r="284" spans="1:47" ht="15.75" customHeight="1"/>
    <row r="285" spans="1:47" ht="15.75" customHeight="1"/>
    <row r="286" spans="1:47" ht="15.75" customHeight="1"/>
    <row r="287" spans="1:47" ht="15.75" customHeight="1"/>
    <row r="288" spans="1:47"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1D00-000000000000}">
      <formula1>"TOU,non-TOU"</formula1>
    </dataValidation>
    <dataValidation type="list" allowBlank="1" showErrorMessage="1" sqref="E15:E28 E30:E38 E40:E41 E43:E51 E57 E63" xr:uid="{00000000-0002-0000-1D00-000001000000}">
      <formula1>#REF!</formula1>
    </dataValidation>
    <dataValidation type="list" allowBlank="1" showInputMessage="1" showErrorMessage="1" prompt="Select Charge Unit - monthly, per kWh, per kW" sqref="D15:D28 D30:D38 D40:D41 D43:D51 D57 D63" xr:uid="{00000000-0002-0000-1D00-000002000000}">
      <formula1>"Monthly,per kWh,per kW"</formula1>
    </dataValidation>
  </dataValidations>
  <pageMargins left="0.74803149606299213" right="0.74803149606299213" top="0.98425196850393704" bottom="0.98425196850393704"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V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0.28515625" customWidth="1"/>
    <col min="8" max="8" width="13" customWidth="1"/>
    <col min="9" max="9" width="1.42578125" customWidth="1"/>
    <col min="10" max="10" width="11" customWidth="1"/>
    <col min="11" max="11" width="10.28515625" customWidth="1"/>
    <col min="12" max="12" width="13" customWidth="1"/>
    <col min="13" max="13" width="1.42578125" customWidth="1"/>
    <col min="14" max="14" width="11" customWidth="1"/>
    <col min="15" max="15" width="10" customWidth="1"/>
    <col min="16" max="16" width="1.7109375" customWidth="1"/>
    <col min="17" max="17" width="11" customWidth="1"/>
    <col min="18" max="18" width="10.28515625" customWidth="1"/>
    <col min="19" max="19" width="13" customWidth="1"/>
    <col min="20" max="20" width="0.42578125" customWidth="1"/>
    <col min="21" max="21" width="11" customWidth="1"/>
    <col min="22" max="22" width="10" customWidth="1"/>
    <col min="23" max="23" width="2.28515625" customWidth="1"/>
    <col min="24" max="24" width="11" customWidth="1"/>
    <col min="25" max="25" width="10.28515625" customWidth="1"/>
    <col min="26" max="26" width="13" customWidth="1"/>
    <col min="27" max="27" width="0.42578125" customWidth="1"/>
    <col min="28" max="28" width="11" customWidth="1"/>
    <col min="29" max="29" width="10" customWidth="1"/>
    <col min="30" max="30" width="2.140625" customWidth="1"/>
    <col min="31" max="31" width="11" customWidth="1"/>
    <col min="32" max="32" width="10.28515625" customWidth="1"/>
    <col min="33" max="33" width="13" customWidth="1"/>
    <col min="34" max="34" width="0.42578125" customWidth="1"/>
    <col min="35" max="35" width="11" customWidth="1"/>
    <col min="36" max="36" width="10" customWidth="1"/>
    <col min="37" max="37" width="0.7109375" customWidth="1"/>
    <col min="38" max="38" width="11" customWidth="1"/>
    <col min="39" max="39" width="10.28515625" customWidth="1"/>
    <col min="40" max="40" width="13" customWidth="1"/>
    <col min="41" max="41" width="1.28515625" customWidth="1"/>
    <col min="42" max="42" width="11" customWidth="1"/>
    <col min="43" max="43" width="10" customWidth="1"/>
    <col min="44" max="44" width="1.28515625" customWidth="1"/>
    <col min="45" max="48" width="12.42578125" customWidth="1"/>
  </cols>
  <sheetData>
    <row r="1" spans="1:48" ht="7.5" customHeight="1">
      <c r="A1" s="53"/>
      <c r="B1" s="53"/>
      <c r="C1" s="549"/>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3"/>
      <c r="AT1" s="3"/>
      <c r="AU1" s="3"/>
      <c r="AV1" s="3"/>
    </row>
    <row r="2" spans="1:48" ht="18.75" customHeight="1">
      <c r="A2" s="53"/>
      <c r="B2" s="53"/>
      <c r="C2" s="550"/>
      <c r="D2" s="373"/>
      <c r="E2" s="373"/>
      <c r="F2" s="373" t="s">
        <v>320</v>
      </c>
      <c r="G2" s="373"/>
      <c r="H2" s="373"/>
      <c r="I2" s="373"/>
      <c r="J2" s="373"/>
      <c r="K2" s="373"/>
      <c r="L2" s="373"/>
      <c r="M2" s="373"/>
      <c r="N2" s="373"/>
      <c r="O2" s="373"/>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3"/>
      <c r="AT2" s="3"/>
      <c r="AU2" s="3"/>
      <c r="AV2" s="3"/>
    </row>
    <row r="3" spans="1:48" ht="18.75" customHeight="1">
      <c r="A3" s="53"/>
      <c r="B3" s="53"/>
      <c r="C3" s="550"/>
      <c r="D3" s="373"/>
      <c r="E3" s="373"/>
      <c r="F3" s="373" t="s">
        <v>322</v>
      </c>
      <c r="G3" s="373"/>
      <c r="H3" s="373"/>
      <c r="I3" s="373"/>
      <c r="J3" s="373"/>
      <c r="K3" s="373"/>
      <c r="L3" s="373"/>
      <c r="M3" s="373"/>
      <c r="N3" s="373"/>
      <c r="O3" s="373"/>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c r="AU3" s="3"/>
      <c r="AV3" s="3"/>
    </row>
    <row r="4" spans="1:48" ht="7.5" customHeight="1">
      <c r="A4" s="53"/>
      <c r="B4" s="53"/>
      <c r="C4" s="549"/>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c r="AU4" s="3"/>
      <c r="AV4" s="3"/>
    </row>
    <row r="5" spans="1:48" ht="7.5" customHeight="1">
      <c r="A5" s="53"/>
      <c r="B5" s="53"/>
      <c r="C5" s="549"/>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c r="AU5" s="3"/>
      <c r="AV5" s="3"/>
    </row>
    <row r="6" spans="1:48" ht="12.75" customHeight="1">
      <c r="A6" s="53"/>
      <c r="B6" s="327" t="s">
        <v>323</v>
      </c>
      <c r="C6" s="549"/>
      <c r="D6" s="499" t="s">
        <v>250</v>
      </c>
      <c r="E6" s="500"/>
      <c r="F6" s="500"/>
      <c r="G6" s="500"/>
      <c r="H6" s="500"/>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row>
    <row r="7" spans="1:48" ht="7.5" customHeight="1">
      <c r="A7" s="53"/>
      <c r="B7" s="377"/>
      <c r="C7" s="549"/>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c r="AV7" s="3"/>
    </row>
    <row r="8" spans="1:48" ht="12.75" customHeight="1">
      <c r="A8" s="53"/>
      <c r="B8" s="327" t="s">
        <v>324</v>
      </c>
      <c r="C8" s="549"/>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3"/>
      <c r="AT8" s="3"/>
      <c r="AU8" s="3"/>
      <c r="AV8" s="3"/>
    </row>
    <row r="9" spans="1:48" ht="12.75" customHeight="1">
      <c r="A9" s="53"/>
      <c r="B9" s="377"/>
      <c r="C9" s="549"/>
      <c r="D9" s="314" t="s">
        <v>326</v>
      </c>
      <c r="E9" s="314"/>
      <c r="F9" s="380">
        <v>891400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3"/>
      <c r="AT9" s="3"/>
      <c r="AU9" s="3"/>
      <c r="AV9" s="3"/>
    </row>
    <row r="10" spans="1:48" ht="12.75" customHeight="1">
      <c r="A10" s="53"/>
      <c r="B10" s="53"/>
      <c r="C10" s="549"/>
      <c r="D10" s="53"/>
      <c r="E10" s="53"/>
      <c r="F10" s="380">
        <v>1925</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3"/>
      <c r="AT10" s="3"/>
      <c r="AU10" s="3"/>
      <c r="AV10" s="3"/>
    </row>
    <row r="11" spans="1:48" ht="12.75" customHeight="1">
      <c r="A11" s="53"/>
      <c r="B11" s="53"/>
      <c r="C11" s="549"/>
      <c r="D11" s="3"/>
      <c r="E11" s="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c r="AS11" s="3"/>
      <c r="AT11" s="3"/>
      <c r="AU11" s="3"/>
      <c r="AV11" s="3"/>
    </row>
    <row r="12" spans="1:48" ht="12.75" customHeight="1">
      <c r="A12" s="53"/>
      <c r="B12" s="53"/>
      <c r="C12" s="549"/>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c r="AS12" s="3"/>
      <c r="AT12" s="3"/>
      <c r="AU12" s="3"/>
      <c r="AV12" s="3"/>
    </row>
    <row r="13" spans="1:48" ht="12.75" customHeight="1">
      <c r="A13" s="53"/>
      <c r="B13" s="53"/>
      <c r="C13" s="549"/>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c r="AS13" s="3"/>
      <c r="AT13" s="3"/>
      <c r="AU13" s="3"/>
      <c r="AV13" s="3"/>
    </row>
    <row r="14" spans="1:48" ht="12.75" customHeight="1">
      <c r="A14" s="53"/>
      <c r="B14" s="53"/>
      <c r="C14" s="549"/>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c r="AS14" s="3"/>
      <c r="AT14" s="3"/>
      <c r="AU14" s="3"/>
      <c r="AV14" s="3"/>
    </row>
    <row r="15" spans="1:48" ht="12.75" customHeight="1">
      <c r="A15" s="53"/>
      <c r="B15" s="328" t="s">
        <v>246</v>
      </c>
      <c r="C15" s="389" t="str">
        <f t="shared" ref="C15:C28" si="0">D$6&amp;"."&amp;B15</f>
        <v>General Service 1,500 to 4,999 KW.Monthly Service Charge</v>
      </c>
      <c r="D15" s="390" t="s">
        <v>335</v>
      </c>
      <c r="E15" s="328"/>
      <c r="F15" s="391">
        <f>IFERROR(VLOOKUP($C15,'Proposed Rates'!$B:$J,F$11,FALSE),0)</f>
        <v>4126.75</v>
      </c>
      <c r="G15" s="409">
        <f t="shared" ref="G15:G28" si="1">IF($D15="Monthly",1,IF($D15="per KW",$F$10,IF($D15="per kWh",$F$9,0)))</f>
        <v>1</v>
      </c>
      <c r="H15" s="394">
        <f t="shared" ref="H15:H28" si="2">G15*F15</f>
        <v>4126.75</v>
      </c>
      <c r="I15" s="138"/>
      <c r="J15" s="391">
        <f>IFERROR(VLOOKUP($C15,'Proposed Rates'!$B:$J,J$11,FALSE),0)</f>
        <v>4126.75</v>
      </c>
      <c r="K15" s="409">
        <f t="shared" ref="K15:K28" si="3">IF($D15="Monthly",1,IF($D15="per KW",$F$10,IF($D15="per kWh",$F$9,0)))</f>
        <v>1</v>
      </c>
      <c r="L15" s="394">
        <f t="shared" ref="L15:L28" si="4">K15*J15</f>
        <v>4126.75</v>
      </c>
      <c r="M15" s="138"/>
      <c r="N15" s="395">
        <f t="shared" ref="N15:N46" si="5">L15-H15</f>
        <v>0</v>
      </c>
      <c r="O15" s="396">
        <f t="shared" ref="O15:O46" si="6">IF((H15)=0,"",(N15/H15))</f>
        <v>0</v>
      </c>
      <c r="P15" s="53"/>
      <c r="Q15" s="391">
        <f>IFERROR(VLOOKUP($C15,'Proposed Rates'!$B:$J,Q$11,FALSE),0)</f>
        <v>4126.75</v>
      </c>
      <c r="R15" s="409">
        <f t="shared" ref="R15:R28" si="7">IF($D15="Monthly",1,IF($D15="per KW",$F$10,IF($D15="per kWh",$F$9,0)))</f>
        <v>1</v>
      </c>
      <c r="S15" s="394">
        <f t="shared" ref="S15:S28" si="8">R15*Q15</f>
        <v>4126.75</v>
      </c>
      <c r="T15" s="138"/>
      <c r="U15" s="395">
        <f t="shared" ref="U15:U31" si="9">S15-L15</f>
        <v>0</v>
      </c>
      <c r="V15" s="396">
        <f t="shared" ref="V15:V31" si="10">IF((L15)=0,"",(U15/L15))</f>
        <v>0</v>
      </c>
      <c r="W15" s="53"/>
      <c r="X15" s="391">
        <f>IFERROR(VLOOKUP($C15,'Proposed Rates'!$B:$J,X$11,FALSE),0)</f>
        <v>4126.75</v>
      </c>
      <c r="Y15" s="409">
        <f t="shared" ref="Y15:Y28" si="11">IF($D15="Monthly",1,IF($D15="per KW",$F$10,IF($D15="per kWh",$F$9,0)))</f>
        <v>1</v>
      </c>
      <c r="Z15" s="394">
        <f t="shared" ref="Z15:Z28" si="12">Y15*X15</f>
        <v>4126.75</v>
      </c>
      <c r="AA15" s="138"/>
      <c r="AB15" s="395">
        <f t="shared" ref="AB15:AB46" si="13">Z15-S15</f>
        <v>0</v>
      </c>
      <c r="AC15" s="396">
        <f t="shared" ref="AC15:AC46" si="14">IF((S15)=0,"",(AB15/S15))</f>
        <v>0</v>
      </c>
      <c r="AD15" s="53"/>
      <c r="AE15" s="391">
        <f>IFERROR(VLOOKUP($C15,'Proposed Rates'!$B:$J,AE$11,FALSE),0)</f>
        <v>4126.75</v>
      </c>
      <c r="AF15" s="409">
        <f t="shared" ref="AF15:AF28" si="15">IF($D15="Monthly",1,IF($D15="per KW",$F$10,IF($D15="per kWh",$F$9,0)))</f>
        <v>1</v>
      </c>
      <c r="AG15" s="394">
        <f t="shared" ref="AG15:AG28" si="16">AF15*AE15</f>
        <v>4126.75</v>
      </c>
      <c r="AH15" s="138"/>
      <c r="AI15" s="395">
        <f t="shared" ref="AI15:AI46" si="17">AG15-Z15</f>
        <v>0</v>
      </c>
      <c r="AJ15" s="396">
        <f t="shared" ref="AJ15:AJ46" si="18">IF((Z15)=0,"",(AI15/Z15))</f>
        <v>0</v>
      </c>
      <c r="AK15" s="53"/>
      <c r="AL15" s="391">
        <f>IFERROR(VLOOKUP($C15,'Proposed Rates'!$B:$J,AL$11,FALSE),0)</f>
        <v>4126.75</v>
      </c>
      <c r="AM15" s="409">
        <f t="shared" ref="AM15:AM28" si="19">IF($D15="Monthly",1,IF($D15="per KW",$F$10,IF($D15="per kWh",$F$9,0)))</f>
        <v>1</v>
      </c>
      <c r="AN15" s="394">
        <f t="shared" ref="AN15:AN28" si="20">AM15*AL15</f>
        <v>4126.75</v>
      </c>
      <c r="AO15" s="138"/>
      <c r="AP15" s="395">
        <f t="shared" ref="AP15:AP46" si="21">AN15-AG15</f>
        <v>0</v>
      </c>
      <c r="AQ15" s="396">
        <f t="shared" ref="AQ15:AQ46" si="22">IF((AG15)=0,"",(AP15/AG15))</f>
        <v>0</v>
      </c>
      <c r="AR15" s="397"/>
      <c r="AS15" s="3"/>
      <c r="AT15" s="3"/>
      <c r="AU15" s="3"/>
      <c r="AV15" s="3"/>
    </row>
    <row r="16" spans="1:48" ht="12.75" customHeight="1">
      <c r="A16" s="53"/>
      <c r="B16" s="328" t="s">
        <v>336</v>
      </c>
      <c r="C16" s="389" t="str">
        <f t="shared" si="0"/>
        <v>General Service 1,500 to 4,999 KW.Smart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c r="AS16" s="3"/>
      <c r="AT16" s="3"/>
      <c r="AU16" s="3"/>
      <c r="AV16" s="3"/>
    </row>
    <row r="17" spans="1:48" ht="12.75" customHeight="1">
      <c r="A17" s="53"/>
      <c r="B17" s="398" t="str">
        <f>'Proposed Rates'!C115</f>
        <v>Rate Rider Calculation for Forgone Revenue - variable</v>
      </c>
      <c r="C17" s="389" t="str">
        <f t="shared" si="0"/>
        <v>General Service 1,500 to 4,999 KW.Rate Rider Calculation for Forgone Revenue - variable</v>
      </c>
      <c r="D17" s="390" t="s">
        <v>406</v>
      </c>
      <c r="E17" s="328"/>
      <c r="F17" s="391">
        <f>IFERROR(VLOOKUP($C17,'Proposed Rates'!$B:$J,F$11,FALSE),0)</f>
        <v>0</v>
      </c>
      <c r="G17" s="409">
        <f t="shared" si="1"/>
        <v>1925</v>
      </c>
      <c r="H17" s="394">
        <f t="shared" si="2"/>
        <v>0</v>
      </c>
      <c r="I17" s="138"/>
      <c r="J17" s="391">
        <f>IFERROR(VLOOKUP($C17,'Proposed Rates'!$B:$J,J$11,FALSE),0)</f>
        <v>0.48420000000000002</v>
      </c>
      <c r="K17" s="409">
        <f t="shared" si="3"/>
        <v>1925</v>
      </c>
      <c r="L17" s="394">
        <f t="shared" si="4"/>
        <v>932.08500000000004</v>
      </c>
      <c r="M17" s="138"/>
      <c r="N17" s="395">
        <f t="shared" si="5"/>
        <v>932.08500000000004</v>
      </c>
      <c r="O17" s="396" t="str">
        <f t="shared" si="6"/>
        <v/>
      </c>
      <c r="P17" s="53"/>
      <c r="Q17" s="391">
        <f>IFERROR(VLOOKUP($C17,'Proposed Rates'!$B:$J,Q$11,FALSE),0)</f>
        <v>0.48420000000000002</v>
      </c>
      <c r="R17" s="409">
        <f t="shared" si="7"/>
        <v>1925</v>
      </c>
      <c r="S17" s="394">
        <f t="shared" si="8"/>
        <v>932.08500000000004</v>
      </c>
      <c r="T17" s="138"/>
      <c r="U17" s="395">
        <f t="shared" si="9"/>
        <v>0</v>
      </c>
      <c r="V17" s="396">
        <f t="shared" si="10"/>
        <v>0</v>
      </c>
      <c r="W17" s="53"/>
      <c r="X17" s="391">
        <f>IFERROR(VLOOKUP($C17,'Proposed Rates'!$B:$J,X$11,FALSE),0)</f>
        <v>0</v>
      </c>
      <c r="Y17" s="409">
        <f t="shared" si="11"/>
        <v>1925</v>
      </c>
      <c r="Z17" s="394">
        <f t="shared" si="12"/>
        <v>0</v>
      </c>
      <c r="AA17" s="138"/>
      <c r="AB17" s="395">
        <f t="shared" si="13"/>
        <v>-932.08500000000004</v>
      </c>
      <c r="AC17" s="396">
        <f t="shared" si="14"/>
        <v>-1</v>
      </c>
      <c r="AD17" s="53"/>
      <c r="AE17" s="391">
        <f>IFERROR(VLOOKUP($C17,'Proposed Rates'!$B:$J,AE$11,FALSE),0)</f>
        <v>0</v>
      </c>
      <c r="AF17" s="409">
        <f t="shared" si="15"/>
        <v>1925</v>
      </c>
      <c r="AG17" s="394">
        <f t="shared" si="16"/>
        <v>0</v>
      </c>
      <c r="AH17" s="138"/>
      <c r="AI17" s="395">
        <f t="shared" si="17"/>
        <v>0</v>
      </c>
      <c r="AJ17" s="396" t="str">
        <f t="shared" si="18"/>
        <v/>
      </c>
      <c r="AK17" s="53"/>
      <c r="AL17" s="391">
        <f>IFERROR(VLOOKUP($C17,'Proposed Rates'!$B:$J,AL$11,FALSE),0)</f>
        <v>0</v>
      </c>
      <c r="AM17" s="409">
        <f t="shared" si="19"/>
        <v>1925</v>
      </c>
      <c r="AN17" s="394">
        <f t="shared" si="20"/>
        <v>0</v>
      </c>
      <c r="AO17" s="138"/>
      <c r="AP17" s="395">
        <f t="shared" si="21"/>
        <v>0</v>
      </c>
      <c r="AQ17" s="396" t="str">
        <f t="shared" si="22"/>
        <v/>
      </c>
      <c r="AR17" s="397"/>
      <c r="AS17" s="3"/>
      <c r="AT17" s="3"/>
      <c r="AU17" s="3"/>
      <c r="AV17" s="3"/>
    </row>
    <row r="18" spans="1:48" ht="12.75" customHeight="1">
      <c r="A18" s="53"/>
      <c r="B18" s="398" t="str">
        <f>'Proposed Rates'!C128</f>
        <v>Rate Rider Calculation for Forgone Revenue - fixed</v>
      </c>
      <c r="C18" s="389" t="str">
        <f t="shared" si="0"/>
        <v>General Service 1,500 to 4,999 KW.Rate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-12</v>
      </c>
      <c r="K18" s="409">
        <f t="shared" si="3"/>
        <v>1</v>
      </c>
      <c r="L18" s="394">
        <f t="shared" si="4"/>
        <v>-12</v>
      </c>
      <c r="M18" s="138"/>
      <c r="N18" s="395">
        <f t="shared" si="5"/>
        <v>-12</v>
      </c>
      <c r="O18" s="396" t="str">
        <f t="shared" si="6"/>
        <v/>
      </c>
      <c r="P18" s="53"/>
      <c r="Q18" s="391">
        <f>IFERROR(VLOOKUP($C18,'Proposed Rates'!$B:$J,Q$11,FALSE),0)</f>
        <v>-12</v>
      </c>
      <c r="R18" s="409">
        <f t="shared" si="7"/>
        <v>1</v>
      </c>
      <c r="S18" s="394">
        <f t="shared" si="8"/>
        <v>-12</v>
      </c>
      <c r="T18" s="138"/>
      <c r="U18" s="395">
        <f t="shared" si="9"/>
        <v>0</v>
      </c>
      <c r="V18" s="396">
        <f t="shared" si="10"/>
        <v>0</v>
      </c>
      <c r="W18" s="53"/>
      <c r="X18" s="391">
        <f>IFERROR(VLOOKUP($C18,'Proposed Rates'!$B:$J,X$11,FALSE),0)</f>
        <v>0</v>
      </c>
      <c r="Y18" s="409">
        <f t="shared" si="11"/>
        <v>1</v>
      </c>
      <c r="Z18" s="394">
        <f t="shared" si="12"/>
        <v>0</v>
      </c>
      <c r="AA18" s="138"/>
      <c r="AB18" s="395">
        <f t="shared" si="13"/>
        <v>12</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c r="AS18" s="3"/>
      <c r="AT18" s="3"/>
      <c r="AU18" s="3"/>
      <c r="AV18" s="3"/>
    </row>
    <row r="19" spans="1:48" ht="12.75" customHeight="1">
      <c r="A19" s="53"/>
      <c r="B19" s="328" t="s">
        <v>62</v>
      </c>
      <c r="C19" s="389" t="str">
        <f t="shared" si="0"/>
        <v>General Service 1,500 to 4,999 KW.Distribution Volumetric Rate</v>
      </c>
      <c r="D19" s="390" t="s">
        <v>406</v>
      </c>
      <c r="E19" s="328"/>
      <c r="F19" s="391">
        <f>IFERROR(VLOOKUP($C19,'Proposed Rates'!$B:$J,F$11,FALSE),0)</f>
        <v>6.0796000000000001</v>
      </c>
      <c r="G19" s="409">
        <f t="shared" si="1"/>
        <v>1925</v>
      </c>
      <c r="H19" s="394">
        <f t="shared" si="2"/>
        <v>11703.23</v>
      </c>
      <c r="I19" s="138"/>
      <c r="J19" s="391">
        <f>IFERROR(VLOOKUP($C19,'Proposed Rates'!$B:$J,J$11,FALSE),0)</f>
        <v>7.2919999999999998</v>
      </c>
      <c r="K19" s="409">
        <f t="shared" si="3"/>
        <v>1925</v>
      </c>
      <c r="L19" s="394">
        <f t="shared" si="4"/>
        <v>14037.1</v>
      </c>
      <c r="M19" s="138"/>
      <c r="N19" s="395">
        <f t="shared" si="5"/>
        <v>2333.8700000000008</v>
      </c>
      <c r="O19" s="396">
        <f t="shared" si="6"/>
        <v>0.19942101454043037</v>
      </c>
      <c r="P19" s="53"/>
      <c r="Q19" s="391">
        <f>IFERROR(VLOOKUP($C19,'Proposed Rates'!$B:$J,Q$11,FALSE),0)</f>
        <v>7.7595000000000001</v>
      </c>
      <c r="R19" s="409">
        <f t="shared" si="7"/>
        <v>1925</v>
      </c>
      <c r="S19" s="394">
        <f t="shared" si="8"/>
        <v>14937.0375</v>
      </c>
      <c r="T19" s="138"/>
      <c r="U19" s="395">
        <f t="shared" si="9"/>
        <v>899.9375</v>
      </c>
      <c r="V19" s="396">
        <f t="shared" si="10"/>
        <v>6.4111354909489854E-2</v>
      </c>
      <c r="W19" s="53"/>
      <c r="X19" s="391">
        <f>IFERROR(VLOOKUP($C19,'Proposed Rates'!$B:$J,X$11,FALSE),0)</f>
        <v>8.4582999999999995</v>
      </c>
      <c r="Y19" s="409">
        <f t="shared" si="11"/>
        <v>1925</v>
      </c>
      <c r="Z19" s="394">
        <f t="shared" si="12"/>
        <v>16282.227499999999</v>
      </c>
      <c r="AA19" s="138"/>
      <c r="AB19" s="395">
        <f t="shared" si="13"/>
        <v>1345.1899999999987</v>
      </c>
      <c r="AC19" s="396">
        <f t="shared" si="14"/>
        <v>9.0057349055995786E-2</v>
      </c>
      <c r="AD19" s="53"/>
      <c r="AE19" s="391">
        <f>IFERROR(VLOOKUP($C19,'Proposed Rates'!$B:$J,AE$11,FALSE),0)</f>
        <v>8.8265999999999991</v>
      </c>
      <c r="AF19" s="409">
        <f t="shared" si="15"/>
        <v>1925</v>
      </c>
      <c r="AG19" s="394">
        <f t="shared" si="16"/>
        <v>16991.204999999998</v>
      </c>
      <c r="AH19" s="138"/>
      <c r="AI19" s="395">
        <f t="shared" si="17"/>
        <v>708.97749999999905</v>
      </c>
      <c r="AJ19" s="396">
        <f t="shared" si="18"/>
        <v>4.3543028740999912E-2</v>
      </c>
      <c r="AK19" s="53"/>
      <c r="AL19" s="391">
        <f>IFERROR(VLOOKUP($C19,'Proposed Rates'!$B:$J,AL$11,FALSE),0)</f>
        <v>9.1635000000000009</v>
      </c>
      <c r="AM19" s="409">
        <f t="shared" si="19"/>
        <v>1925</v>
      </c>
      <c r="AN19" s="394">
        <f t="shared" si="20"/>
        <v>17639.737500000003</v>
      </c>
      <c r="AO19" s="138"/>
      <c r="AP19" s="395">
        <f t="shared" si="21"/>
        <v>648.5325000000048</v>
      </c>
      <c r="AQ19" s="396">
        <f t="shared" si="22"/>
        <v>3.8168717286384622E-2</v>
      </c>
      <c r="AR19" s="397"/>
      <c r="AS19" s="3"/>
      <c r="AT19" s="3"/>
      <c r="AU19" s="3"/>
      <c r="AV19" s="3"/>
    </row>
    <row r="20" spans="1:48" ht="12.75" customHeight="1">
      <c r="A20" s="53"/>
      <c r="B20" s="328" t="s">
        <v>338</v>
      </c>
      <c r="C20" s="389" t="str">
        <f t="shared" si="0"/>
        <v>General Service 1,500 to 4,999 KW.Smart Meter Disposition Rider</v>
      </c>
      <c r="D20" s="390" t="s">
        <v>337</v>
      </c>
      <c r="E20" s="328"/>
      <c r="F20" s="391">
        <f>IFERROR(VLOOKUP($C20,'Proposed Rates'!$B:$J,F$11,FALSE),0)</f>
        <v>0</v>
      </c>
      <c r="G20" s="409">
        <f t="shared" si="1"/>
        <v>891400</v>
      </c>
      <c r="H20" s="394">
        <f t="shared" si="2"/>
        <v>0</v>
      </c>
      <c r="I20" s="138"/>
      <c r="J20" s="391">
        <f>IFERROR(VLOOKUP($C20,'Proposed Rates'!$B:$J,J$11,FALSE),0)</f>
        <v>0</v>
      </c>
      <c r="K20" s="409">
        <f t="shared" si="3"/>
        <v>891400</v>
      </c>
      <c r="L20" s="394">
        <f t="shared" si="4"/>
        <v>0</v>
      </c>
      <c r="M20" s="138"/>
      <c r="N20" s="395">
        <f t="shared" si="5"/>
        <v>0</v>
      </c>
      <c r="O20" s="396" t="str">
        <f t="shared" si="6"/>
        <v/>
      </c>
      <c r="P20" s="53"/>
      <c r="Q20" s="391">
        <f>IFERROR(VLOOKUP($C20,'Proposed Rates'!$B:$J,Q$11,FALSE),0)</f>
        <v>0</v>
      </c>
      <c r="R20" s="409">
        <f t="shared" si="7"/>
        <v>891400</v>
      </c>
      <c r="S20" s="394">
        <f t="shared" si="8"/>
        <v>0</v>
      </c>
      <c r="T20" s="138"/>
      <c r="U20" s="395">
        <f t="shared" si="9"/>
        <v>0</v>
      </c>
      <c r="V20" s="396" t="str">
        <f t="shared" si="10"/>
        <v/>
      </c>
      <c r="W20" s="53"/>
      <c r="X20" s="391">
        <f>IFERROR(VLOOKUP($C20,'Proposed Rates'!$B:$J,X$11,FALSE),0)</f>
        <v>0</v>
      </c>
      <c r="Y20" s="409">
        <f t="shared" si="11"/>
        <v>891400</v>
      </c>
      <c r="Z20" s="394">
        <f t="shared" si="12"/>
        <v>0</v>
      </c>
      <c r="AA20" s="138"/>
      <c r="AB20" s="395">
        <f t="shared" si="13"/>
        <v>0</v>
      </c>
      <c r="AC20" s="396" t="str">
        <f t="shared" si="14"/>
        <v/>
      </c>
      <c r="AD20" s="53"/>
      <c r="AE20" s="391">
        <f>IFERROR(VLOOKUP($C20,'Proposed Rates'!$B:$J,AE$11,FALSE),0)</f>
        <v>0</v>
      </c>
      <c r="AF20" s="409">
        <f t="shared" si="15"/>
        <v>891400</v>
      </c>
      <c r="AG20" s="394">
        <f t="shared" si="16"/>
        <v>0</v>
      </c>
      <c r="AH20" s="138"/>
      <c r="AI20" s="395">
        <f t="shared" si="17"/>
        <v>0</v>
      </c>
      <c r="AJ20" s="396" t="str">
        <f t="shared" si="18"/>
        <v/>
      </c>
      <c r="AK20" s="53"/>
      <c r="AL20" s="391">
        <f>IFERROR(VLOOKUP($C20,'Proposed Rates'!$B:$J,AL$11,FALSE),0)</f>
        <v>0</v>
      </c>
      <c r="AM20" s="409">
        <f t="shared" si="19"/>
        <v>891400</v>
      </c>
      <c r="AN20" s="394">
        <f t="shared" si="20"/>
        <v>0</v>
      </c>
      <c r="AO20" s="138"/>
      <c r="AP20" s="395">
        <f t="shared" si="21"/>
        <v>0</v>
      </c>
      <c r="AQ20" s="396" t="str">
        <f t="shared" si="22"/>
        <v/>
      </c>
      <c r="AR20" s="397"/>
      <c r="AS20" s="3"/>
      <c r="AT20" s="3"/>
      <c r="AU20" s="3"/>
      <c r="AV20" s="3"/>
    </row>
    <row r="21" spans="1:48" ht="12.75" customHeight="1">
      <c r="A21" s="53"/>
      <c r="B21" s="328" t="s">
        <v>269</v>
      </c>
      <c r="C21" s="389" t="str">
        <f t="shared" si="0"/>
        <v>General Service 1,500 to 4,999 KW.LRAM Rate Rider</v>
      </c>
      <c r="D21" s="390" t="s">
        <v>406</v>
      </c>
      <c r="E21" s="328"/>
      <c r="F21" s="408">
        <f>'Proposed Rates'!E80+'Proposed Rates'!E93</f>
        <v>0.2021</v>
      </c>
      <c r="G21" s="409">
        <f t="shared" si="1"/>
        <v>1925</v>
      </c>
      <c r="H21" s="394">
        <f t="shared" si="2"/>
        <v>389.04250000000002</v>
      </c>
      <c r="I21" s="138"/>
      <c r="J21" s="408">
        <f>'Proposed Rates'!F80+'Proposed Rates'!F93</f>
        <v>-0.63370000000000004</v>
      </c>
      <c r="K21" s="409">
        <f t="shared" si="3"/>
        <v>1925</v>
      </c>
      <c r="L21" s="394">
        <f t="shared" si="4"/>
        <v>-1219.8725000000002</v>
      </c>
      <c r="M21" s="138"/>
      <c r="N21" s="395">
        <f t="shared" si="5"/>
        <v>-1608.9150000000002</v>
      </c>
      <c r="O21" s="396">
        <f t="shared" si="6"/>
        <v>-4.1355764473033156</v>
      </c>
      <c r="P21" s="53"/>
      <c r="Q21" s="408">
        <f>'Proposed Rates'!G80+'Proposed Rates'!G93</f>
        <v>0</v>
      </c>
      <c r="R21" s="409">
        <f t="shared" si="7"/>
        <v>1925</v>
      </c>
      <c r="S21" s="394">
        <f t="shared" si="8"/>
        <v>0</v>
      </c>
      <c r="T21" s="138"/>
      <c r="U21" s="395">
        <f t="shared" si="9"/>
        <v>1219.8725000000002</v>
      </c>
      <c r="V21" s="396">
        <f t="shared" si="10"/>
        <v>-1</v>
      </c>
      <c r="W21" s="53"/>
      <c r="X21" s="391">
        <f>IFERROR(VLOOKUP($C21,'Proposed Rates'!$B:$J,X$11,FALSE),0)</f>
        <v>0</v>
      </c>
      <c r="Y21" s="409">
        <f t="shared" si="11"/>
        <v>1925</v>
      </c>
      <c r="Z21" s="394">
        <f t="shared" si="12"/>
        <v>0</v>
      </c>
      <c r="AA21" s="138"/>
      <c r="AB21" s="395">
        <f t="shared" si="13"/>
        <v>0</v>
      </c>
      <c r="AC21" s="396" t="str">
        <f t="shared" si="14"/>
        <v/>
      </c>
      <c r="AD21" s="53"/>
      <c r="AE21" s="391">
        <f>IFERROR(VLOOKUP($C21,'Proposed Rates'!$B:$J,AE$11,FALSE),0)</f>
        <v>0</v>
      </c>
      <c r="AF21" s="409">
        <f t="shared" si="15"/>
        <v>1925</v>
      </c>
      <c r="AG21" s="394">
        <f t="shared" si="16"/>
        <v>0</v>
      </c>
      <c r="AH21" s="138"/>
      <c r="AI21" s="395">
        <f t="shared" si="17"/>
        <v>0</v>
      </c>
      <c r="AJ21" s="396" t="str">
        <f t="shared" si="18"/>
        <v/>
      </c>
      <c r="AK21" s="53"/>
      <c r="AL21" s="391">
        <f>IFERROR(VLOOKUP($C21,'Proposed Rates'!$B:$J,AL$11,FALSE),0)</f>
        <v>0</v>
      </c>
      <c r="AM21" s="409">
        <f t="shared" si="19"/>
        <v>1925</v>
      </c>
      <c r="AN21" s="394">
        <f t="shared" si="20"/>
        <v>0</v>
      </c>
      <c r="AO21" s="138"/>
      <c r="AP21" s="395">
        <f t="shared" si="21"/>
        <v>0</v>
      </c>
      <c r="AQ21" s="396" t="str">
        <f t="shared" si="22"/>
        <v/>
      </c>
      <c r="AR21" s="397"/>
      <c r="AS21" s="3"/>
      <c r="AT21" s="3"/>
      <c r="AU21" s="3"/>
      <c r="AV21" s="3"/>
    </row>
    <row r="22" spans="1:48" ht="12.75" customHeight="1">
      <c r="A22" s="53"/>
      <c r="B22" s="478" t="s">
        <v>265</v>
      </c>
      <c r="C22" s="389" t="str">
        <f t="shared" si="0"/>
        <v>General Service 1,500 to 4,999 KW.Deferral/Variance Account Disposition Rate Rider Group 2</v>
      </c>
      <c r="D22" s="390" t="s">
        <v>406</v>
      </c>
      <c r="E22" s="328"/>
      <c r="F22" s="391">
        <f>IFERROR(VLOOKUP($C22,'Proposed Rates'!$B:$J,F$11,FALSE),0)</f>
        <v>0</v>
      </c>
      <c r="G22" s="409">
        <f t="shared" si="1"/>
        <v>1925</v>
      </c>
      <c r="H22" s="394">
        <f t="shared" si="2"/>
        <v>0</v>
      </c>
      <c r="I22" s="138"/>
      <c r="J22" s="391">
        <f>IFERROR(VLOOKUP($C22,'Proposed Rates'!$B:$J,J$11,FALSE),0)</f>
        <v>-0.28470000000000001</v>
      </c>
      <c r="K22" s="409">
        <f t="shared" si="3"/>
        <v>1925</v>
      </c>
      <c r="L22" s="394">
        <f t="shared" si="4"/>
        <v>-548.04750000000001</v>
      </c>
      <c r="M22" s="138"/>
      <c r="N22" s="395">
        <f t="shared" si="5"/>
        <v>-548.04750000000001</v>
      </c>
      <c r="O22" s="396" t="str">
        <f t="shared" si="6"/>
        <v/>
      </c>
      <c r="P22" s="53"/>
      <c r="Q22" s="391">
        <f>IFERROR(VLOOKUP($C22,'Proposed Rates'!$B:$J,Q$11,FALSE),0)</f>
        <v>0</v>
      </c>
      <c r="R22" s="409">
        <f t="shared" si="7"/>
        <v>1925</v>
      </c>
      <c r="S22" s="394">
        <f t="shared" si="8"/>
        <v>0</v>
      </c>
      <c r="T22" s="138"/>
      <c r="U22" s="395">
        <f t="shared" si="9"/>
        <v>548.04750000000001</v>
      </c>
      <c r="V22" s="396">
        <f t="shared" si="10"/>
        <v>-1</v>
      </c>
      <c r="W22" s="53"/>
      <c r="X22" s="391">
        <f>IFERROR(VLOOKUP($C22,'Proposed Rates'!$B:$J,X$11,FALSE),0)</f>
        <v>0</v>
      </c>
      <c r="Y22" s="409">
        <f t="shared" si="11"/>
        <v>1925</v>
      </c>
      <c r="Z22" s="394">
        <f t="shared" si="12"/>
        <v>0</v>
      </c>
      <c r="AA22" s="138"/>
      <c r="AB22" s="395">
        <f t="shared" si="13"/>
        <v>0</v>
      </c>
      <c r="AC22" s="396" t="str">
        <f t="shared" si="14"/>
        <v/>
      </c>
      <c r="AD22" s="53"/>
      <c r="AE22" s="391">
        <f>IFERROR(VLOOKUP($C22,'Proposed Rates'!$B:$J,AE$11,FALSE),0)</f>
        <v>0</v>
      </c>
      <c r="AF22" s="409">
        <f t="shared" si="15"/>
        <v>1925</v>
      </c>
      <c r="AG22" s="394">
        <f t="shared" si="16"/>
        <v>0</v>
      </c>
      <c r="AH22" s="138"/>
      <c r="AI22" s="395">
        <f t="shared" si="17"/>
        <v>0</v>
      </c>
      <c r="AJ22" s="396" t="str">
        <f t="shared" si="18"/>
        <v/>
      </c>
      <c r="AK22" s="53"/>
      <c r="AL22" s="391">
        <f>IFERROR(VLOOKUP($C22,'Proposed Rates'!$B:$J,AL$11,FALSE),0)</f>
        <v>0</v>
      </c>
      <c r="AM22" s="409">
        <f t="shared" si="19"/>
        <v>1925</v>
      </c>
      <c r="AN22" s="394">
        <f t="shared" si="20"/>
        <v>0</v>
      </c>
      <c r="AO22" s="138"/>
      <c r="AP22" s="395">
        <f t="shared" si="21"/>
        <v>0</v>
      </c>
      <c r="AQ22" s="396" t="str">
        <f t="shared" si="22"/>
        <v/>
      </c>
      <c r="AR22" s="397"/>
      <c r="AS22" s="3"/>
      <c r="AT22" s="3"/>
      <c r="AU22" s="3"/>
      <c r="AV22" s="3"/>
    </row>
    <row r="23" spans="1:48" ht="12.75" customHeight="1">
      <c r="A23" s="53"/>
      <c r="B23" s="398"/>
      <c r="C23" s="389" t="str">
        <f t="shared" si="0"/>
        <v>General Service 1,500 to 4,999 KW.</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c r="AS23" s="3"/>
      <c r="AT23" s="3"/>
      <c r="AU23" s="3"/>
      <c r="AV23" s="3"/>
    </row>
    <row r="24" spans="1:48" ht="12.75" customHeight="1">
      <c r="A24" s="53"/>
      <c r="B24" s="398"/>
      <c r="C24" s="389" t="str">
        <f t="shared" si="0"/>
        <v>General Service 1,500 to 4,999 KW.</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c r="AS24" s="3"/>
      <c r="AT24" s="3"/>
      <c r="AU24" s="3"/>
      <c r="AV24" s="3"/>
    </row>
    <row r="25" spans="1:48" ht="12.75" customHeight="1">
      <c r="A25" s="53"/>
      <c r="B25" s="398"/>
      <c r="C25" s="389" t="str">
        <f t="shared" si="0"/>
        <v>General Service 1,500 to 4,999 KW.</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c r="AS25" s="3"/>
      <c r="AT25" s="3"/>
      <c r="AU25" s="3"/>
      <c r="AV25" s="3"/>
    </row>
    <row r="26" spans="1:48" ht="12.75" customHeight="1">
      <c r="A26" s="53"/>
      <c r="B26" s="478"/>
      <c r="C26" s="389" t="str">
        <f t="shared" si="0"/>
        <v>General Service 1,500 to 4,999 KW.</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c r="AS26" s="3"/>
      <c r="AT26" s="3"/>
      <c r="AU26" s="3"/>
      <c r="AV26" s="3"/>
    </row>
    <row r="27" spans="1:48" ht="12.75" customHeight="1">
      <c r="A27" s="53"/>
      <c r="B27" s="398"/>
      <c r="C27" s="389" t="str">
        <f t="shared" si="0"/>
        <v>General Service 1,500 to 4,999 KW.</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c r="AS27" s="3"/>
      <c r="AT27" s="3"/>
      <c r="AU27" s="3"/>
      <c r="AV27" s="3"/>
    </row>
    <row r="28" spans="1:48" ht="12.75" customHeight="1">
      <c r="A28" s="53"/>
      <c r="B28" s="398"/>
      <c r="C28" s="389" t="str">
        <f t="shared" si="0"/>
        <v>General Service 1,500 to 4,999 KW.</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c r="AS28" s="3"/>
      <c r="AT28" s="3"/>
      <c r="AU28" s="3"/>
      <c r="AV28" s="3"/>
    </row>
    <row r="29" spans="1:48" ht="12.75" customHeight="1">
      <c r="A29" s="314"/>
      <c r="B29" s="399" t="s">
        <v>339</v>
      </c>
      <c r="C29" s="551"/>
      <c r="D29" s="400"/>
      <c r="E29" s="400"/>
      <c r="F29" s="401"/>
      <c r="G29" s="494"/>
      <c r="H29" s="403">
        <f>SUM(H15:H28)</f>
        <v>16219.022499999999</v>
      </c>
      <c r="I29" s="404"/>
      <c r="J29" s="401"/>
      <c r="K29" s="494"/>
      <c r="L29" s="403">
        <f>SUM(L15:L28)</f>
        <v>17316.014999999999</v>
      </c>
      <c r="M29" s="404"/>
      <c r="N29" s="405">
        <f t="shared" si="5"/>
        <v>1096.9925000000003</v>
      </c>
      <c r="O29" s="406">
        <f t="shared" si="6"/>
        <v>6.7636166112970145E-2</v>
      </c>
      <c r="P29" s="314"/>
      <c r="Q29" s="401"/>
      <c r="R29" s="494"/>
      <c r="S29" s="403">
        <f>SUM(S15:S28)</f>
        <v>19983.872500000001</v>
      </c>
      <c r="T29" s="404"/>
      <c r="U29" s="405">
        <f t="shared" si="9"/>
        <v>2667.8575000000019</v>
      </c>
      <c r="V29" s="406">
        <f t="shared" si="10"/>
        <v>0.15406879123170095</v>
      </c>
      <c r="W29" s="314"/>
      <c r="X29" s="401"/>
      <c r="Y29" s="494"/>
      <c r="Z29" s="403">
        <f>SUM(Z15:Z28)</f>
        <v>20408.977500000001</v>
      </c>
      <c r="AA29" s="404"/>
      <c r="AB29" s="405">
        <f t="shared" si="13"/>
        <v>425.10499999999956</v>
      </c>
      <c r="AC29" s="406">
        <f t="shared" si="14"/>
        <v>2.127240353440003E-2</v>
      </c>
      <c r="AD29" s="314"/>
      <c r="AE29" s="401"/>
      <c r="AF29" s="494"/>
      <c r="AG29" s="403">
        <f>SUM(AG15:AG28)</f>
        <v>21117.954999999998</v>
      </c>
      <c r="AH29" s="404"/>
      <c r="AI29" s="405">
        <f t="shared" si="17"/>
        <v>708.97749999999724</v>
      </c>
      <c r="AJ29" s="406">
        <f t="shared" si="18"/>
        <v>3.4738511520236486E-2</v>
      </c>
      <c r="AK29" s="314"/>
      <c r="AL29" s="401"/>
      <c r="AM29" s="494"/>
      <c r="AN29" s="403">
        <f>SUM(AN15:AN28)</f>
        <v>21766.487500000003</v>
      </c>
      <c r="AO29" s="404"/>
      <c r="AP29" s="405">
        <f t="shared" si="21"/>
        <v>648.5325000000048</v>
      </c>
      <c r="AQ29" s="406">
        <f t="shared" si="22"/>
        <v>3.0710004827645711E-2</v>
      </c>
      <c r="AR29" s="407"/>
      <c r="AS29" s="3"/>
      <c r="AT29" s="3"/>
      <c r="AU29" s="3"/>
      <c r="AV29" s="3"/>
    </row>
    <row r="30" spans="1:48" ht="12.75" customHeight="1">
      <c r="A30" s="53"/>
      <c r="B30" s="398" t="s">
        <v>262</v>
      </c>
      <c r="C30" s="389" t="str">
        <f t="shared" ref="C30:C38" si="23">D$6&amp;"."&amp;B30</f>
        <v>General Service 1,500 to 4,999 KW.DVA Disposition Rate Rider Group 1 -2025</v>
      </c>
      <c r="D30" s="390" t="s">
        <v>406</v>
      </c>
      <c r="E30" s="328"/>
      <c r="F30" s="408">
        <f>IFERROR(VLOOKUP($C30,'Proposed Rates'!$B:$J,F$11,FALSE),0)</f>
        <v>5.3600000000000002E-2</v>
      </c>
      <c r="G30" s="409">
        <f t="shared" ref="G30:G36" si="24">IF($D30="Monthly",1,IF($D30="per KW",$F$10,IF($D30="per kWh",$F$9,0)))</f>
        <v>1925</v>
      </c>
      <c r="H30" s="394">
        <f t="shared" ref="H30:H38" si="25">G30*F30</f>
        <v>103.18</v>
      </c>
      <c r="I30" s="138"/>
      <c r="J30" s="408">
        <f>IFERROR(VLOOKUP($C30,'Proposed Rates'!$B:$J,J$11,FALSE),0)</f>
        <v>-0.373</v>
      </c>
      <c r="K30" s="409">
        <f t="shared" ref="K30:K36" si="26">IF($D30="Monthly",1,IF($D30="per KW",$F$10,IF($D30="per kWh",$F$9,0)))</f>
        <v>1925</v>
      </c>
      <c r="L30" s="394">
        <f t="shared" ref="L30:L38" si="27">K30*J30</f>
        <v>-718.02499999999998</v>
      </c>
      <c r="M30" s="138"/>
      <c r="N30" s="395">
        <f t="shared" si="5"/>
        <v>-821.20499999999993</v>
      </c>
      <c r="O30" s="396">
        <f t="shared" si="6"/>
        <v>-7.9589552238805954</v>
      </c>
      <c r="P30" s="53"/>
      <c r="Q30" s="408">
        <f>IFERROR(VLOOKUP($C30,'Proposed Rates'!$B:$J,Q$11,FALSE),0)</f>
        <v>0</v>
      </c>
      <c r="R30" s="409">
        <f t="shared" ref="R30:R36" si="28">IF($D30="Monthly",1,IF($D30="per KW",$F$10,IF($D30="per kWh",$F$9,0)))</f>
        <v>1925</v>
      </c>
      <c r="S30" s="394">
        <f t="shared" ref="S30:S38" si="29">R30*Q30</f>
        <v>0</v>
      </c>
      <c r="T30" s="138"/>
      <c r="U30" s="395">
        <f t="shared" si="9"/>
        <v>718.02499999999998</v>
      </c>
      <c r="V30" s="396">
        <f t="shared" si="10"/>
        <v>-1</v>
      </c>
      <c r="W30" s="53"/>
      <c r="X30" s="408">
        <f>IFERROR(VLOOKUP($C30,'Proposed Rates'!$B:$J,X$11,FALSE),0)</f>
        <v>0</v>
      </c>
      <c r="Y30" s="409">
        <f t="shared" ref="Y30:Y36" si="30">IF($D30="Monthly",1,IF($D30="per KW",$F$10,IF($D30="per kWh",$F$9,0)))</f>
        <v>1925</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1925</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1925</v>
      </c>
      <c r="AN30" s="394">
        <f t="shared" ref="AN30:AN38" si="35">AM30*AL30</f>
        <v>0</v>
      </c>
      <c r="AO30" s="138"/>
      <c r="AP30" s="395">
        <f t="shared" si="21"/>
        <v>0</v>
      </c>
      <c r="AQ30" s="396" t="str">
        <f t="shared" si="22"/>
        <v/>
      </c>
      <c r="AR30" s="397"/>
      <c r="AS30" s="3"/>
      <c r="AT30" s="3"/>
      <c r="AU30" s="3"/>
      <c r="AV30" s="3"/>
    </row>
    <row r="31" spans="1:48" ht="12.75" customHeight="1">
      <c r="A31" s="53"/>
      <c r="B31" s="478" t="s">
        <v>264</v>
      </c>
      <c r="C31" s="389" t="str">
        <f t="shared" si="23"/>
        <v>General Service 1,500 to 4,999 KW.DVA Disposition Rate Rider Group 1 - 2024</v>
      </c>
      <c r="D31" s="390" t="s">
        <v>406</v>
      </c>
      <c r="E31" s="328"/>
      <c r="F31" s="408">
        <f>IFERROR(VLOOKUP($C31,'Proposed Rates'!$B:$J,F$11,FALSE),0)</f>
        <v>0</v>
      </c>
      <c r="G31" s="409">
        <f t="shared" si="24"/>
        <v>1925</v>
      </c>
      <c r="H31" s="394">
        <f t="shared" si="25"/>
        <v>0</v>
      </c>
      <c r="I31" s="138"/>
      <c r="J31" s="408">
        <f>IFERROR(VLOOKUP($C31,'Proposed Rates'!$B:$J,J$11,FALSE),0)</f>
        <v>0</v>
      </c>
      <c r="K31" s="409">
        <f t="shared" si="26"/>
        <v>1925</v>
      </c>
      <c r="L31" s="394">
        <f t="shared" si="27"/>
        <v>0</v>
      </c>
      <c r="M31" s="138"/>
      <c r="N31" s="395">
        <f t="shared" si="5"/>
        <v>0</v>
      </c>
      <c r="O31" s="396" t="str">
        <f t="shared" si="6"/>
        <v/>
      </c>
      <c r="P31" s="53"/>
      <c r="Q31" s="408">
        <f>IFERROR(VLOOKUP($C31,'Proposed Rates'!$B:$J,Q$11,FALSE),0)</f>
        <v>0</v>
      </c>
      <c r="R31" s="409">
        <f t="shared" si="28"/>
        <v>1925</v>
      </c>
      <c r="S31" s="394">
        <f t="shared" si="29"/>
        <v>0</v>
      </c>
      <c r="T31" s="138"/>
      <c r="U31" s="395">
        <f t="shared" si="9"/>
        <v>0</v>
      </c>
      <c r="V31" s="396" t="str">
        <f t="shared" si="10"/>
        <v/>
      </c>
      <c r="W31" s="53"/>
      <c r="X31" s="408">
        <f>IFERROR(VLOOKUP($C31,'Proposed Rates'!$B:$J,X$11,FALSE),0)</f>
        <v>0</v>
      </c>
      <c r="Y31" s="409">
        <f t="shared" si="30"/>
        <v>1925</v>
      </c>
      <c r="Z31" s="394">
        <f t="shared" si="31"/>
        <v>0</v>
      </c>
      <c r="AA31" s="138"/>
      <c r="AB31" s="395">
        <f t="shared" si="13"/>
        <v>0</v>
      </c>
      <c r="AC31" s="396" t="str">
        <f t="shared" si="14"/>
        <v/>
      </c>
      <c r="AD31" s="53"/>
      <c r="AE31" s="408">
        <f>IFERROR(VLOOKUP($C31,'Proposed Rates'!$B:$J,AE$11,FALSE),0)</f>
        <v>0</v>
      </c>
      <c r="AF31" s="409">
        <f t="shared" si="32"/>
        <v>1925</v>
      </c>
      <c r="AG31" s="394">
        <f t="shared" si="33"/>
        <v>0</v>
      </c>
      <c r="AH31" s="138"/>
      <c r="AI31" s="395">
        <f t="shared" si="17"/>
        <v>0</v>
      </c>
      <c r="AJ31" s="396" t="str">
        <f t="shared" si="18"/>
        <v/>
      </c>
      <c r="AK31" s="53"/>
      <c r="AL31" s="408">
        <f>IFERROR(VLOOKUP($C31,'Proposed Rates'!$B:$J,AL$11,FALSE),0)</f>
        <v>0</v>
      </c>
      <c r="AM31" s="409">
        <f t="shared" si="34"/>
        <v>1925</v>
      </c>
      <c r="AN31" s="394">
        <f t="shared" si="35"/>
        <v>0</v>
      </c>
      <c r="AO31" s="138"/>
      <c r="AP31" s="395">
        <f t="shared" si="21"/>
        <v>0</v>
      </c>
      <c r="AQ31" s="396" t="str">
        <f t="shared" si="22"/>
        <v/>
      </c>
      <c r="AR31" s="397"/>
      <c r="AS31" s="3"/>
      <c r="AT31" s="3"/>
      <c r="AU31" s="3"/>
      <c r="AV31" s="3"/>
    </row>
    <row r="32" spans="1:48" ht="12.75" customHeight="1">
      <c r="A32" s="53"/>
      <c r="B32" s="478" t="s">
        <v>272</v>
      </c>
      <c r="C32" s="389" t="str">
        <f t="shared" si="23"/>
        <v>General Service 1,500 to 4,999 KW.CBR Class B Rate Riders</v>
      </c>
      <c r="D32" s="390" t="s">
        <v>337</v>
      </c>
      <c r="E32" s="328"/>
      <c r="F32" s="408">
        <f>IFERROR(VLOOKUP($C32,'Proposed Rates'!$B:$J,F$11,FALSE),0)</f>
        <v>2.0000000000000001E-4</v>
      </c>
      <c r="G32" s="409">
        <f t="shared" si="24"/>
        <v>891400</v>
      </c>
      <c r="H32" s="394">
        <f t="shared" si="25"/>
        <v>178.28</v>
      </c>
      <c r="I32" s="479"/>
      <c r="J32" s="408">
        <f>IFERROR(VLOOKUP($C32,'Proposed Rates'!$B:$J,J$11,FALSE),0)</f>
        <v>6.9999999999999999E-4</v>
      </c>
      <c r="K32" s="409">
        <f t="shared" si="26"/>
        <v>891400</v>
      </c>
      <c r="L32" s="394">
        <f t="shared" si="27"/>
        <v>623.98</v>
      </c>
      <c r="M32" s="411"/>
      <c r="N32" s="395">
        <f t="shared" si="5"/>
        <v>445.70000000000005</v>
      </c>
      <c r="O32" s="396">
        <f t="shared" si="6"/>
        <v>2.5000000000000004</v>
      </c>
      <c r="P32" s="53"/>
      <c r="Q32" s="408">
        <f>IFERROR(VLOOKUP($C32,'Proposed Rates'!$B:$J,Q$11,FALSE),0)</f>
        <v>0</v>
      </c>
      <c r="R32" s="409">
        <f t="shared" si="28"/>
        <v>891400</v>
      </c>
      <c r="S32" s="394">
        <f t="shared" si="29"/>
        <v>0</v>
      </c>
      <c r="T32" s="411"/>
      <c r="U32" s="395"/>
      <c r="V32" s="396"/>
      <c r="W32" s="53"/>
      <c r="X32" s="408">
        <f>IFERROR(VLOOKUP($C32,'Proposed Rates'!$B:$J,X$11,FALSE),0)</f>
        <v>0</v>
      </c>
      <c r="Y32" s="409">
        <f t="shared" si="30"/>
        <v>891400</v>
      </c>
      <c r="Z32" s="394">
        <f t="shared" si="31"/>
        <v>0</v>
      </c>
      <c r="AA32" s="138"/>
      <c r="AB32" s="395">
        <f t="shared" si="13"/>
        <v>0</v>
      </c>
      <c r="AC32" s="396" t="str">
        <f t="shared" si="14"/>
        <v/>
      </c>
      <c r="AD32" s="53"/>
      <c r="AE32" s="408">
        <f>IFERROR(VLOOKUP($C32,'Proposed Rates'!$B:$J,AE$11,FALSE),0)</f>
        <v>0</v>
      </c>
      <c r="AF32" s="409">
        <f t="shared" si="32"/>
        <v>891400</v>
      </c>
      <c r="AG32" s="394">
        <f t="shared" si="33"/>
        <v>0</v>
      </c>
      <c r="AH32" s="138"/>
      <c r="AI32" s="395">
        <f t="shared" si="17"/>
        <v>0</v>
      </c>
      <c r="AJ32" s="396" t="str">
        <f t="shared" si="18"/>
        <v/>
      </c>
      <c r="AK32" s="53"/>
      <c r="AL32" s="408">
        <f>IFERROR(VLOOKUP($C32,'Proposed Rates'!$B:$J,AL$11,FALSE),0)</f>
        <v>0</v>
      </c>
      <c r="AM32" s="409">
        <f t="shared" si="34"/>
        <v>891400</v>
      </c>
      <c r="AN32" s="394">
        <f t="shared" si="35"/>
        <v>0</v>
      </c>
      <c r="AO32" s="411"/>
      <c r="AP32" s="395">
        <f t="shared" si="21"/>
        <v>0</v>
      </c>
      <c r="AQ32" s="396" t="str">
        <f t="shared" si="22"/>
        <v/>
      </c>
      <c r="AR32" s="397"/>
      <c r="AS32" s="3"/>
      <c r="AT32" s="3"/>
      <c r="AU32" s="3"/>
      <c r="AV32" s="3"/>
    </row>
    <row r="33" spans="1:48" ht="12.75" customHeight="1">
      <c r="A33" s="53"/>
      <c r="B33" s="478" t="s">
        <v>279</v>
      </c>
      <c r="C33" s="389" t="str">
        <f t="shared" si="23"/>
        <v>General Service 1,500 to 4,999 KW.GA Rate Riders</v>
      </c>
      <c r="D33" s="390" t="s">
        <v>337</v>
      </c>
      <c r="E33" s="328"/>
      <c r="F33" s="408">
        <f>IFERROR(VLOOKUP($C33,'Proposed Rates'!$B:$J,F$11,FALSE),0)</f>
        <v>3.8999999999999998E-3</v>
      </c>
      <c r="G33" s="409">
        <f t="shared" si="24"/>
        <v>891400</v>
      </c>
      <c r="H33" s="394">
        <f t="shared" si="25"/>
        <v>3476.46</v>
      </c>
      <c r="I33" s="479"/>
      <c r="J33" s="408">
        <f>IFERROR(VLOOKUP($C33,'Proposed Rates'!$B:$J,J$11,FALSE),0)</f>
        <v>4.4999999999999997E-3</v>
      </c>
      <c r="K33" s="409">
        <f t="shared" si="26"/>
        <v>891400</v>
      </c>
      <c r="L33" s="394">
        <f t="shared" si="27"/>
        <v>4011.2999999999997</v>
      </c>
      <c r="M33" s="411"/>
      <c r="N33" s="395">
        <f t="shared" si="5"/>
        <v>534.83999999999969</v>
      </c>
      <c r="O33" s="396">
        <f t="shared" si="6"/>
        <v>0.15384615384615374</v>
      </c>
      <c r="P33" s="53"/>
      <c r="Q33" s="408">
        <f>IFERROR(VLOOKUP($C33,'Proposed Rates'!$B:$J,Q$11,FALSE),0)</f>
        <v>4.4999999999999997E-3</v>
      </c>
      <c r="R33" s="409">
        <f t="shared" si="28"/>
        <v>891400</v>
      </c>
      <c r="S33" s="394">
        <f t="shared" si="29"/>
        <v>4011.2999999999997</v>
      </c>
      <c r="T33" s="411"/>
      <c r="U33" s="395">
        <f t="shared" ref="U33:U34" si="36">S33-L33</f>
        <v>0</v>
      </c>
      <c r="V33" s="396">
        <f t="shared" ref="V33:V34" si="37">IF((L33)=0,"",(U33/L33))</f>
        <v>0</v>
      </c>
      <c r="W33" s="53"/>
      <c r="X33" s="408">
        <f>IFERROR(VLOOKUP($C33,'Proposed Rates'!$B:$J,X$11,FALSE),0)</f>
        <v>0</v>
      </c>
      <c r="Y33" s="409">
        <f t="shared" si="30"/>
        <v>891400</v>
      </c>
      <c r="Z33" s="394">
        <f t="shared" si="31"/>
        <v>0</v>
      </c>
      <c r="AA33" s="411"/>
      <c r="AB33" s="395">
        <f t="shared" si="13"/>
        <v>-4011.2999999999997</v>
      </c>
      <c r="AC33" s="396">
        <f t="shared" si="14"/>
        <v>-1</v>
      </c>
      <c r="AD33" s="53"/>
      <c r="AE33" s="408">
        <f>IFERROR(VLOOKUP($C33,'Proposed Rates'!$B:$J,AE$11,FALSE),0)</f>
        <v>0</v>
      </c>
      <c r="AF33" s="409">
        <f t="shared" si="32"/>
        <v>891400</v>
      </c>
      <c r="AG33" s="394">
        <f t="shared" si="33"/>
        <v>0</v>
      </c>
      <c r="AH33" s="411"/>
      <c r="AI33" s="395">
        <f t="shared" si="17"/>
        <v>0</v>
      </c>
      <c r="AJ33" s="396" t="str">
        <f t="shared" si="18"/>
        <v/>
      </c>
      <c r="AK33" s="53"/>
      <c r="AL33" s="408">
        <f>IFERROR(VLOOKUP($C33,'Proposed Rates'!$B:$J,AL$11,FALSE),0)</f>
        <v>0</v>
      </c>
      <c r="AM33" s="409">
        <f t="shared" si="34"/>
        <v>891400</v>
      </c>
      <c r="AN33" s="394">
        <f t="shared" si="35"/>
        <v>0</v>
      </c>
      <c r="AO33" s="411"/>
      <c r="AP33" s="395">
        <f t="shared" si="21"/>
        <v>0</v>
      </c>
      <c r="AQ33" s="396" t="str">
        <f t="shared" si="22"/>
        <v/>
      </c>
      <c r="AR33" s="397"/>
      <c r="AS33" s="3"/>
      <c r="AT33" s="3"/>
      <c r="AU33" s="3"/>
      <c r="AV33" s="3"/>
    </row>
    <row r="34" spans="1:48" ht="12.75" customHeight="1">
      <c r="A34" s="53"/>
      <c r="B34" s="478" t="s">
        <v>282</v>
      </c>
      <c r="C34" s="389" t="str">
        <f t="shared" si="23"/>
        <v>General Service 1,500 to 4,999 KW.Total Deferral/Variance Account Rate RidersYr2</v>
      </c>
      <c r="D34" s="390" t="s">
        <v>406</v>
      </c>
      <c r="E34" s="328"/>
      <c r="F34" s="408">
        <f>IFERROR(VLOOKUP($C34,'Proposed Rates'!$B:$J,F$11,FALSE),0)</f>
        <v>0</v>
      </c>
      <c r="G34" s="409">
        <f t="shared" si="24"/>
        <v>1925</v>
      </c>
      <c r="H34" s="394">
        <f t="shared" si="25"/>
        <v>0</v>
      </c>
      <c r="I34" s="479"/>
      <c r="J34" s="408">
        <f>IFERROR(VLOOKUP($C34,'Proposed Rates'!$B:$J,J$11,FALSE),0)</f>
        <v>0</v>
      </c>
      <c r="K34" s="409">
        <f t="shared" si="26"/>
        <v>1925</v>
      </c>
      <c r="L34" s="394">
        <f t="shared" si="27"/>
        <v>0</v>
      </c>
      <c r="M34" s="411"/>
      <c r="N34" s="395">
        <f t="shared" si="5"/>
        <v>0</v>
      </c>
      <c r="O34" s="396" t="str">
        <f t="shared" si="6"/>
        <v/>
      </c>
      <c r="P34" s="53"/>
      <c r="Q34" s="408">
        <f>IFERROR(VLOOKUP($C34,'Proposed Rates'!$B:$J,Q$11,FALSE),0)</f>
        <v>0</v>
      </c>
      <c r="R34" s="409">
        <f t="shared" si="28"/>
        <v>1925</v>
      </c>
      <c r="S34" s="394">
        <f t="shared" si="29"/>
        <v>0</v>
      </c>
      <c r="T34" s="411"/>
      <c r="U34" s="395">
        <f t="shared" si="36"/>
        <v>0</v>
      </c>
      <c r="V34" s="396" t="str">
        <f t="shared" si="37"/>
        <v/>
      </c>
      <c r="W34" s="53"/>
      <c r="X34" s="408">
        <f>IFERROR(VLOOKUP($C34,'Proposed Rates'!$B:$J,X$11,FALSE),0)</f>
        <v>0</v>
      </c>
      <c r="Y34" s="409">
        <f t="shared" si="30"/>
        <v>1925</v>
      </c>
      <c r="Z34" s="394">
        <f t="shared" si="31"/>
        <v>0</v>
      </c>
      <c r="AA34" s="411"/>
      <c r="AB34" s="395">
        <f t="shared" si="13"/>
        <v>0</v>
      </c>
      <c r="AC34" s="396" t="str">
        <f t="shared" si="14"/>
        <v/>
      </c>
      <c r="AD34" s="53"/>
      <c r="AE34" s="408">
        <f>IFERROR(VLOOKUP($C34,'Proposed Rates'!$B:$J,AE$11,FALSE),0)</f>
        <v>0</v>
      </c>
      <c r="AF34" s="409">
        <f t="shared" si="32"/>
        <v>1925</v>
      </c>
      <c r="AG34" s="394">
        <f t="shared" si="33"/>
        <v>0</v>
      </c>
      <c r="AH34" s="411"/>
      <c r="AI34" s="395">
        <f t="shared" si="17"/>
        <v>0</v>
      </c>
      <c r="AJ34" s="396" t="str">
        <f t="shared" si="18"/>
        <v/>
      </c>
      <c r="AK34" s="53"/>
      <c r="AL34" s="408">
        <f>IFERROR(VLOOKUP($C34,'Proposed Rates'!$B:$J,AL$11,FALSE),0)</f>
        <v>0</v>
      </c>
      <c r="AM34" s="409">
        <f t="shared" si="34"/>
        <v>1925</v>
      </c>
      <c r="AN34" s="394">
        <f t="shared" si="35"/>
        <v>0</v>
      </c>
      <c r="AO34" s="411"/>
      <c r="AP34" s="395">
        <f t="shared" si="21"/>
        <v>0</v>
      </c>
      <c r="AQ34" s="396" t="str">
        <f t="shared" si="22"/>
        <v/>
      </c>
      <c r="AR34" s="397"/>
      <c r="AS34" s="3"/>
      <c r="AT34" s="3"/>
      <c r="AU34" s="3"/>
      <c r="AV34" s="3"/>
    </row>
    <row r="35" spans="1:48" ht="12.75" customHeight="1">
      <c r="A35" s="53"/>
      <c r="B35" s="478" t="s">
        <v>284</v>
      </c>
      <c r="C35" s="389" t="str">
        <f t="shared" si="23"/>
        <v>General Service 1,500 to 4,999 KW.Total Deferral/Variance Account Rate Riders</v>
      </c>
      <c r="D35" s="390" t="s">
        <v>406</v>
      </c>
      <c r="E35" s="328"/>
      <c r="F35" s="408">
        <f>IFERROR(VLOOKUP($C35,'Proposed Rates'!$B:$J,F$11,FALSE),0)</f>
        <v>0</v>
      </c>
      <c r="G35" s="409">
        <f t="shared" si="24"/>
        <v>1925</v>
      </c>
      <c r="H35" s="394">
        <f t="shared" si="25"/>
        <v>0</v>
      </c>
      <c r="I35" s="138"/>
      <c r="J35" s="408">
        <f>IFERROR(VLOOKUP($C35,'Proposed Rates'!$B:$J,J$11,FALSE),0)</f>
        <v>0</v>
      </c>
      <c r="K35" s="409">
        <f t="shared" si="26"/>
        <v>1925</v>
      </c>
      <c r="L35" s="394">
        <f t="shared" si="27"/>
        <v>0</v>
      </c>
      <c r="M35" s="138"/>
      <c r="N35" s="395">
        <f t="shared" si="5"/>
        <v>0</v>
      </c>
      <c r="O35" s="396" t="str">
        <f t="shared" si="6"/>
        <v/>
      </c>
      <c r="P35" s="53"/>
      <c r="Q35" s="408">
        <f>IFERROR(VLOOKUP($C35,'Proposed Rates'!$B:$J,Q$11,FALSE),0)</f>
        <v>0</v>
      </c>
      <c r="R35" s="409">
        <f t="shared" si="28"/>
        <v>1925</v>
      </c>
      <c r="S35" s="394">
        <f t="shared" si="29"/>
        <v>0</v>
      </c>
      <c r="T35" s="138"/>
      <c r="U35" s="395"/>
      <c r="V35" s="396"/>
      <c r="W35" s="53"/>
      <c r="X35" s="408">
        <f>IFERROR(VLOOKUP($C35,'Proposed Rates'!$B:$J,X$11,FALSE),0)</f>
        <v>0</v>
      </c>
      <c r="Y35" s="409">
        <f t="shared" si="30"/>
        <v>1925</v>
      </c>
      <c r="Z35" s="394">
        <f t="shared" si="31"/>
        <v>0</v>
      </c>
      <c r="AA35" s="138"/>
      <c r="AB35" s="395">
        <f t="shared" si="13"/>
        <v>0</v>
      </c>
      <c r="AC35" s="396" t="str">
        <f t="shared" si="14"/>
        <v/>
      </c>
      <c r="AD35" s="53"/>
      <c r="AE35" s="408">
        <f>IFERROR(VLOOKUP($C35,'Proposed Rates'!$B:$J,AE$11,FALSE),0)</f>
        <v>0</v>
      </c>
      <c r="AF35" s="409">
        <f t="shared" si="32"/>
        <v>1925</v>
      </c>
      <c r="AG35" s="394">
        <f t="shared" si="33"/>
        <v>0</v>
      </c>
      <c r="AH35" s="138"/>
      <c r="AI35" s="395">
        <f t="shared" si="17"/>
        <v>0</v>
      </c>
      <c r="AJ35" s="396" t="str">
        <f t="shared" si="18"/>
        <v/>
      </c>
      <c r="AK35" s="53"/>
      <c r="AL35" s="408">
        <f>IFERROR(VLOOKUP($C35,'Proposed Rates'!$B:$J,AL$11,FALSE),0)</f>
        <v>0</v>
      </c>
      <c r="AM35" s="409">
        <f t="shared" si="34"/>
        <v>1925</v>
      </c>
      <c r="AN35" s="394">
        <f t="shared" si="35"/>
        <v>0</v>
      </c>
      <c r="AO35" s="138"/>
      <c r="AP35" s="395">
        <f t="shared" si="21"/>
        <v>0</v>
      </c>
      <c r="AQ35" s="396" t="str">
        <f t="shared" si="22"/>
        <v/>
      </c>
      <c r="AR35" s="397"/>
      <c r="AS35" s="3"/>
      <c r="AT35" s="3"/>
      <c r="AU35" s="3"/>
      <c r="AV35" s="3"/>
    </row>
    <row r="36" spans="1:48" ht="12.75" customHeight="1">
      <c r="A36" s="53"/>
      <c r="B36" s="328" t="s">
        <v>300</v>
      </c>
      <c r="C36" s="389" t="str">
        <f t="shared" si="23"/>
        <v>General Service 1,500 to 4,999 KW.Low Voltage Service Charge</v>
      </c>
      <c r="D36" s="390" t="s">
        <v>406</v>
      </c>
      <c r="E36" s="328"/>
      <c r="F36" s="412">
        <f>IFERROR(VLOOKUP($C36,'Proposed Rates'!$B:$J,F$11,FALSE),0)</f>
        <v>2.2040000000000001E-2</v>
      </c>
      <c r="G36" s="409">
        <f t="shared" si="24"/>
        <v>1925</v>
      </c>
      <c r="H36" s="394">
        <f t="shared" si="25"/>
        <v>42.427</v>
      </c>
      <c r="I36" s="138"/>
      <c r="J36" s="412">
        <f>IFERROR(VLOOKUP($C36,'Proposed Rates'!$B:$J,J$11,FALSE),0)</f>
        <v>2.3130000000000001E-2</v>
      </c>
      <c r="K36" s="409">
        <f t="shared" si="26"/>
        <v>1925</v>
      </c>
      <c r="L36" s="394">
        <f t="shared" si="27"/>
        <v>44.52525</v>
      </c>
      <c r="M36" s="138"/>
      <c r="N36" s="395">
        <f t="shared" si="5"/>
        <v>2.0982500000000002</v>
      </c>
      <c r="O36" s="396">
        <f t="shared" si="6"/>
        <v>4.9455535390199638E-2</v>
      </c>
      <c r="P36" s="53"/>
      <c r="Q36" s="412">
        <f>IFERROR(VLOOKUP($C36,'Proposed Rates'!$B:$J,Q$11,FALSE),0)</f>
        <v>2.3730000000000001E-2</v>
      </c>
      <c r="R36" s="409">
        <f t="shared" si="28"/>
        <v>1925</v>
      </c>
      <c r="S36" s="394">
        <f t="shared" si="29"/>
        <v>45.680250000000001</v>
      </c>
      <c r="T36" s="138"/>
      <c r="U36" s="395">
        <f t="shared" ref="U36:U37" si="38">S36-L36</f>
        <v>1.1550000000000011</v>
      </c>
      <c r="V36" s="396">
        <f t="shared" ref="V36:V37" si="39">IF((L36)=0,"",(U36/L36))</f>
        <v>2.5940337224383943E-2</v>
      </c>
      <c r="W36" s="53"/>
      <c r="X36" s="412">
        <f>IFERROR(VLOOKUP($C36,'Proposed Rates'!$B:$J,X$11,FALSE),0)</f>
        <v>2.402E-2</v>
      </c>
      <c r="Y36" s="409">
        <f t="shared" si="30"/>
        <v>1925</v>
      </c>
      <c r="Z36" s="394">
        <f t="shared" si="31"/>
        <v>46.238500000000002</v>
      </c>
      <c r="AA36" s="138"/>
      <c r="AB36" s="395">
        <f t="shared" si="13"/>
        <v>0.55825000000000102</v>
      </c>
      <c r="AC36" s="396">
        <f t="shared" si="14"/>
        <v>1.2220817530552066E-2</v>
      </c>
      <c r="AD36" s="53"/>
      <c r="AE36" s="412">
        <f>IFERROR(VLOOKUP($C36,'Proposed Rates'!$B:$J,AE$11,FALSE),0)</f>
        <v>2.4410000000000001E-2</v>
      </c>
      <c r="AF36" s="409">
        <f t="shared" si="32"/>
        <v>1925</v>
      </c>
      <c r="AG36" s="394">
        <f t="shared" si="33"/>
        <v>46.989250000000006</v>
      </c>
      <c r="AH36" s="138"/>
      <c r="AI36" s="395">
        <f t="shared" si="17"/>
        <v>0.75075000000000358</v>
      </c>
      <c r="AJ36" s="396">
        <f t="shared" si="18"/>
        <v>1.6236469608659529E-2</v>
      </c>
      <c r="AK36" s="53"/>
      <c r="AL36" s="412">
        <f>IFERROR(VLOOKUP($C36,'Proposed Rates'!$B:$J,AL$11,FALSE),0)</f>
        <v>2.4840000000000001E-2</v>
      </c>
      <c r="AM36" s="409">
        <f t="shared" si="34"/>
        <v>1925</v>
      </c>
      <c r="AN36" s="394">
        <f t="shared" si="35"/>
        <v>47.817</v>
      </c>
      <c r="AO36" s="138"/>
      <c r="AP36" s="395">
        <f t="shared" si="21"/>
        <v>0.82774999999999466</v>
      </c>
      <c r="AQ36" s="396">
        <f t="shared" si="22"/>
        <v>1.7615731257681164E-2</v>
      </c>
      <c r="AR36" s="397"/>
      <c r="AS36" s="3"/>
      <c r="AT36" s="3"/>
      <c r="AU36" s="3"/>
      <c r="AV36" s="3"/>
    </row>
    <row r="37" spans="1:48" ht="12.75" customHeight="1">
      <c r="A37" s="53"/>
      <c r="B37" s="328" t="s">
        <v>341</v>
      </c>
      <c r="C37" s="389" t="str">
        <f t="shared" si="23"/>
        <v>General Service 1,500 to 4,999 KW.Line Losses on Cost of Power</v>
      </c>
      <c r="D37" s="390" t="s">
        <v>337</v>
      </c>
      <c r="E37" s="328"/>
      <c r="F37" s="552"/>
      <c r="G37" s="501">
        <f>$F$9*(1+F65)-$F$9</f>
        <v>30129.320000000065</v>
      </c>
      <c r="H37" s="394">
        <f t="shared" si="25"/>
        <v>0</v>
      </c>
      <c r="I37" s="138"/>
      <c r="J37" s="552"/>
      <c r="K37" s="501">
        <f>$F$9*(1+J65)-$F$9</f>
        <v>29594.479999999865</v>
      </c>
      <c r="L37" s="394">
        <f t="shared" si="27"/>
        <v>0</v>
      </c>
      <c r="M37" s="138"/>
      <c r="N37" s="395">
        <f t="shared" si="5"/>
        <v>0</v>
      </c>
      <c r="O37" s="396" t="str">
        <f t="shared" si="6"/>
        <v/>
      </c>
      <c r="P37" s="53"/>
      <c r="Q37" s="552"/>
      <c r="R37" s="501">
        <f>$F$9*(1+Q65)-$F$9</f>
        <v>29594.479999999865</v>
      </c>
      <c r="S37" s="394">
        <f t="shared" si="29"/>
        <v>0</v>
      </c>
      <c r="T37" s="138"/>
      <c r="U37" s="395">
        <f t="shared" si="38"/>
        <v>0</v>
      </c>
      <c r="V37" s="396" t="str">
        <f t="shared" si="39"/>
        <v/>
      </c>
      <c r="W37" s="53"/>
      <c r="X37" s="552"/>
      <c r="Y37" s="501">
        <f>$F$9*(1+X65)-$F$9</f>
        <v>29594.479999999865</v>
      </c>
      <c r="Z37" s="394">
        <f t="shared" si="31"/>
        <v>0</v>
      </c>
      <c r="AA37" s="138"/>
      <c r="AB37" s="395">
        <f t="shared" si="13"/>
        <v>0</v>
      </c>
      <c r="AC37" s="396" t="str">
        <f t="shared" si="14"/>
        <v/>
      </c>
      <c r="AD37" s="53"/>
      <c r="AE37" s="552"/>
      <c r="AF37" s="501">
        <f>$F$9*(1+AE65)-$F$9</f>
        <v>29594.479999999865</v>
      </c>
      <c r="AG37" s="394">
        <f t="shared" si="33"/>
        <v>0</v>
      </c>
      <c r="AH37" s="138"/>
      <c r="AI37" s="395">
        <f t="shared" si="17"/>
        <v>0</v>
      </c>
      <c r="AJ37" s="396" t="str">
        <f t="shared" si="18"/>
        <v/>
      </c>
      <c r="AK37" s="53"/>
      <c r="AL37" s="552"/>
      <c r="AM37" s="501">
        <f>$F$9*(1+AL65)-$F$9</f>
        <v>29594.479999999865</v>
      </c>
      <c r="AN37" s="394">
        <f t="shared" si="35"/>
        <v>0</v>
      </c>
      <c r="AO37" s="138"/>
      <c r="AP37" s="395">
        <f t="shared" si="21"/>
        <v>0</v>
      </c>
      <c r="AQ37" s="396" t="str">
        <f t="shared" si="22"/>
        <v/>
      </c>
      <c r="AR37" s="397"/>
      <c r="AS37" s="3"/>
      <c r="AT37" s="3"/>
      <c r="AU37" s="3"/>
      <c r="AV37" s="3"/>
    </row>
    <row r="38" spans="1:48" ht="12.75" customHeight="1">
      <c r="A38" s="53"/>
      <c r="B38" s="328" t="s">
        <v>302</v>
      </c>
      <c r="C38" s="389" t="str">
        <f t="shared" si="23"/>
        <v>General Service 1,500 to 4,999 KW.Smart Meter Entity Charge</v>
      </c>
      <c r="D38" s="390" t="s">
        <v>335</v>
      </c>
      <c r="E38" s="328"/>
      <c r="F38" s="412">
        <f>IFERROR(VLOOKUP($C38,'Proposed Rates'!$B:$J,F$11,FALSE),0)</f>
        <v>0</v>
      </c>
      <c r="G38" s="409">
        <f>IF($D38="Monthly",1,IF($D38="per KW",$F$10,IF($D38="per kWh",$F$9,0)))</f>
        <v>1</v>
      </c>
      <c r="H38" s="394">
        <f t="shared" si="25"/>
        <v>0</v>
      </c>
      <c r="I38" s="138"/>
      <c r="J38" s="412">
        <f>IFERROR(VLOOKUP($C38,'Proposed Rates'!$B:$J,J$11,FALSE),0)</f>
        <v>0</v>
      </c>
      <c r="K38" s="409">
        <f>IF($D38="Monthly",1,IF($D38="per KW",$F$10,IF($D38="per kWh",$F$9,0)))</f>
        <v>1</v>
      </c>
      <c r="L38" s="394">
        <f t="shared" si="27"/>
        <v>0</v>
      </c>
      <c r="M38" s="138"/>
      <c r="N38" s="395">
        <f t="shared" si="5"/>
        <v>0</v>
      </c>
      <c r="O38" s="396" t="str">
        <f t="shared" si="6"/>
        <v/>
      </c>
      <c r="P38" s="53"/>
      <c r="Q38" s="412">
        <f>IFERROR(VLOOKUP($C38,'Proposed Rates'!$B:$J,Q$11,FALSE),0)</f>
        <v>0</v>
      </c>
      <c r="R38" s="409">
        <f>IF($D38="Monthly",1,IF($D38="per KW",$F$10,IF($D38="per kWh",$F$9,0)))</f>
        <v>1</v>
      </c>
      <c r="S38" s="394">
        <f t="shared" si="29"/>
        <v>0</v>
      </c>
      <c r="T38" s="138"/>
      <c r="U38" s="395"/>
      <c r="V38" s="396"/>
      <c r="W38" s="53"/>
      <c r="X38" s="412">
        <f>IFERROR(VLOOKUP($C38,'Proposed Rates'!$B:$J,X$11,FALSE),0)</f>
        <v>0</v>
      </c>
      <c r="Y38" s="409">
        <f>IF($D38="Monthly",1,IF($D38="per KW",$F$10,IF($D38="per kWh",$F$9,0)))</f>
        <v>1</v>
      </c>
      <c r="Z38" s="394">
        <f t="shared" si="31"/>
        <v>0</v>
      </c>
      <c r="AA38" s="138"/>
      <c r="AB38" s="395">
        <f t="shared" si="13"/>
        <v>0</v>
      </c>
      <c r="AC38" s="396" t="str">
        <f t="shared" si="14"/>
        <v/>
      </c>
      <c r="AD38" s="53"/>
      <c r="AE38" s="412">
        <f>IFERROR(VLOOKUP($C38,'Proposed Rates'!$B:$J,AE$11,FALSE),0)</f>
        <v>0</v>
      </c>
      <c r="AF38" s="409">
        <f>IF($D38="Monthly",1,IF($D38="per KW",$F$10,IF($D38="per kWh",$F$9,0)))</f>
        <v>1</v>
      </c>
      <c r="AG38" s="394">
        <f t="shared" si="33"/>
        <v>0</v>
      </c>
      <c r="AH38" s="138"/>
      <c r="AI38" s="395">
        <f t="shared" si="17"/>
        <v>0</v>
      </c>
      <c r="AJ38" s="396" t="str">
        <f t="shared" si="18"/>
        <v/>
      </c>
      <c r="AK38" s="53"/>
      <c r="AL38" s="412">
        <f>IFERROR(VLOOKUP($C38,'Proposed Rates'!$B:$J,AL$11,FALSE),0)</f>
        <v>0</v>
      </c>
      <c r="AM38" s="409">
        <f>IF($D38="Monthly",1,IF($D38="per KW",$F$10,IF($D38="per kWh",$F$9,0)))</f>
        <v>1</v>
      </c>
      <c r="AN38" s="394">
        <f t="shared" si="35"/>
        <v>0</v>
      </c>
      <c r="AO38" s="138"/>
      <c r="AP38" s="395">
        <f t="shared" si="21"/>
        <v>0</v>
      </c>
      <c r="AQ38" s="396" t="str">
        <f t="shared" si="22"/>
        <v/>
      </c>
      <c r="AR38" s="397"/>
      <c r="AS38" s="3"/>
      <c r="AT38" s="3"/>
      <c r="AU38" s="3"/>
      <c r="AV38" s="3"/>
    </row>
    <row r="39" spans="1:48" ht="12.75" customHeight="1">
      <c r="A39" s="53"/>
      <c r="B39" s="480" t="s">
        <v>342</v>
      </c>
      <c r="C39" s="553"/>
      <c r="D39" s="416"/>
      <c r="E39" s="416"/>
      <c r="F39" s="417"/>
      <c r="G39" s="495"/>
      <c r="H39" s="403">
        <f>SUM(H30:H38)+H29</f>
        <v>20019.369500000001</v>
      </c>
      <c r="I39" s="419"/>
      <c r="J39" s="417"/>
      <c r="K39" s="495"/>
      <c r="L39" s="403">
        <f>SUM(L30:L38)+L29</f>
        <v>21277.795249999999</v>
      </c>
      <c r="M39" s="419"/>
      <c r="N39" s="405">
        <f t="shared" si="5"/>
        <v>1258.4257499999985</v>
      </c>
      <c r="O39" s="406">
        <f t="shared" si="6"/>
        <v>6.2860408765620643E-2</v>
      </c>
      <c r="P39" s="53"/>
      <c r="Q39" s="417"/>
      <c r="R39" s="495"/>
      <c r="S39" s="403">
        <f>SUM(S30:S38)+S29</f>
        <v>24040.852750000002</v>
      </c>
      <c r="T39" s="419"/>
      <c r="U39" s="405">
        <f t="shared" ref="U39:U46" si="40">S39-L39</f>
        <v>2763.0575000000026</v>
      </c>
      <c r="V39" s="406">
        <f t="shared" ref="V39:V46" si="41">IF((L39)=0,"",(U39/L39))</f>
        <v>0.12985638161923768</v>
      </c>
      <c r="W39" s="53"/>
      <c r="X39" s="417"/>
      <c r="Y39" s="495"/>
      <c r="Z39" s="403">
        <f>SUM(Z30:Z38)+Z29</f>
        <v>20455.216</v>
      </c>
      <c r="AA39" s="419"/>
      <c r="AB39" s="405">
        <f t="shared" si="13"/>
        <v>-3585.6367500000015</v>
      </c>
      <c r="AC39" s="406">
        <f t="shared" si="14"/>
        <v>-0.14914765242676348</v>
      </c>
      <c r="AD39" s="53"/>
      <c r="AE39" s="417"/>
      <c r="AF39" s="495"/>
      <c r="AG39" s="403">
        <f>SUM(AG30:AG38)+AG29</f>
        <v>21164.944249999997</v>
      </c>
      <c r="AH39" s="419"/>
      <c r="AI39" s="405">
        <f t="shared" si="17"/>
        <v>709.72824999999648</v>
      </c>
      <c r="AJ39" s="406">
        <f t="shared" si="18"/>
        <v>3.4696688121015028E-2</v>
      </c>
      <c r="AK39" s="53"/>
      <c r="AL39" s="417"/>
      <c r="AM39" s="495"/>
      <c r="AN39" s="403">
        <f>SUM(AN30:AN38)+AN29</f>
        <v>21814.304500000002</v>
      </c>
      <c r="AO39" s="419"/>
      <c r="AP39" s="405">
        <f t="shared" si="21"/>
        <v>649.36025000000518</v>
      </c>
      <c r="AQ39" s="406">
        <f t="shared" si="22"/>
        <v>3.0680933638651341E-2</v>
      </c>
      <c r="AR39" s="407"/>
      <c r="AS39" s="3"/>
      <c r="AT39" s="3"/>
      <c r="AU39" s="3"/>
      <c r="AV39" s="3"/>
    </row>
    <row r="40" spans="1:48" ht="12.75" customHeight="1">
      <c r="A40" s="53"/>
      <c r="B40" s="138" t="s">
        <v>285</v>
      </c>
      <c r="C40" s="389" t="str">
        <f t="shared" ref="C40:C41" si="42">D$6&amp;"."&amp;B40</f>
        <v>General Service 1,500 to 4,999 KW.RTSR - Network</v>
      </c>
      <c r="D40" s="420" t="s">
        <v>406</v>
      </c>
      <c r="E40" s="138"/>
      <c r="F40" s="408">
        <f>IFERROR(VLOOKUP($C40,'Proposed Rates'!$B:$J,F$11,FALSE),0)</f>
        <v>5.0336999999999996</v>
      </c>
      <c r="G40" s="409">
        <f t="shared" ref="G40:G41" si="43">IF($D40="Monthly",1,IF($D40="per KW",$F$10,IF($D40="per kWh",$F$9,0)))</f>
        <v>1925</v>
      </c>
      <c r="H40" s="394">
        <f t="shared" ref="H40:H41" si="44">G40*F40</f>
        <v>9689.8724999999995</v>
      </c>
      <c r="I40" s="138"/>
      <c r="J40" s="408">
        <f>IFERROR(VLOOKUP($C40,'Proposed Rates'!$B:$J,J$11,FALSE),0)</f>
        <v>4.5423999999999998</v>
      </c>
      <c r="K40" s="409">
        <f t="shared" ref="K40:K41" si="45">IF($D40="Monthly",1,IF($D40="per KW",$F$10,IF($D40="per kWh",$F$9,0)))</f>
        <v>1925</v>
      </c>
      <c r="L40" s="394">
        <f t="shared" ref="L40:L41" si="46">K40*J40</f>
        <v>8744.119999999999</v>
      </c>
      <c r="M40" s="138"/>
      <c r="N40" s="395">
        <f t="shared" si="5"/>
        <v>-945.75250000000051</v>
      </c>
      <c r="O40" s="396">
        <f t="shared" si="6"/>
        <v>-9.760216143194872E-2</v>
      </c>
      <c r="P40" s="53"/>
      <c r="Q40" s="408">
        <f>IFERROR(VLOOKUP($C40,'Proposed Rates'!$B:$J,Q$11,FALSE),0)</f>
        <v>4.5423999999999998</v>
      </c>
      <c r="R40" s="409">
        <f t="shared" ref="R40:R41" si="47">IF($D40="Monthly",1,IF($D40="per KW",$F$10,IF($D40="per kWh",$F$9,0)))</f>
        <v>1925</v>
      </c>
      <c r="S40" s="394">
        <f t="shared" ref="S40:S41" si="48">R40*Q40</f>
        <v>8744.119999999999</v>
      </c>
      <c r="T40" s="138"/>
      <c r="U40" s="395">
        <f t="shared" si="40"/>
        <v>0</v>
      </c>
      <c r="V40" s="396">
        <f t="shared" si="41"/>
        <v>0</v>
      </c>
      <c r="W40" s="53"/>
      <c r="X40" s="408">
        <f>IFERROR(VLOOKUP($C40,'Proposed Rates'!$B:$J,X$11,FALSE),0)</f>
        <v>4.5423999999999998</v>
      </c>
      <c r="Y40" s="409">
        <f t="shared" ref="Y40:Y41" si="49">IF($D40="Monthly",1,IF($D40="per KW",$F$10,IF($D40="per kWh",$F$9,0)))</f>
        <v>1925</v>
      </c>
      <c r="Z40" s="394">
        <f t="shared" ref="Z40:Z41" si="50">Y40*X40</f>
        <v>8744.119999999999</v>
      </c>
      <c r="AA40" s="138"/>
      <c r="AB40" s="395">
        <f t="shared" si="13"/>
        <v>0</v>
      </c>
      <c r="AC40" s="396">
        <f t="shared" si="14"/>
        <v>0</v>
      </c>
      <c r="AD40" s="53"/>
      <c r="AE40" s="408">
        <f>IFERROR(VLOOKUP($C40,'Proposed Rates'!$B:$J,AE$11,FALSE),0)</f>
        <v>4.5423999999999998</v>
      </c>
      <c r="AF40" s="409">
        <f t="shared" ref="AF40:AF41" si="51">IF($D40="Monthly",1,IF($D40="per KW",$F$10,IF($D40="per kWh",$F$9,0)))</f>
        <v>1925</v>
      </c>
      <c r="AG40" s="394">
        <f t="shared" ref="AG40:AG41" si="52">AF40*AE40</f>
        <v>8744.119999999999</v>
      </c>
      <c r="AH40" s="138"/>
      <c r="AI40" s="395">
        <f t="shared" si="17"/>
        <v>0</v>
      </c>
      <c r="AJ40" s="396">
        <f t="shared" si="18"/>
        <v>0</v>
      </c>
      <c r="AK40" s="53"/>
      <c r="AL40" s="408">
        <f>IFERROR(VLOOKUP($C40,'Proposed Rates'!$B:$J,AL$11,FALSE),0)</f>
        <v>4.5423999999999998</v>
      </c>
      <c r="AM40" s="409">
        <f t="shared" ref="AM40:AM41" si="53">IF($D40="Monthly",1,IF($D40="per KW",$F$10,IF($D40="per kWh",$F$9,0)))</f>
        <v>1925</v>
      </c>
      <c r="AN40" s="394">
        <f t="shared" ref="AN40:AN41" si="54">AM40*AL40</f>
        <v>8744.119999999999</v>
      </c>
      <c r="AO40" s="138"/>
      <c r="AP40" s="395">
        <f t="shared" si="21"/>
        <v>0</v>
      </c>
      <c r="AQ40" s="396">
        <f t="shared" si="22"/>
        <v>0</v>
      </c>
      <c r="AR40" s="397"/>
      <c r="AS40" s="3"/>
      <c r="AT40" s="3"/>
      <c r="AU40" s="3"/>
      <c r="AV40" s="3"/>
    </row>
    <row r="41" spans="1:48" ht="12.75" customHeight="1">
      <c r="A41" s="53"/>
      <c r="B41" s="481" t="s">
        <v>288</v>
      </c>
      <c r="C41" s="389" t="str">
        <f t="shared" si="42"/>
        <v>General Service 1,500 to 4,999 KW.RTSR - Line and Transformation Connection</v>
      </c>
      <c r="D41" s="420" t="s">
        <v>406</v>
      </c>
      <c r="E41" s="138"/>
      <c r="F41" s="408">
        <f>IFERROR(VLOOKUP($C41,'Proposed Rates'!$B:$J,F$11,FALSE),0)</f>
        <v>3.0125999999999999</v>
      </c>
      <c r="G41" s="409">
        <f t="shared" si="43"/>
        <v>1925</v>
      </c>
      <c r="H41" s="394">
        <f t="shared" si="44"/>
        <v>5799.2550000000001</v>
      </c>
      <c r="I41" s="138"/>
      <c r="J41" s="408">
        <f>IFERROR(VLOOKUP($C41,'Proposed Rates'!$B:$J,J$11,FALSE),0)</f>
        <v>2.5712000000000002</v>
      </c>
      <c r="K41" s="409">
        <f t="shared" si="45"/>
        <v>1925</v>
      </c>
      <c r="L41" s="394">
        <f t="shared" si="46"/>
        <v>4949.5600000000004</v>
      </c>
      <c r="M41" s="138"/>
      <c r="N41" s="395">
        <f t="shared" si="5"/>
        <v>-849.69499999999971</v>
      </c>
      <c r="O41" s="396">
        <f t="shared" si="6"/>
        <v>-0.14651795791011082</v>
      </c>
      <c r="P41" s="53"/>
      <c r="Q41" s="408">
        <f>IFERROR(VLOOKUP($C41,'Proposed Rates'!$B:$J,Q$11,FALSE),0)</f>
        <v>2.5712000000000002</v>
      </c>
      <c r="R41" s="409">
        <f t="shared" si="47"/>
        <v>1925</v>
      </c>
      <c r="S41" s="394">
        <f t="shared" si="48"/>
        <v>4949.5600000000004</v>
      </c>
      <c r="T41" s="138"/>
      <c r="U41" s="395">
        <f t="shared" si="40"/>
        <v>0</v>
      </c>
      <c r="V41" s="396">
        <f t="shared" si="41"/>
        <v>0</v>
      </c>
      <c r="W41" s="53"/>
      <c r="X41" s="408">
        <f>IFERROR(VLOOKUP($C41,'Proposed Rates'!$B:$J,X$11,FALSE),0)</f>
        <v>2.5712000000000002</v>
      </c>
      <c r="Y41" s="409">
        <f t="shared" si="49"/>
        <v>1925</v>
      </c>
      <c r="Z41" s="394">
        <f t="shared" si="50"/>
        <v>4949.5600000000004</v>
      </c>
      <c r="AA41" s="138"/>
      <c r="AB41" s="395">
        <f t="shared" si="13"/>
        <v>0</v>
      </c>
      <c r="AC41" s="396">
        <f t="shared" si="14"/>
        <v>0</v>
      </c>
      <c r="AD41" s="53"/>
      <c r="AE41" s="408">
        <f>IFERROR(VLOOKUP($C41,'Proposed Rates'!$B:$J,AE$11,FALSE),0)</f>
        <v>2.5712000000000002</v>
      </c>
      <c r="AF41" s="409">
        <f t="shared" si="51"/>
        <v>1925</v>
      </c>
      <c r="AG41" s="394">
        <f t="shared" si="52"/>
        <v>4949.5600000000004</v>
      </c>
      <c r="AH41" s="138"/>
      <c r="AI41" s="395">
        <f t="shared" si="17"/>
        <v>0</v>
      </c>
      <c r="AJ41" s="396">
        <f t="shared" si="18"/>
        <v>0</v>
      </c>
      <c r="AK41" s="53"/>
      <c r="AL41" s="408">
        <f>IFERROR(VLOOKUP($C41,'Proposed Rates'!$B:$J,AL$11,FALSE),0)</f>
        <v>2.5712000000000002</v>
      </c>
      <c r="AM41" s="409">
        <f t="shared" si="53"/>
        <v>1925</v>
      </c>
      <c r="AN41" s="394">
        <f t="shared" si="54"/>
        <v>4949.5600000000004</v>
      </c>
      <c r="AO41" s="138"/>
      <c r="AP41" s="395">
        <f t="shared" si="21"/>
        <v>0</v>
      </c>
      <c r="AQ41" s="396">
        <f t="shared" si="22"/>
        <v>0</v>
      </c>
      <c r="AR41" s="397"/>
      <c r="AS41" s="3"/>
      <c r="AT41" s="3"/>
      <c r="AU41" s="3"/>
      <c r="AV41" s="3"/>
    </row>
    <row r="42" spans="1:48" ht="12.75" customHeight="1">
      <c r="A42" s="53"/>
      <c r="B42" s="480" t="s">
        <v>343</v>
      </c>
      <c r="C42" s="554"/>
      <c r="D42" s="421"/>
      <c r="E42" s="421"/>
      <c r="F42" s="422"/>
      <c r="G42" s="495"/>
      <c r="H42" s="403">
        <f>SUM(H39:H41)</f>
        <v>35508.496999999996</v>
      </c>
      <c r="I42" s="404"/>
      <c r="J42" s="422"/>
      <c r="K42" s="495"/>
      <c r="L42" s="403">
        <f>SUM(L39:L41)</f>
        <v>34971.475249999996</v>
      </c>
      <c r="M42" s="404"/>
      <c r="N42" s="405">
        <f t="shared" si="5"/>
        <v>-537.02174999999988</v>
      </c>
      <c r="O42" s="406">
        <f t="shared" si="6"/>
        <v>-1.5123753337123786E-2</v>
      </c>
      <c r="P42" s="53"/>
      <c r="Q42" s="422"/>
      <c r="R42" s="495"/>
      <c r="S42" s="403">
        <f>SUM(S39:S41)</f>
        <v>37734.532749999998</v>
      </c>
      <c r="T42" s="404"/>
      <c r="U42" s="405">
        <f t="shared" si="40"/>
        <v>2763.0575000000026</v>
      </c>
      <c r="V42" s="406">
        <f t="shared" si="41"/>
        <v>7.900889168237199E-2</v>
      </c>
      <c r="W42" s="53"/>
      <c r="X42" s="422"/>
      <c r="Y42" s="495"/>
      <c r="Z42" s="403">
        <f>SUM(Z39:Z41)</f>
        <v>34148.896000000001</v>
      </c>
      <c r="AA42" s="404"/>
      <c r="AB42" s="405">
        <f t="shared" si="13"/>
        <v>-3585.6367499999978</v>
      </c>
      <c r="AC42" s="406">
        <f t="shared" si="14"/>
        <v>-9.5022688468296937E-2</v>
      </c>
      <c r="AD42" s="53"/>
      <c r="AE42" s="422"/>
      <c r="AF42" s="495"/>
      <c r="AG42" s="403">
        <f>SUM(AG39:AG41)</f>
        <v>34858.624249999993</v>
      </c>
      <c r="AH42" s="404"/>
      <c r="AI42" s="405">
        <f t="shared" si="17"/>
        <v>709.72824999999284</v>
      </c>
      <c r="AJ42" s="406">
        <f t="shared" si="18"/>
        <v>2.0783343918350766E-2</v>
      </c>
      <c r="AK42" s="53"/>
      <c r="AL42" s="422"/>
      <c r="AM42" s="495"/>
      <c r="AN42" s="403">
        <f>SUM(AN39:AN41)</f>
        <v>35507.984499999999</v>
      </c>
      <c r="AO42" s="404"/>
      <c r="AP42" s="405">
        <f t="shared" si="21"/>
        <v>649.36025000000518</v>
      </c>
      <c r="AQ42" s="406">
        <f t="shared" si="22"/>
        <v>1.8628395812264602E-2</v>
      </c>
      <c r="AR42" s="407"/>
      <c r="AS42" s="3"/>
      <c r="AT42" s="3"/>
      <c r="AU42" s="3"/>
      <c r="AV42" s="3"/>
    </row>
    <row r="43" spans="1:48" ht="12.75" customHeight="1">
      <c r="A43" s="53"/>
      <c r="B43" s="482" t="s">
        <v>289</v>
      </c>
      <c r="C43" s="389" t="str">
        <f t="shared" ref="C43:C45" si="55">D$6&amp;"."&amp;B43</f>
        <v>General Service 1,500 to 4,999 KW.Wholesale Market Service Charge (WMSC)</v>
      </c>
      <c r="D43" s="390" t="s">
        <v>337</v>
      </c>
      <c r="E43" s="328"/>
      <c r="F43" s="408">
        <f>IFERROR(VLOOKUP($C43,'Proposed Rates'!$B:$J,F$11,FALSE),0)</f>
        <v>4.4999999999999997E-3</v>
      </c>
      <c r="G43" s="502">
        <f t="shared" ref="G43:G44" si="56">$F$9+G$37</f>
        <v>921529.32000000007</v>
      </c>
      <c r="H43" s="394">
        <f t="shared" ref="H43:H46" si="57">G43*F43</f>
        <v>4146.8819400000002</v>
      </c>
      <c r="I43" s="138"/>
      <c r="J43" s="408">
        <f>IFERROR(VLOOKUP($C43,'Proposed Rates'!$B:$J,J$11,FALSE),0)</f>
        <v>4.7000000000000002E-3</v>
      </c>
      <c r="K43" s="502">
        <f t="shared" ref="K43:K44" si="58">$F$9+K$37</f>
        <v>920994.47999999986</v>
      </c>
      <c r="L43" s="394">
        <f t="shared" ref="L43:L46" si="59">K43*J43</f>
        <v>4328.6740559999998</v>
      </c>
      <c r="M43" s="138"/>
      <c r="N43" s="395">
        <f t="shared" si="5"/>
        <v>181.79211599999962</v>
      </c>
      <c r="O43" s="396">
        <f t="shared" si="6"/>
        <v>4.3838266589282165E-2</v>
      </c>
      <c r="P43" s="53"/>
      <c r="Q43" s="408">
        <f>IFERROR(VLOOKUP($C43,'Proposed Rates'!$B:$J,Q$11,FALSE),0)</f>
        <v>4.7000000000000002E-3</v>
      </c>
      <c r="R43" s="502">
        <f t="shared" ref="R43:R44" si="60">$F$9+R$37</f>
        <v>920994.47999999986</v>
      </c>
      <c r="S43" s="394">
        <f t="shared" ref="S43:S46" si="61">R43*Q43</f>
        <v>4328.6740559999998</v>
      </c>
      <c r="T43" s="138"/>
      <c r="U43" s="395">
        <f t="shared" si="40"/>
        <v>0</v>
      </c>
      <c r="V43" s="396">
        <f t="shared" si="41"/>
        <v>0</v>
      </c>
      <c r="W43" s="53"/>
      <c r="X43" s="408">
        <f>IFERROR(VLOOKUP($C43,'Proposed Rates'!$B:$J,X$11,FALSE),0)</f>
        <v>4.7000000000000002E-3</v>
      </c>
      <c r="Y43" s="502">
        <f t="shared" ref="Y43:Y44" si="62">$F$9+Y$37</f>
        <v>920994.47999999986</v>
      </c>
      <c r="Z43" s="394">
        <f t="shared" ref="Z43:Z46" si="63">Y43*X43</f>
        <v>4328.6740559999998</v>
      </c>
      <c r="AA43" s="138"/>
      <c r="AB43" s="395">
        <f t="shared" si="13"/>
        <v>0</v>
      </c>
      <c r="AC43" s="396">
        <f t="shared" si="14"/>
        <v>0</v>
      </c>
      <c r="AD43" s="53"/>
      <c r="AE43" s="408">
        <f>IFERROR(VLOOKUP($C43,'Proposed Rates'!$B:$J,AE$11,FALSE),0)</f>
        <v>4.7000000000000002E-3</v>
      </c>
      <c r="AF43" s="502">
        <f t="shared" ref="AF43:AF44" si="64">$F$9+AF$37</f>
        <v>920994.47999999986</v>
      </c>
      <c r="AG43" s="394">
        <f t="shared" ref="AG43:AG46" si="65">AF43*AE43</f>
        <v>4328.6740559999998</v>
      </c>
      <c r="AH43" s="138"/>
      <c r="AI43" s="395">
        <f t="shared" si="17"/>
        <v>0</v>
      </c>
      <c r="AJ43" s="396">
        <f t="shared" si="18"/>
        <v>0</v>
      </c>
      <c r="AK43" s="53"/>
      <c r="AL43" s="408">
        <f>IFERROR(VLOOKUP($C43,'Proposed Rates'!$B:$J,AL$11,FALSE),0)</f>
        <v>4.7000000000000002E-3</v>
      </c>
      <c r="AM43" s="502">
        <f t="shared" ref="AM43:AM44" si="66">$F$9+AM$37</f>
        <v>920994.47999999986</v>
      </c>
      <c r="AN43" s="394">
        <f t="shared" ref="AN43:AN46" si="67">AM43*AL43</f>
        <v>4328.6740559999998</v>
      </c>
      <c r="AO43" s="138"/>
      <c r="AP43" s="395">
        <f t="shared" si="21"/>
        <v>0</v>
      </c>
      <c r="AQ43" s="396">
        <f t="shared" si="22"/>
        <v>0</v>
      </c>
      <c r="AR43" s="397"/>
      <c r="AS43" s="3"/>
      <c r="AT43" s="3"/>
      <c r="AU43" s="3"/>
      <c r="AV43" s="3"/>
    </row>
    <row r="44" spans="1:48" ht="12.75" customHeight="1">
      <c r="A44" s="53"/>
      <c r="B44" s="482" t="s">
        <v>290</v>
      </c>
      <c r="C44" s="389" t="str">
        <f t="shared" si="55"/>
        <v>General Service 1,500 to 4,999 KW.Rural and Remote Rate Protection (RRRP)</v>
      </c>
      <c r="D44" s="390" t="s">
        <v>337</v>
      </c>
      <c r="E44" s="328"/>
      <c r="F44" s="408">
        <f>IFERROR(VLOOKUP($C44,'Proposed Rates'!$B:$J,F$11,FALSE),0)</f>
        <v>1.5E-3</v>
      </c>
      <c r="G44" s="502">
        <f t="shared" si="56"/>
        <v>921529.32000000007</v>
      </c>
      <c r="H44" s="394">
        <f t="shared" si="57"/>
        <v>1382.2939800000001</v>
      </c>
      <c r="I44" s="138"/>
      <c r="J44" s="408">
        <f>IFERROR(VLOOKUP($C44,'Proposed Rates'!$B:$J,J$11,FALSE),0)</f>
        <v>5.9999999999999995E-4</v>
      </c>
      <c r="K44" s="502">
        <f t="shared" si="58"/>
        <v>920994.47999999986</v>
      </c>
      <c r="L44" s="394">
        <f t="shared" si="59"/>
        <v>552.59668799999986</v>
      </c>
      <c r="M44" s="138"/>
      <c r="N44" s="395">
        <f t="shared" si="5"/>
        <v>-829.69729200000029</v>
      </c>
      <c r="O44" s="396">
        <f t="shared" si="6"/>
        <v>-0.60023215322112611</v>
      </c>
      <c r="P44" s="53"/>
      <c r="Q44" s="408">
        <f>IFERROR(VLOOKUP($C44,'Proposed Rates'!$B:$J,Q$11,FALSE),0)</f>
        <v>5.9999999999999995E-4</v>
      </c>
      <c r="R44" s="502">
        <f t="shared" si="60"/>
        <v>920994.47999999986</v>
      </c>
      <c r="S44" s="394">
        <f t="shared" si="61"/>
        <v>552.59668799999986</v>
      </c>
      <c r="T44" s="138"/>
      <c r="U44" s="395">
        <f t="shared" si="40"/>
        <v>0</v>
      </c>
      <c r="V44" s="396">
        <f t="shared" si="41"/>
        <v>0</v>
      </c>
      <c r="W44" s="53"/>
      <c r="X44" s="408">
        <f>IFERROR(VLOOKUP($C44,'Proposed Rates'!$B:$J,X$11,FALSE),0)</f>
        <v>5.9999999999999995E-4</v>
      </c>
      <c r="Y44" s="502">
        <f t="shared" si="62"/>
        <v>920994.47999999986</v>
      </c>
      <c r="Z44" s="394">
        <f t="shared" si="63"/>
        <v>552.59668799999986</v>
      </c>
      <c r="AA44" s="138"/>
      <c r="AB44" s="395">
        <f t="shared" si="13"/>
        <v>0</v>
      </c>
      <c r="AC44" s="396">
        <f t="shared" si="14"/>
        <v>0</v>
      </c>
      <c r="AD44" s="53"/>
      <c r="AE44" s="408">
        <f>IFERROR(VLOOKUP($C44,'Proposed Rates'!$B:$J,AE$11,FALSE),0)</f>
        <v>5.9999999999999995E-4</v>
      </c>
      <c r="AF44" s="502">
        <f t="shared" si="64"/>
        <v>920994.47999999986</v>
      </c>
      <c r="AG44" s="394">
        <f t="shared" si="65"/>
        <v>552.59668799999986</v>
      </c>
      <c r="AH44" s="138"/>
      <c r="AI44" s="395">
        <f t="shared" si="17"/>
        <v>0</v>
      </c>
      <c r="AJ44" s="396">
        <f t="shared" si="18"/>
        <v>0</v>
      </c>
      <c r="AK44" s="53"/>
      <c r="AL44" s="408">
        <f>IFERROR(VLOOKUP($C44,'Proposed Rates'!$B:$J,AL$11,FALSE),0)</f>
        <v>5.9999999999999995E-4</v>
      </c>
      <c r="AM44" s="502">
        <f t="shared" si="66"/>
        <v>920994.47999999986</v>
      </c>
      <c r="AN44" s="394">
        <f t="shared" si="67"/>
        <v>552.59668799999986</v>
      </c>
      <c r="AO44" s="138"/>
      <c r="AP44" s="395">
        <f t="shared" si="21"/>
        <v>0</v>
      </c>
      <c r="AQ44" s="396">
        <f t="shared" si="22"/>
        <v>0</v>
      </c>
      <c r="AR44" s="397"/>
      <c r="AS44" s="3"/>
      <c r="AT44" s="3"/>
      <c r="AU44" s="3"/>
      <c r="AV44" s="3"/>
    </row>
    <row r="45" spans="1:48" ht="12.75" customHeight="1">
      <c r="A45" s="53"/>
      <c r="B45" s="328" t="s">
        <v>291</v>
      </c>
      <c r="C45" s="389" t="str">
        <f t="shared" si="55"/>
        <v>General Service 1,500 to 4,999 KW.Standard Supply Service Charge</v>
      </c>
      <c r="D45" s="390" t="s">
        <v>335</v>
      </c>
      <c r="E45" s="328"/>
      <c r="F45" s="408">
        <f>IFERROR(VLOOKUP($C45,'Proposed Rates'!$B:$J,F$11,FALSE),0)</f>
        <v>0.25</v>
      </c>
      <c r="G45" s="409">
        <f>IF($D45="Monthly",1,IF($D45="per KW",$F$10,IF($D45="per kWh",$F$9,0)))</f>
        <v>1</v>
      </c>
      <c r="H45" s="394">
        <f t="shared" si="57"/>
        <v>0.25</v>
      </c>
      <c r="I45" s="138"/>
      <c r="J45" s="408">
        <f>IFERROR(VLOOKUP($C45,'Proposed Rates'!$B:$J,J$11,FALSE),0)</f>
        <v>0.25</v>
      </c>
      <c r="K45" s="409">
        <f>IF($D45="Monthly",1,IF($D45="per KW",$F$10,IF($D45="per kWh",$F$9,0)))</f>
        <v>1</v>
      </c>
      <c r="L45" s="394">
        <f t="shared" si="59"/>
        <v>0.25</v>
      </c>
      <c r="M45" s="138"/>
      <c r="N45" s="395">
        <f t="shared" si="5"/>
        <v>0</v>
      </c>
      <c r="O45" s="396">
        <f t="shared" si="6"/>
        <v>0</v>
      </c>
      <c r="P45" s="53"/>
      <c r="Q45" s="408">
        <f>IFERROR(VLOOKUP($C45,'Proposed Rates'!$B:$J,Q$11,FALSE),0)</f>
        <v>0.25</v>
      </c>
      <c r="R45" s="409">
        <f>IF($D45="Monthly",1,IF($D45="per KW",$F$10,IF($D45="per kWh",$F$9,0)))</f>
        <v>1</v>
      </c>
      <c r="S45" s="394">
        <f t="shared" si="61"/>
        <v>0.25</v>
      </c>
      <c r="T45" s="138"/>
      <c r="U45" s="395">
        <f t="shared" si="40"/>
        <v>0</v>
      </c>
      <c r="V45" s="396">
        <f t="shared" si="41"/>
        <v>0</v>
      </c>
      <c r="W45" s="53"/>
      <c r="X45" s="408">
        <f>IFERROR(VLOOKUP($C45,'Proposed Rates'!$B:$J,X$11,FALSE),0)</f>
        <v>0.25</v>
      </c>
      <c r="Y45" s="409">
        <f>IF($D45="Monthly",1,IF($D45="per KW",$F$10,IF($D45="per kWh",$F$9,0)))</f>
        <v>1</v>
      </c>
      <c r="Z45" s="394">
        <f t="shared" si="63"/>
        <v>0.25</v>
      </c>
      <c r="AA45" s="138"/>
      <c r="AB45" s="395">
        <f t="shared" si="13"/>
        <v>0</v>
      </c>
      <c r="AC45" s="396">
        <f t="shared" si="14"/>
        <v>0</v>
      </c>
      <c r="AD45" s="53"/>
      <c r="AE45" s="408">
        <f>IFERROR(VLOOKUP($C45,'Proposed Rates'!$B:$J,AE$11,FALSE),0)</f>
        <v>0.25</v>
      </c>
      <c r="AF45" s="409">
        <f>IF($D45="Monthly",1,IF($D45="per KW",$F$10,IF($D45="per kWh",$F$9,0)))</f>
        <v>1</v>
      </c>
      <c r="AG45" s="394">
        <f t="shared" si="65"/>
        <v>0.25</v>
      </c>
      <c r="AH45" s="138"/>
      <c r="AI45" s="395">
        <f t="shared" si="17"/>
        <v>0</v>
      </c>
      <c r="AJ45" s="396">
        <f t="shared" si="18"/>
        <v>0</v>
      </c>
      <c r="AK45" s="53"/>
      <c r="AL45" s="408">
        <f>IFERROR(VLOOKUP($C45,'Proposed Rates'!$B:$J,AL$11,FALSE),0)</f>
        <v>0.25</v>
      </c>
      <c r="AM45" s="409">
        <f>IF($D45="Monthly",1,IF($D45="per KW",$F$10,IF($D45="per kWh",$F$9,0)))</f>
        <v>1</v>
      </c>
      <c r="AN45" s="394">
        <f t="shared" si="67"/>
        <v>0.25</v>
      </c>
      <c r="AO45" s="138"/>
      <c r="AP45" s="395">
        <f t="shared" si="21"/>
        <v>0</v>
      </c>
      <c r="AQ45" s="396">
        <f t="shared" si="22"/>
        <v>0</v>
      </c>
      <c r="AR45" s="397"/>
      <c r="AS45" s="3"/>
      <c r="AT45" s="3"/>
      <c r="AU45" s="3"/>
      <c r="AV45" s="3"/>
    </row>
    <row r="46" spans="1:48" ht="12.75" customHeight="1">
      <c r="A46" s="53"/>
      <c r="B46" s="328" t="s">
        <v>298</v>
      </c>
      <c r="C46" s="389" t="str">
        <f>B46</f>
        <v>Average IESO Wholesale Market Price</v>
      </c>
      <c r="D46" s="390" t="s">
        <v>337</v>
      </c>
      <c r="E46" s="328"/>
      <c r="F46" s="408">
        <f>IFERROR(VLOOKUP($C46,'Proposed Rates'!$B:$J,F$11,FALSE),0)</f>
        <v>0.10453</v>
      </c>
      <c r="G46" s="502">
        <f>$F$9+G$37</f>
        <v>921529.32000000007</v>
      </c>
      <c r="H46" s="394">
        <f t="shared" si="57"/>
        <v>96327.459819600001</v>
      </c>
      <c r="I46" s="138"/>
      <c r="J46" s="408">
        <f>IFERROR(VLOOKUP($C46,'Proposed Rates'!$B:$J,J$11,FALSE),0)</f>
        <v>0.10453</v>
      </c>
      <c r="K46" s="502">
        <f>$F$9+K$37</f>
        <v>920994.47999999986</v>
      </c>
      <c r="L46" s="394">
        <f t="shared" si="59"/>
        <v>96271.552994399986</v>
      </c>
      <c r="M46" s="138"/>
      <c r="N46" s="395">
        <f t="shared" si="5"/>
        <v>-55.906825200014282</v>
      </c>
      <c r="O46" s="396">
        <f t="shared" si="6"/>
        <v>-5.8038305281500602E-4</v>
      </c>
      <c r="P46" s="53"/>
      <c r="Q46" s="408">
        <f>IFERROR(VLOOKUP($C46,'Proposed Rates'!$B:$J,Q$11,FALSE),0)</f>
        <v>0.10453</v>
      </c>
      <c r="R46" s="502">
        <f>$F$9+R$37</f>
        <v>920994.47999999986</v>
      </c>
      <c r="S46" s="394">
        <f t="shared" si="61"/>
        <v>96271.552994399986</v>
      </c>
      <c r="T46" s="138"/>
      <c r="U46" s="395">
        <f t="shared" si="40"/>
        <v>0</v>
      </c>
      <c r="V46" s="396">
        <f t="shared" si="41"/>
        <v>0</v>
      </c>
      <c r="W46" s="53"/>
      <c r="X46" s="408">
        <f>IFERROR(VLOOKUP($C46,'Proposed Rates'!$B:$J,X$11,FALSE),0)</f>
        <v>0.10453</v>
      </c>
      <c r="Y46" s="502">
        <f>$F$9+Y$37</f>
        <v>920994.47999999986</v>
      </c>
      <c r="Z46" s="394">
        <f t="shared" si="63"/>
        <v>96271.552994399986</v>
      </c>
      <c r="AA46" s="138"/>
      <c r="AB46" s="395">
        <f t="shared" si="13"/>
        <v>0</v>
      </c>
      <c r="AC46" s="396">
        <f t="shared" si="14"/>
        <v>0</v>
      </c>
      <c r="AD46" s="53"/>
      <c r="AE46" s="408">
        <f>IFERROR(VLOOKUP($C46,'Proposed Rates'!$B:$J,AE$11,FALSE),0)</f>
        <v>0.10453</v>
      </c>
      <c r="AF46" s="502">
        <f>$F$9+AF$37</f>
        <v>920994.47999999986</v>
      </c>
      <c r="AG46" s="394">
        <f t="shared" si="65"/>
        <v>96271.552994399986</v>
      </c>
      <c r="AH46" s="138"/>
      <c r="AI46" s="395">
        <f t="shared" si="17"/>
        <v>0</v>
      </c>
      <c r="AJ46" s="396">
        <f t="shared" si="18"/>
        <v>0</v>
      </c>
      <c r="AK46" s="53"/>
      <c r="AL46" s="408">
        <f>IFERROR(VLOOKUP($C46,'Proposed Rates'!$B:$J,AL$11,FALSE),0)</f>
        <v>0.10453</v>
      </c>
      <c r="AM46" s="502">
        <f>$F$9+AM$37</f>
        <v>920994.47999999986</v>
      </c>
      <c r="AN46" s="394">
        <f t="shared" si="67"/>
        <v>96271.552994399986</v>
      </c>
      <c r="AO46" s="138"/>
      <c r="AP46" s="395">
        <f t="shared" si="21"/>
        <v>0</v>
      </c>
      <c r="AQ46" s="396">
        <f t="shared" si="22"/>
        <v>0</v>
      </c>
      <c r="AR46" s="397"/>
      <c r="AS46" s="3"/>
      <c r="AT46" s="3"/>
      <c r="AU46" s="3"/>
      <c r="AV46" s="3"/>
    </row>
    <row r="47" spans="1:48" ht="7.5" customHeight="1">
      <c r="A47" s="53"/>
      <c r="B47" s="328"/>
      <c r="C47" s="389" t="str">
        <f t="shared" ref="C47:C50" si="68">D$6&amp;"."&amp;B47</f>
        <v>General Service 1,500 to 4,999 KW.</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c r="AS47" s="3"/>
      <c r="AT47" s="3"/>
      <c r="AU47" s="3"/>
      <c r="AV47" s="3"/>
    </row>
    <row r="48" spans="1:48" ht="7.5" customHeight="1">
      <c r="A48" s="53"/>
      <c r="B48" s="53"/>
      <c r="C48" s="389" t="str">
        <f t="shared" si="68"/>
        <v>General Service 1,500 to 4,999 KW.</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c r="AS48" s="3"/>
      <c r="AT48" s="3"/>
      <c r="AU48" s="3"/>
      <c r="AV48" s="3"/>
    </row>
    <row r="49" spans="1:48" ht="7.5" customHeight="1">
      <c r="A49" s="53"/>
      <c r="B49" s="328"/>
      <c r="C49" s="389" t="str">
        <f t="shared" si="68"/>
        <v>General Service 1,500 to 4,999 KW.</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c r="AS49" s="3"/>
      <c r="AT49" s="3"/>
      <c r="AU49" s="3"/>
      <c r="AV49" s="3"/>
    </row>
    <row r="50" spans="1:48" ht="7.5" customHeight="1">
      <c r="A50" s="53"/>
      <c r="B50" s="328"/>
      <c r="C50" s="389" t="str">
        <f t="shared" si="68"/>
        <v>General Service 1,500 to 4,999 KW.</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c r="AS50" s="3"/>
      <c r="AT50" s="3"/>
      <c r="AU50" s="3"/>
      <c r="AV50" s="3"/>
    </row>
    <row r="51" spans="1:48" ht="8.25" customHeight="1">
      <c r="A51" s="53"/>
      <c r="B51" s="428"/>
      <c r="C51" s="555"/>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c r="AS51" s="3"/>
      <c r="AT51" s="3"/>
      <c r="AU51" s="3"/>
      <c r="AV51" s="3"/>
    </row>
    <row r="52" spans="1:48" ht="12.75" customHeight="1">
      <c r="A52" s="53"/>
      <c r="B52" s="438" t="s">
        <v>344</v>
      </c>
      <c r="C52" s="556"/>
      <c r="D52" s="328"/>
      <c r="E52" s="328"/>
      <c r="F52" s="439"/>
      <c r="G52" s="483"/>
      <c r="H52" s="441">
        <f>SUM(H43:H48,H42)</f>
        <v>137365.3827396</v>
      </c>
      <c r="I52" s="476"/>
      <c r="J52" s="440"/>
      <c r="K52" s="440"/>
      <c r="L52" s="441">
        <f>SUM(L43:L48,L42)</f>
        <v>136124.54898839997</v>
      </c>
      <c r="M52" s="443"/>
      <c r="N52" s="442">
        <f t="shared" ref="N52:N56" si="69">L52-H52</f>
        <v>-1240.8337512000289</v>
      </c>
      <c r="O52" s="444">
        <f t="shared" ref="O52:O56" si="70">IF((H52)=0,"",(N52/H52))</f>
        <v>-9.0330891703060689E-3</v>
      </c>
      <c r="P52" s="53"/>
      <c r="Q52" s="440"/>
      <c r="R52" s="440"/>
      <c r="S52" s="441">
        <f>SUM(S43:S48,S42)</f>
        <v>138887.60648839996</v>
      </c>
      <c r="T52" s="443"/>
      <c r="U52" s="442">
        <f t="shared" ref="U52:U56" si="71">S52-L52</f>
        <v>2763.0574999999953</v>
      </c>
      <c r="V52" s="444">
        <f t="shared" ref="V52:V56" si="72">IF((L52)=0,"",(U52/L52))</f>
        <v>2.029801031873724E-2</v>
      </c>
      <c r="W52" s="53"/>
      <c r="X52" s="440"/>
      <c r="Y52" s="440"/>
      <c r="Z52" s="441">
        <f>SUM(Z43:Z48,Z42)</f>
        <v>135301.96973839999</v>
      </c>
      <c r="AA52" s="443"/>
      <c r="AB52" s="442">
        <f t="shared" ref="AB52:AB56" si="73">Z52-S52</f>
        <v>-3585.636749999976</v>
      </c>
      <c r="AC52" s="444">
        <f t="shared" ref="AC52:AC56" si="74">IF((S52)=0,"",(AB52/S52))</f>
        <v>-2.5816822974045937E-2</v>
      </c>
      <c r="AD52" s="53"/>
      <c r="AE52" s="440"/>
      <c r="AF52" s="440"/>
      <c r="AG52" s="441">
        <f>SUM(AG43:AG48,AG42)</f>
        <v>136011.69798839997</v>
      </c>
      <c r="AH52" s="443"/>
      <c r="AI52" s="442">
        <f t="shared" ref="AI52:AI56" si="75">AG52-Z52</f>
        <v>709.72824999998556</v>
      </c>
      <c r="AJ52" s="444">
        <f t="shared" ref="AJ52:AJ56" si="76">IF((Z52)=0,"",(AI52/Z52))</f>
        <v>5.2455130651254513E-3</v>
      </c>
      <c r="AK52" s="53"/>
      <c r="AL52" s="440"/>
      <c r="AM52" s="440"/>
      <c r="AN52" s="441">
        <f>SUM(AN43:AN48,AN42)</f>
        <v>136661.05823839997</v>
      </c>
      <c r="AO52" s="443"/>
      <c r="AP52" s="442">
        <f t="shared" ref="AP52:AP56" si="77">AN52-AG52</f>
        <v>649.3602499999979</v>
      </c>
      <c r="AQ52" s="444">
        <f t="shared" ref="AQ52:AQ56" si="78">IF((AG52)=0,"",(AP52/AG52))</f>
        <v>4.774297061237923E-3</v>
      </c>
      <c r="AR52" s="445"/>
      <c r="AS52" s="3"/>
      <c r="AT52" s="3"/>
      <c r="AU52" s="3"/>
      <c r="AV52" s="3"/>
    </row>
    <row r="53" spans="1:48" ht="12.75" customHeight="1">
      <c r="A53" s="53"/>
      <c r="B53" s="446" t="s">
        <v>345</v>
      </c>
      <c r="C53" s="556"/>
      <c r="D53" s="328"/>
      <c r="E53" s="328"/>
      <c r="F53" s="439">
        <v>0.13</v>
      </c>
      <c r="G53" s="138"/>
      <c r="H53" s="484">
        <f>H52*F53</f>
        <v>17857.499756148001</v>
      </c>
      <c r="I53" s="411"/>
      <c r="J53" s="447">
        <v>0.13</v>
      </c>
      <c r="K53" s="411"/>
      <c r="L53" s="394">
        <f>L52*J53</f>
        <v>17696.191368491996</v>
      </c>
      <c r="M53" s="138"/>
      <c r="N53" s="395">
        <f t="shared" si="69"/>
        <v>-161.30838765600492</v>
      </c>
      <c r="O53" s="396">
        <f t="shared" si="70"/>
        <v>-9.0330891703061331E-3</v>
      </c>
      <c r="P53" s="53"/>
      <c r="Q53" s="447">
        <v>0.13</v>
      </c>
      <c r="R53" s="411"/>
      <c r="S53" s="394">
        <f>S52*Q53</f>
        <v>18055.388843491997</v>
      </c>
      <c r="T53" s="138"/>
      <c r="U53" s="395">
        <f t="shared" si="71"/>
        <v>359.19747500000085</v>
      </c>
      <c r="V53" s="396">
        <f t="shared" si="72"/>
        <v>2.029801031873732E-2</v>
      </c>
      <c r="W53" s="53"/>
      <c r="X53" s="447">
        <v>0.13</v>
      </c>
      <c r="Y53" s="411"/>
      <c r="Z53" s="394">
        <f>Z52*X53</f>
        <v>17589.256065991998</v>
      </c>
      <c r="AA53" s="138"/>
      <c r="AB53" s="395">
        <f t="shared" si="73"/>
        <v>-466.13277749999907</v>
      </c>
      <c r="AC53" s="396">
        <f t="shared" si="74"/>
        <v>-2.5816822974046059E-2</v>
      </c>
      <c r="AD53" s="53"/>
      <c r="AE53" s="447">
        <v>0.13</v>
      </c>
      <c r="AF53" s="411"/>
      <c r="AG53" s="394">
        <f>AG52*AE53</f>
        <v>17681.520738491996</v>
      </c>
      <c r="AH53" s="138"/>
      <c r="AI53" s="395">
        <f t="shared" si="75"/>
        <v>92.264672499997687</v>
      </c>
      <c r="AJ53" s="396">
        <f t="shared" si="76"/>
        <v>5.2455130651254261E-3</v>
      </c>
      <c r="AK53" s="53"/>
      <c r="AL53" s="447">
        <v>0.13</v>
      </c>
      <c r="AM53" s="411"/>
      <c r="AN53" s="394">
        <f>AN52*AL53</f>
        <v>17765.937570991999</v>
      </c>
      <c r="AO53" s="138"/>
      <c r="AP53" s="395">
        <f t="shared" si="77"/>
        <v>84.416832500002783</v>
      </c>
      <c r="AQ53" s="396">
        <f t="shared" si="78"/>
        <v>4.7742970612380956E-3</v>
      </c>
      <c r="AR53" s="397"/>
      <c r="AS53" s="3"/>
      <c r="AT53" s="3"/>
      <c r="AU53" s="3"/>
      <c r="AV53" s="3"/>
    </row>
    <row r="54" spans="1:48" ht="12.75" customHeight="1">
      <c r="A54" s="53"/>
      <c r="B54" s="485" t="s">
        <v>425</v>
      </c>
      <c r="C54" s="556"/>
      <c r="D54" s="328"/>
      <c r="E54" s="328"/>
      <c r="F54" s="449"/>
      <c r="G54" s="138"/>
      <c r="H54" s="484">
        <f>H52+H53</f>
        <v>155222.882495748</v>
      </c>
      <c r="I54" s="411"/>
      <c r="J54" s="411"/>
      <c r="K54" s="411"/>
      <c r="L54" s="394">
        <f>L52+L53</f>
        <v>153820.74035689197</v>
      </c>
      <c r="M54" s="138"/>
      <c r="N54" s="395">
        <f t="shared" si="69"/>
        <v>-1402.1421388560266</v>
      </c>
      <c r="O54" s="396">
        <f t="shared" si="70"/>
        <v>-9.0330891703060291E-3</v>
      </c>
      <c r="P54" s="53"/>
      <c r="Q54" s="411"/>
      <c r="R54" s="411"/>
      <c r="S54" s="394">
        <f>S52+S53</f>
        <v>156942.99533189196</v>
      </c>
      <c r="T54" s="138"/>
      <c r="U54" s="395">
        <f t="shared" si="71"/>
        <v>3122.2549749999889</v>
      </c>
      <c r="V54" s="396">
        <f t="shared" si="72"/>
        <v>2.0298010318737202E-2</v>
      </c>
      <c r="W54" s="53"/>
      <c r="X54" s="411"/>
      <c r="Y54" s="411"/>
      <c r="Z54" s="394">
        <f>Z52+Z53</f>
        <v>152891.22580439199</v>
      </c>
      <c r="AA54" s="138"/>
      <c r="AB54" s="395">
        <f t="shared" si="73"/>
        <v>-4051.7695274999714</v>
      </c>
      <c r="AC54" s="396">
        <f t="shared" si="74"/>
        <v>-2.581682297404593E-2</v>
      </c>
      <c r="AD54" s="53"/>
      <c r="AE54" s="411"/>
      <c r="AF54" s="411"/>
      <c r="AG54" s="394">
        <f>AG52+AG53</f>
        <v>153693.21872689197</v>
      </c>
      <c r="AH54" s="138"/>
      <c r="AI54" s="395">
        <f t="shared" si="75"/>
        <v>801.99292249997961</v>
      </c>
      <c r="AJ54" s="396">
        <f t="shared" si="76"/>
        <v>5.2455130651254244E-3</v>
      </c>
      <c r="AK54" s="53"/>
      <c r="AL54" s="411"/>
      <c r="AM54" s="411"/>
      <c r="AN54" s="394">
        <f>AN52+AN53</f>
        <v>154426.99580939196</v>
      </c>
      <c r="AO54" s="138"/>
      <c r="AP54" s="395">
        <f t="shared" si="77"/>
        <v>733.77708249998977</v>
      </c>
      <c r="AQ54" s="396">
        <f t="shared" si="78"/>
        <v>4.7742970612378718E-3</v>
      </c>
      <c r="AR54" s="397"/>
      <c r="AS54" s="3"/>
      <c r="AT54" s="3"/>
      <c r="AU54" s="3"/>
      <c r="AV54" s="3"/>
    </row>
    <row r="55" spans="1:48" ht="15.75" customHeight="1">
      <c r="A55" s="53"/>
      <c r="B55" s="626" t="s">
        <v>304</v>
      </c>
      <c r="C55" s="616"/>
      <c r="D55" s="616"/>
      <c r="E55" s="328"/>
      <c r="F55" s="449"/>
      <c r="G55" s="138"/>
      <c r="H55" s="486">
        <f>F55*H52</f>
        <v>0</v>
      </c>
      <c r="I55" s="411"/>
      <c r="J55" s="411"/>
      <c r="K55" s="411"/>
      <c r="L55" s="506">
        <f>J55*L52</f>
        <v>0</v>
      </c>
      <c r="M55" s="138"/>
      <c r="N55" s="451">
        <f t="shared" si="69"/>
        <v>0</v>
      </c>
      <c r="O55" s="453" t="str">
        <f t="shared" si="70"/>
        <v/>
      </c>
      <c r="P55" s="53"/>
      <c r="Q55" s="411"/>
      <c r="R55" s="411"/>
      <c r="S55" s="506">
        <f>Q55*S52</f>
        <v>0</v>
      </c>
      <c r="T55" s="138"/>
      <c r="U55" s="451">
        <f t="shared" si="71"/>
        <v>0</v>
      </c>
      <c r="V55" s="453" t="str">
        <f t="shared" si="72"/>
        <v/>
      </c>
      <c r="W55" s="53"/>
      <c r="X55" s="411"/>
      <c r="Y55" s="411"/>
      <c r="Z55" s="506">
        <f>X55*Z52</f>
        <v>0</v>
      </c>
      <c r="AA55" s="138"/>
      <c r="AB55" s="451">
        <f t="shared" si="73"/>
        <v>0</v>
      </c>
      <c r="AC55" s="453" t="str">
        <f t="shared" si="74"/>
        <v/>
      </c>
      <c r="AD55" s="53"/>
      <c r="AE55" s="411"/>
      <c r="AF55" s="411"/>
      <c r="AG55" s="506">
        <f>AE55*AG52</f>
        <v>0</v>
      </c>
      <c r="AH55" s="138"/>
      <c r="AI55" s="451">
        <f t="shared" si="75"/>
        <v>0</v>
      </c>
      <c r="AJ55" s="453" t="str">
        <f t="shared" si="76"/>
        <v/>
      </c>
      <c r="AK55" s="53"/>
      <c r="AL55" s="411"/>
      <c r="AM55" s="411"/>
      <c r="AN55" s="506">
        <f>AL55*AN52</f>
        <v>0</v>
      </c>
      <c r="AO55" s="138"/>
      <c r="AP55" s="451">
        <f t="shared" si="77"/>
        <v>0</v>
      </c>
      <c r="AQ55" s="453" t="str">
        <f t="shared" si="78"/>
        <v/>
      </c>
      <c r="AR55" s="454"/>
      <c r="AS55" s="3"/>
      <c r="AT55" s="3"/>
      <c r="AU55" s="3"/>
      <c r="AV55" s="3"/>
    </row>
    <row r="56" spans="1:48" ht="13.5" customHeight="1">
      <c r="A56" s="53"/>
      <c r="B56" s="627" t="s">
        <v>347</v>
      </c>
      <c r="C56" s="608"/>
      <c r="D56" s="600"/>
      <c r="E56" s="455"/>
      <c r="F56" s="456"/>
      <c r="G56" s="487"/>
      <c r="H56" s="488">
        <f>H54-H55</f>
        <v>155222.882495748</v>
      </c>
      <c r="I56" s="457"/>
      <c r="J56" s="457"/>
      <c r="K56" s="457"/>
      <c r="L56" s="458">
        <f>L54-L55</f>
        <v>153820.74035689197</v>
      </c>
      <c r="M56" s="459"/>
      <c r="N56" s="460">
        <f t="shared" si="69"/>
        <v>-1402.1421388560266</v>
      </c>
      <c r="O56" s="461">
        <f t="shared" si="70"/>
        <v>-9.0330891703060291E-3</v>
      </c>
      <c r="P56" s="53"/>
      <c r="Q56" s="457"/>
      <c r="R56" s="457"/>
      <c r="S56" s="458">
        <f>S54-S55</f>
        <v>156942.99533189196</v>
      </c>
      <c r="T56" s="459"/>
      <c r="U56" s="460">
        <f t="shared" si="71"/>
        <v>3122.2549749999889</v>
      </c>
      <c r="V56" s="461">
        <f t="shared" si="72"/>
        <v>2.0298010318737202E-2</v>
      </c>
      <c r="W56" s="53"/>
      <c r="X56" s="457"/>
      <c r="Y56" s="457"/>
      <c r="Z56" s="458">
        <f>Z54-Z55</f>
        <v>152891.22580439199</v>
      </c>
      <c r="AA56" s="459"/>
      <c r="AB56" s="460">
        <f t="shared" si="73"/>
        <v>-4051.7695274999714</v>
      </c>
      <c r="AC56" s="461">
        <f t="shared" si="74"/>
        <v>-2.581682297404593E-2</v>
      </c>
      <c r="AD56" s="53"/>
      <c r="AE56" s="457"/>
      <c r="AF56" s="457"/>
      <c r="AG56" s="458">
        <f>AG54-AG55</f>
        <v>153693.21872689197</v>
      </c>
      <c r="AH56" s="459"/>
      <c r="AI56" s="460">
        <f t="shared" si="75"/>
        <v>801.99292249997961</v>
      </c>
      <c r="AJ56" s="461">
        <f t="shared" si="76"/>
        <v>5.2455130651254244E-3</v>
      </c>
      <c r="AK56" s="53"/>
      <c r="AL56" s="457"/>
      <c r="AM56" s="457"/>
      <c r="AN56" s="458">
        <f>AN54-AN55</f>
        <v>154426.99580939196</v>
      </c>
      <c r="AO56" s="459"/>
      <c r="AP56" s="460">
        <f t="shared" si="77"/>
        <v>733.77708249998977</v>
      </c>
      <c r="AQ56" s="461">
        <f t="shared" si="78"/>
        <v>4.7742970612378718E-3</v>
      </c>
      <c r="AR56" s="462"/>
      <c r="AS56" s="3"/>
      <c r="AT56" s="3"/>
      <c r="AU56" s="3"/>
      <c r="AV56" s="3"/>
    </row>
    <row r="57" spans="1:48" ht="8.25" customHeight="1">
      <c r="A57" s="53"/>
      <c r="B57" s="428"/>
      <c r="C57" s="555"/>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c r="AS57" s="3"/>
      <c r="AT57" s="3"/>
      <c r="AU57" s="3"/>
      <c r="AV57" s="3"/>
    </row>
    <row r="58" spans="1:48" ht="12.75" customHeight="1">
      <c r="A58" s="507"/>
      <c r="B58" s="508" t="s">
        <v>348</v>
      </c>
      <c r="C58" s="557"/>
      <c r="D58" s="509"/>
      <c r="E58" s="509"/>
      <c r="F58" s="510"/>
      <c r="G58" s="511"/>
      <c r="H58" s="512">
        <f>SUM(H49:H50,H42,H43:H45)</f>
        <v>41037.922919999997</v>
      </c>
      <c r="I58" s="513"/>
      <c r="J58" s="514"/>
      <c r="K58" s="514"/>
      <c r="L58" s="512">
        <f>SUM(L49:L50,L42,L43:L45)</f>
        <v>39852.99599399999</v>
      </c>
      <c r="M58" s="515"/>
      <c r="N58" s="516">
        <f t="shared" ref="N58:N62" si="79">L58-H58</f>
        <v>-1184.9269260000074</v>
      </c>
      <c r="O58" s="517">
        <f t="shared" ref="O58:O62" si="80">IF((H58)=0,"",(N58/H58))</f>
        <v>-2.8873949792973769E-2</v>
      </c>
      <c r="P58" s="507"/>
      <c r="Q58" s="514"/>
      <c r="R58" s="514"/>
      <c r="S58" s="512">
        <f>SUM(S49:S50,S42,S43:S45)</f>
        <v>42616.053494</v>
      </c>
      <c r="T58" s="515"/>
      <c r="U58" s="516">
        <f t="shared" ref="U58:U62" si="81">S58-L58</f>
        <v>2763.0575000000099</v>
      </c>
      <c r="V58" s="517">
        <f t="shared" ref="V58:V62" si="82">IF((L58)=0,"",(U58/L58))</f>
        <v>6.9331236738537749E-2</v>
      </c>
      <c r="W58" s="507"/>
      <c r="X58" s="514"/>
      <c r="Y58" s="514"/>
      <c r="Z58" s="512">
        <f>SUM(Z49:Z50,Z42,Z43:Z45)</f>
        <v>39030.416743999995</v>
      </c>
      <c r="AA58" s="515"/>
      <c r="AB58" s="516">
        <f t="shared" ref="AB58:AB62" si="83">Z58-S58</f>
        <v>-3585.6367500000051</v>
      </c>
      <c r="AC58" s="517">
        <f t="shared" ref="AC58:AC62" si="84">IF((S58)=0,"",(AB58/S58))</f>
        <v>-8.4138169915354416E-2</v>
      </c>
      <c r="AD58" s="507"/>
      <c r="AE58" s="514"/>
      <c r="AF58" s="514"/>
      <c r="AG58" s="512">
        <f>SUM(AG49:AG50,AG42,AG43:AG45)</f>
        <v>39740.144993999995</v>
      </c>
      <c r="AH58" s="515"/>
      <c r="AI58" s="516">
        <f t="shared" ref="AI58:AI62" si="85">AG58-Z58</f>
        <v>709.72825000000012</v>
      </c>
      <c r="AJ58" s="517">
        <f t="shared" ref="AJ58:AJ62" si="86">IF((Z58)=0,"",(AI58/Z58))</f>
        <v>1.8183978271487558E-2</v>
      </c>
      <c r="AK58" s="507"/>
      <c r="AL58" s="514"/>
      <c r="AM58" s="514"/>
      <c r="AN58" s="512">
        <f>SUM(AN49:AN50,AN42,AN43:AN45)</f>
        <v>40389.505243999993</v>
      </c>
      <c r="AO58" s="515"/>
      <c r="AP58" s="516">
        <f t="shared" ref="AP58:AP62" si="87">AN58-AG58</f>
        <v>649.3602499999979</v>
      </c>
      <c r="AQ58" s="517">
        <f t="shared" ref="AQ58:AQ62" si="88">IF((AG58)=0,"",(AP58/AG58))</f>
        <v>1.6340158046681486E-2</v>
      </c>
      <c r="AR58" s="518"/>
      <c r="AS58" s="3"/>
      <c r="AT58" s="3"/>
      <c r="AU58" s="3"/>
      <c r="AV58" s="3"/>
    </row>
    <row r="59" spans="1:48" ht="12.75" customHeight="1">
      <c r="A59" s="507"/>
      <c r="B59" s="519" t="s">
        <v>345</v>
      </c>
      <c r="C59" s="557"/>
      <c r="D59" s="509"/>
      <c r="E59" s="509"/>
      <c r="F59" s="510">
        <v>0.13</v>
      </c>
      <c r="G59" s="511"/>
      <c r="H59" s="520">
        <f>H58*F59</f>
        <v>5334.9299795999996</v>
      </c>
      <c r="I59" s="521"/>
      <c r="J59" s="510">
        <v>0.13</v>
      </c>
      <c r="K59" s="522"/>
      <c r="L59" s="523">
        <f>L58*J59</f>
        <v>5180.889479219999</v>
      </c>
      <c r="M59" s="524"/>
      <c r="N59" s="525">
        <f t="shared" si="79"/>
        <v>-154.04050038000059</v>
      </c>
      <c r="O59" s="526">
        <f t="shared" si="80"/>
        <v>-2.88739497929737E-2</v>
      </c>
      <c r="P59" s="507"/>
      <c r="Q59" s="510">
        <v>0.13</v>
      </c>
      <c r="R59" s="522"/>
      <c r="S59" s="523">
        <f>S58*Q59</f>
        <v>5540.0869542199998</v>
      </c>
      <c r="T59" s="524"/>
      <c r="U59" s="525">
        <f t="shared" si="81"/>
        <v>359.19747500000085</v>
      </c>
      <c r="V59" s="526">
        <f t="shared" si="82"/>
        <v>6.9331236738537666E-2</v>
      </c>
      <c r="W59" s="507"/>
      <c r="X59" s="510">
        <v>0.13</v>
      </c>
      <c r="Y59" s="522"/>
      <c r="Z59" s="523">
        <f>Z58*X59</f>
        <v>5073.9541767199999</v>
      </c>
      <c r="AA59" s="524"/>
      <c r="AB59" s="525">
        <f t="shared" si="83"/>
        <v>-466.13277749999997</v>
      </c>
      <c r="AC59" s="526">
        <f t="shared" si="84"/>
        <v>-8.4138169915354291E-2</v>
      </c>
      <c r="AD59" s="507"/>
      <c r="AE59" s="510">
        <v>0.13</v>
      </c>
      <c r="AF59" s="522"/>
      <c r="AG59" s="523">
        <f>AG58*AE59</f>
        <v>5166.2188492199994</v>
      </c>
      <c r="AH59" s="524"/>
      <c r="AI59" s="525">
        <f t="shared" si="85"/>
        <v>92.264672499999506</v>
      </c>
      <c r="AJ59" s="526">
        <f t="shared" si="86"/>
        <v>1.8183978271487457E-2</v>
      </c>
      <c r="AK59" s="507"/>
      <c r="AL59" s="510">
        <v>0.13</v>
      </c>
      <c r="AM59" s="522"/>
      <c r="AN59" s="523">
        <f>AN58*AL59</f>
        <v>5250.6356817199994</v>
      </c>
      <c r="AO59" s="524"/>
      <c r="AP59" s="525">
        <f t="shared" si="87"/>
        <v>84.416832500000055</v>
      </c>
      <c r="AQ59" s="526">
        <f t="shared" si="88"/>
        <v>1.6340158046681548E-2</v>
      </c>
      <c r="AR59" s="527"/>
      <c r="AS59" s="3"/>
      <c r="AT59" s="3"/>
      <c r="AU59" s="3"/>
      <c r="AV59" s="3"/>
    </row>
    <row r="60" spans="1:48" ht="12.75" customHeight="1">
      <c r="A60" s="507"/>
      <c r="B60" s="548" t="s">
        <v>426</v>
      </c>
      <c r="C60" s="557"/>
      <c r="D60" s="509"/>
      <c r="E60" s="509"/>
      <c r="F60" s="529"/>
      <c r="G60" s="524"/>
      <c r="H60" s="520">
        <f>H58+H59</f>
        <v>46372.852899599995</v>
      </c>
      <c r="I60" s="521"/>
      <c r="J60" s="521"/>
      <c r="K60" s="521"/>
      <c r="L60" s="523">
        <f>L58+L59</f>
        <v>45033.885473219991</v>
      </c>
      <c r="M60" s="524"/>
      <c r="N60" s="525">
        <f t="shared" si="79"/>
        <v>-1338.9674263800043</v>
      </c>
      <c r="O60" s="526">
        <f t="shared" si="80"/>
        <v>-2.8873949792973683E-2</v>
      </c>
      <c r="P60" s="507"/>
      <c r="Q60" s="521"/>
      <c r="R60" s="521"/>
      <c r="S60" s="523">
        <f>S58+S59</f>
        <v>48156.140448220001</v>
      </c>
      <c r="T60" s="524"/>
      <c r="U60" s="525">
        <f t="shared" si="81"/>
        <v>3122.2549750000107</v>
      </c>
      <c r="V60" s="526">
        <f t="shared" si="82"/>
        <v>6.9331236738537735E-2</v>
      </c>
      <c r="W60" s="507"/>
      <c r="X60" s="521"/>
      <c r="Y60" s="521"/>
      <c r="Z60" s="523">
        <f>Z58+Z59</f>
        <v>44104.370920719994</v>
      </c>
      <c r="AA60" s="524"/>
      <c r="AB60" s="525">
        <f t="shared" si="83"/>
        <v>-4051.7695275000078</v>
      </c>
      <c r="AC60" s="526">
        <f t="shared" si="84"/>
        <v>-8.4138169915354458E-2</v>
      </c>
      <c r="AD60" s="507"/>
      <c r="AE60" s="521"/>
      <c r="AF60" s="521"/>
      <c r="AG60" s="523">
        <f>AG58+AG59</f>
        <v>44906.363843219995</v>
      </c>
      <c r="AH60" s="524"/>
      <c r="AI60" s="525">
        <f t="shared" si="85"/>
        <v>801.99292250000144</v>
      </c>
      <c r="AJ60" s="526">
        <f t="shared" si="86"/>
        <v>1.8183978271487589E-2</v>
      </c>
      <c r="AK60" s="507"/>
      <c r="AL60" s="521"/>
      <c r="AM60" s="521"/>
      <c r="AN60" s="523">
        <f>AN58+AN59</f>
        <v>45640.140925719992</v>
      </c>
      <c r="AO60" s="524"/>
      <c r="AP60" s="525">
        <f t="shared" si="87"/>
        <v>733.77708249999705</v>
      </c>
      <c r="AQ60" s="526">
        <f t="shared" si="88"/>
        <v>1.6340158046681472E-2</v>
      </c>
      <c r="AR60" s="527"/>
      <c r="AS60" s="3"/>
      <c r="AT60" s="3"/>
      <c r="AU60" s="3"/>
      <c r="AV60" s="3"/>
    </row>
    <row r="61" spans="1:48" ht="15.75" customHeight="1">
      <c r="A61" s="507"/>
      <c r="B61" s="636" t="s">
        <v>304</v>
      </c>
      <c r="C61" s="616"/>
      <c r="D61" s="616"/>
      <c r="E61" s="509"/>
      <c r="F61" s="529"/>
      <c r="G61" s="524"/>
      <c r="H61" s="530">
        <f>F61*H58</f>
        <v>0</v>
      </c>
      <c r="I61" s="521"/>
      <c r="J61" s="521"/>
      <c r="K61" s="521"/>
      <c r="L61" s="531">
        <f>J61*L58</f>
        <v>0</v>
      </c>
      <c r="M61" s="524"/>
      <c r="N61" s="532">
        <f t="shared" si="79"/>
        <v>0</v>
      </c>
      <c r="O61" s="533" t="str">
        <f t="shared" si="80"/>
        <v/>
      </c>
      <c r="P61" s="507"/>
      <c r="Q61" s="521"/>
      <c r="R61" s="521"/>
      <c r="S61" s="531">
        <f>Q61*S58</f>
        <v>0</v>
      </c>
      <c r="T61" s="524"/>
      <c r="U61" s="532">
        <f t="shared" si="81"/>
        <v>0</v>
      </c>
      <c r="V61" s="533" t="str">
        <f t="shared" si="82"/>
        <v/>
      </c>
      <c r="W61" s="507"/>
      <c r="X61" s="521"/>
      <c r="Y61" s="521"/>
      <c r="Z61" s="531">
        <f>X61*Z58</f>
        <v>0</v>
      </c>
      <c r="AA61" s="524"/>
      <c r="AB61" s="532">
        <f t="shared" si="83"/>
        <v>0</v>
      </c>
      <c r="AC61" s="533" t="str">
        <f t="shared" si="84"/>
        <v/>
      </c>
      <c r="AD61" s="507"/>
      <c r="AE61" s="521"/>
      <c r="AF61" s="521"/>
      <c r="AG61" s="531">
        <f>AE61*AG58</f>
        <v>0</v>
      </c>
      <c r="AH61" s="524"/>
      <c r="AI61" s="532">
        <f t="shared" si="85"/>
        <v>0</v>
      </c>
      <c r="AJ61" s="533" t="str">
        <f t="shared" si="86"/>
        <v/>
      </c>
      <c r="AK61" s="507"/>
      <c r="AL61" s="521"/>
      <c r="AM61" s="521"/>
      <c r="AN61" s="531">
        <f>AL61*AN58</f>
        <v>0</v>
      </c>
      <c r="AO61" s="524"/>
      <c r="AP61" s="532">
        <f t="shared" si="87"/>
        <v>0</v>
      </c>
      <c r="AQ61" s="533" t="str">
        <f t="shared" si="88"/>
        <v/>
      </c>
      <c r="AR61" s="534"/>
      <c r="AS61" s="3"/>
      <c r="AT61" s="3"/>
      <c r="AU61" s="3"/>
      <c r="AV61" s="3"/>
    </row>
    <row r="62" spans="1:48" ht="13.5" customHeight="1">
      <c r="A62" s="507"/>
      <c r="B62" s="637" t="s">
        <v>350</v>
      </c>
      <c r="C62" s="608"/>
      <c r="D62" s="600"/>
      <c r="E62" s="535"/>
      <c r="F62" s="536"/>
      <c r="G62" s="537"/>
      <c r="H62" s="538">
        <f>H60-H61</f>
        <v>46372.852899599995</v>
      </c>
      <c r="I62" s="539"/>
      <c r="J62" s="539"/>
      <c r="K62" s="539"/>
      <c r="L62" s="540">
        <f>L60-L61</f>
        <v>45033.885473219991</v>
      </c>
      <c r="M62" s="541"/>
      <c r="N62" s="542">
        <f t="shared" si="79"/>
        <v>-1338.9674263800043</v>
      </c>
      <c r="O62" s="543">
        <f t="shared" si="80"/>
        <v>-2.8873949792973683E-2</v>
      </c>
      <c r="P62" s="507"/>
      <c r="Q62" s="539"/>
      <c r="R62" s="539"/>
      <c r="S62" s="540">
        <f>S60-S61</f>
        <v>48156.140448220001</v>
      </c>
      <c r="T62" s="541"/>
      <c r="U62" s="542">
        <f t="shared" si="81"/>
        <v>3122.2549750000107</v>
      </c>
      <c r="V62" s="543">
        <f t="shared" si="82"/>
        <v>6.9331236738537735E-2</v>
      </c>
      <c r="W62" s="507"/>
      <c r="X62" s="539"/>
      <c r="Y62" s="539"/>
      <c r="Z62" s="540">
        <f>Z60-Z61</f>
        <v>44104.370920719994</v>
      </c>
      <c r="AA62" s="541"/>
      <c r="AB62" s="542">
        <f t="shared" si="83"/>
        <v>-4051.7695275000078</v>
      </c>
      <c r="AC62" s="543">
        <f t="shared" si="84"/>
        <v>-8.4138169915354458E-2</v>
      </c>
      <c r="AD62" s="507"/>
      <c r="AE62" s="539"/>
      <c r="AF62" s="539"/>
      <c r="AG62" s="540">
        <f>AG60-AG61</f>
        <v>44906.363843219995</v>
      </c>
      <c r="AH62" s="541"/>
      <c r="AI62" s="542">
        <f t="shared" si="85"/>
        <v>801.99292250000144</v>
      </c>
      <c r="AJ62" s="543">
        <f t="shared" si="86"/>
        <v>1.8183978271487589E-2</v>
      </c>
      <c r="AK62" s="507"/>
      <c r="AL62" s="539"/>
      <c r="AM62" s="539"/>
      <c r="AN62" s="540">
        <f>AN60-AN61</f>
        <v>45640.140925719992</v>
      </c>
      <c r="AO62" s="541"/>
      <c r="AP62" s="542">
        <f t="shared" si="87"/>
        <v>733.77708249999705</v>
      </c>
      <c r="AQ62" s="543">
        <f t="shared" si="88"/>
        <v>1.6340158046681472E-2</v>
      </c>
      <c r="AR62" s="544"/>
      <c r="AS62" s="3"/>
      <c r="AT62" s="3"/>
      <c r="AU62" s="3"/>
      <c r="AV62" s="3"/>
    </row>
    <row r="63" spans="1:48" ht="8.25" customHeight="1">
      <c r="A63" s="53"/>
      <c r="B63" s="428"/>
      <c r="C63" s="555"/>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c r="AS63" s="3"/>
      <c r="AT63" s="3"/>
      <c r="AU63" s="3"/>
      <c r="AV63" s="3"/>
    </row>
    <row r="64" spans="1:48" ht="12.75" customHeight="1">
      <c r="A64" s="53"/>
      <c r="B64" s="53"/>
      <c r="C64" s="549"/>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3"/>
      <c r="AT64" s="3"/>
      <c r="AU64" s="3"/>
      <c r="AV64" s="3"/>
    </row>
    <row r="65" spans="1:48" ht="12.75" customHeight="1">
      <c r="A65" s="53"/>
      <c r="B65" s="314" t="s">
        <v>351</v>
      </c>
      <c r="C65" s="549"/>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c r="AS65" s="3"/>
      <c r="AT65" s="3"/>
      <c r="AU65" s="3"/>
      <c r="AV65" s="3"/>
    </row>
    <row r="66" spans="1:48" ht="12.75" customHeight="1">
      <c r="A66" s="53"/>
      <c r="B66" s="53"/>
      <c r="C66" s="549"/>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3"/>
      <c r="AT66" s="3"/>
      <c r="AU66" s="3"/>
      <c r="AV66" s="3"/>
    </row>
    <row r="67" spans="1:48" ht="15.75" customHeight="1">
      <c r="A67" s="473" t="s">
        <v>427</v>
      </c>
      <c r="B67" s="53"/>
      <c r="C67" s="549"/>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3"/>
      <c r="AT67" s="3"/>
      <c r="AU67" s="3"/>
      <c r="AV67" s="3"/>
    </row>
    <row r="68" spans="1:48" ht="13.5" customHeight="1">
      <c r="A68" s="53"/>
      <c r="B68" s="53"/>
      <c r="C68" s="549"/>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3"/>
      <c r="AT68" s="3"/>
      <c r="AU68" s="3"/>
      <c r="AV68" s="3"/>
    </row>
    <row r="69" spans="1:48" ht="8.25" customHeight="1">
      <c r="A69" s="53" t="s">
        <v>353</v>
      </c>
      <c r="B69" s="53"/>
      <c r="C69" s="549"/>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3"/>
      <c r="AT69" s="3"/>
      <c r="AU69" s="3"/>
      <c r="AV69" s="3"/>
    </row>
    <row r="70" spans="1:48" ht="12.75" customHeight="1">
      <c r="A70" s="53" t="s">
        <v>354</v>
      </c>
      <c r="B70" s="53"/>
      <c r="C70" s="549"/>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3"/>
      <c r="AT70" s="3"/>
      <c r="AU70" s="3"/>
      <c r="AV70" s="3"/>
    </row>
    <row r="71" spans="1:48" ht="12.75" customHeight="1">
      <c r="A71" s="53"/>
      <c r="B71" s="53"/>
      <c r="C71" s="549"/>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3"/>
      <c r="AT71" s="3"/>
      <c r="AU71" s="3"/>
      <c r="AV71" s="3"/>
    </row>
    <row r="72" spans="1:48" ht="12.75" customHeight="1">
      <c r="A72" s="53" t="s">
        <v>355</v>
      </c>
      <c r="B72" s="53"/>
      <c r="C72" s="549"/>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3"/>
      <c r="AT72" s="3"/>
      <c r="AU72" s="3"/>
      <c r="AV72" s="3"/>
    </row>
    <row r="73" spans="1:48" ht="12.75" customHeight="1">
      <c r="A73" s="53" t="s">
        <v>356</v>
      </c>
      <c r="B73" s="53"/>
      <c r="C73" s="549"/>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3"/>
      <c r="AT73" s="3"/>
      <c r="AU73" s="3"/>
      <c r="AV73" s="3"/>
    </row>
    <row r="74" spans="1:48" ht="12.75" customHeight="1">
      <c r="A74" s="53"/>
      <c r="B74" s="53"/>
      <c r="C74" s="549"/>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3"/>
      <c r="AT74" s="3"/>
      <c r="AU74" s="3"/>
      <c r="AV74" s="3"/>
    </row>
    <row r="75" spans="1:48" ht="12.75" customHeight="1">
      <c r="A75" s="53" t="s">
        <v>357</v>
      </c>
      <c r="B75" s="53"/>
      <c r="C75" s="549"/>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3"/>
      <c r="AT75" s="3"/>
      <c r="AU75" s="3"/>
      <c r="AV75" s="3"/>
    </row>
    <row r="76" spans="1:48" ht="12.75" customHeight="1">
      <c r="A76" s="53" t="s">
        <v>358</v>
      </c>
      <c r="B76" s="53"/>
      <c r="C76" s="549"/>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3"/>
      <c r="AT76" s="3"/>
      <c r="AU76" s="3"/>
      <c r="AV76" s="3"/>
    </row>
    <row r="77" spans="1:48" ht="12.75" customHeight="1">
      <c r="A77" s="53" t="s">
        <v>359</v>
      </c>
      <c r="B77" s="53"/>
      <c r="C77" s="549"/>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3"/>
      <c r="AT77" s="3"/>
      <c r="AU77" s="3"/>
      <c r="AV77" s="3"/>
    </row>
    <row r="78" spans="1:48" ht="12.75" customHeight="1">
      <c r="A78" s="53" t="s">
        <v>360</v>
      </c>
      <c r="B78" s="53"/>
      <c r="C78" s="549"/>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3"/>
      <c r="AT78" s="3"/>
      <c r="AU78" s="3"/>
      <c r="AV78" s="3"/>
    </row>
    <row r="79" spans="1:48" ht="12.75" customHeight="1">
      <c r="A79" s="53" t="s">
        <v>361</v>
      </c>
      <c r="B79" s="53"/>
      <c r="C79" s="549"/>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3"/>
      <c r="AT79" s="3"/>
      <c r="AU79" s="3"/>
      <c r="AV79" s="3"/>
    </row>
    <row r="80" spans="1:48" ht="12.75" customHeight="1">
      <c r="A80" s="53"/>
      <c r="B80" s="53"/>
      <c r="C80" s="549"/>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3"/>
      <c r="AT80" s="3"/>
      <c r="AU80" s="3"/>
      <c r="AV80" s="3"/>
    </row>
    <row r="81" spans="1:48" ht="12.75" customHeight="1">
      <c r="A81" s="474"/>
      <c r="B81" s="53" t="s">
        <v>362</v>
      </c>
      <c r="C81" s="549"/>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3"/>
      <c r="AT81" s="3"/>
      <c r="AU81" s="3"/>
      <c r="AV81" s="3"/>
    </row>
    <row r="82" spans="1:48" ht="12.75" customHeight="1">
      <c r="A82" s="53"/>
      <c r="B82" s="53"/>
      <c r="C82" s="549"/>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3"/>
      <c r="AT82" s="3"/>
      <c r="AU82" s="3"/>
      <c r="AV82" s="3"/>
    </row>
    <row r="83" spans="1:48" ht="12.75" customHeight="1">
      <c r="A83" s="53"/>
      <c r="B83" s="53" t="s">
        <v>363</v>
      </c>
      <c r="C83" s="549"/>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3"/>
      <c r="AT83" s="3"/>
      <c r="AU83" s="3"/>
      <c r="AV83" s="3"/>
    </row>
    <row r="84" spans="1:48" ht="12.75" customHeight="1">
      <c r="A84" s="53"/>
      <c r="B84" s="53"/>
      <c r="C84" s="549"/>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3"/>
      <c r="AT84" s="3"/>
      <c r="AU84" s="3"/>
      <c r="AV84" s="3"/>
    </row>
    <row r="85" spans="1:48" ht="12.75" customHeight="1">
      <c r="A85" s="53"/>
      <c r="B85" s="53"/>
      <c r="C85" s="549"/>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3"/>
      <c r="AT85" s="3"/>
      <c r="AU85" s="3"/>
      <c r="AV85" s="3"/>
    </row>
    <row r="86" spans="1:48" ht="12.75" customHeight="1">
      <c r="A86" s="53"/>
      <c r="B86" s="53"/>
      <c r="C86" s="549"/>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3"/>
      <c r="AT86" s="3"/>
      <c r="AU86" s="3"/>
      <c r="AV86" s="3"/>
    </row>
    <row r="87" spans="1:48" ht="12.75" customHeight="1">
      <c r="A87" s="53"/>
      <c r="B87" s="53"/>
      <c r="C87" s="549"/>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3"/>
      <c r="AT87" s="3"/>
      <c r="AU87" s="3"/>
      <c r="AV87" s="3"/>
    </row>
    <row r="88" spans="1:48" ht="12.75" customHeight="1">
      <c r="A88" s="53"/>
      <c r="B88" s="53"/>
      <c r="C88" s="549"/>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3"/>
      <c r="AT88" s="3"/>
      <c r="AU88" s="3"/>
      <c r="AV88" s="3"/>
    </row>
    <row r="89" spans="1:48" ht="12.75" customHeight="1">
      <c r="A89" s="53"/>
      <c r="B89" s="53"/>
      <c r="C89" s="549"/>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3"/>
      <c r="AT89" s="3"/>
      <c r="AU89" s="3"/>
      <c r="AV89" s="3"/>
    </row>
    <row r="90" spans="1:48" ht="12.75" customHeight="1">
      <c r="A90" s="53"/>
      <c r="B90" s="53"/>
      <c r="C90" s="549"/>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3"/>
      <c r="AT90" s="3"/>
      <c r="AU90" s="3"/>
      <c r="AV90" s="3"/>
    </row>
    <row r="91" spans="1:48" ht="12.75" customHeight="1">
      <c r="A91" s="53"/>
      <c r="B91" s="53"/>
      <c r="C91" s="549"/>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3"/>
      <c r="AT91" s="3"/>
      <c r="AU91" s="3"/>
      <c r="AV91" s="3"/>
    </row>
    <row r="92" spans="1:48" ht="12.75" customHeight="1">
      <c r="A92" s="53"/>
      <c r="B92" s="53"/>
      <c r="C92" s="549"/>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3"/>
      <c r="AT92" s="3"/>
      <c r="AU92" s="3"/>
      <c r="AV92" s="3"/>
    </row>
    <row r="93" spans="1:48" ht="12.75" customHeight="1">
      <c r="A93" s="53"/>
      <c r="B93" s="53"/>
      <c r="C93" s="549"/>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3"/>
      <c r="AT93" s="3"/>
      <c r="AU93" s="3"/>
      <c r="AV93" s="3"/>
    </row>
    <row r="94" spans="1:48" ht="12.75" customHeight="1">
      <c r="A94" s="53"/>
      <c r="B94" s="53"/>
      <c r="C94" s="549"/>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3"/>
      <c r="AT94" s="3"/>
      <c r="AU94" s="3"/>
      <c r="AV94" s="3"/>
    </row>
    <row r="95" spans="1:48" ht="12.75" customHeight="1">
      <c r="A95" s="53"/>
      <c r="B95" s="53"/>
      <c r="C95" s="549"/>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3"/>
      <c r="AT95" s="3"/>
      <c r="AU95" s="3"/>
      <c r="AV95" s="3"/>
    </row>
    <row r="96" spans="1:48" ht="12.75" customHeight="1">
      <c r="A96" s="53"/>
      <c r="B96" s="53"/>
      <c r="C96" s="549"/>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3"/>
      <c r="AT96" s="3"/>
      <c r="AU96" s="3"/>
      <c r="AV96" s="3"/>
    </row>
    <row r="97" spans="1:48" ht="12.75" customHeight="1">
      <c r="A97" s="53"/>
      <c r="B97" s="53"/>
      <c r="C97" s="549"/>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3"/>
      <c r="AT97" s="3"/>
      <c r="AU97" s="3"/>
      <c r="AV97" s="3"/>
    </row>
    <row r="98" spans="1:48" ht="12.75" customHeight="1">
      <c r="A98" s="53"/>
      <c r="B98" s="53"/>
      <c r="C98" s="549"/>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3"/>
      <c r="AT98" s="3"/>
      <c r="AU98" s="3"/>
      <c r="AV98" s="3"/>
    </row>
    <row r="99" spans="1:48" ht="12.75" customHeight="1">
      <c r="A99" s="53"/>
      <c r="B99" s="53"/>
      <c r="C99" s="549"/>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3"/>
      <c r="AT99" s="3"/>
      <c r="AU99" s="3"/>
      <c r="AV99" s="3"/>
    </row>
    <row r="100" spans="1:48" ht="12.75" customHeight="1">
      <c r="A100" s="53"/>
      <c r="B100" s="53"/>
      <c r="C100" s="549"/>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3"/>
      <c r="AT100" s="3"/>
      <c r="AU100" s="3"/>
      <c r="AV100" s="3"/>
    </row>
    <row r="101" spans="1:48" ht="12.75" customHeight="1">
      <c r="A101" s="53"/>
      <c r="B101" s="53"/>
      <c r="C101" s="549"/>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3"/>
      <c r="AT101" s="3"/>
      <c r="AU101" s="3"/>
      <c r="AV101" s="3"/>
    </row>
    <row r="102" spans="1:48" ht="12.75" customHeight="1">
      <c r="A102" s="53"/>
      <c r="B102" s="53"/>
      <c r="C102" s="549"/>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3"/>
      <c r="AT102" s="3"/>
      <c r="AU102" s="3"/>
      <c r="AV102" s="3"/>
    </row>
    <row r="103" spans="1:48" ht="12.75" customHeight="1">
      <c r="A103" s="53"/>
      <c r="B103" s="53"/>
      <c r="C103" s="549"/>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3"/>
      <c r="AT103" s="3"/>
      <c r="AU103" s="3"/>
      <c r="AV103" s="3"/>
    </row>
    <row r="104" spans="1:48" ht="12.75" customHeight="1">
      <c r="A104" s="53"/>
      <c r="B104" s="53"/>
      <c r="C104" s="549"/>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3"/>
      <c r="AT104" s="3"/>
      <c r="AU104" s="3"/>
      <c r="AV104" s="3"/>
    </row>
    <row r="105" spans="1:48" ht="12.75" customHeight="1">
      <c r="A105" s="53"/>
      <c r="B105" s="53"/>
      <c r="C105" s="549"/>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3"/>
      <c r="AT105" s="3"/>
      <c r="AU105" s="3"/>
      <c r="AV105" s="3"/>
    </row>
    <row r="106" spans="1:48" ht="12.75" customHeight="1">
      <c r="A106" s="53"/>
      <c r="B106" s="53"/>
      <c r="C106" s="549"/>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3"/>
      <c r="AT106" s="3"/>
      <c r="AU106" s="3"/>
      <c r="AV106" s="3"/>
    </row>
    <row r="107" spans="1:48" ht="12.75" customHeight="1">
      <c r="A107" s="53"/>
      <c r="B107" s="53"/>
      <c r="C107" s="549"/>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3"/>
      <c r="AT107" s="3"/>
      <c r="AU107" s="3"/>
      <c r="AV107" s="3"/>
    </row>
    <row r="108" spans="1:48" ht="12.75" customHeight="1">
      <c r="A108" s="53"/>
      <c r="B108" s="53"/>
      <c r="C108" s="549"/>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3"/>
      <c r="AT108" s="3"/>
      <c r="AU108" s="3"/>
      <c r="AV108" s="3"/>
    </row>
    <row r="109" spans="1:48" ht="12.75" customHeight="1">
      <c r="A109" s="53"/>
      <c r="B109" s="53"/>
      <c r="C109" s="549"/>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3"/>
      <c r="AT109" s="3"/>
      <c r="AU109" s="3"/>
      <c r="AV109" s="3"/>
    </row>
    <row r="110" spans="1:48" ht="12.75" customHeight="1">
      <c r="A110" s="53"/>
      <c r="B110" s="53"/>
      <c r="C110" s="549"/>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3"/>
      <c r="AT110" s="3"/>
      <c r="AU110" s="3"/>
      <c r="AV110" s="3"/>
    </row>
    <row r="111" spans="1:48" ht="12.75" customHeight="1">
      <c r="A111" s="53"/>
      <c r="B111" s="53"/>
      <c r="C111" s="549"/>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3"/>
      <c r="AT111" s="3"/>
      <c r="AU111" s="3"/>
      <c r="AV111" s="3"/>
    </row>
    <row r="112" spans="1:48" ht="12.75" customHeight="1">
      <c r="A112" s="53"/>
      <c r="B112" s="53"/>
      <c r="C112" s="549"/>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3"/>
      <c r="AT112" s="3"/>
      <c r="AU112" s="3"/>
      <c r="AV112" s="3"/>
    </row>
    <row r="113" spans="1:48" ht="12.75" customHeight="1">
      <c r="A113" s="53"/>
      <c r="B113" s="53"/>
      <c r="C113" s="549"/>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3"/>
      <c r="AT113" s="3"/>
      <c r="AU113" s="3"/>
      <c r="AV113" s="3"/>
    </row>
    <row r="114" spans="1:48" ht="12.75" customHeight="1">
      <c r="A114" s="53"/>
      <c r="B114" s="53"/>
      <c r="C114" s="549"/>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3"/>
      <c r="AT114" s="3"/>
      <c r="AU114" s="3"/>
      <c r="AV114" s="3"/>
    </row>
    <row r="115" spans="1:48" ht="12.75" customHeight="1">
      <c r="A115" s="53"/>
      <c r="B115" s="53"/>
      <c r="C115" s="549"/>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3"/>
      <c r="AT115" s="3"/>
      <c r="AU115" s="3"/>
      <c r="AV115" s="3"/>
    </row>
    <row r="116" spans="1:48" ht="12.75" customHeight="1">
      <c r="A116" s="53"/>
      <c r="B116" s="53"/>
      <c r="C116" s="549"/>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3"/>
      <c r="AT116" s="3"/>
      <c r="AU116" s="3"/>
      <c r="AV116" s="3"/>
    </row>
    <row r="117" spans="1:48" ht="12.75" customHeight="1">
      <c r="A117" s="53"/>
      <c r="B117" s="53"/>
      <c r="C117" s="549"/>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3"/>
      <c r="AT117" s="3"/>
      <c r="AU117" s="3"/>
      <c r="AV117" s="3"/>
    </row>
    <row r="118" spans="1:48" ht="12.75" customHeight="1">
      <c r="A118" s="53"/>
      <c r="B118" s="53"/>
      <c r="C118" s="549"/>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3"/>
      <c r="AT118" s="3"/>
      <c r="AU118" s="3"/>
      <c r="AV118" s="3"/>
    </row>
    <row r="119" spans="1:48" ht="12.75" customHeight="1">
      <c r="A119" s="53"/>
      <c r="B119" s="53"/>
      <c r="C119" s="549"/>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3"/>
      <c r="AT119" s="3"/>
      <c r="AU119" s="3"/>
      <c r="AV119" s="3"/>
    </row>
    <row r="120" spans="1:48" ht="12.75" customHeight="1">
      <c r="A120" s="53"/>
      <c r="B120" s="53"/>
      <c r="C120" s="549"/>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3"/>
      <c r="AT120" s="3"/>
      <c r="AU120" s="3"/>
      <c r="AV120" s="3"/>
    </row>
    <row r="121" spans="1:48" ht="12.75" customHeight="1">
      <c r="A121" s="53"/>
      <c r="B121" s="53"/>
      <c r="C121" s="549"/>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3"/>
      <c r="AT121" s="3"/>
      <c r="AU121" s="3"/>
      <c r="AV121" s="3"/>
    </row>
    <row r="122" spans="1:48" ht="12.75" customHeight="1">
      <c r="A122" s="53"/>
      <c r="B122" s="53"/>
      <c r="C122" s="549"/>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3"/>
      <c r="AT122" s="3"/>
      <c r="AU122" s="3"/>
      <c r="AV122" s="3"/>
    </row>
    <row r="123" spans="1:48" ht="12.75" customHeight="1">
      <c r="A123" s="53"/>
      <c r="B123" s="53"/>
      <c r="C123" s="549"/>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3"/>
      <c r="AT123" s="3"/>
      <c r="AU123" s="3"/>
      <c r="AV123" s="3"/>
    </row>
    <row r="124" spans="1:48" ht="12.75" customHeight="1">
      <c r="A124" s="53"/>
      <c r="B124" s="53"/>
      <c r="C124" s="549"/>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3"/>
      <c r="AT124" s="3"/>
      <c r="AU124" s="3"/>
      <c r="AV124" s="3"/>
    </row>
    <row r="125" spans="1:48" ht="12.75" customHeight="1">
      <c r="A125" s="53"/>
      <c r="B125" s="53"/>
      <c r="C125" s="549"/>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3"/>
      <c r="AT125" s="3"/>
      <c r="AU125" s="3"/>
      <c r="AV125" s="3"/>
    </row>
    <row r="126" spans="1:48" ht="12.75" customHeight="1">
      <c r="A126" s="53"/>
      <c r="B126" s="53"/>
      <c r="C126" s="549"/>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3"/>
      <c r="AT126" s="3"/>
      <c r="AU126" s="3"/>
      <c r="AV126" s="3"/>
    </row>
    <row r="127" spans="1:48" ht="12.75" customHeight="1">
      <c r="A127" s="53"/>
      <c r="B127" s="53"/>
      <c r="C127" s="549"/>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3"/>
      <c r="AT127" s="3"/>
      <c r="AU127" s="3"/>
      <c r="AV127" s="3"/>
    </row>
    <row r="128" spans="1:48" ht="12.75" customHeight="1">
      <c r="A128" s="53"/>
      <c r="B128" s="53"/>
      <c r="C128" s="549"/>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3"/>
      <c r="AT128" s="3"/>
      <c r="AU128" s="3"/>
      <c r="AV128" s="3"/>
    </row>
    <row r="129" spans="1:48" ht="12.75" customHeight="1">
      <c r="A129" s="53"/>
      <c r="B129" s="53"/>
      <c r="C129" s="549"/>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3"/>
      <c r="AT129" s="3"/>
      <c r="AU129" s="3"/>
      <c r="AV129" s="3"/>
    </row>
    <row r="130" spans="1:48" ht="12.75" customHeight="1">
      <c r="A130" s="53"/>
      <c r="B130" s="53"/>
      <c r="C130" s="549"/>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3"/>
      <c r="AT130" s="3"/>
      <c r="AU130" s="3"/>
      <c r="AV130" s="3"/>
    </row>
    <row r="131" spans="1:48" ht="12.75" customHeight="1">
      <c r="A131" s="53"/>
      <c r="B131" s="53"/>
      <c r="C131" s="549"/>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3"/>
      <c r="AT131" s="3"/>
      <c r="AU131" s="3"/>
      <c r="AV131" s="3"/>
    </row>
    <row r="132" spans="1:48" ht="12.75" customHeight="1">
      <c r="A132" s="53"/>
      <c r="B132" s="53"/>
      <c r="C132" s="549"/>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3"/>
      <c r="AT132" s="3"/>
      <c r="AU132" s="3"/>
      <c r="AV132" s="3"/>
    </row>
    <row r="133" spans="1:48" ht="12.75" customHeight="1">
      <c r="A133" s="53"/>
      <c r="B133" s="53"/>
      <c r="C133" s="549"/>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3"/>
      <c r="AT133" s="3"/>
      <c r="AU133" s="3"/>
      <c r="AV133" s="3"/>
    </row>
    <row r="134" spans="1:48" ht="12.75" customHeight="1">
      <c r="A134" s="53"/>
      <c r="B134" s="53"/>
      <c r="C134" s="549"/>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3"/>
      <c r="AT134" s="3"/>
      <c r="AU134" s="3"/>
      <c r="AV134" s="3"/>
    </row>
    <row r="135" spans="1:48" ht="12.75" customHeight="1">
      <c r="A135" s="53"/>
      <c r="B135" s="53"/>
      <c r="C135" s="549"/>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3"/>
      <c r="AT135" s="3"/>
      <c r="AU135" s="3"/>
      <c r="AV135" s="3"/>
    </row>
    <row r="136" spans="1:48" ht="12.75" customHeight="1">
      <c r="A136" s="53"/>
      <c r="B136" s="53"/>
      <c r="C136" s="549"/>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3"/>
      <c r="AT136" s="3"/>
      <c r="AU136" s="3"/>
      <c r="AV136" s="3"/>
    </row>
    <row r="137" spans="1:48" ht="12.75" customHeight="1">
      <c r="A137" s="53"/>
      <c r="B137" s="53"/>
      <c r="C137" s="549"/>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3"/>
      <c r="AT137" s="3"/>
      <c r="AU137" s="3"/>
      <c r="AV137" s="3"/>
    </row>
    <row r="138" spans="1:48" ht="12.75" customHeight="1">
      <c r="A138" s="53"/>
      <c r="B138" s="53"/>
      <c r="C138" s="549"/>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3"/>
      <c r="AT138" s="3"/>
      <c r="AU138" s="3"/>
      <c r="AV138" s="3"/>
    </row>
    <row r="139" spans="1:48" ht="12.75" customHeight="1">
      <c r="A139" s="53"/>
      <c r="B139" s="53"/>
      <c r="C139" s="549"/>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3"/>
      <c r="AT139" s="3"/>
      <c r="AU139" s="3"/>
      <c r="AV139" s="3"/>
    </row>
    <row r="140" spans="1:48" ht="12.75" customHeight="1">
      <c r="A140" s="53"/>
      <c r="B140" s="53"/>
      <c r="C140" s="549"/>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3"/>
      <c r="AT140" s="3"/>
      <c r="AU140" s="3"/>
      <c r="AV140" s="3"/>
    </row>
    <row r="141" spans="1:48" ht="12.75" customHeight="1">
      <c r="A141" s="53"/>
      <c r="B141" s="53"/>
      <c r="C141" s="549"/>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3"/>
      <c r="AT141" s="3"/>
      <c r="AU141" s="3"/>
      <c r="AV141" s="3"/>
    </row>
    <row r="142" spans="1:48" ht="12.75" customHeight="1">
      <c r="A142" s="53"/>
      <c r="B142" s="53"/>
      <c r="C142" s="549"/>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3"/>
      <c r="AT142" s="3"/>
      <c r="AU142" s="3"/>
      <c r="AV142" s="3"/>
    </row>
    <row r="143" spans="1:48" ht="12.75" customHeight="1">
      <c r="A143" s="53"/>
      <c r="B143" s="53"/>
      <c r="C143" s="549"/>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3"/>
      <c r="AT143" s="3"/>
      <c r="AU143" s="3"/>
      <c r="AV143" s="3"/>
    </row>
    <row r="144" spans="1:48" ht="12.75" customHeight="1">
      <c r="A144" s="53"/>
      <c r="B144" s="53"/>
      <c r="C144" s="549"/>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3"/>
      <c r="AT144" s="3"/>
      <c r="AU144" s="3"/>
      <c r="AV144" s="3"/>
    </row>
    <row r="145" spans="1:48" ht="12.75" customHeight="1">
      <c r="A145" s="53"/>
      <c r="B145" s="53"/>
      <c r="C145" s="549"/>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3"/>
      <c r="AT145" s="3"/>
      <c r="AU145" s="3"/>
      <c r="AV145" s="3"/>
    </row>
    <row r="146" spans="1:48" ht="12.75" customHeight="1">
      <c r="A146" s="53"/>
      <c r="B146" s="53"/>
      <c r="C146" s="549"/>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3"/>
      <c r="AT146" s="3"/>
      <c r="AU146" s="3"/>
      <c r="AV146" s="3"/>
    </row>
    <row r="147" spans="1:48" ht="12.75" customHeight="1">
      <c r="A147" s="53"/>
      <c r="B147" s="53"/>
      <c r="C147" s="549"/>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3"/>
      <c r="AT147" s="3"/>
      <c r="AU147" s="3"/>
      <c r="AV147" s="3"/>
    </row>
    <row r="148" spans="1:48" ht="12.75" customHeight="1">
      <c r="A148" s="53"/>
      <c r="B148" s="53"/>
      <c r="C148" s="549"/>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3"/>
      <c r="AT148" s="3"/>
      <c r="AU148" s="3"/>
      <c r="AV148" s="3"/>
    </row>
    <row r="149" spans="1:48" ht="12.75" customHeight="1">
      <c r="A149" s="53"/>
      <c r="B149" s="53"/>
      <c r="C149" s="549"/>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3"/>
      <c r="AT149" s="3"/>
      <c r="AU149" s="3"/>
      <c r="AV149" s="3"/>
    </row>
    <row r="150" spans="1:48" ht="12.75" customHeight="1">
      <c r="A150" s="53"/>
      <c r="B150" s="53"/>
      <c r="C150" s="549"/>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3"/>
      <c r="AT150" s="3"/>
      <c r="AU150" s="3"/>
      <c r="AV150" s="3"/>
    </row>
    <row r="151" spans="1:48" ht="12.75" customHeight="1">
      <c r="A151" s="53"/>
      <c r="B151" s="53"/>
      <c r="C151" s="549"/>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3"/>
      <c r="AT151" s="3"/>
      <c r="AU151" s="3"/>
      <c r="AV151" s="3"/>
    </row>
    <row r="152" spans="1:48" ht="12.75" customHeight="1">
      <c r="A152" s="53"/>
      <c r="B152" s="53"/>
      <c r="C152" s="549"/>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3"/>
      <c r="AT152" s="3"/>
      <c r="AU152" s="3"/>
      <c r="AV152" s="3"/>
    </row>
    <row r="153" spans="1:48" ht="12.75" customHeight="1">
      <c r="A153" s="53"/>
      <c r="B153" s="53"/>
      <c r="C153" s="549"/>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3"/>
      <c r="AT153" s="3"/>
      <c r="AU153" s="3"/>
      <c r="AV153" s="3"/>
    </row>
    <row r="154" spans="1:48" ht="12.75" customHeight="1">
      <c r="A154" s="53"/>
      <c r="B154" s="53"/>
      <c r="C154" s="549"/>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3"/>
      <c r="AT154" s="3"/>
      <c r="AU154" s="3"/>
      <c r="AV154" s="3"/>
    </row>
    <row r="155" spans="1:48" ht="12.75" customHeight="1">
      <c r="A155" s="53"/>
      <c r="B155" s="53"/>
      <c r="C155" s="549"/>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3"/>
      <c r="AT155" s="3"/>
      <c r="AU155" s="3"/>
      <c r="AV155" s="3"/>
    </row>
    <row r="156" spans="1:48" ht="12.75" customHeight="1">
      <c r="A156" s="53"/>
      <c r="B156" s="53"/>
      <c r="C156" s="549"/>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3"/>
      <c r="AT156" s="3"/>
      <c r="AU156" s="3"/>
      <c r="AV156" s="3"/>
    </row>
    <row r="157" spans="1:48" ht="12.75" customHeight="1">
      <c r="A157" s="53"/>
      <c r="B157" s="53"/>
      <c r="C157" s="549"/>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3"/>
      <c r="AT157" s="3"/>
      <c r="AU157" s="3"/>
      <c r="AV157" s="3"/>
    </row>
    <row r="158" spans="1:48" ht="12.75" customHeight="1">
      <c r="A158" s="53"/>
      <c r="B158" s="53"/>
      <c r="C158" s="549"/>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3"/>
      <c r="AT158" s="3"/>
      <c r="AU158" s="3"/>
      <c r="AV158" s="3"/>
    </row>
    <row r="159" spans="1:48" ht="12.75" customHeight="1">
      <c r="A159" s="53"/>
      <c r="B159" s="53"/>
      <c r="C159" s="549"/>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3"/>
      <c r="AT159" s="3"/>
      <c r="AU159" s="3"/>
      <c r="AV159" s="3"/>
    </row>
    <row r="160" spans="1:48" ht="12.75" customHeight="1">
      <c r="A160" s="53"/>
      <c r="B160" s="53"/>
      <c r="C160" s="549"/>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3"/>
      <c r="AT160" s="3"/>
      <c r="AU160" s="3"/>
      <c r="AV160" s="3"/>
    </row>
    <row r="161" spans="1:48" ht="12.75" customHeight="1">
      <c r="A161" s="53"/>
      <c r="B161" s="53"/>
      <c r="C161" s="549"/>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3"/>
      <c r="AT161" s="3"/>
      <c r="AU161" s="3"/>
      <c r="AV161" s="3"/>
    </row>
    <row r="162" spans="1:48" ht="12.75" customHeight="1">
      <c r="A162" s="53"/>
      <c r="B162" s="53"/>
      <c r="C162" s="549"/>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3"/>
      <c r="AT162" s="3"/>
      <c r="AU162" s="3"/>
      <c r="AV162" s="3"/>
    </row>
    <row r="163" spans="1:48" ht="12.75" customHeight="1">
      <c r="A163" s="53"/>
      <c r="B163" s="53"/>
      <c r="C163" s="549"/>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3"/>
      <c r="AT163" s="3"/>
      <c r="AU163" s="3"/>
      <c r="AV163" s="3"/>
    </row>
    <row r="164" spans="1:48" ht="12.75" customHeight="1">
      <c r="A164" s="53"/>
      <c r="B164" s="53"/>
      <c r="C164" s="549"/>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3"/>
      <c r="AT164" s="3"/>
      <c r="AU164" s="3"/>
      <c r="AV164" s="3"/>
    </row>
    <row r="165" spans="1:48" ht="12.75" customHeight="1">
      <c r="A165" s="53"/>
      <c r="B165" s="53"/>
      <c r="C165" s="549"/>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3"/>
      <c r="AT165" s="3"/>
      <c r="AU165" s="3"/>
      <c r="AV165" s="3"/>
    </row>
    <row r="166" spans="1:48" ht="12.75" customHeight="1">
      <c r="A166" s="53"/>
      <c r="B166" s="53"/>
      <c r="C166" s="549"/>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3"/>
      <c r="AT166" s="3"/>
      <c r="AU166" s="3"/>
      <c r="AV166" s="3"/>
    </row>
    <row r="167" spans="1:48" ht="12.75" customHeight="1">
      <c r="A167" s="53"/>
      <c r="B167" s="53"/>
      <c r="C167" s="549"/>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3"/>
      <c r="AT167" s="3"/>
      <c r="AU167" s="3"/>
      <c r="AV167" s="3"/>
    </row>
    <row r="168" spans="1:48" ht="12.75" customHeight="1">
      <c r="A168" s="53"/>
      <c r="B168" s="53"/>
      <c r="C168" s="549"/>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3"/>
      <c r="AT168" s="3"/>
      <c r="AU168" s="3"/>
      <c r="AV168" s="3"/>
    </row>
    <row r="169" spans="1:48" ht="12.75" customHeight="1">
      <c r="A169" s="53"/>
      <c r="B169" s="53"/>
      <c r="C169" s="549"/>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3"/>
      <c r="AT169" s="3"/>
      <c r="AU169" s="3"/>
      <c r="AV169" s="3"/>
    </row>
    <row r="170" spans="1:48" ht="12.75" customHeight="1">
      <c r="A170" s="53"/>
      <c r="B170" s="53"/>
      <c r="C170" s="549"/>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3"/>
      <c r="AT170" s="3"/>
      <c r="AU170" s="3"/>
      <c r="AV170" s="3"/>
    </row>
    <row r="171" spans="1:48" ht="12.75" customHeight="1">
      <c r="A171" s="53"/>
      <c r="B171" s="53"/>
      <c r="C171" s="549"/>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3"/>
      <c r="AT171" s="3"/>
      <c r="AU171" s="3"/>
      <c r="AV171" s="3"/>
    </row>
    <row r="172" spans="1:48" ht="12.75" customHeight="1">
      <c r="A172" s="53"/>
      <c r="B172" s="53"/>
      <c r="C172" s="549"/>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3"/>
      <c r="AT172" s="3"/>
      <c r="AU172" s="3"/>
      <c r="AV172" s="3"/>
    </row>
    <row r="173" spans="1:48" ht="12.75" customHeight="1">
      <c r="A173" s="53"/>
      <c r="B173" s="53"/>
      <c r="C173" s="549"/>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3"/>
      <c r="AT173" s="3"/>
      <c r="AU173" s="3"/>
      <c r="AV173" s="3"/>
    </row>
    <row r="174" spans="1:48" ht="12.75" customHeight="1">
      <c r="A174" s="53"/>
      <c r="B174" s="53"/>
      <c r="C174" s="549"/>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3"/>
      <c r="AT174" s="3"/>
      <c r="AU174" s="3"/>
      <c r="AV174" s="3"/>
    </row>
    <row r="175" spans="1:48" ht="12.75" customHeight="1">
      <c r="A175" s="53"/>
      <c r="B175" s="53"/>
      <c r="C175" s="549"/>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3"/>
      <c r="AT175" s="3"/>
      <c r="AU175" s="3"/>
      <c r="AV175" s="3"/>
    </row>
    <row r="176" spans="1:48" ht="12.75" customHeight="1">
      <c r="A176" s="53"/>
      <c r="B176" s="53"/>
      <c r="C176" s="549"/>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3"/>
      <c r="AT176" s="3"/>
      <c r="AU176" s="3"/>
      <c r="AV176" s="3"/>
    </row>
    <row r="177" spans="1:48" ht="12.75" customHeight="1">
      <c r="A177" s="53"/>
      <c r="B177" s="53"/>
      <c r="C177" s="549"/>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3"/>
      <c r="AT177" s="3"/>
      <c r="AU177" s="3"/>
      <c r="AV177" s="3"/>
    </row>
    <row r="178" spans="1:48" ht="12.75" customHeight="1">
      <c r="A178" s="53"/>
      <c r="B178" s="53"/>
      <c r="C178" s="549"/>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3"/>
      <c r="AT178" s="3"/>
      <c r="AU178" s="3"/>
      <c r="AV178" s="3"/>
    </row>
    <row r="179" spans="1:48" ht="12.75" customHeight="1">
      <c r="A179" s="53"/>
      <c r="B179" s="53"/>
      <c r="C179" s="549"/>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3"/>
      <c r="AT179" s="3"/>
      <c r="AU179" s="3"/>
      <c r="AV179" s="3"/>
    </row>
    <row r="180" spans="1:48" ht="12.75" customHeight="1">
      <c r="A180" s="53"/>
      <c r="B180" s="53"/>
      <c r="C180" s="549"/>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3"/>
      <c r="AT180" s="3"/>
      <c r="AU180" s="3"/>
      <c r="AV180" s="3"/>
    </row>
    <row r="181" spans="1:48" ht="12.75" customHeight="1">
      <c r="A181" s="53"/>
      <c r="B181" s="53"/>
      <c r="C181" s="549"/>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3"/>
      <c r="AT181" s="3"/>
      <c r="AU181" s="3"/>
      <c r="AV181" s="3"/>
    </row>
    <row r="182" spans="1:48" ht="12.75" customHeight="1">
      <c r="A182" s="53"/>
      <c r="B182" s="53"/>
      <c r="C182" s="549"/>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3"/>
      <c r="AT182" s="3"/>
      <c r="AU182" s="3"/>
      <c r="AV182" s="3"/>
    </row>
    <row r="183" spans="1:48" ht="12.75" customHeight="1">
      <c r="A183" s="53"/>
      <c r="B183" s="53"/>
      <c r="C183" s="549"/>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3"/>
      <c r="AT183" s="3"/>
      <c r="AU183" s="3"/>
      <c r="AV183" s="3"/>
    </row>
    <row r="184" spans="1:48" ht="12.75" customHeight="1">
      <c r="A184" s="53"/>
      <c r="B184" s="53"/>
      <c r="C184" s="549"/>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3"/>
      <c r="AT184" s="3"/>
      <c r="AU184" s="3"/>
      <c r="AV184" s="3"/>
    </row>
    <row r="185" spans="1:48" ht="12.75" customHeight="1">
      <c r="A185" s="53"/>
      <c r="B185" s="53"/>
      <c r="C185" s="549"/>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3"/>
      <c r="AT185" s="3"/>
      <c r="AU185" s="3"/>
      <c r="AV185" s="3"/>
    </row>
    <row r="186" spans="1:48" ht="12.75" customHeight="1">
      <c r="A186" s="53"/>
      <c r="B186" s="53"/>
      <c r="C186" s="549"/>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3"/>
      <c r="AT186" s="3"/>
      <c r="AU186" s="3"/>
      <c r="AV186" s="3"/>
    </row>
    <row r="187" spans="1:48" ht="12.75" customHeight="1">
      <c r="A187" s="53"/>
      <c r="B187" s="53"/>
      <c r="C187" s="549"/>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3"/>
      <c r="AT187" s="3"/>
      <c r="AU187" s="3"/>
      <c r="AV187" s="3"/>
    </row>
    <row r="188" spans="1:48" ht="12.75" customHeight="1">
      <c r="A188" s="53"/>
      <c r="B188" s="53"/>
      <c r="C188" s="549"/>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3"/>
      <c r="AT188" s="3"/>
      <c r="AU188" s="3"/>
      <c r="AV188" s="3"/>
    </row>
    <row r="189" spans="1:48" ht="12.75" customHeight="1">
      <c r="A189" s="53"/>
      <c r="B189" s="53"/>
      <c r="C189" s="549"/>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3"/>
      <c r="AT189" s="3"/>
      <c r="AU189" s="3"/>
      <c r="AV189" s="3"/>
    </row>
    <row r="190" spans="1:48" ht="12.75" customHeight="1">
      <c r="A190" s="53"/>
      <c r="B190" s="53"/>
      <c r="C190" s="549"/>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3"/>
      <c r="AT190" s="3"/>
      <c r="AU190" s="3"/>
      <c r="AV190" s="3"/>
    </row>
    <row r="191" spans="1:48" ht="12.75" customHeight="1">
      <c r="A191" s="53"/>
      <c r="B191" s="53"/>
      <c r="C191" s="549"/>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3"/>
      <c r="AT191" s="3"/>
      <c r="AU191" s="3"/>
      <c r="AV191" s="3"/>
    </row>
    <row r="192" spans="1:48" ht="12.75" customHeight="1">
      <c r="A192" s="53"/>
      <c r="B192" s="53"/>
      <c r="C192" s="549"/>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c r="AS192" s="3"/>
      <c r="AT192" s="3"/>
      <c r="AU192" s="3"/>
      <c r="AV192" s="3"/>
    </row>
    <row r="193" spans="1:48" ht="12.75" customHeight="1">
      <c r="A193" s="53"/>
      <c r="B193" s="53"/>
      <c r="C193" s="549"/>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c r="AS193" s="3"/>
      <c r="AT193" s="3"/>
      <c r="AU193" s="3"/>
      <c r="AV193" s="3"/>
    </row>
    <row r="194" spans="1:48" ht="12.75" customHeight="1">
      <c r="A194" s="53"/>
      <c r="B194" s="53"/>
      <c r="C194" s="549"/>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c r="AS194" s="3"/>
      <c r="AT194" s="3"/>
      <c r="AU194" s="3"/>
      <c r="AV194" s="3"/>
    </row>
    <row r="195" spans="1:48" ht="12.75" customHeight="1">
      <c r="A195" s="53"/>
      <c r="B195" s="53"/>
      <c r="C195" s="549"/>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c r="AS195" s="3"/>
      <c r="AT195" s="3"/>
      <c r="AU195" s="3"/>
      <c r="AV195" s="3"/>
    </row>
    <row r="196" spans="1:48" ht="12.75" customHeight="1">
      <c r="A196" s="53"/>
      <c r="B196" s="53"/>
      <c r="C196" s="549"/>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c r="AS196" s="3"/>
      <c r="AT196" s="3"/>
      <c r="AU196" s="3"/>
      <c r="AV196" s="3"/>
    </row>
    <row r="197" spans="1:48" ht="12.75" customHeight="1">
      <c r="A197" s="53"/>
      <c r="B197" s="53"/>
      <c r="C197" s="549"/>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c r="AS197" s="3"/>
      <c r="AT197" s="3"/>
      <c r="AU197" s="3"/>
      <c r="AV197" s="3"/>
    </row>
    <row r="198" spans="1:48" ht="12.75" customHeight="1">
      <c r="A198" s="53"/>
      <c r="B198" s="53"/>
      <c r="C198" s="549"/>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c r="AS198" s="3"/>
      <c r="AT198" s="3"/>
      <c r="AU198" s="3"/>
      <c r="AV198" s="3"/>
    </row>
    <row r="199" spans="1:48" ht="12.75" customHeight="1">
      <c r="A199" s="53"/>
      <c r="B199" s="53"/>
      <c r="C199" s="549"/>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c r="AS199" s="3"/>
      <c r="AT199" s="3"/>
      <c r="AU199" s="3"/>
      <c r="AV199" s="3"/>
    </row>
    <row r="200" spans="1:48" ht="12.75" customHeight="1">
      <c r="A200" s="53"/>
      <c r="B200" s="53"/>
      <c r="C200" s="549"/>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c r="AS200" s="3"/>
      <c r="AT200" s="3"/>
      <c r="AU200" s="3"/>
      <c r="AV200" s="3"/>
    </row>
    <row r="201" spans="1:48" ht="12.75" customHeight="1">
      <c r="A201" s="53"/>
      <c r="B201" s="53"/>
      <c r="C201" s="549"/>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c r="AS201" s="3"/>
      <c r="AT201" s="3"/>
      <c r="AU201" s="3"/>
      <c r="AV201" s="3"/>
    </row>
    <row r="202" spans="1:48" ht="12.75" customHeight="1">
      <c r="A202" s="53"/>
      <c r="B202" s="53"/>
      <c r="C202" s="549"/>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c r="AS202" s="3"/>
      <c r="AT202" s="3"/>
      <c r="AU202" s="3"/>
      <c r="AV202" s="3"/>
    </row>
    <row r="203" spans="1:48" ht="12.75" customHeight="1">
      <c r="A203" s="53"/>
      <c r="B203" s="53"/>
      <c r="C203" s="549"/>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c r="AS203" s="3"/>
      <c r="AT203" s="3"/>
      <c r="AU203" s="3"/>
      <c r="AV203" s="3"/>
    </row>
    <row r="204" spans="1:48" ht="12.75" customHeight="1">
      <c r="A204" s="53"/>
      <c r="B204" s="53"/>
      <c r="C204" s="549"/>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c r="AS204" s="3"/>
      <c r="AT204" s="3"/>
      <c r="AU204" s="3"/>
      <c r="AV204" s="3"/>
    </row>
    <row r="205" spans="1:48" ht="12.75" customHeight="1">
      <c r="A205" s="53"/>
      <c r="B205" s="53"/>
      <c r="C205" s="549"/>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c r="AS205" s="3"/>
      <c r="AT205" s="3"/>
      <c r="AU205" s="3"/>
      <c r="AV205" s="3"/>
    </row>
    <row r="206" spans="1:48" ht="12.75" customHeight="1">
      <c r="A206" s="53"/>
      <c r="B206" s="53"/>
      <c r="C206" s="549"/>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c r="AS206" s="3"/>
      <c r="AT206" s="3"/>
      <c r="AU206" s="3"/>
      <c r="AV206" s="3"/>
    </row>
    <row r="207" spans="1:48" ht="12.75" customHeight="1">
      <c r="A207" s="53"/>
      <c r="B207" s="53"/>
      <c r="C207" s="549"/>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c r="AS207" s="3"/>
      <c r="AT207" s="3"/>
      <c r="AU207" s="3"/>
      <c r="AV207" s="3"/>
    </row>
    <row r="208" spans="1:48" ht="12.75" customHeight="1">
      <c r="A208" s="53"/>
      <c r="B208" s="53"/>
      <c r="C208" s="549"/>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c r="AS208" s="3"/>
      <c r="AT208" s="3"/>
      <c r="AU208" s="3"/>
      <c r="AV208" s="3"/>
    </row>
    <row r="209" spans="1:48" ht="12.75" customHeight="1">
      <c r="A209" s="53"/>
      <c r="B209" s="53"/>
      <c r="C209" s="549"/>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c r="AS209" s="3"/>
      <c r="AT209" s="3"/>
      <c r="AU209" s="3"/>
      <c r="AV209" s="3"/>
    </row>
    <row r="210" spans="1:48" ht="12.75" customHeight="1">
      <c r="A210" s="53"/>
      <c r="B210" s="53"/>
      <c r="C210" s="549"/>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c r="AS210" s="3"/>
      <c r="AT210" s="3"/>
      <c r="AU210" s="3"/>
      <c r="AV210" s="3"/>
    </row>
    <row r="211" spans="1:48" ht="12.75" customHeight="1">
      <c r="A211" s="53"/>
      <c r="B211" s="53"/>
      <c r="C211" s="549"/>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c r="AS211" s="3"/>
      <c r="AT211" s="3"/>
      <c r="AU211" s="3"/>
      <c r="AV211" s="3"/>
    </row>
    <row r="212" spans="1:48" ht="12.75" customHeight="1">
      <c r="A212" s="53"/>
      <c r="B212" s="53"/>
      <c r="C212" s="549"/>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c r="AS212" s="3"/>
      <c r="AT212" s="3"/>
      <c r="AU212" s="3"/>
      <c r="AV212" s="3"/>
    </row>
    <row r="213" spans="1:48" ht="12.75" customHeight="1">
      <c r="A213" s="53"/>
      <c r="B213" s="53"/>
      <c r="C213" s="549"/>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c r="AS213" s="3"/>
      <c r="AT213" s="3"/>
      <c r="AU213" s="3"/>
      <c r="AV213" s="3"/>
    </row>
    <row r="214" spans="1:48" ht="12.75" customHeight="1">
      <c r="A214" s="53"/>
      <c r="B214" s="53"/>
      <c r="C214" s="549"/>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c r="AS214" s="3"/>
      <c r="AT214" s="3"/>
      <c r="AU214" s="3"/>
      <c r="AV214" s="3"/>
    </row>
    <row r="215" spans="1:48" ht="12.75" customHeight="1">
      <c r="A215" s="53"/>
      <c r="B215" s="53"/>
      <c r="C215" s="549"/>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c r="AS215" s="3"/>
      <c r="AT215" s="3"/>
      <c r="AU215" s="3"/>
      <c r="AV215" s="3"/>
    </row>
    <row r="216" spans="1:48" ht="12.75" customHeight="1">
      <c r="A216" s="53"/>
      <c r="B216" s="53"/>
      <c r="C216" s="549"/>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c r="AS216" s="3"/>
      <c r="AT216" s="3"/>
      <c r="AU216" s="3"/>
      <c r="AV216" s="3"/>
    </row>
    <row r="217" spans="1:48" ht="12.75" customHeight="1">
      <c r="A217" s="53"/>
      <c r="B217" s="53"/>
      <c r="C217" s="549"/>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c r="AS217" s="3"/>
      <c r="AT217" s="3"/>
      <c r="AU217" s="3"/>
      <c r="AV217" s="3"/>
    </row>
    <row r="218" spans="1:48" ht="12.75" customHeight="1">
      <c r="A218" s="53"/>
      <c r="B218" s="53"/>
      <c r="C218" s="549"/>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c r="AS218" s="3"/>
      <c r="AT218" s="3"/>
      <c r="AU218" s="3"/>
      <c r="AV218" s="3"/>
    </row>
    <row r="219" spans="1:48" ht="12.75" customHeight="1">
      <c r="A219" s="53"/>
      <c r="B219" s="53"/>
      <c r="C219" s="549"/>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c r="AS219" s="3"/>
      <c r="AT219" s="3"/>
      <c r="AU219" s="3"/>
      <c r="AV219" s="3"/>
    </row>
    <row r="220" spans="1:48" ht="12.75" customHeight="1">
      <c r="A220" s="53"/>
      <c r="B220" s="53"/>
      <c r="C220" s="549"/>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c r="AS220" s="3"/>
      <c r="AT220" s="3"/>
      <c r="AU220" s="3"/>
      <c r="AV220" s="3"/>
    </row>
    <row r="221" spans="1:48" ht="12.75" customHeight="1">
      <c r="A221" s="53"/>
      <c r="B221" s="53"/>
      <c r="C221" s="549"/>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c r="AS221" s="3"/>
      <c r="AT221" s="3"/>
      <c r="AU221" s="3"/>
      <c r="AV221" s="3"/>
    </row>
    <row r="222" spans="1:48" ht="12.75" customHeight="1">
      <c r="A222" s="53"/>
      <c r="B222" s="53"/>
      <c r="C222" s="549"/>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c r="AS222" s="3"/>
      <c r="AT222" s="3"/>
      <c r="AU222" s="3"/>
      <c r="AV222" s="3"/>
    </row>
    <row r="223" spans="1:48" ht="12.75" customHeight="1">
      <c r="A223" s="53"/>
      <c r="B223" s="53"/>
      <c r="C223" s="549"/>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c r="AS223" s="3"/>
      <c r="AT223" s="3"/>
      <c r="AU223" s="3"/>
      <c r="AV223" s="3"/>
    </row>
    <row r="224" spans="1:48" ht="12.75" customHeight="1">
      <c r="A224" s="53"/>
      <c r="B224" s="53"/>
      <c r="C224" s="549"/>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c r="AS224" s="3"/>
      <c r="AT224" s="3"/>
      <c r="AU224" s="3"/>
      <c r="AV224" s="3"/>
    </row>
    <row r="225" spans="1:48" ht="12.75" customHeight="1">
      <c r="A225" s="53"/>
      <c r="B225" s="53"/>
      <c r="C225" s="549"/>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c r="AS225" s="3"/>
      <c r="AT225" s="3"/>
      <c r="AU225" s="3"/>
      <c r="AV225" s="3"/>
    </row>
    <row r="226" spans="1:48" ht="12.75" customHeight="1">
      <c r="A226" s="53"/>
      <c r="B226" s="53"/>
      <c r="C226" s="549"/>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c r="AS226" s="3"/>
      <c r="AT226" s="3"/>
      <c r="AU226" s="3"/>
      <c r="AV226" s="3"/>
    </row>
    <row r="227" spans="1:48" ht="12.75" customHeight="1">
      <c r="A227" s="53"/>
      <c r="B227" s="53"/>
      <c r="C227" s="549"/>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c r="AS227" s="3"/>
      <c r="AT227" s="3"/>
      <c r="AU227" s="3"/>
      <c r="AV227" s="3"/>
    </row>
    <row r="228" spans="1:48" ht="12.75" customHeight="1">
      <c r="A228" s="53"/>
      <c r="B228" s="53"/>
      <c r="C228" s="549"/>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c r="AS228" s="3"/>
      <c r="AT228" s="3"/>
      <c r="AU228" s="3"/>
      <c r="AV228" s="3"/>
    </row>
    <row r="229" spans="1:48" ht="12.75" customHeight="1">
      <c r="A229" s="53"/>
      <c r="B229" s="53"/>
      <c r="C229" s="549"/>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c r="AS229" s="3"/>
      <c r="AT229" s="3"/>
      <c r="AU229" s="3"/>
      <c r="AV229" s="3"/>
    </row>
    <row r="230" spans="1:48" ht="12.75" customHeight="1">
      <c r="A230" s="53"/>
      <c r="B230" s="53"/>
      <c r="C230" s="549"/>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c r="AS230" s="3"/>
      <c r="AT230" s="3"/>
      <c r="AU230" s="3"/>
      <c r="AV230" s="3"/>
    </row>
    <row r="231" spans="1:48" ht="12.75" customHeight="1">
      <c r="A231" s="53"/>
      <c r="B231" s="53"/>
      <c r="C231" s="549"/>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c r="AS231" s="3"/>
      <c r="AT231" s="3"/>
      <c r="AU231" s="3"/>
      <c r="AV231" s="3"/>
    </row>
    <row r="232" spans="1:48" ht="12.75" customHeight="1">
      <c r="A232" s="53"/>
      <c r="B232" s="53"/>
      <c r="C232" s="549"/>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c r="AS232" s="3"/>
      <c r="AT232" s="3"/>
      <c r="AU232" s="3"/>
      <c r="AV232" s="3"/>
    </row>
    <row r="233" spans="1:48" ht="12.75" customHeight="1">
      <c r="A233" s="53"/>
      <c r="B233" s="53"/>
      <c r="C233" s="549"/>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c r="AS233" s="3"/>
      <c r="AT233" s="3"/>
      <c r="AU233" s="3"/>
      <c r="AV233" s="3"/>
    </row>
    <row r="234" spans="1:48" ht="12.75" customHeight="1">
      <c r="A234" s="53"/>
      <c r="B234" s="53"/>
      <c r="C234" s="549"/>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c r="AS234" s="3"/>
      <c r="AT234" s="3"/>
      <c r="AU234" s="3"/>
      <c r="AV234" s="3"/>
    </row>
    <row r="235" spans="1:48" ht="12.75" customHeight="1">
      <c r="A235" s="53"/>
      <c r="B235" s="53"/>
      <c r="C235" s="549"/>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c r="AS235" s="3"/>
      <c r="AT235" s="3"/>
      <c r="AU235" s="3"/>
      <c r="AV235" s="3"/>
    </row>
    <row r="236" spans="1:48" ht="12.75" customHeight="1">
      <c r="A236" s="53"/>
      <c r="B236" s="53"/>
      <c r="C236" s="549"/>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c r="AS236" s="3"/>
      <c r="AT236" s="3"/>
      <c r="AU236" s="3"/>
      <c r="AV236" s="3"/>
    </row>
    <row r="237" spans="1:48" ht="12.75" customHeight="1">
      <c r="A237" s="53"/>
      <c r="B237" s="53"/>
      <c r="C237" s="549"/>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c r="AS237" s="3"/>
      <c r="AT237" s="3"/>
      <c r="AU237" s="3"/>
      <c r="AV237" s="3"/>
    </row>
    <row r="238" spans="1:48" ht="12.75" customHeight="1">
      <c r="A238" s="53"/>
      <c r="B238" s="53"/>
      <c r="C238" s="549"/>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c r="AS238" s="3"/>
      <c r="AT238" s="3"/>
      <c r="AU238" s="3"/>
      <c r="AV238" s="3"/>
    </row>
    <row r="239" spans="1:48" ht="12.75" customHeight="1">
      <c r="A239" s="53"/>
      <c r="B239" s="53"/>
      <c r="C239" s="549"/>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c r="AS239" s="3"/>
      <c r="AT239" s="3"/>
      <c r="AU239" s="3"/>
      <c r="AV239" s="3"/>
    </row>
    <row r="240" spans="1:48" ht="12.75" customHeight="1">
      <c r="A240" s="53"/>
      <c r="B240" s="53"/>
      <c r="C240" s="549"/>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c r="AS240" s="3"/>
      <c r="AT240" s="3"/>
      <c r="AU240" s="3"/>
      <c r="AV240" s="3"/>
    </row>
    <row r="241" spans="1:48" ht="12.75" customHeight="1">
      <c r="A241" s="53"/>
      <c r="B241" s="53"/>
      <c r="C241" s="549"/>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c r="AS241" s="3"/>
      <c r="AT241" s="3"/>
      <c r="AU241" s="3"/>
      <c r="AV241" s="3"/>
    </row>
    <row r="242" spans="1:48" ht="12.75" customHeight="1">
      <c r="A242" s="53"/>
      <c r="B242" s="53"/>
      <c r="C242" s="549"/>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c r="AS242" s="3"/>
      <c r="AT242" s="3"/>
      <c r="AU242" s="3"/>
      <c r="AV242" s="3"/>
    </row>
    <row r="243" spans="1:48" ht="12.75" customHeight="1">
      <c r="A243" s="53"/>
      <c r="B243" s="53"/>
      <c r="C243" s="549"/>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c r="AS243" s="3"/>
      <c r="AT243" s="3"/>
      <c r="AU243" s="3"/>
      <c r="AV243" s="3"/>
    </row>
    <row r="244" spans="1:48" ht="12.75" customHeight="1">
      <c r="A244" s="53"/>
      <c r="B244" s="53"/>
      <c r="C244" s="549"/>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c r="AS244" s="3"/>
      <c r="AT244" s="3"/>
      <c r="AU244" s="3"/>
      <c r="AV244" s="3"/>
    </row>
    <row r="245" spans="1:48" ht="12.75" customHeight="1">
      <c r="A245" s="53"/>
      <c r="B245" s="53"/>
      <c r="C245" s="549"/>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c r="AS245" s="3"/>
      <c r="AT245" s="3"/>
      <c r="AU245" s="3"/>
      <c r="AV245" s="3"/>
    </row>
    <row r="246" spans="1:48" ht="12.75" customHeight="1">
      <c r="A246" s="53"/>
      <c r="B246" s="53"/>
      <c r="C246" s="549"/>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c r="AS246" s="3"/>
      <c r="AT246" s="3"/>
      <c r="AU246" s="3"/>
      <c r="AV246" s="3"/>
    </row>
    <row r="247" spans="1:48" ht="12.75" customHeight="1">
      <c r="A247" s="53"/>
      <c r="B247" s="53"/>
      <c r="C247" s="549"/>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c r="AS247" s="3"/>
      <c r="AT247" s="3"/>
      <c r="AU247" s="3"/>
      <c r="AV247" s="3"/>
    </row>
    <row r="248" spans="1:48" ht="12.75" customHeight="1">
      <c r="A248" s="53"/>
      <c r="B248" s="53"/>
      <c r="C248" s="549"/>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c r="AS248" s="3"/>
      <c r="AT248" s="3"/>
      <c r="AU248" s="3"/>
      <c r="AV248" s="3"/>
    </row>
    <row r="249" spans="1:48" ht="12.75" customHeight="1">
      <c r="A249" s="53"/>
      <c r="B249" s="53"/>
      <c r="C249" s="549"/>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c r="AS249" s="3"/>
      <c r="AT249" s="3"/>
      <c r="AU249" s="3"/>
      <c r="AV249" s="3"/>
    </row>
    <row r="250" spans="1:48" ht="12.75" customHeight="1">
      <c r="A250" s="53"/>
      <c r="B250" s="53"/>
      <c r="C250" s="549"/>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c r="AS250" s="3"/>
      <c r="AT250" s="3"/>
      <c r="AU250" s="3"/>
      <c r="AV250" s="3"/>
    </row>
    <row r="251" spans="1:48" ht="12.75" customHeight="1">
      <c r="A251" s="53"/>
      <c r="B251" s="53"/>
      <c r="C251" s="549"/>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c r="AS251" s="3"/>
      <c r="AT251" s="3"/>
      <c r="AU251" s="3"/>
      <c r="AV251" s="3"/>
    </row>
    <row r="252" spans="1:48" ht="12.75" customHeight="1">
      <c r="A252" s="53"/>
      <c r="B252" s="53"/>
      <c r="C252" s="549"/>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c r="AS252" s="3"/>
      <c r="AT252" s="3"/>
      <c r="AU252" s="3"/>
      <c r="AV252" s="3"/>
    </row>
    <row r="253" spans="1:48" ht="12.75" customHeight="1">
      <c r="A253" s="53"/>
      <c r="B253" s="53"/>
      <c r="C253" s="549"/>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c r="AS253" s="3"/>
      <c r="AT253" s="3"/>
      <c r="AU253" s="3"/>
      <c r="AV253" s="3"/>
    </row>
    <row r="254" spans="1:48" ht="12.75" customHeight="1">
      <c r="A254" s="53"/>
      <c r="B254" s="53"/>
      <c r="C254" s="549"/>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c r="AS254" s="3"/>
      <c r="AT254" s="3"/>
      <c r="AU254" s="3"/>
      <c r="AV254" s="3"/>
    </row>
    <row r="255" spans="1:48" ht="12.75" customHeight="1">
      <c r="A255" s="53"/>
      <c r="B255" s="53"/>
      <c r="C255" s="549"/>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c r="AS255" s="3"/>
      <c r="AT255" s="3"/>
      <c r="AU255" s="3"/>
      <c r="AV255" s="3"/>
    </row>
    <row r="256" spans="1:48" ht="12.75" customHeight="1">
      <c r="A256" s="53"/>
      <c r="B256" s="53"/>
      <c r="C256" s="549"/>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c r="AS256" s="3"/>
      <c r="AT256" s="3"/>
      <c r="AU256" s="3"/>
      <c r="AV256" s="3"/>
    </row>
    <row r="257" spans="1:48" ht="12.75" customHeight="1">
      <c r="A257" s="53"/>
      <c r="B257" s="53"/>
      <c r="C257" s="549"/>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c r="AS257" s="3"/>
      <c r="AT257" s="3"/>
      <c r="AU257" s="3"/>
      <c r="AV257" s="3"/>
    </row>
    <row r="258" spans="1:48" ht="12.75" customHeight="1">
      <c r="A258" s="53"/>
      <c r="B258" s="53"/>
      <c r="C258" s="549"/>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c r="AS258" s="3"/>
      <c r="AT258" s="3"/>
      <c r="AU258" s="3"/>
      <c r="AV258" s="3"/>
    </row>
    <row r="259" spans="1:48" ht="12.75" customHeight="1">
      <c r="A259" s="53"/>
      <c r="B259" s="53"/>
      <c r="C259" s="549"/>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c r="AS259" s="3"/>
      <c r="AT259" s="3"/>
      <c r="AU259" s="3"/>
      <c r="AV259" s="3"/>
    </row>
    <row r="260" spans="1:48" ht="12.75" customHeight="1">
      <c r="A260" s="53"/>
      <c r="B260" s="53"/>
      <c r="C260" s="549"/>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c r="AS260" s="3"/>
      <c r="AT260" s="3"/>
      <c r="AU260" s="3"/>
      <c r="AV260" s="3"/>
    </row>
    <row r="261" spans="1:48" ht="12.75" customHeight="1">
      <c r="A261" s="53"/>
      <c r="B261" s="53"/>
      <c r="C261" s="549"/>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c r="AS261" s="3"/>
      <c r="AT261" s="3"/>
      <c r="AU261" s="3"/>
      <c r="AV261" s="3"/>
    </row>
    <row r="262" spans="1:48" ht="12.75" customHeight="1">
      <c r="A262" s="53"/>
      <c r="B262" s="53"/>
      <c r="C262" s="549"/>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c r="AS262" s="3"/>
      <c r="AT262" s="3"/>
      <c r="AU262" s="3"/>
      <c r="AV262" s="3"/>
    </row>
    <row r="263" spans="1:48" ht="12.75" customHeight="1">
      <c r="A263" s="53"/>
      <c r="B263" s="53"/>
      <c r="C263" s="549"/>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c r="AS263" s="3"/>
      <c r="AT263" s="3"/>
      <c r="AU263" s="3"/>
      <c r="AV263" s="3"/>
    </row>
    <row r="264" spans="1:48" ht="12.75" customHeight="1">
      <c r="A264" s="53"/>
      <c r="B264" s="53"/>
      <c r="C264" s="549"/>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c r="AS264" s="3"/>
      <c r="AT264" s="3"/>
      <c r="AU264" s="3"/>
      <c r="AV264" s="3"/>
    </row>
    <row r="265" spans="1:48" ht="12.75" customHeight="1">
      <c r="A265" s="53"/>
      <c r="B265" s="53"/>
      <c r="C265" s="549"/>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c r="AS265" s="3"/>
      <c r="AT265" s="3"/>
      <c r="AU265" s="3"/>
      <c r="AV265" s="3"/>
    </row>
    <row r="266" spans="1:48" ht="12.75" customHeight="1">
      <c r="A266" s="53"/>
      <c r="B266" s="53"/>
      <c r="C266" s="549"/>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c r="AS266" s="3"/>
      <c r="AT266" s="3"/>
      <c r="AU266" s="3"/>
      <c r="AV266" s="3"/>
    </row>
    <row r="267" spans="1:48" ht="12.75" customHeight="1">
      <c r="A267" s="53"/>
      <c r="B267" s="53"/>
      <c r="C267" s="549"/>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c r="AS267" s="3"/>
      <c r="AT267" s="3"/>
      <c r="AU267" s="3"/>
      <c r="AV267" s="3"/>
    </row>
    <row r="268" spans="1:48" ht="12.75" customHeight="1">
      <c r="A268" s="53"/>
      <c r="B268" s="53"/>
      <c r="C268" s="549"/>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c r="AS268" s="3"/>
      <c r="AT268" s="3"/>
      <c r="AU268" s="3"/>
      <c r="AV268" s="3"/>
    </row>
    <row r="269" spans="1:48" ht="12.75" customHeight="1">
      <c r="A269" s="53"/>
      <c r="B269" s="53"/>
      <c r="C269" s="549"/>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c r="AS269" s="3"/>
      <c r="AT269" s="3"/>
      <c r="AU269" s="3"/>
      <c r="AV269" s="3"/>
    </row>
    <row r="270" spans="1:48" ht="12.75" customHeight="1">
      <c r="A270" s="53"/>
      <c r="B270" s="53"/>
      <c r="C270" s="549"/>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c r="AS270" s="3"/>
      <c r="AT270" s="3"/>
      <c r="AU270" s="3"/>
      <c r="AV270" s="3"/>
    </row>
    <row r="271" spans="1:48" ht="12.75" customHeight="1">
      <c r="A271" s="53"/>
      <c r="B271" s="53"/>
      <c r="C271" s="549"/>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c r="AS271" s="3"/>
      <c r="AT271" s="3"/>
      <c r="AU271" s="3"/>
      <c r="AV271" s="3"/>
    </row>
    <row r="272" spans="1:48" ht="12.75" customHeight="1">
      <c r="A272" s="53"/>
      <c r="B272" s="53"/>
      <c r="C272" s="549"/>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c r="AS272" s="3"/>
      <c r="AT272" s="3"/>
      <c r="AU272" s="3"/>
      <c r="AV272" s="3"/>
    </row>
    <row r="273" spans="1:48" ht="12.75" customHeight="1">
      <c r="A273" s="53"/>
      <c r="B273" s="53"/>
      <c r="C273" s="549"/>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c r="AS273" s="3"/>
      <c r="AT273" s="3"/>
      <c r="AU273" s="3"/>
      <c r="AV273" s="3"/>
    </row>
    <row r="274" spans="1:48" ht="12.75" customHeight="1">
      <c r="A274" s="53"/>
      <c r="B274" s="53"/>
      <c r="C274" s="549"/>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c r="AS274" s="3"/>
      <c r="AT274" s="3"/>
      <c r="AU274" s="3"/>
      <c r="AV274" s="3"/>
    </row>
    <row r="275" spans="1:48" ht="12.75" customHeight="1">
      <c r="A275" s="53"/>
      <c r="B275" s="53"/>
      <c r="C275" s="549"/>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c r="AS275" s="3"/>
      <c r="AT275" s="3"/>
      <c r="AU275" s="3"/>
      <c r="AV275" s="3"/>
    </row>
    <row r="276" spans="1:48" ht="12.75" customHeight="1">
      <c r="A276" s="53"/>
      <c r="B276" s="53"/>
      <c r="C276" s="549"/>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3"/>
      <c r="AS276" s="3"/>
      <c r="AT276" s="3"/>
      <c r="AU276" s="3"/>
      <c r="AV276" s="3"/>
    </row>
    <row r="277" spans="1:48" ht="12.75" customHeight="1">
      <c r="A277" s="53"/>
      <c r="B277" s="53"/>
      <c r="C277" s="549"/>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3"/>
      <c r="AS277" s="3"/>
      <c r="AT277" s="3"/>
      <c r="AU277" s="3"/>
      <c r="AV277" s="3"/>
    </row>
    <row r="278" spans="1:48" ht="12.75" customHeight="1">
      <c r="A278" s="53"/>
      <c r="B278" s="53"/>
      <c r="C278" s="549"/>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3"/>
      <c r="AS278" s="3"/>
      <c r="AT278" s="3"/>
      <c r="AU278" s="3"/>
      <c r="AV278" s="3"/>
    </row>
    <row r="279" spans="1:48" ht="12.75" customHeight="1">
      <c r="A279" s="53"/>
      <c r="B279" s="53"/>
      <c r="C279" s="549"/>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3"/>
      <c r="AS279" s="3"/>
      <c r="AT279" s="3"/>
      <c r="AU279" s="3"/>
      <c r="AV279" s="3"/>
    </row>
    <row r="280" spans="1:48" ht="12.75" customHeight="1">
      <c r="A280" s="53"/>
      <c r="B280" s="53"/>
      <c r="C280" s="549"/>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3"/>
      <c r="AS280" s="3"/>
      <c r="AT280" s="3"/>
      <c r="AU280" s="3"/>
      <c r="AV280" s="3"/>
    </row>
    <row r="281" spans="1:48" ht="12.75" customHeight="1">
      <c r="A281" s="53"/>
      <c r="B281" s="53"/>
      <c r="C281" s="549"/>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3"/>
      <c r="AS281" s="3"/>
      <c r="AT281" s="3"/>
      <c r="AU281" s="3"/>
      <c r="AV281" s="3"/>
    </row>
    <row r="282" spans="1:48" ht="12.75" customHeight="1">
      <c r="A282" s="53"/>
      <c r="B282" s="53"/>
      <c r="C282" s="549"/>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3"/>
      <c r="AS282" s="3"/>
      <c r="AT282" s="3"/>
      <c r="AU282" s="3"/>
      <c r="AV282" s="3"/>
    </row>
    <row r="283" spans="1:48" ht="12.75" customHeight="1">
      <c r="A283" s="53"/>
      <c r="B283" s="53"/>
      <c r="C283" s="549"/>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3"/>
      <c r="AS283" s="3"/>
      <c r="AT283" s="3"/>
      <c r="AU283" s="3"/>
      <c r="AV283" s="3"/>
    </row>
    <row r="284" spans="1:48"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row>
    <row r="285" spans="1:48"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row>
    <row r="286" spans="1:48"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row>
    <row r="287" spans="1:48"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row>
    <row r="288" spans="1:4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row>
    <row r="289" spans="1:48"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row>
    <row r="290" spans="1:48"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row>
    <row r="291" spans="1:48"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row>
    <row r="292" spans="1:48"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row>
    <row r="293" spans="1:48"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row>
    <row r="294" spans="1:48"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row>
    <row r="295" spans="1:48"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row>
    <row r="296" spans="1:48"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row>
    <row r="297" spans="1:48"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row>
    <row r="298" spans="1:4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row>
    <row r="299" spans="1:48"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row>
    <row r="300" spans="1:48"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row>
    <row r="301" spans="1:48"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row>
    <row r="302" spans="1:48"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row>
    <row r="303" spans="1:48"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row>
    <row r="304" spans="1:48"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row>
    <row r="305" spans="1:48"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row>
    <row r="306" spans="1:48"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row>
    <row r="307" spans="1:48"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row>
    <row r="308" spans="1:4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row>
    <row r="309" spans="1:48"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row>
    <row r="310" spans="1:48"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row>
    <row r="311" spans="1:48"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row>
    <row r="312" spans="1:48"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row>
    <row r="313" spans="1:48"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row>
    <row r="314" spans="1:48"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row>
    <row r="315" spans="1:48"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row>
    <row r="316" spans="1:48"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row>
    <row r="317" spans="1:48"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row>
    <row r="318" spans="1:4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row>
    <row r="319" spans="1:48"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row>
    <row r="320" spans="1:48"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row>
    <row r="321" spans="1:48"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row>
    <row r="322" spans="1:48"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row>
    <row r="323" spans="1:48"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row>
    <row r="324" spans="1:48"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row>
    <row r="325" spans="1:48"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row>
    <row r="326" spans="1:48"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row>
    <row r="327" spans="1:48"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row>
    <row r="328" spans="1:4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row>
    <row r="329" spans="1:48"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row>
    <row r="330" spans="1:48"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row>
    <row r="331" spans="1:48"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row>
    <row r="332" spans="1:48"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row>
    <row r="333" spans="1:48"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row>
    <row r="334" spans="1:48"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row>
    <row r="335" spans="1:48"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row>
    <row r="336" spans="1:48"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row>
    <row r="337" spans="1:48"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row>
    <row r="338" spans="1:4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row>
    <row r="339" spans="1:48"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row>
    <row r="340" spans="1:48"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row>
    <row r="341" spans="1:48"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row>
    <row r="342" spans="1:48"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row>
    <row r="343" spans="1:48"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row>
    <row r="344" spans="1:48"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row>
    <row r="345" spans="1:48"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row>
    <row r="346" spans="1:48"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row>
    <row r="347" spans="1:48"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row>
    <row r="348" spans="1: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row>
    <row r="349" spans="1:48"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row>
    <row r="350" spans="1:48"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row>
    <row r="351" spans="1:48"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row>
    <row r="352" spans="1:48"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row>
    <row r="353" spans="1:48"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row>
    <row r="354" spans="1:48"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row>
    <row r="355" spans="1:48"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row>
    <row r="356" spans="1:48"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row>
    <row r="357" spans="1:48"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row>
    <row r="358" spans="1:4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row>
    <row r="359" spans="1:48"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row>
    <row r="360" spans="1:48"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row>
    <row r="361" spans="1:48"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row>
    <row r="362" spans="1:48"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row>
    <row r="363" spans="1:48"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row>
    <row r="364" spans="1:48"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row>
    <row r="365" spans="1:48"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row>
    <row r="366" spans="1:48"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row>
    <row r="367" spans="1:48"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row>
    <row r="368" spans="1:4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row>
    <row r="369" spans="1:48"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row>
    <row r="370" spans="1:48"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row>
    <row r="371" spans="1:48"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row>
    <row r="372" spans="1:48"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row>
    <row r="373" spans="1:48"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row>
    <row r="374" spans="1:48"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row>
    <row r="375" spans="1:48"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row>
    <row r="376" spans="1:48"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row>
    <row r="377" spans="1:48"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row>
    <row r="378" spans="1:4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row>
    <row r="379" spans="1:48"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row>
    <row r="380" spans="1:48"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row>
    <row r="381" spans="1:48"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row>
    <row r="382" spans="1:48"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row>
    <row r="383" spans="1:48"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row>
    <row r="384" spans="1:48"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row>
    <row r="385" spans="1:48"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row>
    <row r="386" spans="1:48"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row>
    <row r="387" spans="1:48"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row>
    <row r="388" spans="1:4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row>
    <row r="389" spans="1:48"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row>
    <row r="390" spans="1:48"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row>
    <row r="391" spans="1:48"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row>
    <row r="392" spans="1:48"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row>
    <row r="393" spans="1:48"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row>
    <row r="394" spans="1:48"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row>
    <row r="395" spans="1:48"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row>
    <row r="396" spans="1:48"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row>
    <row r="397" spans="1:48"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row>
    <row r="398" spans="1:4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row>
    <row r="399" spans="1:48"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row>
    <row r="400" spans="1:48"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row>
    <row r="401" spans="1:48"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row>
    <row r="402" spans="1:48"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row>
    <row r="403" spans="1:48"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row>
    <row r="404" spans="1:48"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row>
    <row r="405" spans="1:48"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row>
    <row r="406" spans="1:48"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row>
    <row r="407" spans="1:48"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row>
    <row r="408" spans="1:4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row>
    <row r="409" spans="1:48"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row>
    <row r="410" spans="1:48"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row>
    <row r="411" spans="1:48"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row>
    <row r="412" spans="1:48"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row>
    <row r="413" spans="1:48"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row>
    <row r="414" spans="1:48"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row>
    <row r="415" spans="1:48"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row>
    <row r="416" spans="1:48"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row>
    <row r="417" spans="1:48"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row>
    <row r="418" spans="1:4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row>
    <row r="419" spans="1:48"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row>
    <row r="420" spans="1:48"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row>
    <row r="421" spans="1:48"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row>
    <row r="422" spans="1:48"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row>
    <row r="423" spans="1:48"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row>
    <row r="424" spans="1:48"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row>
    <row r="425" spans="1:48"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row>
    <row r="426" spans="1:48"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row>
    <row r="427" spans="1:48"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row>
    <row r="428" spans="1:4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row>
    <row r="429" spans="1:48"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row>
    <row r="430" spans="1:48"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row>
    <row r="431" spans="1:48"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row>
    <row r="432" spans="1:48"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row>
    <row r="433" spans="1:48"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row>
    <row r="434" spans="1:48"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row>
    <row r="435" spans="1:48"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row>
    <row r="436" spans="1:48"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row>
    <row r="437" spans="1:48"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row>
    <row r="438" spans="1:4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row>
    <row r="439" spans="1:48"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row>
    <row r="440" spans="1:48"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row>
    <row r="441" spans="1:48"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row>
    <row r="442" spans="1:48"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row>
    <row r="443" spans="1:48"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row>
    <row r="444" spans="1:48"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row>
    <row r="445" spans="1:48"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row>
    <row r="446" spans="1:48"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row>
    <row r="447" spans="1:48"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row>
    <row r="448" spans="1: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row>
    <row r="449" spans="1:48"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row>
    <row r="450" spans="1:48"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row>
    <row r="451" spans="1:48"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row>
    <row r="452" spans="1:48"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row>
    <row r="453" spans="1:48"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row>
    <row r="454" spans="1:48"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row>
    <row r="455" spans="1:48"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row>
    <row r="456" spans="1:48"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row>
    <row r="457" spans="1:48"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row>
    <row r="458" spans="1:4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row>
    <row r="459" spans="1:48"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row>
    <row r="460" spans="1:48"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row>
    <row r="461" spans="1:48"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row>
    <row r="462" spans="1:48"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row>
    <row r="463" spans="1:48"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row>
    <row r="464" spans="1:48"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row>
    <row r="465" spans="1:48"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row>
    <row r="466" spans="1:48"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row>
    <row r="467" spans="1:48"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row>
    <row r="468" spans="1:4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row>
    <row r="469" spans="1:48"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row>
    <row r="470" spans="1:48"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row>
    <row r="471" spans="1:48"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row>
    <row r="472" spans="1:48"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row>
    <row r="473" spans="1:48"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row>
    <row r="474" spans="1:48"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row>
    <row r="475" spans="1:48"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row>
    <row r="476" spans="1:48"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row>
    <row r="477" spans="1:48"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row>
    <row r="478" spans="1:4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row>
    <row r="479" spans="1:48"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row>
    <row r="480" spans="1:48"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row>
    <row r="481" spans="1:48"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row>
    <row r="482" spans="1:48"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row>
    <row r="483" spans="1:48"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row>
    <row r="484" spans="1:48"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row>
    <row r="485" spans="1:48"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row>
    <row r="486" spans="1:48"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row>
    <row r="487" spans="1:48"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row>
    <row r="488" spans="1:4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row>
    <row r="489" spans="1:48"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row>
    <row r="490" spans="1:48"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row>
    <row r="491" spans="1:48"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row>
    <row r="492" spans="1:48"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row>
    <row r="493" spans="1:48"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row>
    <row r="494" spans="1:48"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row>
    <row r="495" spans="1:48"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row>
    <row r="496" spans="1:48"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row>
    <row r="497" spans="1:48"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row>
    <row r="498" spans="1:4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row>
    <row r="499" spans="1:48"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row>
    <row r="500" spans="1:48"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row>
    <row r="501" spans="1:48"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row>
    <row r="502" spans="1:48"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row>
    <row r="503" spans="1:48"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row>
    <row r="504" spans="1:48"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row>
    <row r="505" spans="1:48"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row>
    <row r="506" spans="1:48"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row>
    <row r="507" spans="1:48"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row>
    <row r="508" spans="1:4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row>
    <row r="509" spans="1:48"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row>
    <row r="510" spans="1:48"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row>
    <row r="511" spans="1:48"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row>
    <row r="512" spans="1:48"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row>
    <row r="513" spans="1:48"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row>
    <row r="514" spans="1:48"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row>
    <row r="515" spans="1:48"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row>
    <row r="516" spans="1:48"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row>
    <row r="517" spans="1:48"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row>
    <row r="518" spans="1:4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row>
    <row r="519" spans="1:48"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row>
    <row r="520" spans="1:48"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row>
    <row r="521" spans="1:48"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row>
    <row r="522" spans="1:48"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row>
    <row r="523" spans="1:48"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row>
    <row r="524" spans="1:48"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row>
    <row r="525" spans="1:48"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row>
    <row r="526" spans="1:48"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row>
    <row r="527" spans="1:48"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row>
    <row r="528" spans="1:4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row>
    <row r="529" spans="1:48"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row>
    <row r="530" spans="1:48"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row>
    <row r="531" spans="1:48"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row>
    <row r="532" spans="1:48"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row>
    <row r="533" spans="1:48"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row>
    <row r="534" spans="1:48"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row>
    <row r="535" spans="1:48"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row>
    <row r="536" spans="1:48"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row>
    <row r="537" spans="1:48"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row>
    <row r="538" spans="1:4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row>
    <row r="539" spans="1:48"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row>
    <row r="540" spans="1:48"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row>
    <row r="541" spans="1:48"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row>
    <row r="542" spans="1:48"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row>
    <row r="543" spans="1:48"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row>
    <row r="544" spans="1:48"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row>
    <row r="545" spans="1:48"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row>
    <row r="546" spans="1:48"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row>
    <row r="547" spans="1:48"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row>
    <row r="548" spans="1: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row>
    <row r="549" spans="1:48"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row>
    <row r="550" spans="1:48"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row>
    <row r="551" spans="1:48"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row>
    <row r="552" spans="1:48"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row>
    <row r="553" spans="1:48"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row>
    <row r="554" spans="1:48"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row>
    <row r="555" spans="1:48"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row>
    <row r="556" spans="1:48"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row>
    <row r="557" spans="1:48"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row>
    <row r="558" spans="1:4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row>
    <row r="559" spans="1:48"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row>
    <row r="560" spans="1:48"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row>
    <row r="561" spans="1:48"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row>
    <row r="562" spans="1:48"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row>
    <row r="563" spans="1:48"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row>
    <row r="564" spans="1:48"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row>
    <row r="565" spans="1:48"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row>
    <row r="566" spans="1:48"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row>
    <row r="567" spans="1:48"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row>
    <row r="568" spans="1:4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row>
    <row r="569" spans="1:48"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row>
    <row r="570" spans="1:48"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row>
    <row r="571" spans="1:48"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row>
    <row r="572" spans="1:48"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row>
    <row r="573" spans="1:48"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row>
    <row r="574" spans="1:48"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row>
    <row r="575" spans="1:48"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row>
    <row r="576" spans="1:48"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row>
    <row r="577" spans="1:48"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row>
    <row r="578" spans="1:4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row>
    <row r="579" spans="1:48"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row>
    <row r="580" spans="1:48"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row>
    <row r="581" spans="1:48"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row>
    <row r="582" spans="1:48"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row>
    <row r="583" spans="1:48"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row>
    <row r="584" spans="1:48"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row>
    <row r="585" spans="1:48"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row>
    <row r="586" spans="1:48"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row>
    <row r="587" spans="1:48"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row>
    <row r="588" spans="1:4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row>
    <row r="589" spans="1:48"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row>
    <row r="590" spans="1:48"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row>
    <row r="591" spans="1:48"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row>
    <row r="592" spans="1:48"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row>
    <row r="593" spans="1:48"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row>
    <row r="594" spans="1:48"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row>
    <row r="595" spans="1:48"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row>
    <row r="596" spans="1:48"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row>
    <row r="597" spans="1:48"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row>
    <row r="598" spans="1:4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row>
    <row r="599" spans="1:48"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row>
    <row r="600" spans="1:48"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row>
    <row r="601" spans="1:48"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row>
    <row r="602" spans="1:48"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row>
    <row r="603" spans="1:48"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row>
    <row r="604" spans="1:48"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row>
    <row r="605" spans="1:48"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row>
    <row r="606" spans="1:48"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row>
    <row r="607" spans="1:48"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row>
    <row r="608" spans="1:4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row>
    <row r="609" spans="1:48"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row>
    <row r="610" spans="1:48"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row>
    <row r="611" spans="1:48"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row>
    <row r="612" spans="1:48"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row>
    <row r="613" spans="1:48"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row>
    <row r="614" spans="1:48"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row>
    <row r="615" spans="1:48"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row>
    <row r="616" spans="1:48"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row>
    <row r="617" spans="1:48"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row>
    <row r="618" spans="1:4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row>
    <row r="619" spans="1:48"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row>
    <row r="620" spans="1:48"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row>
    <row r="621" spans="1:48"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row>
    <row r="622" spans="1:48"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row>
    <row r="623" spans="1:48"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row>
    <row r="624" spans="1:48"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row>
    <row r="625" spans="1:48"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row>
    <row r="626" spans="1:48"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row>
    <row r="627" spans="1:48"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row>
    <row r="628" spans="1:4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row>
    <row r="629" spans="1:48"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row>
    <row r="630" spans="1:48"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row>
    <row r="631" spans="1:48"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row>
    <row r="632" spans="1:48"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row>
    <row r="633" spans="1:48"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row>
    <row r="634" spans="1:48"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row>
    <row r="635" spans="1:48"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row>
    <row r="636" spans="1:48"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row>
    <row r="637" spans="1:48"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row>
    <row r="638" spans="1:4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row>
    <row r="639" spans="1:48"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row>
    <row r="640" spans="1:48"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row>
    <row r="641" spans="1:48"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row>
    <row r="642" spans="1:48"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row>
    <row r="643" spans="1:48"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row>
    <row r="644" spans="1:48"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row>
    <row r="645" spans="1:48"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row>
    <row r="646" spans="1:48"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row>
    <row r="647" spans="1:48"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row>
    <row r="648" spans="1: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row>
    <row r="649" spans="1:48"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row>
    <row r="650" spans="1:48"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row>
    <row r="651" spans="1:48"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row>
    <row r="652" spans="1:48"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row>
    <row r="653" spans="1:48"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row>
    <row r="654" spans="1:48"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row>
    <row r="655" spans="1:48"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row>
    <row r="656" spans="1:48"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row>
    <row r="657" spans="1:48"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row>
    <row r="658" spans="1:4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row>
    <row r="659" spans="1:48"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row>
    <row r="660" spans="1:48"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row>
    <row r="661" spans="1:48"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row>
    <row r="662" spans="1:48"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row>
    <row r="663" spans="1:48"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row>
    <row r="664" spans="1:48"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row>
    <row r="665" spans="1:48"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row>
    <row r="666" spans="1:48"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row>
    <row r="667" spans="1:48"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row>
    <row r="668" spans="1:4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row>
    <row r="669" spans="1:48"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row>
    <row r="670" spans="1:48"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row>
    <row r="671" spans="1:48"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row>
    <row r="672" spans="1:48"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row>
    <row r="673" spans="1:48"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row>
    <row r="674" spans="1:48"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row>
    <row r="675" spans="1:48"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row>
    <row r="676" spans="1:48"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row>
    <row r="677" spans="1:48"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row>
    <row r="678" spans="1:4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row>
    <row r="679" spans="1:48"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row>
    <row r="680" spans="1:48"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row>
    <row r="681" spans="1:48"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row>
    <row r="682" spans="1:48"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row>
    <row r="683" spans="1:48"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row>
    <row r="684" spans="1:48"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row>
    <row r="685" spans="1:48"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row>
    <row r="686" spans="1:48"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row>
    <row r="687" spans="1:48"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row>
    <row r="688" spans="1:4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row>
    <row r="689" spans="1:48"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row>
    <row r="690" spans="1:48"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row>
    <row r="691" spans="1:48"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row>
    <row r="692" spans="1:48"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row>
    <row r="693" spans="1:48"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row>
    <row r="694" spans="1:48"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row>
    <row r="695" spans="1:48"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row>
    <row r="696" spans="1:48"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row>
    <row r="697" spans="1:48"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row>
    <row r="698" spans="1:4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row>
    <row r="699" spans="1:48"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row>
    <row r="700" spans="1:48"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row>
    <row r="701" spans="1:48"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row>
    <row r="702" spans="1:48"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row>
    <row r="703" spans="1:48"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row>
    <row r="704" spans="1:48"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row>
    <row r="705" spans="1:48"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row>
    <row r="706" spans="1:48"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row>
    <row r="707" spans="1:48"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row>
    <row r="708" spans="1:4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row>
    <row r="709" spans="1:48"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row>
    <row r="710" spans="1:48"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row>
    <row r="711" spans="1:48"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row>
    <row r="712" spans="1:48"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row>
    <row r="713" spans="1:48"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row>
    <row r="714" spans="1:48"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row>
    <row r="715" spans="1:48"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row>
    <row r="716" spans="1:48"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row>
    <row r="717" spans="1:48"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row>
    <row r="718" spans="1:4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row>
    <row r="719" spans="1:48"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row>
    <row r="720" spans="1:48"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row>
    <row r="721" spans="1:48"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row>
    <row r="722" spans="1:48"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row>
    <row r="723" spans="1:48"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row>
    <row r="724" spans="1:48"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row>
    <row r="725" spans="1:48"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row>
    <row r="726" spans="1:48"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row>
    <row r="727" spans="1:48"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row>
    <row r="728" spans="1:4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row>
    <row r="729" spans="1:48"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row>
    <row r="730" spans="1:48"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row>
    <row r="731" spans="1:48"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row>
    <row r="732" spans="1:48"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row>
    <row r="733" spans="1:48"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row>
    <row r="734" spans="1:48"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row>
    <row r="735" spans="1:48"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row>
    <row r="736" spans="1:48"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row>
    <row r="737" spans="1:48"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row>
    <row r="738" spans="1:4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row>
    <row r="739" spans="1:48"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row>
    <row r="740" spans="1:48"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row>
    <row r="741" spans="1:48"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row>
    <row r="742" spans="1:48"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row>
    <row r="743" spans="1:48"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row>
    <row r="744" spans="1:48"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row>
    <row r="745" spans="1:48"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row>
    <row r="746" spans="1:48"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row>
    <row r="747" spans="1:48"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row>
    <row r="748" spans="1: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row>
    <row r="749" spans="1:48"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row>
    <row r="750" spans="1:48"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row>
    <row r="751" spans="1:48"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row>
    <row r="752" spans="1:48"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row>
    <row r="753" spans="1:48"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row>
    <row r="754" spans="1:48"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row>
    <row r="755" spans="1:48"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row>
    <row r="756" spans="1:48"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row>
    <row r="757" spans="1:48"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row>
    <row r="758" spans="1:4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row>
    <row r="759" spans="1:48"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row>
    <row r="760" spans="1:48"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row>
    <row r="761" spans="1:48"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row>
    <row r="762" spans="1:48"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row>
    <row r="763" spans="1:48"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row>
    <row r="764" spans="1:48"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row>
    <row r="765" spans="1:48"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row>
    <row r="766" spans="1:48"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row>
    <row r="767" spans="1:48"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row>
    <row r="768" spans="1:4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row>
    <row r="769" spans="1:48"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row>
    <row r="770" spans="1:48"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row>
    <row r="771" spans="1:48"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row>
    <row r="772" spans="1:48"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row>
    <row r="773" spans="1:48"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row>
    <row r="774" spans="1:48"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row>
    <row r="775" spans="1:48"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row>
    <row r="776" spans="1:48"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row>
    <row r="777" spans="1:48"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row>
    <row r="778" spans="1:4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row>
    <row r="779" spans="1:48"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row>
    <row r="780" spans="1:48"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row>
    <row r="781" spans="1:48"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row>
    <row r="782" spans="1:48"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row>
    <row r="783" spans="1:48"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row>
    <row r="784" spans="1:48"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row>
    <row r="785" spans="1:48"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row>
    <row r="786" spans="1:48"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row>
    <row r="787" spans="1:48"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row>
    <row r="788" spans="1:4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row>
    <row r="789" spans="1:48"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row>
    <row r="790" spans="1:48"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row>
    <row r="791" spans="1:48"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row>
    <row r="792" spans="1:48"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row>
    <row r="793" spans="1:48"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row>
    <row r="794" spans="1:48"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row>
    <row r="795" spans="1:48"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row>
    <row r="796" spans="1:48"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row>
    <row r="797" spans="1:48"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row>
    <row r="798" spans="1:4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row>
    <row r="799" spans="1:48"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row>
    <row r="800" spans="1:48"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row>
    <row r="801" spans="1:48"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row>
    <row r="802" spans="1:48"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row>
    <row r="803" spans="1:48"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row>
    <row r="804" spans="1:48"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row>
    <row r="805" spans="1:48"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row>
    <row r="806" spans="1:48"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row>
    <row r="807" spans="1:48"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row>
    <row r="808" spans="1:4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row>
    <row r="809" spans="1:48"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row>
    <row r="810" spans="1:48"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row>
    <row r="811" spans="1:48"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row>
    <row r="812" spans="1:48"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row>
    <row r="813" spans="1:48"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row>
    <row r="814" spans="1:48"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row>
    <row r="815" spans="1:48"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row>
    <row r="816" spans="1:48"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row>
    <row r="817" spans="1:48"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row>
    <row r="818" spans="1:4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row>
    <row r="819" spans="1:48"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row>
    <row r="820" spans="1:48"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row>
    <row r="821" spans="1:48"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row>
    <row r="822" spans="1:48"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row>
    <row r="823" spans="1:48"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row>
    <row r="824" spans="1:48"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row>
    <row r="825" spans="1:48"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row>
    <row r="826" spans="1:48"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row>
    <row r="827" spans="1:48"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row>
    <row r="828" spans="1:4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row>
    <row r="829" spans="1:48"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row>
    <row r="830" spans="1:48"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row>
    <row r="831" spans="1:48"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row>
    <row r="832" spans="1:48"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row>
    <row r="833" spans="1:48"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row>
    <row r="834" spans="1:48"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row>
    <row r="835" spans="1:48"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row>
    <row r="836" spans="1:48"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row>
    <row r="837" spans="1:48"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row>
    <row r="838" spans="1:4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row>
    <row r="839" spans="1:48"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row>
    <row r="840" spans="1:48"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row>
    <row r="841" spans="1:48"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row>
    <row r="842" spans="1:48"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row>
    <row r="843" spans="1:48"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row>
    <row r="844" spans="1:48"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row>
    <row r="845" spans="1:48"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row>
    <row r="846" spans="1:48"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row>
    <row r="847" spans="1:48"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row>
    <row r="848" spans="1: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row>
    <row r="849" spans="1:48"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row>
    <row r="850" spans="1:48"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row>
    <row r="851" spans="1:48"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row>
    <row r="852" spans="1:48"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row>
    <row r="853" spans="1:48"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row>
    <row r="854" spans="1:48"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row>
    <row r="855" spans="1:48"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row>
    <row r="856" spans="1:48"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row>
    <row r="857" spans="1:48"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row>
    <row r="858" spans="1:4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row>
    <row r="859" spans="1:48"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row>
    <row r="860" spans="1:48"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row>
    <row r="861" spans="1:48"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row>
    <row r="862" spans="1:48"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row>
    <row r="863" spans="1:48"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row>
    <row r="864" spans="1:48"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row>
    <row r="865" spans="1:48"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row>
    <row r="866" spans="1:48"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row>
    <row r="867" spans="1:48"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row>
    <row r="868" spans="1:4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row>
    <row r="869" spans="1:48"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row>
    <row r="870" spans="1:48"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row>
    <row r="871" spans="1:48"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row>
    <row r="872" spans="1:48"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row>
    <row r="873" spans="1:48"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row>
    <row r="874" spans="1:48"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row>
    <row r="875" spans="1:48"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row>
    <row r="876" spans="1:48"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row>
    <row r="877" spans="1:48"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row>
    <row r="878" spans="1:4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row>
    <row r="879" spans="1:48"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row>
    <row r="880" spans="1:48"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row>
    <row r="881" spans="1:48"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row>
    <row r="882" spans="1:48"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row>
    <row r="883" spans="1:48"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row>
    <row r="884" spans="1:48"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row>
    <row r="885" spans="1:48"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row>
    <row r="886" spans="1:48"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row>
    <row r="887" spans="1:48"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row>
    <row r="888" spans="1:4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row>
    <row r="889" spans="1:48"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row>
    <row r="890" spans="1:48"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row>
    <row r="891" spans="1:48"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row>
    <row r="892" spans="1:48"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row>
    <row r="893" spans="1:48"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row>
    <row r="894" spans="1:48"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row>
    <row r="895" spans="1:48"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row>
    <row r="896" spans="1:48"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row>
    <row r="897" spans="1:48"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row>
    <row r="898" spans="1:4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row>
    <row r="899" spans="1:48"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row>
    <row r="900" spans="1:48"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row>
    <row r="901" spans="1:48"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row>
    <row r="902" spans="1:48"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row>
    <row r="903" spans="1:48"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row>
    <row r="904" spans="1:48"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row>
    <row r="905" spans="1:48"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row>
    <row r="906" spans="1:48"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row>
    <row r="907" spans="1:48"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row>
    <row r="908" spans="1:4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row>
    <row r="909" spans="1:48"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row>
    <row r="910" spans="1:48"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row>
    <row r="911" spans="1:48"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row>
    <row r="912" spans="1:48"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row>
    <row r="913" spans="1:48"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row>
    <row r="914" spans="1:48"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row>
    <row r="915" spans="1:48"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row>
    <row r="916" spans="1:48"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row>
    <row r="917" spans="1:48"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row>
    <row r="918" spans="1:4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row>
    <row r="919" spans="1:48"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row>
    <row r="920" spans="1:48"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row>
    <row r="921" spans="1:48"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row>
    <row r="922" spans="1:48"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row>
    <row r="923" spans="1:48"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row>
    <row r="924" spans="1:48"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row>
    <row r="925" spans="1:48"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row>
    <row r="926" spans="1:48"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row>
    <row r="927" spans="1:48"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row>
    <row r="928" spans="1:4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row>
    <row r="929" spans="1:48"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row>
    <row r="930" spans="1:48"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row>
    <row r="931" spans="1:48"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row>
    <row r="932" spans="1:48"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row>
    <row r="933" spans="1:48"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row>
    <row r="934" spans="1:48"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row>
    <row r="935" spans="1:48"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row>
    <row r="936" spans="1:48"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row>
    <row r="937" spans="1:48"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row>
    <row r="938" spans="1:4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row>
    <row r="939" spans="1:48"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row>
    <row r="940" spans="1:48"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row>
    <row r="941" spans="1:48"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row>
    <row r="942" spans="1:48"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row>
    <row r="943" spans="1:48"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row>
    <row r="944" spans="1:48"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row>
    <row r="945" spans="1:48"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row>
    <row r="946" spans="1:48"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row>
    <row r="947" spans="1:48"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row>
    <row r="948" spans="1: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row>
    <row r="949" spans="1:48"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row>
    <row r="950" spans="1:48"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row>
    <row r="951" spans="1:48"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row>
    <row r="952" spans="1:48"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row>
    <row r="953" spans="1:48"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row>
    <row r="954" spans="1:48"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row>
    <row r="955" spans="1:48"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row>
    <row r="956" spans="1:48"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row>
    <row r="957" spans="1:48"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row>
    <row r="958" spans="1:4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row>
    <row r="959" spans="1:48"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row>
    <row r="960" spans="1:48"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row>
    <row r="961" spans="1:48"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row>
    <row r="962" spans="1:48"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row>
    <row r="963" spans="1:48"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row>
    <row r="964" spans="1:48"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row>
    <row r="965" spans="1:48"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row>
    <row r="966" spans="1:48"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row>
    <row r="967" spans="1:48"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row>
    <row r="968" spans="1:4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row>
    <row r="969" spans="1:48"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row>
    <row r="970" spans="1:48"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row>
    <row r="971" spans="1:48"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row>
    <row r="972" spans="1:48"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row>
    <row r="973" spans="1:48"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row>
    <row r="974" spans="1:48"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row>
    <row r="975" spans="1:48"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row>
    <row r="976" spans="1:48"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row>
    <row r="977" spans="1:48"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row>
    <row r="978" spans="1:4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row>
    <row r="979" spans="1:48"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row>
    <row r="980" spans="1:48"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row>
    <row r="981" spans="1:48"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row>
    <row r="982" spans="1:48"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row>
    <row r="983" spans="1:48"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row>
    <row r="984" spans="1:48"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row>
    <row r="985" spans="1:48"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row>
    <row r="986" spans="1:48"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row>
    <row r="987" spans="1:48"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row>
    <row r="988" spans="1:4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row>
    <row r="989" spans="1:48"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row>
    <row r="990" spans="1:48"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row>
    <row r="991" spans="1:48"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row>
    <row r="992" spans="1:48"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row>
    <row r="993" spans="1:48"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row>
    <row r="994" spans="1:48"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row>
    <row r="995" spans="1:48"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row>
    <row r="996" spans="1:48"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row>
    <row r="997" spans="1:48"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row>
    <row r="998" spans="1:4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row>
    <row r="999" spans="1:48"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row>
    <row r="1000" spans="1:48"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row>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1E00-000000000000}">
      <formula1>"TOU,non-TOU"</formula1>
    </dataValidation>
    <dataValidation type="list" allowBlank="1" showErrorMessage="1" sqref="E15:E28 E30:E38 E40:E41 E43:E51 E57 E63" xr:uid="{00000000-0002-0000-1E00-000001000000}">
      <formula1>#REF!</formula1>
    </dataValidation>
    <dataValidation type="list" allowBlank="1" showInputMessage="1" showErrorMessage="1" prompt="Select Charge Unit - monthly, per kWh, per kW" sqref="D15:D28 D30:D38 D40:D41 D43:D51 D57 D63" xr:uid="{00000000-0002-0000-1E00-000002000000}">
      <formula1>"Monthly,per kWh,per kW"</formula1>
    </dataValidation>
  </dataValidations>
  <pageMargins left="0.74803149606299213" right="0.74803149606299213" top="0.98425196850393704" bottom="0.98425196850393704"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V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1" customWidth="1"/>
    <col min="8" max="8" width="13" customWidth="1"/>
    <col min="9" max="9" width="1.42578125" customWidth="1"/>
    <col min="10" max="11" width="11" customWidth="1"/>
    <col min="12" max="12" width="13" customWidth="1"/>
    <col min="13" max="13" width="1.42578125" customWidth="1"/>
    <col min="14" max="14" width="11" customWidth="1"/>
    <col min="15" max="15" width="10" customWidth="1"/>
    <col min="16" max="16" width="1.7109375" customWidth="1"/>
    <col min="17" max="18" width="11" customWidth="1"/>
    <col min="19" max="19" width="13" customWidth="1"/>
    <col min="20" max="20" width="0.42578125" customWidth="1"/>
    <col min="21" max="21" width="11" customWidth="1"/>
    <col min="22" max="22" width="10" customWidth="1"/>
    <col min="23" max="23" width="2.28515625" customWidth="1"/>
    <col min="24" max="25" width="11" customWidth="1"/>
    <col min="26" max="26" width="13" customWidth="1"/>
    <col min="27" max="27" width="0.42578125" customWidth="1"/>
    <col min="28" max="28" width="11" customWidth="1"/>
    <col min="29" max="29" width="10" customWidth="1"/>
    <col min="30" max="30" width="2.140625" customWidth="1"/>
    <col min="31" max="32" width="11" customWidth="1"/>
    <col min="33" max="33" width="13" customWidth="1"/>
    <col min="34" max="34" width="0.42578125" customWidth="1"/>
    <col min="35" max="35" width="11" customWidth="1"/>
    <col min="36" max="36" width="10" customWidth="1"/>
    <col min="37" max="37" width="0.7109375" customWidth="1"/>
    <col min="38" max="39" width="11" customWidth="1"/>
    <col min="40" max="40" width="13" customWidth="1"/>
    <col min="41" max="41" width="1.28515625" customWidth="1"/>
    <col min="42" max="42" width="11" customWidth="1"/>
    <col min="43" max="43" width="10" customWidth="1"/>
    <col min="44" max="44" width="1.28515625" customWidth="1"/>
    <col min="45" max="48" width="12.42578125" customWidth="1"/>
  </cols>
  <sheetData>
    <row r="1" spans="1:48" ht="7.5" customHeight="1">
      <c r="A1" s="53"/>
      <c r="B1" s="53"/>
      <c r="C1" s="549"/>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8" ht="18.75" customHeight="1">
      <c r="A2" s="53"/>
      <c r="B2" s="53"/>
      <c r="C2" s="550"/>
      <c r="D2" s="373"/>
      <c r="E2" s="373"/>
      <c r="F2" s="373" t="s">
        <v>320</v>
      </c>
      <c r="G2" s="373"/>
      <c r="H2" s="373"/>
      <c r="I2" s="373"/>
      <c r="J2" s="373"/>
      <c r="K2" s="373"/>
      <c r="L2" s="373"/>
      <c r="M2" s="373"/>
      <c r="N2" s="373"/>
      <c r="O2" s="37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8" ht="18.75" customHeight="1">
      <c r="A3" s="53"/>
      <c r="B3" s="53"/>
      <c r="C3" s="550"/>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8" ht="7.5" customHeight="1">
      <c r="A4" s="53"/>
      <c r="B4" s="53"/>
      <c r="C4" s="549"/>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8" ht="7.5" customHeight="1">
      <c r="A5" s="53"/>
      <c r="B5" s="53"/>
      <c r="C5" s="549"/>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8" ht="12.75" customHeight="1">
      <c r="A6" s="53"/>
      <c r="B6" s="327" t="s">
        <v>323</v>
      </c>
      <c r="C6" s="549"/>
      <c r="D6" s="499" t="s">
        <v>250</v>
      </c>
      <c r="E6" s="500"/>
      <c r="F6" s="500"/>
      <c r="G6" s="500"/>
      <c r="H6" s="500"/>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row>
    <row r="7" spans="1:48" ht="7.5" customHeight="1">
      <c r="A7" s="53"/>
      <c r="B7" s="377"/>
      <c r="C7" s="549"/>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c r="AV7" s="3"/>
    </row>
    <row r="8" spans="1:48" ht="12.75" customHeight="1">
      <c r="A8" s="53"/>
      <c r="B8" s="327" t="s">
        <v>324</v>
      </c>
      <c r="C8" s="549"/>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8" ht="12.75" customHeight="1">
      <c r="A9" s="53"/>
      <c r="B9" s="377"/>
      <c r="C9" s="549"/>
      <c r="D9" s="314" t="s">
        <v>326</v>
      </c>
      <c r="E9" s="314"/>
      <c r="F9" s="380">
        <v>1277500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8" ht="12.75" customHeight="1">
      <c r="A10" s="53"/>
      <c r="B10" s="53"/>
      <c r="C10" s="549"/>
      <c r="D10" s="53"/>
      <c r="E10" s="53"/>
      <c r="F10" s="380">
        <v>2500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8" ht="12.75" customHeight="1">
      <c r="A11" s="53"/>
      <c r="B11" s="53"/>
      <c r="C11" s="549"/>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8" ht="12.75" customHeight="1">
      <c r="A12" s="53"/>
      <c r="B12" s="53"/>
      <c r="C12" s="549"/>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8" ht="12.75" customHeight="1">
      <c r="A13" s="53"/>
      <c r="B13" s="53"/>
      <c r="C13" s="549"/>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8" ht="12.75" customHeight="1">
      <c r="A14" s="53"/>
      <c r="B14" s="53"/>
      <c r="C14" s="549"/>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8" ht="12.75" customHeight="1">
      <c r="A15" s="53"/>
      <c r="B15" s="328" t="s">
        <v>246</v>
      </c>
      <c r="C15" s="389" t="str">
        <f t="shared" ref="C15:C28" si="0">D$6&amp;"."&amp;B15</f>
        <v>General Service 1,500 to 4,999 KW.Monthly Service Charge</v>
      </c>
      <c r="D15" s="390" t="s">
        <v>335</v>
      </c>
      <c r="E15" s="328"/>
      <c r="F15" s="391">
        <f>IFERROR(VLOOKUP($C15,'Proposed Rates'!$B:$J,F$11,FALSE),0)</f>
        <v>4126.75</v>
      </c>
      <c r="G15" s="409">
        <f t="shared" ref="G15:G28" si="1">IF($D15="Monthly",1,IF($D15="per KW",$F$10,IF($D15="per kWh",$F$9,0)))</f>
        <v>1</v>
      </c>
      <c r="H15" s="394">
        <f t="shared" ref="H15:H28" si="2">G15*F15</f>
        <v>4126.75</v>
      </c>
      <c r="I15" s="138"/>
      <c r="J15" s="391">
        <f>IFERROR(VLOOKUP($C15,'Proposed Rates'!$B:$J,J$11,FALSE),0)</f>
        <v>4126.75</v>
      </c>
      <c r="K15" s="409">
        <f t="shared" ref="K15:K28" si="3">IF($D15="Monthly",1,IF($D15="per KW",$F$10,IF($D15="per kWh",$F$9,0)))</f>
        <v>1</v>
      </c>
      <c r="L15" s="394">
        <f t="shared" ref="L15:L28" si="4">K15*J15</f>
        <v>4126.75</v>
      </c>
      <c r="M15" s="138"/>
      <c r="N15" s="395">
        <f t="shared" ref="N15:N46" si="5">L15-H15</f>
        <v>0</v>
      </c>
      <c r="O15" s="396">
        <f t="shared" ref="O15:O46" si="6">IF((H15)=0,"",(N15/H15))</f>
        <v>0</v>
      </c>
      <c r="P15" s="53"/>
      <c r="Q15" s="391">
        <f>IFERROR(VLOOKUP($C15,'Proposed Rates'!$B:$J,Q$11,FALSE),0)</f>
        <v>4126.75</v>
      </c>
      <c r="R15" s="409">
        <f t="shared" ref="R15:R28" si="7">IF($D15="Monthly",1,IF($D15="per KW",$F$10,IF($D15="per kWh",$F$9,0)))</f>
        <v>1</v>
      </c>
      <c r="S15" s="394">
        <f t="shared" ref="S15:S28" si="8">R15*Q15</f>
        <v>4126.75</v>
      </c>
      <c r="T15" s="138"/>
      <c r="U15" s="395">
        <f t="shared" ref="U15:U31" si="9">S15-L15</f>
        <v>0</v>
      </c>
      <c r="V15" s="396">
        <f t="shared" ref="V15:V31" si="10">IF((L15)=0,"",(U15/L15))</f>
        <v>0</v>
      </c>
      <c r="W15" s="53"/>
      <c r="X15" s="391">
        <f>IFERROR(VLOOKUP($C15,'Proposed Rates'!$B:$J,X$11,FALSE),0)</f>
        <v>4126.75</v>
      </c>
      <c r="Y15" s="409">
        <f t="shared" ref="Y15:Y28" si="11">IF($D15="Monthly",1,IF($D15="per KW",$F$10,IF($D15="per kWh",$F$9,0)))</f>
        <v>1</v>
      </c>
      <c r="Z15" s="394">
        <f t="shared" ref="Z15:Z28" si="12">Y15*X15</f>
        <v>4126.75</v>
      </c>
      <c r="AA15" s="138"/>
      <c r="AB15" s="395">
        <f t="shared" ref="AB15:AB46" si="13">Z15-S15</f>
        <v>0</v>
      </c>
      <c r="AC15" s="396">
        <f t="shared" ref="AC15:AC46" si="14">IF((S15)=0,"",(AB15/S15))</f>
        <v>0</v>
      </c>
      <c r="AD15" s="53"/>
      <c r="AE15" s="391">
        <f>IFERROR(VLOOKUP($C15,'Proposed Rates'!$B:$J,AE$11,FALSE),0)</f>
        <v>4126.75</v>
      </c>
      <c r="AF15" s="409">
        <f t="shared" ref="AF15:AF28" si="15">IF($D15="Monthly",1,IF($D15="per KW",$F$10,IF($D15="per kWh",$F$9,0)))</f>
        <v>1</v>
      </c>
      <c r="AG15" s="394">
        <f t="shared" ref="AG15:AG28" si="16">AF15*AE15</f>
        <v>4126.75</v>
      </c>
      <c r="AH15" s="138"/>
      <c r="AI15" s="395">
        <f t="shared" ref="AI15:AI46" si="17">AG15-Z15</f>
        <v>0</v>
      </c>
      <c r="AJ15" s="396">
        <f t="shared" ref="AJ15:AJ46" si="18">IF((Z15)=0,"",(AI15/Z15))</f>
        <v>0</v>
      </c>
      <c r="AK15" s="53"/>
      <c r="AL15" s="391">
        <f>IFERROR(VLOOKUP($C15,'Proposed Rates'!$B:$J,AL$11,FALSE),0)</f>
        <v>4126.75</v>
      </c>
      <c r="AM15" s="409">
        <f t="shared" ref="AM15:AM28" si="19">IF($D15="Monthly",1,IF($D15="per KW",$F$10,IF($D15="per kWh",$F$9,0)))</f>
        <v>1</v>
      </c>
      <c r="AN15" s="394">
        <f t="shared" ref="AN15:AN28" si="20">AM15*AL15</f>
        <v>4126.75</v>
      </c>
      <c r="AO15" s="138"/>
      <c r="AP15" s="395">
        <f t="shared" ref="AP15:AP46" si="21">AN15-AG15</f>
        <v>0</v>
      </c>
      <c r="AQ15" s="396">
        <f t="shared" ref="AQ15:AQ46" si="22">IF((AG15)=0,"",(AP15/AG15))</f>
        <v>0</v>
      </c>
      <c r="AR15" s="397"/>
    </row>
    <row r="16" spans="1:48" ht="12.75" customHeight="1">
      <c r="A16" s="53"/>
      <c r="B16" s="328" t="s">
        <v>336</v>
      </c>
      <c r="C16" s="389" t="str">
        <f t="shared" si="0"/>
        <v>General Service 1,500 to 4,999 KW.Smart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row>
    <row r="17" spans="1:44" ht="12.75" customHeight="1">
      <c r="A17" s="53"/>
      <c r="B17" s="398" t="str">
        <f>'Proposed Rates'!C115</f>
        <v>Rate Rider Calculation for Forgone Revenue - variable</v>
      </c>
      <c r="C17" s="389" t="str">
        <f t="shared" si="0"/>
        <v>General Service 1,500 to 4,999 KW.Rate Rider Calculation for Forgone Revenue - variable</v>
      </c>
      <c r="D17" s="390" t="s">
        <v>406</v>
      </c>
      <c r="E17" s="328"/>
      <c r="F17" s="391">
        <f>IFERROR(VLOOKUP($C17,'Proposed Rates'!$B:$J,F$11,FALSE),0)</f>
        <v>0</v>
      </c>
      <c r="G17" s="409">
        <f t="shared" si="1"/>
        <v>2500</v>
      </c>
      <c r="H17" s="394">
        <f t="shared" si="2"/>
        <v>0</v>
      </c>
      <c r="I17" s="138"/>
      <c r="J17" s="391">
        <f>IFERROR(VLOOKUP($C17,'Proposed Rates'!$B:$J,J$11,FALSE),0)</f>
        <v>0.48420000000000002</v>
      </c>
      <c r="K17" s="409">
        <f t="shared" si="3"/>
        <v>2500</v>
      </c>
      <c r="L17" s="394">
        <f t="shared" si="4"/>
        <v>1210.5</v>
      </c>
      <c r="M17" s="138"/>
      <c r="N17" s="395">
        <f t="shared" si="5"/>
        <v>1210.5</v>
      </c>
      <c r="O17" s="396" t="str">
        <f t="shared" si="6"/>
        <v/>
      </c>
      <c r="P17" s="53"/>
      <c r="Q17" s="391">
        <f>IFERROR(VLOOKUP($C17,'Proposed Rates'!$B:$J,Q$11,FALSE),0)</f>
        <v>0.48420000000000002</v>
      </c>
      <c r="R17" s="409">
        <f t="shared" si="7"/>
        <v>2500</v>
      </c>
      <c r="S17" s="394">
        <f t="shared" si="8"/>
        <v>1210.5</v>
      </c>
      <c r="T17" s="138"/>
      <c r="U17" s="395">
        <f t="shared" si="9"/>
        <v>0</v>
      </c>
      <c r="V17" s="396">
        <f t="shared" si="10"/>
        <v>0</v>
      </c>
      <c r="W17" s="53"/>
      <c r="X17" s="391">
        <f>IFERROR(VLOOKUP($C17,'Proposed Rates'!$B:$J,X$11,FALSE),0)</f>
        <v>0</v>
      </c>
      <c r="Y17" s="409">
        <f t="shared" si="11"/>
        <v>2500</v>
      </c>
      <c r="Z17" s="394">
        <f t="shared" si="12"/>
        <v>0</v>
      </c>
      <c r="AA17" s="138"/>
      <c r="AB17" s="395">
        <f t="shared" si="13"/>
        <v>-1210.5</v>
      </c>
      <c r="AC17" s="396">
        <f t="shared" si="14"/>
        <v>-1</v>
      </c>
      <c r="AD17" s="53"/>
      <c r="AE17" s="391">
        <f>IFERROR(VLOOKUP($C17,'Proposed Rates'!$B:$J,AE$11,FALSE),0)</f>
        <v>0</v>
      </c>
      <c r="AF17" s="409">
        <f t="shared" si="15"/>
        <v>2500</v>
      </c>
      <c r="AG17" s="394">
        <f t="shared" si="16"/>
        <v>0</v>
      </c>
      <c r="AH17" s="138"/>
      <c r="AI17" s="395">
        <f t="shared" si="17"/>
        <v>0</v>
      </c>
      <c r="AJ17" s="396" t="str">
        <f t="shared" si="18"/>
        <v/>
      </c>
      <c r="AK17" s="53"/>
      <c r="AL17" s="391">
        <f>IFERROR(VLOOKUP($C17,'Proposed Rates'!$B:$J,AL$11,FALSE),0)</f>
        <v>0</v>
      </c>
      <c r="AM17" s="409">
        <f t="shared" si="19"/>
        <v>2500</v>
      </c>
      <c r="AN17" s="394">
        <f t="shared" si="20"/>
        <v>0</v>
      </c>
      <c r="AO17" s="138"/>
      <c r="AP17" s="395">
        <f t="shared" si="21"/>
        <v>0</v>
      </c>
      <c r="AQ17" s="396" t="str">
        <f t="shared" si="22"/>
        <v/>
      </c>
      <c r="AR17" s="397"/>
    </row>
    <row r="18" spans="1:44" ht="12.75" customHeight="1">
      <c r="A18" s="53"/>
      <c r="B18" s="398" t="str">
        <f>'Proposed Rates'!C128</f>
        <v>Rate Rider Calculation for Forgone Revenue - fixed</v>
      </c>
      <c r="C18" s="389" t="str">
        <f t="shared" si="0"/>
        <v>General Service 1,500 to 4,999 KW.Rate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-12</v>
      </c>
      <c r="K18" s="409">
        <f t="shared" si="3"/>
        <v>1</v>
      </c>
      <c r="L18" s="394">
        <f t="shared" si="4"/>
        <v>-12</v>
      </c>
      <c r="M18" s="138"/>
      <c r="N18" s="395">
        <f t="shared" si="5"/>
        <v>-12</v>
      </c>
      <c r="O18" s="396" t="str">
        <f t="shared" si="6"/>
        <v/>
      </c>
      <c r="P18" s="53"/>
      <c r="Q18" s="391">
        <f>IFERROR(VLOOKUP($C18,'Proposed Rates'!$B:$J,Q$11,FALSE),0)</f>
        <v>-12</v>
      </c>
      <c r="R18" s="409">
        <f t="shared" si="7"/>
        <v>1</v>
      </c>
      <c r="S18" s="394">
        <f t="shared" si="8"/>
        <v>-12</v>
      </c>
      <c r="T18" s="138"/>
      <c r="U18" s="395">
        <f t="shared" si="9"/>
        <v>0</v>
      </c>
      <c r="V18" s="396">
        <f t="shared" si="10"/>
        <v>0</v>
      </c>
      <c r="W18" s="53"/>
      <c r="X18" s="391">
        <f>IFERROR(VLOOKUP($C18,'Proposed Rates'!$B:$J,X$11,FALSE),0)</f>
        <v>0</v>
      </c>
      <c r="Y18" s="409">
        <f t="shared" si="11"/>
        <v>1</v>
      </c>
      <c r="Z18" s="394">
        <f t="shared" si="12"/>
        <v>0</v>
      </c>
      <c r="AA18" s="138"/>
      <c r="AB18" s="395">
        <f t="shared" si="13"/>
        <v>12</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row>
    <row r="19" spans="1:44" ht="12.75" customHeight="1">
      <c r="A19" s="53"/>
      <c r="B19" s="328" t="s">
        <v>62</v>
      </c>
      <c r="C19" s="389" t="str">
        <f t="shared" si="0"/>
        <v>General Service 1,500 to 4,999 KW.Distribution Volumetric Rate</v>
      </c>
      <c r="D19" s="390" t="s">
        <v>406</v>
      </c>
      <c r="E19" s="328"/>
      <c r="F19" s="391">
        <f>IFERROR(VLOOKUP($C19,'Proposed Rates'!$B:$J,F$11,FALSE),0)</f>
        <v>6.0796000000000001</v>
      </c>
      <c r="G19" s="409">
        <f t="shared" si="1"/>
        <v>2500</v>
      </c>
      <c r="H19" s="394">
        <f t="shared" si="2"/>
        <v>15199</v>
      </c>
      <c r="I19" s="138"/>
      <c r="J19" s="391">
        <f>IFERROR(VLOOKUP($C19,'Proposed Rates'!$B:$J,J$11,FALSE),0)</f>
        <v>7.2919999999999998</v>
      </c>
      <c r="K19" s="409">
        <f t="shared" si="3"/>
        <v>2500</v>
      </c>
      <c r="L19" s="394">
        <f t="shared" si="4"/>
        <v>18230</v>
      </c>
      <c r="M19" s="138"/>
      <c r="N19" s="395">
        <f t="shared" si="5"/>
        <v>3031</v>
      </c>
      <c r="O19" s="396">
        <f t="shared" si="6"/>
        <v>0.19942101454043029</v>
      </c>
      <c r="P19" s="53"/>
      <c r="Q19" s="391">
        <f>IFERROR(VLOOKUP($C19,'Proposed Rates'!$B:$J,Q$11,FALSE),0)</f>
        <v>7.7595000000000001</v>
      </c>
      <c r="R19" s="409">
        <f t="shared" si="7"/>
        <v>2500</v>
      </c>
      <c r="S19" s="394">
        <f t="shared" si="8"/>
        <v>19398.75</v>
      </c>
      <c r="T19" s="138"/>
      <c r="U19" s="395">
        <f t="shared" si="9"/>
        <v>1168.75</v>
      </c>
      <c r="V19" s="396">
        <f t="shared" si="10"/>
        <v>6.4111354909489854E-2</v>
      </c>
      <c r="W19" s="53"/>
      <c r="X19" s="391">
        <f>IFERROR(VLOOKUP($C19,'Proposed Rates'!$B:$J,X$11,FALSE),0)</f>
        <v>8.4582999999999995</v>
      </c>
      <c r="Y19" s="409">
        <f t="shared" si="11"/>
        <v>2500</v>
      </c>
      <c r="Z19" s="394">
        <f t="shared" si="12"/>
        <v>21145.75</v>
      </c>
      <c r="AA19" s="138"/>
      <c r="AB19" s="395">
        <f t="shared" si="13"/>
        <v>1747</v>
      </c>
      <c r="AC19" s="396">
        <f t="shared" si="14"/>
        <v>9.0057349055995869E-2</v>
      </c>
      <c r="AD19" s="53"/>
      <c r="AE19" s="391">
        <f>IFERROR(VLOOKUP($C19,'Proposed Rates'!$B:$J,AE$11,FALSE),0)</f>
        <v>8.8265999999999991</v>
      </c>
      <c r="AF19" s="409">
        <f t="shared" si="15"/>
        <v>2500</v>
      </c>
      <c r="AG19" s="394">
        <f t="shared" si="16"/>
        <v>22066.499999999996</v>
      </c>
      <c r="AH19" s="138"/>
      <c r="AI19" s="395">
        <f t="shared" si="17"/>
        <v>920.74999999999636</v>
      </c>
      <c r="AJ19" s="396">
        <f t="shared" si="18"/>
        <v>4.3543028740999794E-2</v>
      </c>
      <c r="AK19" s="53"/>
      <c r="AL19" s="391">
        <f>IFERROR(VLOOKUP($C19,'Proposed Rates'!$B:$J,AL$11,FALSE),0)</f>
        <v>9.1635000000000009</v>
      </c>
      <c r="AM19" s="409">
        <f t="shared" si="19"/>
        <v>2500</v>
      </c>
      <c r="AN19" s="394">
        <f t="shared" si="20"/>
        <v>22908.750000000004</v>
      </c>
      <c r="AO19" s="138"/>
      <c r="AP19" s="395">
        <f t="shared" si="21"/>
        <v>842.25000000000728</v>
      </c>
      <c r="AQ19" s="396">
        <f t="shared" si="22"/>
        <v>3.8168717286384678E-2</v>
      </c>
      <c r="AR19" s="397"/>
    </row>
    <row r="20" spans="1:44" ht="12.75" customHeight="1">
      <c r="A20" s="53"/>
      <c r="B20" s="328" t="s">
        <v>338</v>
      </c>
      <c r="C20" s="389" t="str">
        <f t="shared" si="0"/>
        <v>General Service 1,500 to 4,999 KW.Smart Meter Disposition Rider</v>
      </c>
      <c r="D20" s="390" t="s">
        <v>337</v>
      </c>
      <c r="E20" s="328"/>
      <c r="F20" s="391">
        <f>IFERROR(VLOOKUP($C20,'Proposed Rates'!$B:$J,F$11,FALSE),0)</f>
        <v>0</v>
      </c>
      <c r="G20" s="409">
        <f t="shared" si="1"/>
        <v>1277500</v>
      </c>
      <c r="H20" s="394">
        <f t="shared" si="2"/>
        <v>0</v>
      </c>
      <c r="I20" s="138"/>
      <c r="J20" s="391">
        <f>IFERROR(VLOOKUP($C20,'Proposed Rates'!$B:$J,J$11,FALSE),0)</f>
        <v>0</v>
      </c>
      <c r="K20" s="409">
        <f t="shared" si="3"/>
        <v>1277500</v>
      </c>
      <c r="L20" s="394">
        <f t="shared" si="4"/>
        <v>0</v>
      </c>
      <c r="M20" s="138"/>
      <c r="N20" s="395">
        <f t="shared" si="5"/>
        <v>0</v>
      </c>
      <c r="O20" s="396" t="str">
        <f t="shared" si="6"/>
        <v/>
      </c>
      <c r="P20" s="53"/>
      <c r="Q20" s="391">
        <f>IFERROR(VLOOKUP($C20,'Proposed Rates'!$B:$J,Q$11,FALSE),0)</f>
        <v>0</v>
      </c>
      <c r="R20" s="409">
        <f t="shared" si="7"/>
        <v>1277500</v>
      </c>
      <c r="S20" s="394">
        <f t="shared" si="8"/>
        <v>0</v>
      </c>
      <c r="T20" s="138"/>
      <c r="U20" s="395">
        <f t="shared" si="9"/>
        <v>0</v>
      </c>
      <c r="V20" s="396" t="str">
        <f t="shared" si="10"/>
        <v/>
      </c>
      <c r="W20" s="53"/>
      <c r="X20" s="391">
        <f>IFERROR(VLOOKUP($C20,'Proposed Rates'!$B:$J,X$11,FALSE),0)</f>
        <v>0</v>
      </c>
      <c r="Y20" s="409">
        <f t="shared" si="11"/>
        <v>1277500</v>
      </c>
      <c r="Z20" s="394">
        <f t="shared" si="12"/>
        <v>0</v>
      </c>
      <c r="AA20" s="138"/>
      <c r="AB20" s="395">
        <f t="shared" si="13"/>
        <v>0</v>
      </c>
      <c r="AC20" s="396" t="str">
        <f t="shared" si="14"/>
        <v/>
      </c>
      <c r="AD20" s="53"/>
      <c r="AE20" s="391">
        <f>IFERROR(VLOOKUP($C20,'Proposed Rates'!$B:$J,AE$11,FALSE),0)</f>
        <v>0</v>
      </c>
      <c r="AF20" s="409">
        <f t="shared" si="15"/>
        <v>1277500</v>
      </c>
      <c r="AG20" s="394">
        <f t="shared" si="16"/>
        <v>0</v>
      </c>
      <c r="AH20" s="138"/>
      <c r="AI20" s="395">
        <f t="shared" si="17"/>
        <v>0</v>
      </c>
      <c r="AJ20" s="396" t="str">
        <f t="shared" si="18"/>
        <v/>
      </c>
      <c r="AK20" s="53"/>
      <c r="AL20" s="391">
        <f>IFERROR(VLOOKUP($C20,'Proposed Rates'!$B:$J,AL$11,FALSE),0)</f>
        <v>0</v>
      </c>
      <c r="AM20" s="409">
        <f t="shared" si="19"/>
        <v>1277500</v>
      </c>
      <c r="AN20" s="394">
        <f t="shared" si="20"/>
        <v>0</v>
      </c>
      <c r="AO20" s="138"/>
      <c r="AP20" s="395">
        <f t="shared" si="21"/>
        <v>0</v>
      </c>
      <c r="AQ20" s="396" t="str">
        <f t="shared" si="22"/>
        <v/>
      </c>
      <c r="AR20" s="397"/>
    </row>
    <row r="21" spans="1:44" ht="12.75" customHeight="1">
      <c r="A21" s="53"/>
      <c r="B21" s="328" t="s">
        <v>269</v>
      </c>
      <c r="C21" s="389" t="str">
        <f t="shared" si="0"/>
        <v>General Service 1,500 to 4,999 KW.LRAM Rate Rider</v>
      </c>
      <c r="D21" s="390" t="s">
        <v>406</v>
      </c>
      <c r="E21" s="328"/>
      <c r="F21" s="408">
        <f>'Proposed Rates'!E80+'Proposed Rates'!E93</f>
        <v>0.2021</v>
      </c>
      <c r="G21" s="409">
        <f t="shared" si="1"/>
        <v>2500</v>
      </c>
      <c r="H21" s="394">
        <f t="shared" si="2"/>
        <v>505.25</v>
      </c>
      <c r="I21" s="138"/>
      <c r="J21" s="408">
        <f>'Proposed Rates'!F80+'Proposed Rates'!F93</f>
        <v>-0.63370000000000004</v>
      </c>
      <c r="K21" s="409">
        <f t="shared" si="3"/>
        <v>2500</v>
      </c>
      <c r="L21" s="394">
        <f t="shared" si="4"/>
        <v>-1584.25</v>
      </c>
      <c r="M21" s="138"/>
      <c r="N21" s="395">
        <f t="shared" si="5"/>
        <v>-2089.5</v>
      </c>
      <c r="O21" s="396">
        <f t="shared" si="6"/>
        <v>-4.1355764473033148</v>
      </c>
      <c r="P21" s="53"/>
      <c r="Q21" s="408">
        <f>'Proposed Rates'!G80+'Proposed Rates'!G93</f>
        <v>0</v>
      </c>
      <c r="R21" s="409">
        <f t="shared" si="7"/>
        <v>2500</v>
      </c>
      <c r="S21" s="394">
        <f t="shared" si="8"/>
        <v>0</v>
      </c>
      <c r="T21" s="138"/>
      <c r="U21" s="395">
        <f t="shared" si="9"/>
        <v>1584.25</v>
      </c>
      <c r="V21" s="396">
        <f t="shared" si="10"/>
        <v>-1</v>
      </c>
      <c r="W21" s="53"/>
      <c r="X21" s="391">
        <f>IFERROR(VLOOKUP($C21,'Proposed Rates'!$B:$J,X$11,FALSE),0)</f>
        <v>0</v>
      </c>
      <c r="Y21" s="409">
        <f t="shared" si="11"/>
        <v>2500</v>
      </c>
      <c r="Z21" s="394">
        <f t="shared" si="12"/>
        <v>0</v>
      </c>
      <c r="AA21" s="138"/>
      <c r="AB21" s="395">
        <f t="shared" si="13"/>
        <v>0</v>
      </c>
      <c r="AC21" s="396" t="str">
        <f t="shared" si="14"/>
        <v/>
      </c>
      <c r="AD21" s="53"/>
      <c r="AE21" s="391">
        <f>IFERROR(VLOOKUP($C21,'Proposed Rates'!$B:$J,AE$11,FALSE),0)</f>
        <v>0</v>
      </c>
      <c r="AF21" s="409">
        <f t="shared" si="15"/>
        <v>2500</v>
      </c>
      <c r="AG21" s="394">
        <f t="shared" si="16"/>
        <v>0</v>
      </c>
      <c r="AH21" s="138"/>
      <c r="AI21" s="395">
        <f t="shared" si="17"/>
        <v>0</v>
      </c>
      <c r="AJ21" s="396" t="str">
        <f t="shared" si="18"/>
        <v/>
      </c>
      <c r="AK21" s="53"/>
      <c r="AL21" s="391">
        <f>IFERROR(VLOOKUP($C21,'Proposed Rates'!$B:$J,AL$11,FALSE),0)</f>
        <v>0</v>
      </c>
      <c r="AM21" s="409">
        <f t="shared" si="19"/>
        <v>2500</v>
      </c>
      <c r="AN21" s="394">
        <f t="shared" si="20"/>
        <v>0</v>
      </c>
      <c r="AO21" s="138"/>
      <c r="AP21" s="395">
        <f t="shared" si="21"/>
        <v>0</v>
      </c>
      <c r="AQ21" s="396" t="str">
        <f t="shared" si="22"/>
        <v/>
      </c>
      <c r="AR21" s="397"/>
    </row>
    <row r="22" spans="1:44" ht="12.75" customHeight="1">
      <c r="A22" s="53"/>
      <c r="B22" s="478" t="s">
        <v>265</v>
      </c>
      <c r="C22" s="389" t="str">
        <f t="shared" si="0"/>
        <v>General Service 1,500 to 4,999 KW.Deferral/Variance Account Disposition Rate Rider Group 2</v>
      </c>
      <c r="D22" s="390" t="s">
        <v>406</v>
      </c>
      <c r="E22" s="328"/>
      <c r="F22" s="391">
        <f>IFERROR(VLOOKUP($C22,'Proposed Rates'!$B:$J,F$11,FALSE),0)</f>
        <v>0</v>
      </c>
      <c r="G22" s="409">
        <f t="shared" si="1"/>
        <v>2500</v>
      </c>
      <c r="H22" s="394">
        <f t="shared" si="2"/>
        <v>0</v>
      </c>
      <c r="I22" s="138"/>
      <c r="J22" s="391">
        <f>IFERROR(VLOOKUP($C22,'Proposed Rates'!$B:$J,J$11,FALSE),0)</f>
        <v>-0.28470000000000001</v>
      </c>
      <c r="K22" s="409">
        <f t="shared" si="3"/>
        <v>2500</v>
      </c>
      <c r="L22" s="394">
        <f t="shared" si="4"/>
        <v>-711.75</v>
      </c>
      <c r="M22" s="138"/>
      <c r="N22" s="395">
        <f t="shared" si="5"/>
        <v>-711.75</v>
      </c>
      <c r="O22" s="396" t="str">
        <f t="shared" si="6"/>
        <v/>
      </c>
      <c r="P22" s="53"/>
      <c r="Q22" s="391">
        <f>IFERROR(VLOOKUP($C22,'Proposed Rates'!$B:$J,Q$11,FALSE),0)</f>
        <v>0</v>
      </c>
      <c r="R22" s="409">
        <f t="shared" si="7"/>
        <v>2500</v>
      </c>
      <c r="S22" s="394">
        <f t="shared" si="8"/>
        <v>0</v>
      </c>
      <c r="T22" s="138"/>
      <c r="U22" s="395">
        <f t="shared" si="9"/>
        <v>711.75</v>
      </c>
      <c r="V22" s="396">
        <f t="shared" si="10"/>
        <v>-1</v>
      </c>
      <c r="W22" s="53"/>
      <c r="X22" s="391">
        <f>IFERROR(VLOOKUP($C22,'Proposed Rates'!$B:$J,X$11,FALSE),0)</f>
        <v>0</v>
      </c>
      <c r="Y22" s="409">
        <f t="shared" si="11"/>
        <v>2500</v>
      </c>
      <c r="Z22" s="394">
        <f t="shared" si="12"/>
        <v>0</v>
      </c>
      <c r="AA22" s="138"/>
      <c r="AB22" s="395">
        <f t="shared" si="13"/>
        <v>0</v>
      </c>
      <c r="AC22" s="396" t="str">
        <f t="shared" si="14"/>
        <v/>
      </c>
      <c r="AD22" s="53"/>
      <c r="AE22" s="391">
        <f>IFERROR(VLOOKUP($C22,'Proposed Rates'!$B:$J,AE$11,FALSE),0)</f>
        <v>0</v>
      </c>
      <c r="AF22" s="409">
        <f t="shared" si="15"/>
        <v>2500</v>
      </c>
      <c r="AG22" s="394">
        <f t="shared" si="16"/>
        <v>0</v>
      </c>
      <c r="AH22" s="138"/>
      <c r="AI22" s="395">
        <f t="shared" si="17"/>
        <v>0</v>
      </c>
      <c r="AJ22" s="396" t="str">
        <f t="shared" si="18"/>
        <v/>
      </c>
      <c r="AK22" s="53"/>
      <c r="AL22" s="391">
        <f>IFERROR(VLOOKUP($C22,'Proposed Rates'!$B:$J,AL$11,FALSE),0)</f>
        <v>0</v>
      </c>
      <c r="AM22" s="409">
        <f t="shared" si="19"/>
        <v>2500</v>
      </c>
      <c r="AN22" s="394">
        <f t="shared" si="20"/>
        <v>0</v>
      </c>
      <c r="AO22" s="138"/>
      <c r="AP22" s="395">
        <f t="shared" si="21"/>
        <v>0</v>
      </c>
      <c r="AQ22" s="396" t="str">
        <f t="shared" si="22"/>
        <v/>
      </c>
      <c r="AR22" s="397"/>
    </row>
    <row r="23" spans="1:44" ht="12.75" customHeight="1">
      <c r="A23" s="53"/>
      <c r="B23" s="398"/>
      <c r="C23" s="389" t="str">
        <f t="shared" si="0"/>
        <v>General Service 1,500 to 4,999 KW.</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row>
    <row r="24" spans="1:44" ht="12.75" customHeight="1">
      <c r="A24" s="53"/>
      <c r="B24" s="398"/>
      <c r="C24" s="389" t="str">
        <f t="shared" si="0"/>
        <v>General Service 1,500 to 4,999 KW.</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row>
    <row r="25" spans="1:44" ht="12.75" customHeight="1">
      <c r="A25" s="53"/>
      <c r="B25" s="398"/>
      <c r="C25" s="389" t="str">
        <f t="shared" si="0"/>
        <v>General Service 1,500 to 4,999 KW.</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row>
    <row r="26" spans="1:44" ht="12.75" customHeight="1">
      <c r="A26" s="53"/>
      <c r="B26" s="478"/>
      <c r="C26" s="389" t="str">
        <f t="shared" si="0"/>
        <v>General Service 1,500 to 4,999 KW.</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row>
    <row r="27" spans="1:44" ht="12.75" customHeight="1">
      <c r="A27" s="53"/>
      <c r="B27" s="398"/>
      <c r="C27" s="389" t="str">
        <f t="shared" si="0"/>
        <v>General Service 1,500 to 4,999 KW.</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row>
    <row r="28" spans="1:44" ht="12.75" customHeight="1">
      <c r="A28" s="53"/>
      <c r="B28" s="398"/>
      <c r="C28" s="389" t="str">
        <f t="shared" si="0"/>
        <v>General Service 1,500 to 4,999 KW.</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row>
    <row r="29" spans="1:44" ht="12.75" customHeight="1">
      <c r="A29" s="314"/>
      <c r="B29" s="399" t="s">
        <v>339</v>
      </c>
      <c r="C29" s="551"/>
      <c r="D29" s="400"/>
      <c r="E29" s="400"/>
      <c r="F29" s="401"/>
      <c r="G29" s="494"/>
      <c r="H29" s="403">
        <f>SUM(H15:H28)</f>
        <v>19831</v>
      </c>
      <c r="I29" s="404"/>
      <c r="J29" s="401"/>
      <c r="K29" s="494"/>
      <c r="L29" s="403">
        <f>SUM(L15:L28)</f>
        <v>21259.25</v>
      </c>
      <c r="M29" s="404"/>
      <c r="N29" s="405">
        <f t="shared" si="5"/>
        <v>1428.25</v>
      </c>
      <c r="O29" s="406">
        <f t="shared" si="6"/>
        <v>7.2021078110029751E-2</v>
      </c>
      <c r="P29" s="314"/>
      <c r="Q29" s="401"/>
      <c r="R29" s="494"/>
      <c r="S29" s="403">
        <f>SUM(S15:S28)</f>
        <v>24724</v>
      </c>
      <c r="T29" s="404"/>
      <c r="U29" s="405">
        <f t="shared" si="9"/>
        <v>3464.75</v>
      </c>
      <c r="V29" s="406">
        <f t="shared" si="10"/>
        <v>0.1629761162787963</v>
      </c>
      <c r="W29" s="314"/>
      <c r="X29" s="401"/>
      <c r="Y29" s="494"/>
      <c r="Z29" s="403">
        <f>SUM(Z15:Z28)</f>
        <v>25272.5</v>
      </c>
      <c r="AA29" s="404"/>
      <c r="AB29" s="405">
        <f t="shared" si="13"/>
        <v>548.5</v>
      </c>
      <c r="AC29" s="406">
        <f t="shared" si="14"/>
        <v>2.2184921533732405E-2</v>
      </c>
      <c r="AD29" s="314"/>
      <c r="AE29" s="401"/>
      <c r="AF29" s="494"/>
      <c r="AG29" s="403">
        <f>SUM(AG15:AG28)</f>
        <v>26193.249999999996</v>
      </c>
      <c r="AH29" s="404"/>
      <c r="AI29" s="405">
        <f t="shared" si="17"/>
        <v>920.74999999999636</v>
      </c>
      <c r="AJ29" s="406">
        <f t="shared" si="18"/>
        <v>3.6432881590661645E-2</v>
      </c>
      <c r="AK29" s="314"/>
      <c r="AL29" s="401"/>
      <c r="AM29" s="494"/>
      <c r="AN29" s="403">
        <f>SUM(AN15:AN28)</f>
        <v>27035.500000000004</v>
      </c>
      <c r="AO29" s="404"/>
      <c r="AP29" s="405">
        <f t="shared" si="21"/>
        <v>842.25000000000728</v>
      </c>
      <c r="AQ29" s="406">
        <f t="shared" si="22"/>
        <v>3.215523083237122E-2</v>
      </c>
      <c r="AR29" s="407"/>
    </row>
    <row r="30" spans="1:44" ht="12.75" customHeight="1">
      <c r="A30" s="53"/>
      <c r="B30" s="398" t="s">
        <v>262</v>
      </c>
      <c r="C30" s="389" t="str">
        <f t="shared" ref="C30:C38" si="23">D$6&amp;"."&amp;B30</f>
        <v>General Service 1,500 to 4,999 KW.DVA Disposition Rate Rider Group 1 -2025</v>
      </c>
      <c r="D30" s="390" t="s">
        <v>406</v>
      </c>
      <c r="E30" s="328"/>
      <c r="F30" s="408">
        <f>IFERROR(VLOOKUP($C30,'Proposed Rates'!$B:$J,F$11,FALSE),0)</f>
        <v>5.3600000000000002E-2</v>
      </c>
      <c r="G30" s="409">
        <f t="shared" ref="G30:G36" si="24">IF($D30="Monthly",1,IF($D30="per KW",$F$10,IF($D30="per kWh",$F$9,0)))</f>
        <v>2500</v>
      </c>
      <c r="H30" s="394">
        <f t="shared" ref="H30:H38" si="25">G30*F30</f>
        <v>134</v>
      </c>
      <c r="I30" s="138"/>
      <c r="J30" s="408">
        <f>IFERROR(VLOOKUP($C30,'Proposed Rates'!$B:$J,J$11,FALSE),0)</f>
        <v>-0.373</v>
      </c>
      <c r="K30" s="409">
        <f t="shared" ref="K30:K36" si="26">IF($D30="Monthly",1,IF($D30="per KW",$F$10,IF($D30="per kWh",$F$9,0)))</f>
        <v>2500</v>
      </c>
      <c r="L30" s="394">
        <f t="shared" ref="L30:L38" si="27">K30*J30</f>
        <v>-932.5</v>
      </c>
      <c r="M30" s="138"/>
      <c r="N30" s="395">
        <f t="shared" si="5"/>
        <v>-1066.5</v>
      </c>
      <c r="O30" s="396">
        <f t="shared" si="6"/>
        <v>-7.9589552238805972</v>
      </c>
      <c r="P30" s="53"/>
      <c r="Q30" s="408">
        <f>IFERROR(VLOOKUP($C30,'Proposed Rates'!$B:$J,Q$11,FALSE),0)</f>
        <v>0</v>
      </c>
      <c r="R30" s="409">
        <f t="shared" ref="R30:R36" si="28">IF($D30="Monthly",1,IF($D30="per KW",$F$10,IF($D30="per kWh",$F$9,0)))</f>
        <v>2500</v>
      </c>
      <c r="S30" s="394">
        <f t="shared" ref="S30:S38" si="29">R30*Q30</f>
        <v>0</v>
      </c>
      <c r="T30" s="138"/>
      <c r="U30" s="395">
        <f t="shared" si="9"/>
        <v>932.5</v>
      </c>
      <c r="V30" s="396">
        <f t="shared" si="10"/>
        <v>-1</v>
      </c>
      <c r="W30" s="53"/>
      <c r="X30" s="408">
        <f>IFERROR(VLOOKUP($C30,'Proposed Rates'!$B:$J,X$11,FALSE),0)</f>
        <v>0</v>
      </c>
      <c r="Y30" s="409">
        <f t="shared" ref="Y30:Y36" si="30">IF($D30="Monthly",1,IF($D30="per KW",$F$10,IF($D30="per kWh",$F$9,0)))</f>
        <v>2500</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2500</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2500</v>
      </c>
      <c r="AN30" s="394">
        <f t="shared" ref="AN30:AN38" si="35">AM30*AL30</f>
        <v>0</v>
      </c>
      <c r="AO30" s="138"/>
      <c r="AP30" s="395">
        <f t="shared" si="21"/>
        <v>0</v>
      </c>
      <c r="AQ30" s="396" t="str">
        <f t="shared" si="22"/>
        <v/>
      </c>
      <c r="AR30" s="397"/>
    </row>
    <row r="31" spans="1:44" ht="12.75" customHeight="1">
      <c r="A31" s="53"/>
      <c r="B31" s="478" t="s">
        <v>264</v>
      </c>
      <c r="C31" s="389" t="str">
        <f t="shared" si="23"/>
        <v>General Service 1,500 to 4,999 KW.DVA Disposition Rate Rider Group 1 - 2024</v>
      </c>
      <c r="D31" s="390" t="s">
        <v>406</v>
      </c>
      <c r="E31" s="328"/>
      <c r="F31" s="408">
        <f>IFERROR(VLOOKUP($C31,'Proposed Rates'!$B:$J,F$11,FALSE),0)</f>
        <v>0</v>
      </c>
      <c r="G31" s="409">
        <f t="shared" si="24"/>
        <v>2500</v>
      </c>
      <c r="H31" s="394">
        <f t="shared" si="25"/>
        <v>0</v>
      </c>
      <c r="I31" s="138"/>
      <c r="J31" s="408">
        <f>IFERROR(VLOOKUP($C31,'Proposed Rates'!$B:$J,J$11,FALSE),0)</f>
        <v>0</v>
      </c>
      <c r="K31" s="409">
        <f t="shared" si="26"/>
        <v>2500</v>
      </c>
      <c r="L31" s="394">
        <f t="shared" si="27"/>
        <v>0</v>
      </c>
      <c r="M31" s="138"/>
      <c r="N31" s="395">
        <f t="shared" si="5"/>
        <v>0</v>
      </c>
      <c r="O31" s="396" t="str">
        <f t="shared" si="6"/>
        <v/>
      </c>
      <c r="P31" s="53"/>
      <c r="Q31" s="408">
        <f>IFERROR(VLOOKUP($C31,'Proposed Rates'!$B:$J,Q$11,FALSE),0)</f>
        <v>0</v>
      </c>
      <c r="R31" s="409">
        <f t="shared" si="28"/>
        <v>2500</v>
      </c>
      <c r="S31" s="394">
        <f t="shared" si="29"/>
        <v>0</v>
      </c>
      <c r="T31" s="138"/>
      <c r="U31" s="395">
        <f t="shared" si="9"/>
        <v>0</v>
      </c>
      <c r="V31" s="396" t="str">
        <f t="shared" si="10"/>
        <v/>
      </c>
      <c r="W31" s="53"/>
      <c r="X31" s="408">
        <f>IFERROR(VLOOKUP($C31,'Proposed Rates'!$B:$J,X$11,FALSE),0)</f>
        <v>0</v>
      </c>
      <c r="Y31" s="409">
        <f t="shared" si="30"/>
        <v>2500</v>
      </c>
      <c r="Z31" s="394">
        <f t="shared" si="31"/>
        <v>0</v>
      </c>
      <c r="AA31" s="138"/>
      <c r="AB31" s="395">
        <f t="shared" si="13"/>
        <v>0</v>
      </c>
      <c r="AC31" s="396" t="str">
        <f t="shared" si="14"/>
        <v/>
      </c>
      <c r="AD31" s="53"/>
      <c r="AE31" s="408">
        <f>IFERROR(VLOOKUP($C31,'Proposed Rates'!$B:$J,AE$11,FALSE),0)</f>
        <v>0</v>
      </c>
      <c r="AF31" s="409">
        <f t="shared" si="32"/>
        <v>2500</v>
      </c>
      <c r="AG31" s="394">
        <f t="shared" si="33"/>
        <v>0</v>
      </c>
      <c r="AH31" s="138"/>
      <c r="AI31" s="395">
        <f t="shared" si="17"/>
        <v>0</v>
      </c>
      <c r="AJ31" s="396" t="str">
        <f t="shared" si="18"/>
        <v/>
      </c>
      <c r="AK31" s="53"/>
      <c r="AL31" s="408">
        <f>IFERROR(VLOOKUP($C31,'Proposed Rates'!$B:$J,AL$11,FALSE),0)</f>
        <v>0</v>
      </c>
      <c r="AM31" s="409">
        <f t="shared" si="34"/>
        <v>2500</v>
      </c>
      <c r="AN31" s="394">
        <f t="shared" si="35"/>
        <v>0</v>
      </c>
      <c r="AO31" s="138"/>
      <c r="AP31" s="395">
        <f t="shared" si="21"/>
        <v>0</v>
      </c>
      <c r="AQ31" s="396" t="str">
        <f t="shared" si="22"/>
        <v/>
      </c>
      <c r="AR31" s="397"/>
    </row>
    <row r="32" spans="1:44" ht="12.75" customHeight="1">
      <c r="A32" s="53"/>
      <c r="B32" s="478" t="s">
        <v>272</v>
      </c>
      <c r="C32" s="389" t="str">
        <f t="shared" si="23"/>
        <v>General Service 1,500 to 4,999 KW.CBR Class B Rate Riders</v>
      </c>
      <c r="D32" s="390" t="s">
        <v>337</v>
      </c>
      <c r="E32" s="328"/>
      <c r="F32" s="408">
        <f>IFERROR(VLOOKUP($C32,'Proposed Rates'!$B:$J,F$11,FALSE),0)</f>
        <v>2.0000000000000001E-4</v>
      </c>
      <c r="G32" s="409">
        <f t="shared" si="24"/>
        <v>1277500</v>
      </c>
      <c r="H32" s="394">
        <f t="shared" si="25"/>
        <v>255.5</v>
      </c>
      <c r="I32" s="479"/>
      <c r="J32" s="408">
        <f>IFERROR(VLOOKUP($C32,'Proposed Rates'!$B:$J,J$11,FALSE),0)</f>
        <v>6.9999999999999999E-4</v>
      </c>
      <c r="K32" s="409">
        <f t="shared" si="26"/>
        <v>1277500</v>
      </c>
      <c r="L32" s="394">
        <f t="shared" si="27"/>
        <v>894.25</v>
      </c>
      <c r="M32" s="411"/>
      <c r="N32" s="395">
        <f t="shared" si="5"/>
        <v>638.75</v>
      </c>
      <c r="O32" s="396">
        <f t="shared" si="6"/>
        <v>2.5</v>
      </c>
      <c r="P32" s="53"/>
      <c r="Q32" s="408">
        <f>IFERROR(VLOOKUP($C32,'Proposed Rates'!$B:$J,Q$11,FALSE),0)</f>
        <v>0</v>
      </c>
      <c r="R32" s="409">
        <f t="shared" si="28"/>
        <v>1277500</v>
      </c>
      <c r="S32" s="394">
        <f t="shared" si="29"/>
        <v>0</v>
      </c>
      <c r="T32" s="411"/>
      <c r="U32" s="395"/>
      <c r="V32" s="396"/>
      <c r="W32" s="53"/>
      <c r="X32" s="408">
        <f>IFERROR(VLOOKUP($C32,'Proposed Rates'!$B:$J,X$11,FALSE),0)</f>
        <v>0</v>
      </c>
      <c r="Y32" s="409">
        <f t="shared" si="30"/>
        <v>1277500</v>
      </c>
      <c r="Z32" s="394">
        <f t="shared" si="31"/>
        <v>0</v>
      </c>
      <c r="AA32" s="138"/>
      <c r="AB32" s="395">
        <f t="shared" si="13"/>
        <v>0</v>
      </c>
      <c r="AC32" s="396" t="str">
        <f t="shared" si="14"/>
        <v/>
      </c>
      <c r="AD32" s="53"/>
      <c r="AE32" s="408">
        <f>IFERROR(VLOOKUP($C32,'Proposed Rates'!$B:$J,AE$11,FALSE),0)</f>
        <v>0</v>
      </c>
      <c r="AF32" s="409">
        <f t="shared" si="32"/>
        <v>1277500</v>
      </c>
      <c r="AG32" s="394">
        <f t="shared" si="33"/>
        <v>0</v>
      </c>
      <c r="AH32" s="138"/>
      <c r="AI32" s="395">
        <f t="shared" si="17"/>
        <v>0</v>
      </c>
      <c r="AJ32" s="396" t="str">
        <f t="shared" si="18"/>
        <v/>
      </c>
      <c r="AK32" s="53"/>
      <c r="AL32" s="408">
        <f>IFERROR(VLOOKUP($C32,'Proposed Rates'!$B:$J,AL$11,FALSE),0)</f>
        <v>0</v>
      </c>
      <c r="AM32" s="409">
        <f t="shared" si="34"/>
        <v>1277500</v>
      </c>
      <c r="AN32" s="394">
        <f t="shared" si="35"/>
        <v>0</v>
      </c>
      <c r="AO32" s="411"/>
      <c r="AP32" s="395">
        <f t="shared" si="21"/>
        <v>0</v>
      </c>
      <c r="AQ32" s="396" t="str">
        <f t="shared" si="22"/>
        <v/>
      </c>
      <c r="AR32" s="397"/>
    </row>
    <row r="33" spans="1:44" ht="12.75" customHeight="1">
      <c r="A33" s="53"/>
      <c r="B33" s="478" t="s">
        <v>279</v>
      </c>
      <c r="C33" s="389" t="str">
        <f t="shared" si="23"/>
        <v>General Service 1,500 to 4,999 KW.GA Rate Riders</v>
      </c>
      <c r="D33" s="390" t="s">
        <v>337</v>
      </c>
      <c r="E33" s="328"/>
      <c r="F33" s="408">
        <f>IFERROR(VLOOKUP($C33,'Proposed Rates'!$B:$J,F$11,FALSE),0)</f>
        <v>3.8999999999999998E-3</v>
      </c>
      <c r="G33" s="409">
        <f t="shared" si="24"/>
        <v>1277500</v>
      </c>
      <c r="H33" s="394">
        <f t="shared" si="25"/>
        <v>4982.25</v>
      </c>
      <c r="I33" s="479"/>
      <c r="J33" s="408">
        <f>IFERROR(VLOOKUP($C33,'Proposed Rates'!$B:$J,J$11,FALSE),0)</f>
        <v>4.4999999999999997E-3</v>
      </c>
      <c r="K33" s="409">
        <f t="shared" si="26"/>
        <v>1277500</v>
      </c>
      <c r="L33" s="394">
        <f t="shared" si="27"/>
        <v>5748.75</v>
      </c>
      <c r="M33" s="411"/>
      <c r="N33" s="395">
        <f t="shared" si="5"/>
        <v>766.5</v>
      </c>
      <c r="O33" s="396">
        <f t="shared" si="6"/>
        <v>0.15384615384615385</v>
      </c>
      <c r="P33" s="53"/>
      <c r="Q33" s="408">
        <f>IFERROR(VLOOKUP($C33,'Proposed Rates'!$B:$J,Q$11,FALSE),0)</f>
        <v>4.4999999999999997E-3</v>
      </c>
      <c r="R33" s="409">
        <f t="shared" si="28"/>
        <v>1277500</v>
      </c>
      <c r="S33" s="394">
        <f t="shared" si="29"/>
        <v>5748.75</v>
      </c>
      <c r="T33" s="411"/>
      <c r="U33" s="395">
        <f t="shared" ref="U33:U34" si="36">S33-L33</f>
        <v>0</v>
      </c>
      <c r="V33" s="396">
        <f t="shared" ref="V33:V34" si="37">IF((L33)=0,"",(U33/L33))</f>
        <v>0</v>
      </c>
      <c r="W33" s="53"/>
      <c r="X33" s="408">
        <f>IFERROR(VLOOKUP($C33,'Proposed Rates'!$B:$J,X$11,FALSE),0)</f>
        <v>0</v>
      </c>
      <c r="Y33" s="409">
        <f t="shared" si="30"/>
        <v>1277500</v>
      </c>
      <c r="Z33" s="394">
        <f t="shared" si="31"/>
        <v>0</v>
      </c>
      <c r="AA33" s="411"/>
      <c r="AB33" s="395">
        <f t="shared" si="13"/>
        <v>-5748.75</v>
      </c>
      <c r="AC33" s="396">
        <f t="shared" si="14"/>
        <v>-1</v>
      </c>
      <c r="AD33" s="53"/>
      <c r="AE33" s="408">
        <f>IFERROR(VLOOKUP($C33,'Proposed Rates'!$B:$J,AE$11,FALSE),0)</f>
        <v>0</v>
      </c>
      <c r="AF33" s="409">
        <f t="shared" si="32"/>
        <v>1277500</v>
      </c>
      <c r="AG33" s="394">
        <f t="shared" si="33"/>
        <v>0</v>
      </c>
      <c r="AH33" s="411"/>
      <c r="AI33" s="395">
        <f t="shared" si="17"/>
        <v>0</v>
      </c>
      <c r="AJ33" s="396" t="str">
        <f t="shared" si="18"/>
        <v/>
      </c>
      <c r="AK33" s="53"/>
      <c r="AL33" s="408">
        <f>IFERROR(VLOOKUP($C33,'Proposed Rates'!$B:$J,AL$11,FALSE),0)</f>
        <v>0</v>
      </c>
      <c r="AM33" s="409">
        <f t="shared" si="34"/>
        <v>1277500</v>
      </c>
      <c r="AN33" s="394">
        <f t="shared" si="35"/>
        <v>0</v>
      </c>
      <c r="AO33" s="411"/>
      <c r="AP33" s="395">
        <f t="shared" si="21"/>
        <v>0</v>
      </c>
      <c r="AQ33" s="396" t="str">
        <f t="shared" si="22"/>
        <v/>
      </c>
      <c r="AR33" s="397"/>
    </row>
    <row r="34" spans="1:44" ht="12.75" customHeight="1">
      <c r="A34" s="53"/>
      <c r="B34" s="478" t="s">
        <v>282</v>
      </c>
      <c r="C34" s="389" t="str">
        <f t="shared" si="23"/>
        <v>General Service 1,500 to 4,999 KW.Total Deferral/Variance Account Rate RidersYr2</v>
      </c>
      <c r="D34" s="390" t="s">
        <v>406</v>
      </c>
      <c r="E34" s="328"/>
      <c r="F34" s="408">
        <f>IFERROR(VLOOKUP($C34,'Proposed Rates'!$B:$J,F$11,FALSE),0)</f>
        <v>0</v>
      </c>
      <c r="G34" s="409">
        <f t="shared" si="24"/>
        <v>2500</v>
      </c>
      <c r="H34" s="394">
        <f t="shared" si="25"/>
        <v>0</v>
      </c>
      <c r="I34" s="479"/>
      <c r="J34" s="408">
        <f>IFERROR(VLOOKUP($C34,'Proposed Rates'!$B:$J,J$11,FALSE),0)</f>
        <v>0</v>
      </c>
      <c r="K34" s="409">
        <f t="shared" si="26"/>
        <v>2500</v>
      </c>
      <c r="L34" s="394">
        <f t="shared" si="27"/>
        <v>0</v>
      </c>
      <c r="M34" s="411"/>
      <c r="N34" s="395">
        <f t="shared" si="5"/>
        <v>0</v>
      </c>
      <c r="O34" s="396" t="str">
        <f t="shared" si="6"/>
        <v/>
      </c>
      <c r="P34" s="53"/>
      <c r="Q34" s="408">
        <f>IFERROR(VLOOKUP($C34,'Proposed Rates'!$B:$J,Q$11,FALSE),0)</f>
        <v>0</v>
      </c>
      <c r="R34" s="409">
        <f t="shared" si="28"/>
        <v>2500</v>
      </c>
      <c r="S34" s="394">
        <f t="shared" si="29"/>
        <v>0</v>
      </c>
      <c r="T34" s="411"/>
      <c r="U34" s="395">
        <f t="shared" si="36"/>
        <v>0</v>
      </c>
      <c r="V34" s="396" t="str">
        <f t="shared" si="37"/>
        <v/>
      </c>
      <c r="W34" s="53"/>
      <c r="X34" s="408">
        <f>IFERROR(VLOOKUP($C34,'Proposed Rates'!$B:$J,X$11,FALSE),0)</f>
        <v>0</v>
      </c>
      <c r="Y34" s="409">
        <f t="shared" si="30"/>
        <v>2500</v>
      </c>
      <c r="Z34" s="394">
        <f t="shared" si="31"/>
        <v>0</v>
      </c>
      <c r="AA34" s="411"/>
      <c r="AB34" s="395">
        <f t="shared" si="13"/>
        <v>0</v>
      </c>
      <c r="AC34" s="396" t="str">
        <f t="shared" si="14"/>
        <v/>
      </c>
      <c r="AD34" s="53"/>
      <c r="AE34" s="408">
        <f>IFERROR(VLOOKUP($C34,'Proposed Rates'!$B:$J,AE$11,FALSE),0)</f>
        <v>0</v>
      </c>
      <c r="AF34" s="409">
        <f t="shared" si="32"/>
        <v>2500</v>
      </c>
      <c r="AG34" s="394">
        <f t="shared" si="33"/>
        <v>0</v>
      </c>
      <c r="AH34" s="411"/>
      <c r="AI34" s="395">
        <f t="shared" si="17"/>
        <v>0</v>
      </c>
      <c r="AJ34" s="396" t="str">
        <f t="shared" si="18"/>
        <v/>
      </c>
      <c r="AK34" s="53"/>
      <c r="AL34" s="408">
        <f>IFERROR(VLOOKUP($C34,'Proposed Rates'!$B:$J,AL$11,FALSE),0)</f>
        <v>0</v>
      </c>
      <c r="AM34" s="409">
        <f t="shared" si="34"/>
        <v>2500</v>
      </c>
      <c r="AN34" s="394">
        <f t="shared" si="35"/>
        <v>0</v>
      </c>
      <c r="AO34" s="411"/>
      <c r="AP34" s="395">
        <f t="shared" si="21"/>
        <v>0</v>
      </c>
      <c r="AQ34" s="396" t="str">
        <f t="shared" si="22"/>
        <v/>
      </c>
      <c r="AR34" s="397"/>
    </row>
    <row r="35" spans="1:44" ht="12.75" customHeight="1">
      <c r="A35" s="53"/>
      <c r="B35" s="478" t="s">
        <v>284</v>
      </c>
      <c r="C35" s="389" t="str">
        <f t="shared" si="23"/>
        <v>General Service 1,500 to 4,999 KW.Total Deferral/Variance Account Rate Riders</v>
      </c>
      <c r="D35" s="390" t="s">
        <v>406</v>
      </c>
      <c r="E35" s="328"/>
      <c r="F35" s="408">
        <f>IFERROR(VLOOKUP($C35,'Proposed Rates'!$B:$J,F$11,FALSE),0)</f>
        <v>0</v>
      </c>
      <c r="G35" s="409">
        <f t="shared" si="24"/>
        <v>2500</v>
      </c>
      <c r="H35" s="394">
        <f t="shared" si="25"/>
        <v>0</v>
      </c>
      <c r="I35" s="138"/>
      <c r="J35" s="408">
        <f>IFERROR(VLOOKUP($C35,'Proposed Rates'!$B:$J,J$11,FALSE),0)</f>
        <v>0</v>
      </c>
      <c r="K35" s="409">
        <f t="shared" si="26"/>
        <v>2500</v>
      </c>
      <c r="L35" s="394">
        <f t="shared" si="27"/>
        <v>0</v>
      </c>
      <c r="M35" s="138"/>
      <c r="N35" s="395">
        <f t="shared" si="5"/>
        <v>0</v>
      </c>
      <c r="O35" s="396" t="str">
        <f t="shared" si="6"/>
        <v/>
      </c>
      <c r="P35" s="53"/>
      <c r="Q35" s="408">
        <f>IFERROR(VLOOKUP($C35,'Proposed Rates'!$B:$J,Q$11,FALSE),0)</f>
        <v>0</v>
      </c>
      <c r="R35" s="409">
        <f t="shared" si="28"/>
        <v>2500</v>
      </c>
      <c r="S35" s="394">
        <f t="shared" si="29"/>
        <v>0</v>
      </c>
      <c r="T35" s="138"/>
      <c r="U35" s="395"/>
      <c r="V35" s="396"/>
      <c r="W35" s="53"/>
      <c r="X35" s="408">
        <f>IFERROR(VLOOKUP($C35,'Proposed Rates'!$B:$J,X$11,FALSE),0)</f>
        <v>0</v>
      </c>
      <c r="Y35" s="409">
        <f t="shared" si="30"/>
        <v>2500</v>
      </c>
      <c r="Z35" s="394">
        <f t="shared" si="31"/>
        <v>0</v>
      </c>
      <c r="AA35" s="138"/>
      <c r="AB35" s="395">
        <f t="shared" si="13"/>
        <v>0</v>
      </c>
      <c r="AC35" s="396" t="str">
        <f t="shared" si="14"/>
        <v/>
      </c>
      <c r="AD35" s="53"/>
      <c r="AE35" s="408">
        <f>IFERROR(VLOOKUP($C35,'Proposed Rates'!$B:$J,AE$11,FALSE),0)</f>
        <v>0</v>
      </c>
      <c r="AF35" s="409">
        <f t="shared" si="32"/>
        <v>2500</v>
      </c>
      <c r="AG35" s="394">
        <f t="shared" si="33"/>
        <v>0</v>
      </c>
      <c r="AH35" s="138"/>
      <c r="AI35" s="395">
        <f t="shared" si="17"/>
        <v>0</v>
      </c>
      <c r="AJ35" s="396" t="str">
        <f t="shared" si="18"/>
        <v/>
      </c>
      <c r="AK35" s="53"/>
      <c r="AL35" s="408">
        <f>IFERROR(VLOOKUP($C35,'Proposed Rates'!$B:$J,AL$11,FALSE),0)</f>
        <v>0</v>
      </c>
      <c r="AM35" s="409">
        <f t="shared" si="34"/>
        <v>2500</v>
      </c>
      <c r="AN35" s="394">
        <f t="shared" si="35"/>
        <v>0</v>
      </c>
      <c r="AO35" s="138"/>
      <c r="AP35" s="395">
        <f t="shared" si="21"/>
        <v>0</v>
      </c>
      <c r="AQ35" s="396" t="str">
        <f t="shared" si="22"/>
        <v/>
      </c>
      <c r="AR35" s="397"/>
    </row>
    <row r="36" spans="1:44" ht="12.75" customHeight="1">
      <c r="A36" s="53"/>
      <c r="B36" s="328" t="s">
        <v>300</v>
      </c>
      <c r="C36" s="389" t="str">
        <f t="shared" si="23"/>
        <v>General Service 1,500 to 4,999 KW.Low Voltage Service Charge</v>
      </c>
      <c r="D36" s="390" t="s">
        <v>406</v>
      </c>
      <c r="E36" s="328"/>
      <c r="F36" s="412">
        <f>IFERROR(VLOOKUP($C36,'Proposed Rates'!$B:$J,F$11,FALSE),0)</f>
        <v>2.2040000000000001E-2</v>
      </c>
      <c r="G36" s="409">
        <f t="shared" si="24"/>
        <v>2500</v>
      </c>
      <c r="H36" s="394">
        <f t="shared" si="25"/>
        <v>55.1</v>
      </c>
      <c r="I36" s="138"/>
      <c r="J36" s="412">
        <f>IFERROR(VLOOKUP($C36,'Proposed Rates'!$B:$J,J$11,FALSE),0)</f>
        <v>2.3130000000000001E-2</v>
      </c>
      <c r="K36" s="409">
        <f t="shared" si="26"/>
        <v>2500</v>
      </c>
      <c r="L36" s="394">
        <f t="shared" si="27"/>
        <v>57.825000000000003</v>
      </c>
      <c r="M36" s="138"/>
      <c r="N36" s="395">
        <f t="shared" si="5"/>
        <v>2.7250000000000014</v>
      </c>
      <c r="O36" s="396">
        <f t="shared" si="6"/>
        <v>4.9455535390199659E-2</v>
      </c>
      <c r="P36" s="53"/>
      <c r="Q36" s="412">
        <f>IFERROR(VLOOKUP($C36,'Proposed Rates'!$B:$J,Q$11,FALSE),0)</f>
        <v>2.3730000000000001E-2</v>
      </c>
      <c r="R36" s="409">
        <f t="shared" si="28"/>
        <v>2500</v>
      </c>
      <c r="S36" s="394">
        <f t="shared" si="29"/>
        <v>59.325000000000003</v>
      </c>
      <c r="T36" s="138"/>
      <c r="U36" s="395">
        <f t="shared" ref="U36:U37" si="38">S36-L36</f>
        <v>1.5</v>
      </c>
      <c r="V36" s="396">
        <f t="shared" ref="V36:V37" si="39">IF((L36)=0,"",(U36/L36))</f>
        <v>2.5940337224383915E-2</v>
      </c>
      <c r="W36" s="53"/>
      <c r="X36" s="412">
        <f>IFERROR(VLOOKUP($C36,'Proposed Rates'!$B:$J,X$11,FALSE),0)</f>
        <v>2.402E-2</v>
      </c>
      <c r="Y36" s="409">
        <f t="shared" si="30"/>
        <v>2500</v>
      </c>
      <c r="Z36" s="394">
        <f t="shared" si="31"/>
        <v>60.05</v>
      </c>
      <c r="AA36" s="138"/>
      <c r="AB36" s="395">
        <f t="shared" si="13"/>
        <v>0.72499999999999432</v>
      </c>
      <c r="AC36" s="396">
        <f t="shared" si="14"/>
        <v>1.2220817530551948E-2</v>
      </c>
      <c r="AD36" s="53"/>
      <c r="AE36" s="412">
        <f>IFERROR(VLOOKUP($C36,'Proposed Rates'!$B:$J,AE$11,FALSE),0)</f>
        <v>2.4410000000000001E-2</v>
      </c>
      <c r="AF36" s="409">
        <f t="shared" si="32"/>
        <v>2500</v>
      </c>
      <c r="AG36" s="394">
        <f t="shared" si="33"/>
        <v>61.025000000000006</v>
      </c>
      <c r="AH36" s="138"/>
      <c r="AI36" s="395">
        <f t="shared" si="17"/>
        <v>0.97500000000000853</v>
      </c>
      <c r="AJ36" s="396">
        <f t="shared" si="18"/>
        <v>1.6236469608659595E-2</v>
      </c>
      <c r="AK36" s="53"/>
      <c r="AL36" s="412">
        <f>IFERROR(VLOOKUP($C36,'Proposed Rates'!$B:$J,AL$11,FALSE),0)</f>
        <v>2.4840000000000001E-2</v>
      </c>
      <c r="AM36" s="409">
        <f t="shared" si="34"/>
        <v>2500</v>
      </c>
      <c r="AN36" s="394">
        <f t="shared" si="35"/>
        <v>62.1</v>
      </c>
      <c r="AO36" s="138"/>
      <c r="AP36" s="395">
        <f t="shared" si="21"/>
        <v>1.0749999999999957</v>
      </c>
      <c r="AQ36" s="396">
        <f t="shared" si="22"/>
        <v>1.7615731257681205E-2</v>
      </c>
      <c r="AR36" s="397"/>
    </row>
    <row r="37" spans="1:44" ht="12.75" customHeight="1">
      <c r="A37" s="53"/>
      <c r="B37" s="328" t="s">
        <v>341</v>
      </c>
      <c r="C37" s="389" t="str">
        <f t="shared" si="23"/>
        <v>General Service 1,500 to 4,999 KW.Line Losses on Cost of Power</v>
      </c>
      <c r="D37" s="390" t="s">
        <v>337</v>
      </c>
      <c r="E37" s="328"/>
      <c r="F37" s="552"/>
      <c r="G37" s="501">
        <f>$F$9*(1+F65)-$F$9</f>
        <v>43179.5</v>
      </c>
      <c r="H37" s="394">
        <f t="shared" si="25"/>
        <v>0</v>
      </c>
      <c r="I37" s="138"/>
      <c r="J37" s="552"/>
      <c r="K37" s="501">
        <f>$F$9*(1+J65)-$F$9</f>
        <v>42412.999999999767</v>
      </c>
      <c r="L37" s="394">
        <f t="shared" si="27"/>
        <v>0</v>
      </c>
      <c r="M37" s="138"/>
      <c r="N37" s="395">
        <f t="shared" si="5"/>
        <v>0</v>
      </c>
      <c r="O37" s="396" t="str">
        <f t="shared" si="6"/>
        <v/>
      </c>
      <c r="P37" s="53"/>
      <c r="Q37" s="552"/>
      <c r="R37" s="501">
        <f>$F$9*(1+Q65)-$F$9</f>
        <v>42412.999999999767</v>
      </c>
      <c r="S37" s="394">
        <f t="shared" si="29"/>
        <v>0</v>
      </c>
      <c r="T37" s="138"/>
      <c r="U37" s="395">
        <f t="shared" si="38"/>
        <v>0</v>
      </c>
      <c r="V37" s="396" t="str">
        <f t="shared" si="39"/>
        <v/>
      </c>
      <c r="W37" s="53"/>
      <c r="X37" s="552"/>
      <c r="Y37" s="501">
        <f>$F$9*(1+X65)-$F$9</f>
        <v>42412.999999999767</v>
      </c>
      <c r="Z37" s="394">
        <f t="shared" si="31"/>
        <v>0</v>
      </c>
      <c r="AA37" s="138"/>
      <c r="AB37" s="395">
        <f t="shared" si="13"/>
        <v>0</v>
      </c>
      <c r="AC37" s="396" t="str">
        <f t="shared" si="14"/>
        <v/>
      </c>
      <c r="AD37" s="53"/>
      <c r="AE37" s="552"/>
      <c r="AF37" s="501">
        <f>$F$9*(1+AE65)-$F$9</f>
        <v>42412.999999999767</v>
      </c>
      <c r="AG37" s="394">
        <f t="shared" si="33"/>
        <v>0</v>
      </c>
      <c r="AH37" s="138"/>
      <c r="AI37" s="395">
        <f t="shared" si="17"/>
        <v>0</v>
      </c>
      <c r="AJ37" s="396" t="str">
        <f t="shared" si="18"/>
        <v/>
      </c>
      <c r="AK37" s="53"/>
      <c r="AL37" s="552"/>
      <c r="AM37" s="501">
        <f>$F$9*(1+AL65)-$F$9</f>
        <v>42412.999999999767</v>
      </c>
      <c r="AN37" s="394">
        <f t="shared" si="35"/>
        <v>0</v>
      </c>
      <c r="AO37" s="138"/>
      <c r="AP37" s="395">
        <f t="shared" si="21"/>
        <v>0</v>
      </c>
      <c r="AQ37" s="396" t="str">
        <f t="shared" si="22"/>
        <v/>
      </c>
      <c r="AR37" s="397"/>
    </row>
    <row r="38" spans="1:44" ht="12.75" customHeight="1">
      <c r="A38" s="53"/>
      <c r="B38" s="328" t="s">
        <v>302</v>
      </c>
      <c r="C38" s="389" t="str">
        <f t="shared" si="23"/>
        <v>General Service 1,500 to 4,999 KW.Smart Meter Entity Charge</v>
      </c>
      <c r="D38" s="390" t="s">
        <v>335</v>
      </c>
      <c r="E38" s="328"/>
      <c r="F38" s="412">
        <f>IFERROR(VLOOKUP($C38,'Proposed Rates'!$B:$J,F$11,FALSE),0)</f>
        <v>0</v>
      </c>
      <c r="G38" s="409">
        <f>IF($D38="Monthly",1,IF($D38="per KW",$F$10,IF($D38="per kWh",$F$9,0)))</f>
        <v>1</v>
      </c>
      <c r="H38" s="394">
        <f t="shared" si="25"/>
        <v>0</v>
      </c>
      <c r="I38" s="138"/>
      <c r="J38" s="412">
        <f>IFERROR(VLOOKUP($C38,'Proposed Rates'!$B:$J,J$11,FALSE),0)</f>
        <v>0</v>
      </c>
      <c r="K38" s="409">
        <f>IF($D38="Monthly",1,IF($D38="per KW",$F$10,IF($D38="per kWh",$F$9,0)))</f>
        <v>1</v>
      </c>
      <c r="L38" s="394">
        <f t="shared" si="27"/>
        <v>0</v>
      </c>
      <c r="M38" s="138"/>
      <c r="N38" s="395">
        <f t="shared" si="5"/>
        <v>0</v>
      </c>
      <c r="O38" s="396" t="str">
        <f t="shared" si="6"/>
        <v/>
      </c>
      <c r="P38" s="53"/>
      <c r="Q38" s="412">
        <f>IFERROR(VLOOKUP($C38,'Proposed Rates'!$B:$J,Q$11,FALSE),0)</f>
        <v>0</v>
      </c>
      <c r="R38" s="409">
        <f>IF($D38="Monthly",1,IF($D38="per KW",$F$10,IF($D38="per kWh",$F$9,0)))</f>
        <v>1</v>
      </c>
      <c r="S38" s="394">
        <f t="shared" si="29"/>
        <v>0</v>
      </c>
      <c r="T38" s="138"/>
      <c r="U38" s="395"/>
      <c r="V38" s="396"/>
      <c r="W38" s="53"/>
      <c r="X38" s="412">
        <f>IFERROR(VLOOKUP($C38,'Proposed Rates'!$B:$J,X$11,FALSE),0)</f>
        <v>0</v>
      </c>
      <c r="Y38" s="409">
        <f>IF($D38="Monthly",1,IF($D38="per KW",$F$10,IF($D38="per kWh",$F$9,0)))</f>
        <v>1</v>
      </c>
      <c r="Z38" s="394">
        <f t="shared" si="31"/>
        <v>0</v>
      </c>
      <c r="AA38" s="138"/>
      <c r="AB38" s="395">
        <f t="shared" si="13"/>
        <v>0</v>
      </c>
      <c r="AC38" s="396" t="str">
        <f t="shared" si="14"/>
        <v/>
      </c>
      <c r="AD38" s="53"/>
      <c r="AE38" s="412">
        <f>IFERROR(VLOOKUP($C38,'Proposed Rates'!$B:$J,AE$11,FALSE),0)</f>
        <v>0</v>
      </c>
      <c r="AF38" s="409">
        <f>IF($D38="Monthly",1,IF($D38="per KW",$F$10,IF($D38="per kWh",$F$9,0)))</f>
        <v>1</v>
      </c>
      <c r="AG38" s="394">
        <f t="shared" si="33"/>
        <v>0</v>
      </c>
      <c r="AH38" s="138"/>
      <c r="AI38" s="395">
        <f t="shared" si="17"/>
        <v>0</v>
      </c>
      <c r="AJ38" s="396" t="str">
        <f t="shared" si="18"/>
        <v/>
      </c>
      <c r="AK38" s="53"/>
      <c r="AL38" s="412">
        <f>IFERROR(VLOOKUP($C38,'Proposed Rates'!$B:$J,AL$11,FALSE),0)</f>
        <v>0</v>
      </c>
      <c r="AM38" s="409">
        <f>IF($D38="Monthly",1,IF($D38="per KW",$F$10,IF($D38="per kWh",$F$9,0)))</f>
        <v>1</v>
      </c>
      <c r="AN38" s="394">
        <f t="shared" si="35"/>
        <v>0</v>
      </c>
      <c r="AO38" s="138"/>
      <c r="AP38" s="395">
        <f t="shared" si="21"/>
        <v>0</v>
      </c>
      <c r="AQ38" s="396" t="str">
        <f t="shared" si="22"/>
        <v/>
      </c>
      <c r="AR38" s="397"/>
    </row>
    <row r="39" spans="1:44" ht="12.75" customHeight="1">
      <c r="A39" s="53"/>
      <c r="B39" s="480" t="s">
        <v>342</v>
      </c>
      <c r="C39" s="553"/>
      <c r="D39" s="416"/>
      <c r="E39" s="416"/>
      <c r="F39" s="417"/>
      <c r="G39" s="495"/>
      <c r="H39" s="403">
        <f>SUM(H30:H38)+H29</f>
        <v>25257.85</v>
      </c>
      <c r="I39" s="419"/>
      <c r="J39" s="417"/>
      <c r="K39" s="495"/>
      <c r="L39" s="403">
        <f>SUM(L30:L38)+L29</f>
        <v>27027.575000000001</v>
      </c>
      <c r="M39" s="419"/>
      <c r="N39" s="405">
        <f t="shared" si="5"/>
        <v>1769.7250000000022</v>
      </c>
      <c r="O39" s="406">
        <f t="shared" si="6"/>
        <v>7.0066335812430686E-2</v>
      </c>
      <c r="P39" s="53"/>
      <c r="Q39" s="417"/>
      <c r="R39" s="495"/>
      <c r="S39" s="403">
        <f>SUM(S30:S38)+S29</f>
        <v>30532.075000000001</v>
      </c>
      <c r="T39" s="419"/>
      <c r="U39" s="405">
        <f t="shared" ref="U39:U46" si="40">S39-L39</f>
        <v>3504.5</v>
      </c>
      <c r="V39" s="406">
        <f t="shared" ref="V39:V46" si="41">IF((L39)=0,"",(U39/L39))</f>
        <v>0.12966387106501415</v>
      </c>
      <c r="W39" s="53"/>
      <c r="X39" s="417"/>
      <c r="Y39" s="495"/>
      <c r="Z39" s="403">
        <f>SUM(Z30:Z38)+Z29</f>
        <v>25332.55</v>
      </c>
      <c r="AA39" s="419"/>
      <c r="AB39" s="405">
        <f t="shared" si="13"/>
        <v>-5199.5250000000015</v>
      </c>
      <c r="AC39" s="406">
        <f t="shared" si="14"/>
        <v>-0.17029713833730598</v>
      </c>
      <c r="AD39" s="53"/>
      <c r="AE39" s="417"/>
      <c r="AF39" s="495"/>
      <c r="AG39" s="403">
        <f>SUM(AG30:AG38)+AG29</f>
        <v>26254.274999999998</v>
      </c>
      <c r="AH39" s="419"/>
      <c r="AI39" s="405">
        <f t="shared" si="17"/>
        <v>921.72499999999854</v>
      </c>
      <c r="AJ39" s="406">
        <f t="shared" si="18"/>
        <v>3.638500664165268E-2</v>
      </c>
      <c r="AK39" s="53"/>
      <c r="AL39" s="417"/>
      <c r="AM39" s="495"/>
      <c r="AN39" s="403">
        <f>SUM(AN30:AN38)+AN29</f>
        <v>27097.600000000002</v>
      </c>
      <c r="AO39" s="419"/>
      <c r="AP39" s="405">
        <f t="shared" si="21"/>
        <v>843.32500000000437</v>
      </c>
      <c r="AQ39" s="406">
        <f t="shared" si="22"/>
        <v>3.2121435461463115E-2</v>
      </c>
      <c r="AR39" s="407"/>
    </row>
    <row r="40" spans="1:44" ht="12.75" customHeight="1">
      <c r="A40" s="53"/>
      <c r="B40" s="138" t="s">
        <v>285</v>
      </c>
      <c r="C40" s="389" t="str">
        <f t="shared" ref="C40:C41" si="42">D$6&amp;"."&amp;B40</f>
        <v>General Service 1,500 to 4,999 KW.RTSR - Network</v>
      </c>
      <c r="D40" s="420" t="s">
        <v>406</v>
      </c>
      <c r="E40" s="138"/>
      <c r="F40" s="408">
        <f>IFERROR(VLOOKUP($C40,'Proposed Rates'!$B:$J,F$11,FALSE),0)</f>
        <v>5.0336999999999996</v>
      </c>
      <c r="G40" s="409">
        <f t="shared" ref="G40:G41" si="43">IF($D40="Monthly",1,IF($D40="per KW",$F$10,IF($D40="per kWh",$F$9,0)))</f>
        <v>2500</v>
      </c>
      <c r="H40" s="394">
        <f t="shared" ref="H40:H41" si="44">G40*F40</f>
        <v>12584.249999999998</v>
      </c>
      <c r="I40" s="138"/>
      <c r="J40" s="408">
        <f>IFERROR(VLOOKUP($C40,'Proposed Rates'!$B:$J,J$11,FALSE),0)</f>
        <v>4.5423999999999998</v>
      </c>
      <c r="K40" s="409">
        <f t="shared" ref="K40:K41" si="45">IF($D40="Monthly",1,IF($D40="per KW",$F$10,IF($D40="per kWh",$F$9,0)))</f>
        <v>2500</v>
      </c>
      <c r="L40" s="394">
        <f t="shared" ref="L40:L41" si="46">K40*J40</f>
        <v>11356</v>
      </c>
      <c r="M40" s="138"/>
      <c r="N40" s="395">
        <f t="shared" si="5"/>
        <v>-1228.2499999999982</v>
      </c>
      <c r="O40" s="396">
        <f t="shared" si="6"/>
        <v>-9.7602161431948539E-2</v>
      </c>
      <c r="P40" s="53"/>
      <c r="Q40" s="408">
        <f>IFERROR(VLOOKUP($C40,'Proposed Rates'!$B:$J,Q$11,FALSE),0)</f>
        <v>4.5423999999999998</v>
      </c>
      <c r="R40" s="409">
        <f t="shared" ref="R40:R41" si="47">IF($D40="Monthly",1,IF($D40="per KW",$F$10,IF($D40="per kWh",$F$9,0)))</f>
        <v>2500</v>
      </c>
      <c r="S40" s="394">
        <f t="shared" ref="S40:S41" si="48">R40*Q40</f>
        <v>11356</v>
      </c>
      <c r="T40" s="138"/>
      <c r="U40" s="395">
        <f t="shared" si="40"/>
        <v>0</v>
      </c>
      <c r="V40" s="396">
        <f t="shared" si="41"/>
        <v>0</v>
      </c>
      <c r="W40" s="53"/>
      <c r="X40" s="408">
        <f>IFERROR(VLOOKUP($C40,'Proposed Rates'!$B:$J,X$11,FALSE),0)</f>
        <v>4.5423999999999998</v>
      </c>
      <c r="Y40" s="409">
        <f t="shared" ref="Y40:Y41" si="49">IF($D40="Monthly",1,IF($D40="per KW",$F$10,IF($D40="per kWh",$F$9,0)))</f>
        <v>2500</v>
      </c>
      <c r="Z40" s="394">
        <f t="shared" ref="Z40:Z41" si="50">Y40*X40</f>
        <v>11356</v>
      </c>
      <c r="AA40" s="138"/>
      <c r="AB40" s="395">
        <f t="shared" si="13"/>
        <v>0</v>
      </c>
      <c r="AC40" s="396">
        <f t="shared" si="14"/>
        <v>0</v>
      </c>
      <c r="AD40" s="53"/>
      <c r="AE40" s="408">
        <f>IFERROR(VLOOKUP($C40,'Proposed Rates'!$B:$J,AE$11,FALSE),0)</f>
        <v>4.5423999999999998</v>
      </c>
      <c r="AF40" s="409">
        <f t="shared" ref="AF40:AF41" si="51">IF($D40="Monthly",1,IF($D40="per KW",$F$10,IF($D40="per kWh",$F$9,0)))</f>
        <v>2500</v>
      </c>
      <c r="AG40" s="394">
        <f t="shared" ref="AG40:AG41" si="52">AF40*AE40</f>
        <v>11356</v>
      </c>
      <c r="AH40" s="138"/>
      <c r="AI40" s="395">
        <f t="shared" si="17"/>
        <v>0</v>
      </c>
      <c r="AJ40" s="396">
        <f t="shared" si="18"/>
        <v>0</v>
      </c>
      <c r="AK40" s="53"/>
      <c r="AL40" s="408">
        <f>IFERROR(VLOOKUP($C40,'Proposed Rates'!$B:$J,AL$11,FALSE),0)</f>
        <v>4.5423999999999998</v>
      </c>
      <c r="AM40" s="409">
        <f t="shared" ref="AM40:AM41" si="53">IF($D40="Monthly",1,IF($D40="per KW",$F$10,IF($D40="per kWh",$F$9,0)))</f>
        <v>2500</v>
      </c>
      <c r="AN40" s="394">
        <f t="shared" ref="AN40:AN41" si="54">AM40*AL40</f>
        <v>11356</v>
      </c>
      <c r="AO40" s="138"/>
      <c r="AP40" s="395">
        <f t="shared" si="21"/>
        <v>0</v>
      </c>
      <c r="AQ40" s="396">
        <f t="shared" si="22"/>
        <v>0</v>
      </c>
      <c r="AR40" s="397"/>
    </row>
    <row r="41" spans="1:44" ht="12.75" customHeight="1">
      <c r="A41" s="53"/>
      <c r="B41" s="481" t="s">
        <v>288</v>
      </c>
      <c r="C41" s="389" t="str">
        <f t="shared" si="42"/>
        <v>General Service 1,500 to 4,999 KW.RTSR - Line and Transformation Connection</v>
      </c>
      <c r="D41" s="420" t="s">
        <v>406</v>
      </c>
      <c r="E41" s="138"/>
      <c r="F41" s="408">
        <f>IFERROR(VLOOKUP($C41,'Proposed Rates'!$B:$J,F$11,FALSE),0)</f>
        <v>3.0125999999999999</v>
      </c>
      <c r="G41" s="409">
        <f t="shared" si="43"/>
        <v>2500</v>
      </c>
      <c r="H41" s="394">
        <f t="shared" si="44"/>
        <v>7531.5</v>
      </c>
      <c r="I41" s="138"/>
      <c r="J41" s="408">
        <f>IFERROR(VLOOKUP($C41,'Proposed Rates'!$B:$J,J$11,FALSE),0)</f>
        <v>2.5712000000000002</v>
      </c>
      <c r="K41" s="409">
        <f t="shared" si="45"/>
        <v>2500</v>
      </c>
      <c r="L41" s="394">
        <f t="shared" si="46"/>
        <v>6428</v>
      </c>
      <c r="M41" s="138"/>
      <c r="N41" s="395">
        <f t="shared" si="5"/>
        <v>-1103.5</v>
      </c>
      <c r="O41" s="396">
        <f t="shared" si="6"/>
        <v>-0.14651795791011088</v>
      </c>
      <c r="P41" s="53"/>
      <c r="Q41" s="408">
        <f>IFERROR(VLOOKUP($C41,'Proposed Rates'!$B:$J,Q$11,FALSE),0)</f>
        <v>2.5712000000000002</v>
      </c>
      <c r="R41" s="409">
        <f t="shared" si="47"/>
        <v>2500</v>
      </c>
      <c r="S41" s="394">
        <f t="shared" si="48"/>
        <v>6428</v>
      </c>
      <c r="T41" s="138"/>
      <c r="U41" s="395">
        <f t="shared" si="40"/>
        <v>0</v>
      </c>
      <c r="V41" s="396">
        <f t="shared" si="41"/>
        <v>0</v>
      </c>
      <c r="W41" s="53"/>
      <c r="X41" s="408">
        <f>IFERROR(VLOOKUP($C41,'Proposed Rates'!$B:$J,X$11,FALSE),0)</f>
        <v>2.5712000000000002</v>
      </c>
      <c r="Y41" s="409">
        <f t="shared" si="49"/>
        <v>2500</v>
      </c>
      <c r="Z41" s="394">
        <f t="shared" si="50"/>
        <v>6428</v>
      </c>
      <c r="AA41" s="138"/>
      <c r="AB41" s="395">
        <f t="shared" si="13"/>
        <v>0</v>
      </c>
      <c r="AC41" s="396">
        <f t="shared" si="14"/>
        <v>0</v>
      </c>
      <c r="AD41" s="53"/>
      <c r="AE41" s="408">
        <f>IFERROR(VLOOKUP($C41,'Proposed Rates'!$B:$J,AE$11,FALSE),0)</f>
        <v>2.5712000000000002</v>
      </c>
      <c r="AF41" s="409">
        <f t="shared" si="51"/>
        <v>2500</v>
      </c>
      <c r="AG41" s="394">
        <f t="shared" si="52"/>
        <v>6428</v>
      </c>
      <c r="AH41" s="138"/>
      <c r="AI41" s="395">
        <f t="shared" si="17"/>
        <v>0</v>
      </c>
      <c r="AJ41" s="396">
        <f t="shared" si="18"/>
        <v>0</v>
      </c>
      <c r="AK41" s="53"/>
      <c r="AL41" s="408">
        <f>IFERROR(VLOOKUP($C41,'Proposed Rates'!$B:$J,AL$11,FALSE),0)</f>
        <v>2.5712000000000002</v>
      </c>
      <c r="AM41" s="409">
        <f t="shared" si="53"/>
        <v>2500</v>
      </c>
      <c r="AN41" s="394">
        <f t="shared" si="54"/>
        <v>6428</v>
      </c>
      <c r="AO41" s="138"/>
      <c r="AP41" s="395">
        <f t="shared" si="21"/>
        <v>0</v>
      </c>
      <c r="AQ41" s="396">
        <f t="shared" si="22"/>
        <v>0</v>
      </c>
      <c r="AR41" s="397"/>
    </row>
    <row r="42" spans="1:44" ht="12.75" customHeight="1">
      <c r="A42" s="53"/>
      <c r="B42" s="480" t="s">
        <v>343</v>
      </c>
      <c r="C42" s="554"/>
      <c r="D42" s="421"/>
      <c r="E42" s="421"/>
      <c r="F42" s="422"/>
      <c r="G42" s="495"/>
      <c r="H42" s="403">
        <f>SUM(H39:H41)</f>
        <v>45373.599999999999</v>
      </c>
      <c r="I42" s="404"/>
      <c r="J42" s="422"/>
      <c r="K42" s="495"/>
      <c r="L42" s="403">
        <f>SUM(L39:L41)</f>
        <v>44811.574999999997</v>
      </c>
      <c r="M42" s="404"/>
      <c r="N42" s="405">
        <f t="shared" si="5"/>
        <v>-562.02500000000146</v>
      </c>
      <c r="O42" s="406">
        <f t="shared" si="6"/>
        <v>-1.2386608071654034E-2</v>
      </c>
      <c r="P42" s="53"/>
      <c r="Q42" s="422"/>
      <c r="R42" s="495"/>
      <c r="S42" s="403">
        <f>SUM(S39:S41)</f>
        <v>48316.074999999997</v>
      </c>
      <c r="T42" s="404"/>
      <c r="U42" s="405">
        <f t="shared" si="40"/>
        <v>3504.5</v>
      </c>
      <c r="V42" s="406">
        <f t="shared" si="41"/>
        <v>7.8205240498688128E-2</v>
      </c>
      <c r="W42" s="53"/>
      <c r="X42" s="422"/>
      <c r="Y42" s="495"/>
      <c r="Z42" s="403">
        <f>SUM(Z39:Z41)</f>
        <v>43116.55</v>
      </c>
      <c r="AA42" s="404"/>
      <c r="AB42" s="405">
        <f t="shared" si="13"/>
        <v>-5199.5249999999942</v>
      </c>
      <c r="AC42" s="406">
        <f t="shared" si="14"/>
        <v>-0.10761480521751807</v>
      </c>
      <c r="AD42" s="53"/>
      <c r="AE42" s="422"/>
      <c r="AF42" s="495"/>
      <c r="AG42" s="403">
        <f>SUM(AG39:AG41)</f>
        <v>44038.274999999994</v>
      </c>
      <c r="AH42" s="404"/>
      <c r="AI42" s="405">
        <f t="shared" si="17"/>
        <v>921.72499999999127</v>
      </c>
      <c r="AJ42" s="406">
        <f t="shared" si="18"/>
        <v>2.1377522088385809E-2</v>
      </c>
      <c r="AK42" s="53"/>
      <c r="AL42" s="422"/>
      <c r="AM42" s="495"/>
      <c r="AN42" s="403">
        <f>SUM(AN39:AN41)</f>
        <v>44881.600000000006</v>
      </c>
      <c r="AO42" s="404"/>
      <c r="AP42" s="405">
        <f t="shared" si="21"/>
        <v>843.32500000001164</v>
      </c>
      <c r="AQ42" s="406">
        <f t="shared" si="22"/>
        <v>1.9149819106220937E-2</v>
      </c>
      <c r="AR42" s="407"/>
    </row>
    <row r="43" spans="1:44" ht="12.75" customHeight="1">
      <c r="A43" s="53"/>
      <c r="B43" s="482" t="s">
        <v>289</v>
      </c>
      <c r="C43" s="389" t="str">
        <f t="shared" ref="C43:C45" si="55">D$6&amp;"."&amp;B43</f>
        <v>General Service 1,500 to 4,999 KW.Wholesale Market Service Charge (WMSC)</v>
      </c>
      <c r="D43" s="390" t="s">
        <v>337</v>
      </c>
      <c r="E43" s="328"/>
      <c r="F43" s="408">
        <f>IFERROR(VLOOKUP($C43,'Proposed Rates'!$B:$J,F$11,FALSE),0)</f>
        <v>4.4999999999999997E-3</v>
      </c>
      <c r="G43" s="502">
        <f t="shared" ref="G43:G44" si="56">$F$9+G$37</f>
        <v>1320679.5</v>
      </c>
      <c r="H43" s="394">
        <f t="shared" ref="H43:H46" si="57">G43*F43</f>
        <v>5943.0577499999999</v>
      </c>
      <c r="I43" s="138"/>
      <c r="J43" s="408">
        <f>IFERROR(VLOOKUP($C43,'Proposed Rates'!$B:$J,J$11,FALSE),0)</f>
        <v>4.7000000000000002E-3</v>
      </c>
      <c r="K43" s="502">
        <f t="shared" ref="K43:K44" si="58">$F$9+K$37</f>
        <v>1319912.9999999998</v>
      </c>
      <c r="L43" s="394">
        <f t="shared" ref="L43:L46" si="59">K43*J43</f>
        <v>6203.5910999999987</v>
      </c>
      <c r="M43" s="138"/>
      <c r="N43" s="395">
        <f t="shared" si="5"/>
        <v>260.53334999999879</v>
      </c>
      <c r="O43" s="396">
        <f t="shared" si="6"/>
        <v>4.3838266589282054E-2</v>
      </c>
      <c r="P43" s="53"/>
      <c r="Q43" s="408">
        <f>IFERROR(VLOOKUP($C43,'Proposed Rates'!$B:$J,Q$11,FALSE),0)</f>
        <v>4.7000000000000002E-3</v>
      </c>
      <c r="R43" s="502">
        <f t="shared" ref="R43:R44" si="60">$F$9+R$37</f>
        <v>1319912.9999999998</v>
      </c>
      <c r="S43" s="394">
        <f t="shared" ref="S43:S46" si="61">R43*Q43</f>
        <v>6203.5910999999987</v>
      </c>
      <c r="T43" s="138"/>
      <c r="U43" s="395">
        <f t="shared" si="40"/>
        <v>0</v>
      </c>
      <c r="V43" s="396">
        <f t="shared" si="41"/>
        <v>0</v>
      </c>
      <c r="W43" s="53"/>
      <c r="X43" s="408">
        <f>IFERROR(VLOOKUP($C43,'Proposed Rates'!$B:$J,X$11,FALSE),0)</f>
        <v>4.7000000000000002E-3</v>
      </c>
      <c r="Y43" s="502">
        <f t="shared" ref="Y43:Y44" si="62">$F$9+Y$37</f>
        <v>1319912.9999999998</v>
      </c>
      <c r="Z43" s="394">
        <f t="shared" ref="Z43:Z46" si="63">Y43*X43</f>
        <v>6203.5910999999987</v>
      </c>
      <c r="AA43" s="138"/>
      <c r="AB43" s="395">
        <f t="shared" si="13"/>
        <v>0</v>
      </c>
      <c r="AC43" s="396">
        <f t="shared" si="14"/>
        <v>0</v>
      </c>
      <c r="AD43" s="53"/>
      <c r="AE43" s="408">
        <f>IFERROR(VLOOKUP($C43,'Proposed Rates'!$B:$J,AE$11,FALSE),0)</f>
        <v>4.7000000000000002E-3</v>
      </c>
      <c r="AF43" s="502">
        <f t="shared" ref="AF43:AF44" si="64">$F$9+AF$37</f>
        <v>1319912.9999999998</v>
      </c>
      <c r="AG43" s="394">
        <f t="shared" ref="AG43:AG46" si="65">AF43*AE43</f>
        <v>6203.5910999999987</v>
      </c>
      <c r="AH43" s="138"/>
      <c r="AI43" s="395">
        <f t="shared" si="17"/>
        <v>0</v>
      </c>
      <c r="AJ43" s="396">
        <f t="shared" si="18"/>
        <v>0</v>
      </c>
      <c r="AK43" s="53"/>
      <c r="AL43" s="408">
        <f>IFERROR(VLOOKUP($C43,'Proposed Rates'!$B:$J,AL$11,FALSE),0)</f>
        <v>4.7000000000000002E-3</v>
      </c>
      <c r="AM43" s="502">
        <f t="shared" ref="AM43:AM44" si="66">$F$9+AM$37</f>
        <v>1319912.9999999998</v>
      </c>
      <c r="AN43" s="394">
        <f t="shared" ref="AN43:AN46" si="67">AM43*AL43</f>
        <v>6203.5910999999987</v>
      </c>
      <c r="AO43" s="138"/>
      <c r="AP43" s="395">
        <f t="shared" si="21"/>
        <v>0</v>
      </c>
      <c r="AQ43" s="396">
        <f t="shared" si="22"/>
        <v>0</v>
      </c>
      <c r="AR43" s="397"/>
    </row>
    <row r="44" spans="1:44" ht="12.75" customHeight="1">
      <c r="A44" s="53"/>
      <c r="B44" s="482" t="s">
        <v>290</v>
      </c>
      <c r="C44" s="389" t="str">
        <f t="shared" si="55"/>
        <v>General Service 1,500 to 4,999 KW.Rural and Remote Rate Protection (RRRP)</v>
      </c>
      <c r="D44" s="390" t="s">
        <v>337</v>
      </c>
      <c r="E44" s="328"/>
      <c r="F44" s="408">
        <f>IFERROR(VLOOKUP($C44,'Proposed Rates'!$B:$J,F$11,FALSE),0)</f>
        <v>1.5E-3</v>
      </c>
      <c r="G44" s="502">
        <f t="shared" si="56"/>
        <v>1320679.5</v>
      </c>
      <c r="H44" s="394">
        <f t="shared" si="57"/>
        <v>1981.0192500000001</v>
      </c>
      <c r="I44" s="138"/>
      <c r="J44" s="408">
        <f>IFERROR(VLOOKUP($C44,'Proposed Rates'!$B:$J,J$11,FALSE),0)</f>
        <v>5.9999999999999995E-4</v>
      </c>
      <c r="K44" s="502">
        <f t="shared" si="58"/>
        <v>1319912.9999999998</v>
      </c>
      <c r="L44" s="394">
        <f t="shared" si="59"/>
        <v>791.9477999999998</v>
      </c>
      <c r="M44" s="138"/>
      <c r="N44" s="395">
        <f t="shared" si="5"/>
        <v>-1189.0714500000004</v>
      </c>
      <c r="O44" s="396">
        <f t="shared" si="6"/>
        <v>-0.60023215322112611</v>
      </c>
      <c r="P44" s="53"/>
      <c r="Q44" s="408">
        <f>IFERROR(VLOOKUP($C44,'Proposed Rates'!$B:$J,Q$11,FALSE),0)</f>
        <v>5.9999999999999995E-4</v>
      </c>
      <c r="R44" s="502">
        <f t="shared" si="60"/>
        <v>1319912.9999999998</v>
      </c>
      <c r="S44" s="394">
        <f t="shared" si="61"/>
        <v>791.9477999999998</v>
      </c>
      <c r="T44" s="138"/>
      <c r="U44" s="395">
        <f t="shared" si="40"/>
        <v>0</v>
      </c>
      <c r="V44" s="396">
        <f t="shared" si="41"/>
        <v>0</v>
      </c>
      <c r="W44" s="53"/>
      <c r="X44" s="408">
        <f>IFERROR(VLOOKUP($C44,'Proposed Rates'!$B:$J,X$11,FALSE),0)</f>
        <v>5.9999999999999995E-4</v>
      </c>
      <c r="Y44" s="502">
        <f t="shared" si="62"/>
        <v>1319912.9999999998</v>
      </c>
      <c r="Z44" s="394">
        <f t="shared" si="63"/>
        <v>791.9477999999998</v>
      </c>
      <c r="AA44" s="138"/>
      <c r="AB44" s="395">
        <f t="shared" si="13"/>
        <v>0</v>
      </c>
      <c r="AC44" s="396">
        <f t="shared" si="14"/>
        <v>0</v>
      </c>
      <c r="AD44" s="53"/>
      <c r="AE44" s="408">
        <f>IFERROR(VLOOKUP($C44,'Proposed Rates'!$B:$J,AE$11,FALSE),0)</f>
        <v>5.9999999999999995E-4</v>
      </c>
      <c r="AF44" s="502">
        <f t="shared" si="64"/>
        <v>1319912.9999999998</v>
      </c>
      <c r="AG44" s="394">
        <f t="shared" si="65"/>
        <v>791.9477999999998</v>
      </c>
      <c r="AH44" s="138"/>
      <c r="AI44" s="395">
        <f t="shared" si="17"/>
        <v>0</v>
      </c>
      <c r="AJ44" s="396">
        <f t="shared" si="18"/>
        <v>0</v>
      </c>
      <c r="AK44" s="53"/>
      <c r="AL44" s="408">
        <f>IFERROR(VLOOKUP($C44,'Proposed Rates'!$B:$J,AL$11,FALSE),0)</f>
        <v>5.9999999999999995E-4</v>
      </c>
      <c r="AM44" s="502">
        <f t="shared" si="66"/>
        <v>1319912.9999999998</v>
      </c>
      <c r="AN44" s="394">
        <f t="shared" si="67"/>
        <v>791.9477999999998</v>
      </c>
      <c r="AO44" s="138"/>
      <c r="AP44" s="395">
        <f t="shared" si="21"/>
        <v>0</v>
      </c>
      <c r="AQ44" s="396">
        <f t="shared" si="22"/>
        <v>0</v>
      </c>
      <c r="AR44" s="397"/>
    </row>
    <row r="45" spans="1:44" ht="12.75" customHeight="1">
      <c r="A45" s="53"/>
      <c r="B45" s="328" t="s">
        <v>291</v>
      </c>
      <c r="C45" s="389" t="str">
        <f t="shared" si="55"/>
        <v>General Service 1,500 to 4,999 KW.Standard Supply Service Charge</v>
      </c>
      <c r="D45" s="390" t="s">
        <v>335</v>
      </c>
      <c r="E45" s="328"/>
      <c r="F45" s="408">
        <f>IFERROR(VLOOKUP($C45,'Proposed Rates'!$B:$J,F$11,FALSE),0)</f>
        <v>0.25</v>
      </c>
      <c r="G45" s="409">
        <f>IF($D45="Monthly",1,IF($D45="per KW",$F$10,IF($D45="per kWh",$F$9,0)))</f>
        <v>1</v>
      </c>
      <c r="H45" s="394">
        <f t="shared" si="57"/>
        <v>0.25</v>
      </c>
      <c r="I45" s="138"/>
      <c r="J45" s="408">
        <f>IFERROR(VLOOKUP($C45,'Proposed Rates'!$B:$J,J$11,FALSE),0)</f>
        <v>0.25</v>
      </c>
      <c r="K45" s="409">
        <f>IF($D45="Monthly",1,IF($D45="per KW",$F$10,IF($D45="per kWh",$F$9,0)))</f>
        <v>1</v>
      </c>
      <c r="L45" s="394">
        <f t="shared" si="59"/>
        <v>0.25</v>
      </c>
      <c r="M45" s="138"/>
      <c r="N45" s="395">
        <f t="shared" si="5"/>
        <v>0</v>
      </c>
      <c r="O45" s="396">
        <f t="shared" si="6"/>
        <v>0</v>
      </c>
      <c r="P45" s="53"/>
      <c r="Q45" s="408">
        <f>IFERROR(VLOOKUP($C45,'Proposed Rates'!$B:$J,Q$11,FALSE),0)</f>
        <v>0.25</v>
      </c>
      <c r="R45" s="409">
        <f>IF($D45="Monthly",1,IF($D45="per KW",$F$10,IF($D45="per kWh",$F$9,0)))</f>
        <v>1</v>
      </c>
      <c r="S45" s="394">
        <f t="shared" si="61"/>
        <v>0.25</v>
      </c>
      <c r="T45" s="138"/>
      <c r="U45" s="395">
        <f t="shared" si="40"/>
        <v>0</v>
      </c>
      <c r="V45" s="396">
        <f t="shared" si="41"/>
        <v>0</v>
      </c>
      <c r="W45" s="53"/>
      <c r="X45" s="408">
        <f>IFERROR(VLOOKUP($C45,'Proposed Rates'!$B:$J,X$11,FALSE),0)</f>
        <v>0.25</v>
      </c>
      <c r="Y45" s="409">
        <f>IF($D45="Monthly",1,IF($D45="per KW",$F$10,IF($D45="per kWh",$F$9,0)))</f>
        <v>1</v>
      </c>
      <c r="Z45" s="394">
        <f t="shared" si="63"/>
        <v>0.25</v>
      </c>
      <c r="AA45" s="138"/>
      <c r="AB45" s="395">
        <f t="shared" si="13"/>
        <v>0</v>
      </c>
      <c r="AC45" s="396">
        <f t="shared" si="14"/>
        <v>0</v>
      </c>
      <c r="AD45" s="53"/>
      <c r="AE45" s="408">
        <f>IFERROR(VLOOKUP($C45,'Proposed Rates'!$B:$J,AE$11,FALSE),0)</f>
        <v>0.25</v>
      </c>
      <c r="AF45" s="409">
        <f>IF($D45="Monthly",1,IF($D45="per KW",$F$10,IF($D45="per kWh",$F$9,0)))</f>
        <v>1</v>
      </c>
      <c r="AG45" s="394">
        <f t="shared" si="65"/>
        <v>0.25</v>
      </c>
      <c r="AH45" s="138"/>
      <c r="AI45" s="395">
        <f t="shared" si="17"/>
        <v>0</v>
      </c>
      <c r="AJ45" s="396">
        <f t="shared" si="18"/>
        <v>0</v>
      </c>
      <c r="AK45" s="53"/>
      <c r="AL45" s="408">
        <f>IFERROR(VLOOKUP($C45,'Proposed Rates'!$B:$J,AL$11,FALSE),0)</f>
        <v>0.25</v>
      </c>
      <c r="AM45" s="409">
        <f>IF($D45="Monthly",1,IF($D45="per KW",$F$10,IF($D45="per kWh",$F$9,0)))</f>
        <v>1</v>
      </c>
      <c r="AN45" s="394">
        <f t="shared" si="67"/>
        <v>0.25</v>
      </c>
      <c r="AO45" s="138"/>
      <c r="AP45" s="395">
        <f t="shared" si="21"/>
        <v>0</v>
      </c>
      <c r="AQ45" s="396">
        <f t="shared" si="22"/>
        <v>0</v>
      </c>
      <c r="AR45" s="397"/>
    </row>
    <row r="46" spans="1:44" ht="12.75" customHeight="1">
      <c r="A46" s="53"/>
      <c r="B46" s="328" t="s">
        <v>298</v>
      </c>
      <c r="C46" s="389" t="str">
        <f>B46</f>
        <v>Average IESO Wholesale Market Price</v>
      </c>
      <c r="D46" s="390" t="s">
        <v>337</v>
      </c>
      <c r="E46" s="328"/>
      <c r="F46" s="408">
        <f>IFERROR(VLOOKUP($C46,'Proposed Rates'!$B:$J,F$11,FALSE),0)</f>
        <v>0.10453</v>
      </c>
      <c r="G46" s="502">
        <f>$F$9+G$37</f>
        <v>1320679.5</v>
      </c>
      <c r="H46" s="394">
        <f t="shared" si="57"/>
        <v>138050.62813500001</v>
      </c>
      <c r="I46" s="138"/>
      <c r="J46" s="408">
        <f>IFERROR(VLOOKUP($C46,'Proposed Rates'!$B:$J,J$11,FALSE),0)</f>
        <v>0.10453</v>
      </c>
      <c r="K46" s="502">
        <f>$F$9+K$37</f>
        <v>1319912.9999999998</v>
      </c>
      <c r="L46" s="394">
        <f t="shared" si="59"/>
        <v>137970.50588999997</v>
      </c>
      <c r="M46" s="138"/>
      <c r="N46" s="395">
        <f t="shared" si="5"/>
        <v>-80.122245000035036</v>
      </c>
      <c r="O46" s="396">
        <f t="shared" si="6"/>
        <v>-5.8038305281511162E-4</v>
      </c>
      <c r="P46" s="53"/>
      <c r="Q46" s="408">
        <f>IFERROR(VLOOKUP($C46,'Proposed Rates'!$B:$J,Q$11,FALSE),0)</f>
        <v>0.10453</v>
      </c>
      <c r="R46" s="502">
        <f>$F$9+R$37</f>
        <v>1319912.9999999998</v>
      </c>
      <c r="S46" s="394">
        <f t="shared" si="61"/>
        <v>137970.50588999997</v>
      </c>
      <c r="T46" s="138"/>
      <c r="U46" s="395">
        <f t="shared" si="40"/>
        <v>0</v>
      </c>
      <c r="V46" s="396">
        <f t="shared" si="41"/>
        <v>0</v>
      </c>
      <c r="W46" s="53"/>
      <c r="X46" s="408">
        <f>IFERROR(VLOOKUP($C46,'Proposed Rates'!$B:$J,X$11,FALSE),0)</f>
        <v>0.10453</v>
      </c>
      <c r="Y46" s="502">
        <f>$F$9+Y$37</f>
        <v>1319912.9999999998</v>
      </c>
      <c r="Z46" s="394">
        <f t="shared" si="63"/>
        <v>137970.50588999997</v>
      </c>
      <c r="AA46" s="138"/>
      <c r="AB46" s="395">
        <f t="shared" si="13"/>
        <v>0</v>
      </c>
      <c r="AC46" s="396">
        <f t="shared" si="14"/>
        <v>0</v>
      </c>
      <c r="AD46" s="53"/>
      <c r="AE46" s="408">
        <f>IFERROR(VLOOKUP($C46,'Proposed Rates'!$B:$J,AE$11,FALSE),0)</f>
        <v>0.10453</v>
      </c>
      <c r="AF46" s="502">
        <f>$F$9+AF$37</f>
        <v>1319912.9999999998</v>
      </c>
      <c r="AG46" s="394">
        <f t="shared" si="65"/>
        <v>137970.50588999997</v>
      </c>
      <c r="AH46" s="138"/>
      <c r="AI46" s="395">
        <f t="shared" si="17"/>
        <v>0</v>
      </c>
      <c r="AJ46" s="396">
        <f t="shared" si="18"/>
        <v>0</v>
      </c>
      <c r="AK46" s="53"/>
      <c r="AL46" s="408">
        <f>IFERROR(VLOOKUP($C46,'Proposed Rates'!$B:$J,AL$11,FALSE),0)</f>
        <v>0.10453</v>
      </c>
      <c r="AM46" s="502">
        <f>$F$9+AM$37</f>
        <v>1319912.9999999998</v>
      </c>
      <c r="AN46" s="394">
        <f t="shared" si="67"/>
        <v>137970.50588999997</v>
      </c>
      <c r="AO46" s="138"/>
      <c r="AP46" s="395">
        <f t="shared" si="21"/>
        <v>0</v>
      </c>
      <c r="AQ46" s="396">
        <f t="shared" si="22"/>
        <v>0</v>
      </c>
      <c r="AR46" s="397"/>
    </row>
    <row r="47" spans="1:44" ht="7.5" customHeight="1">
      <c r="A47" s="53"/>
      <c r="B47" s="328"/>
      <c r="C47" s="389" t="str">
        <f t="shared" ref="C47:C50" si="68">D$6&amp;"."&amp;B47</f>
        <v>General Service 1,500 to 4,999 KW.</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row>
    <row r="48" spans="1:44" ht="7.5" customHeight="1">
      <c r="A48" s="53"/>
      <c r="B48" s="53"/>
      <c r="C48" s="389" t="str">
        <f t="shared" si="68"/>
        <v>General Service 1,500 to 4,999 KW.</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row>
    <row r="49" spans="1:44" ht="7.5" customHeight="1">
      <c r="A49" s="53"/>
      <c r="B49" s="328"/>
      <c r="C49" s="389" t="str">
        <f t="shared" si="68"/>
        <v>General Service 1,500 to 4,999 KW.</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row>
    <row r="50" spans="1:44" ht="7.5" customHeight="1">
      <c r="A50" s="53"/>
      <c r="B50" s="328"/>
      <c r="C50" s="389" t="str">
        <f t="shared" si="68"/>
        <v>General Service 1,500 to 4,999 KW.</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row>
    <row r="51" spans="1:44" ht="8.25" customHeight="1">
      <c r="A51" s="53"/>
      <c r="B51" s="428"/>
      <c r="C51" s="555"/>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row>
    <row r="52" spans="1:44" ht="12.75" customHeight="1">
      <c r="A52" s="53"/>
      <c r="B52" s="438" t="s">
        <v>344</v>
      </c>
      <c r="C52" s="556"/>
      <c r="D52" s="328"/>
      <c r="E52" s="328"/>
      <c r="F52" s="439"/>
      <c r="G52" s="483"/>
      <c r="H52" s="441">
        <f>SUM(H43:H48,H42)</f>
        <v>191348.555135</v>
      </c>
      <c r="I52" s="476"/>
      <c r="J52" s="440"/>
      <c r="K52" s="440"/>
      <c r="L52" s="441">
        <f>SUM(L43:L48,L42)</f>
        <v>189777.86978999997</v>
      </c>
      <c r="M52" s="443"/>
      <c r="N52" s="442">
        <f t="shared" ref="N52:N56" si="69">L52-H52</f>
        <v>-1570.6853450000344</v>
      </c>
      <c r="O52" s="444">
        <f t="shared" ref="O52:O56" si="70">IF((H52)=0,"",(N52/H52))</f>
        <v>-8.2085038159388571E-3</v>
      </c>
      <c r="P52" s="53"/>
      <c r="Q52" s="440"/>
      <c r="R52" s="440"/>
      <c r="S52" s="441">
        <f>SUM(S43:S48,S42)</f>
        <v>193282.36978999997</v>
      </c>
      <c r="T52" s="443"/>
      <c r="U52" s="442">
        <f t="shared" ref="U52:U56" si="71">S52-L52</f>
        <v>3504.5</v>
      </c>
      <c r="V52" s="444">
        <f t="shared" ref="V52:V56" si="72">IF((L52)=0,"",(U52/L52))</f>
        <v>1.8466325941364655E-2</v>
      </c>
      <c r="W52" s="53"/>
      <c r="X52" s="440"/>
      <c r="Y52" s="440"/>
      <c r="Z52" s="441">
        <f>SUM(Z43:Z48,Z42)</f>
        <v>188082.84478999994</v>
      </c>
      <c r="AA52" s="443"/>
      <c r="AB52" s="442">
        <f t="shared" ref="AB52:AB56" si="73">Z52-S52</f>
        <v>-5199.5250000000233</v>
      </c>
      <c r="AC52" s="444">
        <f t="shared" ref="AC52:AC56" si="74">IF((S52)=0,"",(AB52/S52))</f>
        <v>-2.6901186102225843E-2</v>
      </c>
      <c r="AD52" s="53"/>
      <c r="AE52" s="440"/>
      <c r="AF52" s="440"/>
      <c r="AG52" s="441">
        <f>SUM(AG43:AG48,AG42)</f>
        <v>189004.56978999995</v>
      </c>
      <c r="AH52" s="443"/>
      <c r="AI52" s="442">
        <f t="shared" ref="AI52:AI56" si="75">AG52-Z52</f>
        <v>921.72500000000582</v>
      </c>
      <c r="AJ52" s="444">
        <f t="shared" ref="AJ52:AJ56" si="76">IF((Z52)=0,"",(AI52/Z52))</f>
        <v>4.9006330217364535E-3</v>
      </c>
      <c r="AK52" s="53"/>
      <c r="AL52" s="440"/>
      <c r="AM52" s="440"/>
      <c r="AN52" s="441">
        <f>SUM(AN43:AN48,AN42)</f>
        <v>189847.89478999996</v>
      </c>
      <c r="AO52" s="443"/>
      <c r="AP52" s="442">
        <f t="shared" ref="AP52:AP56" si="77">AN52-AG52</f>
        <v>843.32500000001164</v>
      </c>
      <c r="AQ52" s="444">
        <f t="shared" ref="AQ52:AQ56" si="78">IF((AG52)=0,"",(AP52/AG52))</f>
        <v>4.461929153020041E-3</v>
      </c>
      <c r="AR52" s="445"/>
    </row>
    <row r="53" spans="1:44" ht="12.75" customHeight="1">
      <c r="A53" s="53"/>
      <c r="B53" s="446" t="s">
        <v>345</v>
      </c>
      <c r="C53" s="556"/>
      <c r="D53" s="328"/>
      <c r="E53" s="328"/>
      <c r="F53" s="439">
        <v>0.13</v>
      </c>
      <c r="G53" s="138"/>
      <c r="H53" s="484">
        <f>H52*F53</f>
        <v>24875.312167550001</v>
      </c>
      <c r="I53" s="411"/>
      <c r="J53" s="447">
        <v>0.13</v>
      </c>
      <c r="K53" s="411"/>
      <c r="L53" s="394">
        <f>L52*J53</f>
        <v>24671.123072699997</v>
      </c>
      <c r="M53" s="138"/>
      <c r="N53" s="395">
        <f t="shared" si="69"/>
        <v>-204.18909485000404</v>
      </c>
      <c r="O53" s="396">
        <f t="shared" si="70"/>
        <v>-8.2085038159388397E-3</v>
      </c>
      <c r="P53" s="53"/>
      <c r="Q53" s="447">
        <v>0.13</v>
      </c>
      <c r="R53" s="411"/>
      <c r="S53" s="394">
        <f>S52*Q53</f>
        <v>25126.708072699996</v>
      </c>
      <c r="T53" s="138"/>
      <c r="U53" s="395">
        <f t="shared" si="71"/>
        <v>455.58499999999913</v>
      </c>
      <c r="V53" s="396">
        <f t="shared" si="72"/>
        <v>1.846632594136462E-2</v>
      </c>
      <c r="W53" s="53"/>
      <c r="X53" s="447">
        <v>0.13</v>
      </c>
      <c r="Y53" s="411"/>
      <c r="Z53" s="394">
        <f>Z52*X53</f>
        <v>24450.769822699993</v>
      </c>
      <c r="AA53" s="138"/>
      <c r="AB53" s="395">
        <f t="shared" si="73"/>
        <v>-675.93825000000288</v>
      </c>
      <c r="AC53" s="396">
        <f t="shared" si="74"/>
        <v>-2.6901186102225836E-2</v>
      </c>
      <c r="AD53" s="53"/>
      <c r="AE53" s="447">
        <v>0.13</v>
      </c>
      <c r="AF53" s="411"/>
      <c r="AG53" s="394">
        <f>AG52*AE53</f>
        <v>24570.594072699994</v>
      </c>
      <c r="AH53" s="138"/>
      <c r="AI53" s="395">
        <f t="shared" si="75"/>
        <v>119.82425000000148</v>
      </c>
      <c r="AJ53" s="396">
        <f t="shared" si="76"/>
        <v>4.900633021736483E-3</v>
      </c>
      <c r="AK53" s="53"/>
      <c r="AL53" s="447">
        <v>0.13</v>
      </c>
      <c r="AM53" s="411"/>
      <c r="AN53" s="394">
        <f>AN52*AL53</f>
        <v>24680.226322699997</v>
      </c>
      <c r="AO53" s="138"/>
      <c r="AP53" s="395">
        <f t="shared" si="77"/>
        <v>109.63225000000239</v>
      </c>
      <c r="AQ53" s="396">
        <f t="shared" si="78"/>
        <v>4.4619291530200757E-3</v>
      </c>
      <c r="AR53" s="397"/>
    </row>
    <row r="54" spans="1:44" ht="12.75" customHeight="1">
      <c r="A54" s="53"/>
      <c r="B54" s="485" t="s">
        <v>428</v>
      </c>
      <c r="C54" s="556"/>
      <c r="D54" s="328"/>
      <c r="E54" s="328"/>
      <c r="F54" s="449"/>
      <c r="G54" s="138"/>
      <c r="H54" s="484">
        <f>H52+H53</f>
        <v>216223.86730255</v>
      </c>
      <c r="I54" s="411"/>
      <c r="J54" s="411"/>
      <c r="K54" s="411"/>
      <c r="L54" s="394">
        <f>L52+L53</f>
        <v>214448.99286269996</v>
      </c>
      <c r="M54" s="138"/>
      <c r="N54" s="395">
        <f t="shared" si="69"/>
        <v>-1774.8744398500421</v>
      </c>
      <c r="O54" s="396">
        <f t="shared" si="70"/>
        <v>-8.2085038159388727E-3</v>
      </c>
      <c r="P54" s="53"/>
      <c r="Q54" s="411"/>
      <c r="R54" s="411"/>
      <c r="S54" s="394">
        <f>S52+S53</f>
        <v>218409.07786269995</v>
      </c>
      <c r="T54" s="138"/>
      <c r="U54" s="395">
        <f t="shared" si="71"/>
        <v>3960.0849999999919</v>
      </c>
      <c r="V54" s="396">
        <f t="shared" si="72"/>
        <v>1.8466325941364617E-2</v>
      </c>
      <c r="W54" s="53"/>
      <c r="X54" s="411"/>
      <c r="Y54" s="411"/>
      <c r="Z54" s="394">
        <f>Z52+Z53</f>
        <v>212533.61461269995</v>
      </c>
      <c r="AA54" s="138"/>
      <c r="AB54" s="395">
        <f t="shared" si="73"/>
        <v>-5875.4632500000007</v>
      </c>
      <c r="AC54" s="396">
        <f t="shared" si="74"/>
        <v>-2.6901186102225728E-2</v>
      </c>
      <c r="AD54" s="53"/>
      <c r="AE54" s="411"/>
      <c r="AF54" s="411"/>
      <c r="AG54" s="394">
        <f>AG52+AG53</f>
        <v>213575.16386269993</v>
      </c>
      <c r="AH54" s="138"/>
      <c r="AI54" s="395">
        <f t="shared" si="75"/>
        <v>1041.5492499999818</v>
      </c>
      <c r="AJ54" s="396">
        <f t="shared" si="76"/>
        <v>4.9006330217363364E-3</v>
      </c>
      <c r="AK54" s="53"/>
      <c r="AL54" s="411"/>
      <c r="AM54" s="411"/>
      <c r="AN54" s="394">
        <f>AN52+AN53</f>
        <v>214528.12111269997</v>
      </c>
      <c r="AO54" s="138"/>
      <c r="AP54" s="395">
        <f t="shared" si="77"/>
        <v>952.95725000003586</v>
      </c>
      <c r="AQ54" s="396">
        <f t="shared" si="78"/>
        <v>4.4619291530201468E-3</v>
      </c>
      <c r="AR54" s="397"/>
    </row>
    <row r="55" spans="1:44" ht="15.75" customHeight="1">
      <c r="A55" s="53"/>
      <c r="B55" s="626" t="s">
        <v>304</v>
      </c>
      <c r="C55" s="616"/>
      <c r="D55" s="616"/>
      <c r="E55" s="328"/>
      <c r="F55" s="449"/>
      <c r="G55" s="138"/>
      <c r="H55" s="486">
        <f>F55*H52</f>
        <v>0</v>
      </c>
      <c r="I55" s="411"/>
      <c r="J55" s="411"/>
      <c r="K55" s="411"/>
      <c r="L55" s="506">
        <f>J55*L52</f>
        <v>0</v>
      </c>
      <c r="M55" s="138"/>
      <c r="N55" s="451">
        <f t="shared" si="69"/>
        <v>0</v>
      </c>
      <c r="O55" s="453" t="str">
        <f t="shared" si="70"/>
        <v/>
      </c>
      <c r="P55" s="53"/>
      <c r="Q55" s="411"/>
      <c r="R55" s="411"/>
      <c r="S55" s="506">
        <f>Q55*S52</f>
        <v>0</v>
      </c>
      <c r="T55" s="138"/>
      <c r="U55" s="451">
        <f t="shared" si="71"/>
        <v>0</v>
      </c>
      <c r="V55" s="453" t="str">
        <f t="shared" si="72"/>
        <v/>
      </c>
      <c r="W55" s="53"/>
      <c r="X55" s="411"/>
      <c r="Y55" s="411"/>
      <c r="Z55" s="506">
        <f>X55*Z52</f>
        <v>0</v>
      </c>
      <c r="AA55" s="138"/>
      <c r="AB55" s="451">
        <f t="shared" si="73"/>
        <v>0</v>
      </c>
      <c r="AC55" s="453" t="str">
        <f t="shared" si="74"/>
        <v/>
      </c>
      <c r="AD55" s="53"/>
      <c r="AE55" s="411"/>
      <c r="AF55" s="411"/>
      <c r="AG55" s="506">
        <f>AE55*AG52</f>
        <v>0</v>
      </c>
      <c r="AH55" s="138"/>
      <c r="AI55" s="451">
        <f t="shared" si="75"/>
        <v>0</v>
      </c>
      <c r="AJ55" s="453" t="str">
        <f t="shared" si="76"/>
        <v/>
      </c>
      <c r="AK55" s="53"/>
      <c r="AL55" s="411"/>
      <c r="AM55" s="411"/>
      <c r="AN55" s="506">
        <f>AL55*AN52</f>
        <v>0</v>
      </c>
      <c r="AO55" s="138"/>
      <c r="AP55" s="451">
        <f t="shared" si="77"/>
        <v>0</v>
      </c>
      <c r="AQ55" s="453" t="str">
        <f t="shared" si="78"/>
        <v/>
      </c>
      <c r="AR55" s="454"/>
    </row>
    <row r="56" spans="1:44" ht="13.5" customHeight="1">
      <c r="A56" s="53"/>
      <c r="B56" s="627" t="s">
        <v>347</v>
      </c>
      <c r="C56" s="608"/>
      <c r="D56" s="600"/>
      <c r="E56" s="455"/>
      <c r="F56" s="456"/>
      <c r="G56" s="487"/>
      <c r="H56" s="488">
        <f>H54-H55</f>
        <v>216223.86730255</v>
      </c>
      <c r="I56" s="457"/>
      <c r="J56" s="457"/>
      <c r="K56" s="457"/>
      <c r="L56" s="458">
        <f>L54-L55</f>
        <v>214448.99286269996</v>
      </c>
      <c r="M56" s="459"/>
      <c r="N56" s="460">
        <f t="shared" si="69"/>
        <v>-1774.8744398500421</v>
      </c>
      <c r="O56" s="461">
        <f t="shared" si="70"/>
        <v>-8.2085038159388727E-3</v>
      </c>
      <c r="P56" s="53"/>
      <c r="Q56" s="457"/>
      <c r="R56" s="457"/>
      <c r="S56" s="458">
        <f>S54-S55</f>
        <v>218409.07786269995</v>
      </c>
      <c r="T56" s="459"/>
      <c r="U56" s="460">
        <f t="shared" si="71"/>
        <v>3960.0849999999919</v>
      </c>
      <c r="V56" s="461">
        <f t="shared" si="72"/>
        <v>1.8466325941364617E-2</v>
      </c>
      <c r="W56" s="53"/>
      <c r="X56" s="457"/>
      <c r="Y56" s="457"/>
      <c r="Z56" s="458">
        <f>Z54-Z55</f>
        <v>212533.61461269995</v>
      </c>
      <c r="AA56" s="459"/>
      <c r="AB56" s="460">
        <f t="shared" si="73"/>
        <v>-5875.4632500000007</v>
      </c>
      <c r="AC56" s="461">
        <f t="shared" si="74"/>
        <v>-2.6901186102225728E-2</v>
      </c>
      <c r="AD56" s="53"/>
      <c r="AE56" s="457"/>
      <c r="AF56" s="457"/>
      <c r="AG56" s="458">
        <f>AG54-AG55</f>
        <v>213575.16386269993</v>
      </c>
      <c r="AH56" s="459"/>
      <c r="AI56" s="460">
        <f t="shared" si="75"/>
        <v>1041.5492499999818</v>
      </c>
      <c r="AJ56" s="461">
        <f t="shared" si="76"/>
        <v>4.9006330217363364E-3</v>
      </c>
      <c r="AK56" s="53"/>
      <c r="AL56" s="457"/>
      <c r="AM56" s="457"/>
      <c r="AN56" s="458">
        <f>AN54-AN55</f>
        <v>214528.12111269997</v>
      </c>
      <c r="AO56" s="459"/>
      <c r="AP56" s="460">
        <f t="shared" si="77"/>
        <v>952.95725000003586</v>
      </c>
      <c r="AQ56" s="461">
        <f t="shared" si="78"/>
        <v>4.4619291530201468E-3</v>
      </c>
      <c r="AR56" s="462"/>
    </row>
    <row r="57" spans="1:44" ht="8.25" customHeight="1">
      <c r="A57" s="53"/>
      <c r="B57" s="428"/>
      <c r="C57" s="555"/>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row>
    <row r="58" spans="1:44" ht="12.75" customHeight="1">
      <c r="A58" s="507"/>
      <c r="B58" s="508" t="s">
        <v>348</v>
      </c>
      <c r="C58" s="557"/>
      <c r="D58" s="509"/>
      <c r="E58" s="509"/>
      <c r="F58" s="510"/>
      <c r="G58" s="511"/>
      <c r="H58" s="512">
        <f>SUM(H49:H50,H42,H43:H45)</f>
        <v>53297.926999999996</v>
      </c>
      <c r="I58" s="513"/>
      <c r="J58" s="514"/>
      <c r="K58" s="514"/>
      <c r="L58" s="512">
        <f>SUM(L49:L50,L42,L43:L45)</f>
        <v>51807.363899999997</v>
      </c>
      <c r="M58" s="515"/>
      <c r="N58" s="516">
        <f t="shared" ref="N58:N62" si="79">L58-H58</f>
        <v>-1490.5630999999994</v>
      </c>
      <c r="O58" s="517">
        <f t="shared" ref="O58:O62" si="80">IF((H58)=0,"",(N58/H58))</f>
        <v>-2.7966624292911045E-2</v>
      </c>
      <c r="P58" s="507"/>
      <c r="Q58" s="514"/>
      <c r="R58" s="514"/>
      <c r="S58" s="512">
        <f>SUM(S49:S50,S42,S43:S45)</f>
        <v>55311.863899999997</v>
      </c>
      <c r="T58" s="515"/>
      <c r="U58" s="516">
        <f t="shared" ref="U58:U62" si="81">S58-L58</f>
        <v>3504.5</v>
      </c>
      <c r="V58" s="517">
        <f t="shared" ref="V58:V62" si="82">IF((L58)=0,"",(U58/L58))</f>
        <v>6.7644823750625152E-2</v>
      </c>
      <c r="W58" s="507"/>
      <c r="X58" s="514"/>
      <c r="Y58" s="514"/>
      <c r="Z58" s="512">
        <f>SUM(Z49:Z50,Z42,Z43:Z45)</f>
        <v>50112.338900000002</v>
      </c>
      <c r="AA58" s="515"/>
      <c r="AB58" s="516">
        <f t="shared" ref="AB58:AB62" si="83">Z58-S58</f>
        <v>-5199.5249999999942</v>
      </c>
      <c r="AC58" s="517">
        <f t="shared" ref="AC58:AC62" si="84">IF((S58)=0,"",(AB58/S58))</f>
        <v>-9.4003792918647147E-2</v>
      </c>
      <c r="AD58" s="507"/>
      <c r="AE58" s="514"/>
      <c r="AF58" s="514"/>
      <c r="AG58" s="512">
        <f>SUM(AG49:AG50,AG42,AG43:AG45)</f>
        <v>51034.063899999994</v>
      </c>
      <c r="AH58" s="515"/>
      <c r="AI58" s="516">
        <f t="shared" ref="AI58:AI62" si="85">AG58-Z58</f>
        <v>921.72499999999127</v>
      </c>
      <c r="AJ58" s="517">
        <f t="shared" ref="AJ58:AJ62" si="86">IF((Z58)=0,"",(AI58/Z58))</f>
        <v>1.8393174619913643E-2</v>
      </c>
      <c r="AK58" s="507"/>
      <c r="AL58" s="514"/>
      <c r="AM58" s="514"/>
      <c r="AN58" s="512">
        <f>SUM(AN49:AN50,AN42,AN43:AN45)</f>
        <v>51877.388900000005</v>
      </c>
      <c r="AO58" s="515"/>
      <c r="AP58" s="516">
        <f t="shared" ref="AP58:AP62" si="87">AN58-AG58</f>
        <v>843.32500000001164</v>
      </c>
      <c r="AQ58" s="517">
        <f t="shared" ref="AQ58:AQ62" si="88">IF((AG58)=0,"",(AP58/AG58))</f>
        <v>1.6524747111115557E-2</v>
      </c>
      <c r="AR58" s="518"/>
    </row>
    <row r="59" spans="1:44" ht="12.75" customHeight="1">
      <c r="A59" s="507"/>
      <c r="B59" s="519" t="s">
        <v>345</v>
      </c>
      <c r="C59" s="557"/>
      <c r="D59" s="509"/>
      <c r="E59" s="509"/>
      <c r="F59" s="510">
        <v>0.13</v>
      </c>
      <c r="G59" s="511"/>
      <c r="H59" s="520">
        <f>H58*F59</f>
        <v>6928.7305099999994</v>
      </c>
      <c r="I59" s="521"/>
      <c r="J59" s="510">
        <v>0.13</v>
      </c>
      <c r="K59" s="522"/>
      <c r="L59" s="523">
        <f>L58*J59</f>
        <v>6734.9573069999997</v>
      </c>
      <c r="M59" s="524"/>
      <c r="N59" s="525">
        <f t="shared" si="79"/>
        <v>-193.77320299999974</v>
      </c>
      <c r="O59" s="526">
        <f t="shared" si="80"/>
        <v>-2.7966624292911021E-2</v>
      </c>
      <c r="P59" s="507"/>
      <c r="Q59" s="510">
        <v>0.13</v>
      </c>
      <c r="R59" s="522"/>
      <c r="S59" s="523">
        <f>S58*Q59</f>
        <v>7190.5423069999997</v>
      </c>
      <c r="T59" s="524"/>
      <c r="U59" s="525">
        <f t="shared" si="81"/>
        <v>455.58500000000004</v>
      </c>
      <c r="V59" s="526">
        <f t="shared" si="82"/>
        <v>6.7644823750625152E-2</v>
      </c>
      <c r="W59" s="507"/>
      <c r="X59" s="510">
        <v>0.13</v>
      </c>
      <c r="Y59" s="522"/>
      <c r="Z59" s="523">
        <f>Z58*X59</f>
        <v>6514.6040570000005</v>
      </c>
      <c r="AA59" s="524"/>
      <c r="AB59" s="525">
        <f t="shared" si="83"/>
        <v>-675.93824999999924</v>
      </c>
      <c r="AC59" s="526">
        <f t="shared" si="84"/>
        <v>-9.4003792918647133E-2</v>
      </c>
      <c r="AD59" s="507"/>
      <c r="AE59" s="510">
        <v>0.13</v>
      </c>
      <c r="AF59" s="522"/>
      <c r="AG59" s="523">
        <f>AG58*AE59</f>
        <v>6634.4283069999992</v>
      </c>
      <c r="AH59" s="524"/>
      <c r="AI59" s="525">
        <f t="shared" si="85"/>
        <v>119.82424999999876</v>
      </c>
      <c r="AJ59" s="526">
        <f t="shared" si="86"/>
        <v>1.8393174619913626E-2</v>
      </c>
      <c r="AK59" s="507"/>
      <c r="AL59" s="510">
        <v>0.13</v>
      </c>
      <c r="AM59" s="522"/>
      <c r="AN59" s="523">
        <f>AN58*AL59</f>
        <v>6744.0605570000007</v>
      </c>
      <c r="AO59" s="524"/>
      <c r="AP59" s="525">
        <f t="shared" si="87"/>
        <v>109.63225000000148</v>
      </c>
      <c r="AQ59" s="526">
        <f t="shared" si="88"/>
        <v>1.652474711111555E-2</v>
      </c>
      <c r="AR59" s="527"/>
    </row>
    <row r="60" spans="1:44" ht="12.75" customHeight="1">
      <c r="A60" s="507"/>
      <c r="B60" s="548" t="s">
        <v>429</v>
      </c>
      <c r="C60" s="557"/>
      <c r="D60" s="509"/>
      <c r="E60" s="509"/>
      <c r="F60" s="529"/>
      <c r="G60" s="524"/>
      <c r="H60" s="520">
        <f>H58+H59</f>
        <v>60226.657509999997</v>
      </c>
      <c r="I60" s="521"/>
      <c r="J60" s="521"/>
      <c r="K60" s="521"/>
      <c r="L60" s="523">
        <f>L58+L59</f>
        <v>58542.321206999994</v>
      </c>
      <c r="M60" s="524"/>
      <c r="N60" s="525">
        <f t="shared" si="79"/>
        <v>-1684.3363030000037</v>
      </c>
      <c r="O60" s="526">
        <f t="shared" si="80"/>
        <v>-2.7966624292911118E-2</v>
      </c>
      <c r="P60" s="507"/>
      <c r="Q60" s="521"/>
      <c r="R60" s="521"/>
      <c r="S60" s="523">
        <f>S58+S59</f>
        <v>62502.406206999993</v>
      </c>
      <c r="T60" s="524"/>
      <c r="U60" s="525">
        <f t="shared" si="81"/>
        <v>3960.0849999999991</v>
      </c>
      <c r="V60" s="526">
        <f t="shared" si="82"/>
        <v>6.7644823750625138E-2</v>
      </c>
      <c r="W60" s="507"/>
      <c r="X60" s="521"/>
      <c r="Y60" s="521"/>
      <c r="Z60" s="523">
        <f>Z58+Z59</f>
        <v>56626.942957000007</v>
      </c>
      <c r="AA60" s="524"/>
      <c r="AB60" s="525">
        <f t="shared" si="83"/>
        <v>-5875.4632499999861</v>
      </c>
      <c r="AC60" s="526">
        <f t="shared" si="84"/>
        <v>-9.4003792918647036E-2</v>
      </c>
      <c r="AD60" s="507"/>
      <c r="AE60" s="521"/>
      <c r="AF60" s="521"/>
      <c r="AG60" s="523">
        <f>AG58+AG59</f>
        <v>57668.492206999996</v>
      </c>
      <c r="AH60" s="524"/>
      <c r="AI60" s="525">
        <f t="shared" si="85"/>
        <v>1041.5492499999891</v>
      </c>
      <c r="AJ60" s="526">
        <f t="shared" si="86"/>
        <v>1.8393174619913626E-2</v>
      </c>
      <c r="AK60" s="507"/>
      <c r="AL60" s="521"/>
      <c r="AM60" s="521"/>
      <c r="AN60" s="523">
        <f>AN58+AN59</f>
        <v>58621.44945700001</v>
      </c>
      <c r="AO60" s="524"/>
      <c r="AP60" s="525">
        <f t="shared" si="87"/>
        <v>952.95725000001403</v>
      </c>
      <c r="AQ60" s="526">
        <f t="shared" si="88"/>
        <v>1.6524747111115571E-2</v>
      </c>
      <c r="AR60" s="527"/>
    </row>
    <row r="61" spans="1:44" ht="15.75" customHeight="1">
      <c r="A61" s="507"/>
      <c r="B61" s="636" t="s">
        <v>304</v>
      </c>
      <c r="C61" s="616"/>
      <c r="D61" s="616"/>
      <c r="E61" s="509"/>
      <c r="F61" s="529"/>
      <c r="G61" s="524"/>
      <c r="H61" s="530">
        <f>F61*H58</f>
        <v>0</v>
      </c>
      <c r="I61" s="521"/>
      <c r="J61" s="521"/>
      <c r="K61" s="521"/>
      <c r="L61" s="531">
        <f>J61*L58</f>
        <v>0</v>
      </c>
      <c r="M61" s="524"/>
      <c r="N61" s="532">
        <f t="shared" si="79"/>
        <v>0</v>
      </c>
      <c r="O61" s="533" t="str">
        <f t="shared" si="80"/>
        <v/>
      </c>
      <c r="P61" s="507"/>
      <c r="Q61" s="521"/>
      <c r="R61" s="521"/>
      <c r="S61" s="531">
        <f>Q61*S58</f>
        <v>0</v>
      </c>
      <c r="T61" s="524"/>
      <c r="U61" s="532">
        <f t="shared" si="81"/>
        <v>0</v>
      </c>
      <c r="V61" s="533" t="str">
        <f t="shared" si="82"/>
        <v/>
      </c>
      <c r="W61" s="507"/>
      <c r="X61" s="521"/>
      <c r="Y61" s="521"/>
      <c r="Z61" s="531">
        <f>X61*Z58</f>
        <v>0</v>
      </c>
      <c r="AA61" s="524"/>
      <c r="AB61" s="532">
        <f t="shared" si="83"/>
        <v>0</v>
      </c>
      <c r="AC61" s="533" t="str">
        <f t="shared" si="84"/>
        <v/>
      </c>
      <c r="AD61" s="507"/>
      <c r="AE61" s="521"/>
      <c r="AF61" s="521"/>
      <c r="AG61" s="531">
        <f>AE61*AG58</f>
        <v>0</v>
      </c>
      <c r="AH61" s="524"/>
      <c r="AI61" s="532">
        <f t="shared" si="85"/>
        <v>0</v>
      </c>
      <c r="AJ61" s="533" t="str">
        <f t="shared" si="86"/>
        <v/>
      </c>
      <c r="AK61" s="507"/>
      <c r="AL61" s="521"/>
      <c r="AM61" s="521"/>
      <c r="AN61" s="531">
        <f>AL61*AN58</f>
        <v>0</v>
      </c>
      <c r="AO61" s="524"/>
      <c r="AP61" s="532">
        <f t="shared" si="87"/>
        <v>0</v>
      </c>
      <c r="AQ61" s="533" t="str">
        <f t="shared" si="88"/>
        <v/>
      </c>
      <c r="AR61" s="534"/>
    </row>
    <row r="62" spans="1:44" ht="13.5" customHeight="1">
      <c r="A62" s="507"/>
      <c r="B62" s="637" t="s">
        <v>350</v>
      </c>
      <c r="C62" s="608"/>
      <c r="D62" s="600"/>
      <c r="E62" s="535"/>
      <c r="F62" s="536"/>
      <c r="G62" s="537"/>
      <c r="H62" s="538">
        <f>H60-H61</f>
        <v>60226.657509999997</v>
      </c>
      <c r="I62" s="539"/>
      <c r="J62" s="539"/>
      <c r="K62" s="539"/>
      <c r="L62" s="540">
        <f>L60-L61</f>
        <v>58542.321206999994</v>
      </c>
      <c r="M62" s="541"/>
      <c r="N62" s="542">
        <f t="shared" si="79"/>
        <v>-1684.3363030000037</v>
      </c>
      <c r="O62" s="543">
        <f t="shared" si="80"/>
        <v>-2.7966624292911118E-2</v>
      </c>
      <c r="P62" s="507"/>
      <c r="Q62" s="539"/>
      <c r="R62" s="539"/>
      <c r="S62" s="540">
        <f>S60-S61</f>
        <v>62502.406206999993</v>
      </c>
      <c r="T62" s="541"/>
      <c r="U62" s="542">
        <f t="shared" si="81"/>
        <v>3960.0849999999991</v>
      </c>
      <c r="V62" s="543">
        <f t="shared" si="82"/>
        <v>6.7644823750625138E-2</v>
      </c>
      <c r="W62" s="507"/>
      <c r="X62" s="539"/>
      <c r="Y62" s="539"/>
      <c r="Z62" s="540">
        <f>Z60-Z61</f>
        <v>56626.942957000007</v>
      </c>
      <c r="AA62" s="541"/>
      <c r="AB62" s="542">
        <f t="shared" si="83"/>
        <v>-5875.4632499999861</v>
      </c>
      <c r="AC62" s="543">
        <f t="shared" si="84"/>
        <v>-9.4003792918647036E-2</v>
      </c>
      <c r="AD62" s="507"/>
      <c r="AE62" s="539"/>
      <c r="AF62" s="539"/>
      <c r="AG62" s="540">
        <f>AG60-AG61</f>
        <v>57668.492206999996</v>
      </c>
      <c r="AH62" s="541"/>
      <c r="AI62" s="542">
        <f t="shared" si="85"/>
        <v>1041.5492499999891</v>
      </c>
      <c r="AJ62" s="543">
        <f t="shared" si="86"/>
        <v>1.8393174619913626E-2</v>
      </c>
      <c r="AK62" s="507"/>
      <c r="AL62" s="539"/>
      <c r="AM62" s="539"/>
      <c r="AN62" s="540">
        <f>AN60-AN61</f>
        <v>58621.44945700001</v>
      </c>
      <c r="AO62" s="541"/>
      <c r="AP62" s="542">
        <f t="shared" si="87"/>
        <v>952.95725000001403</v>
      </c>
      <c r="AQ62" s="543">
        <f t="shared" si="88"/>
        <v>1.6524747111115571E-2</v>
      </c>
      <c r="AR62" s="544"/>
    </row>
    <row r="63" spans="1:44" ht="8.25" customHeight="1">
      <c r="A63" s="53"/>
      <c r="B63" s="428"/>
      <c r="C63" s="555"/>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row>
    <row r="64" spans="1:44" ht="12.75" customHeight="1">
      <c r="A64" s="53"/>
      <c r="B64" s="53"/>
      <c r="C64" s="549"/>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4" t="s">
        <v>351</v>
      </c>
      <c r="C65" s="549"/>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row>
    <row r="66" spans="1:44" ht="12.75" customHeight="1">
      <c r="A66" s="53"/>
      <c r="B66" s="53"/>
      <c r="C66" s="549"/>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3" t="s">
        <v>430</v>
      </c>
      <c r="B67" s="53"/>
      <c r="C67" s="549"/>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49"/>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49"/>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49"/>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49"/>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49"/>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49"/>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49"/>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49"/>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49"/>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49"/>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49"/>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49"/>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49"/>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4"/>
      <c r="B81" s="53" t="s">
        <v>362</v>
      </c>
      <c r="C81" s="549"/>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49"/>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49"/>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49"/>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49"/>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49"/>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49"/>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49"/>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49"/>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49"/>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49"/>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49"/>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49"/>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49"/>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49"/>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49"/>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49"/>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49"/>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49"/>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49"/>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49"/>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49"/>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49"/>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49"/>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49"/>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49"/>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49"/>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49"/>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49"/>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49"/>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49"/>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49"/>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49"/>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49"/>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49"/>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49"/>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49"/>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49"/>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49"/>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49"/>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49"/>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49"/>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49"/>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49"/>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49"/>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49"/>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49"/>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49"/>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49"/>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49"/>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49"/>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49"/>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49"/>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49"/>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49"/>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49"/>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49"/>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49"/>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49"/>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49"/>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49"/>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49"/>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49"/>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49"/>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49"/>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49"/>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49"/>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49"/>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49"/>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49"/>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49"/>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49"/>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49"/>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49"/>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49"/>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49"/>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49"/>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49"/>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49"/>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49"/>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49"/>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49"/>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49"/>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49"/>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49"/>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49"/>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49"/>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49"/>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49"/>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49"/>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49"/>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49"/>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49"/>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49"/>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49"/>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49"/>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49"/>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49"/>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49"/>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49"/>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49"/>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49"/>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49"/>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49"/>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49"/>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49"/>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49"/>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49"/>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49"/>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49"/>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49"/>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49"/>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9"/>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9"/>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9"/>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9"/>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9"/>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9"/>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9"/>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9"/>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9"/>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9"/>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9"/>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9"/>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9"/>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9"/>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9"/>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9"/>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9"/>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9"/>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9"/>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9"/>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9"/>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9"/>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9"/>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9"/>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9"/>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9"/>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9"/>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9"/>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9"/>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9"/>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9"/>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9"/>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9"/>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9"/>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9"/>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9"/>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9"/>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9"/>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9"/>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9"/>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9"/>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9"/>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9"/>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9"/>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9"/>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9"/>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9"/>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9"/>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9"/>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9"/>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9"/>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9"/>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9"/>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9"/>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9"/>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9"/>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9"/>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9"/>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9"/>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9"/>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9"/>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9"/>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9"/>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9"/>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9"/>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9"/>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9"/>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9"/>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9"/>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9"/>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9"/>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9"/>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9"/>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9"/>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9"/>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9"/>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9"/>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9"/>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9"/>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9"/>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9"/>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9"/>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9"/>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9"/>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9"/>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9"/>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9"/>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9"/>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9"/>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9"/>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9"/>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1F00-000000000000}">
      <formula1>"TOU,non-TOU"</formula1>
    </dataValidation>
    <dataValidation type="list" allowBlank="1" showErrorMessage="1" sqref="E15:E28 E30:E38 E40:E41 E43:E51 E57 E63" xr:uid="{00000000-0002-0000-1F00-000001000000}">
      <formula1>#REF!</formula1>
    </dataValidation>
    <dataValidation type="list" allowBlank="1" showInputMessage="1" showErrorMessage="1" prompt="Select Charge Unit - monthly, per kWh, per kW" sqref="D15:D28 D30:D38 D40:D41 D43:D51 D57 D63" xr:uid="{00000000-0002-0000-1F00-000002000000}">
      <formula1>"Monthly,per kWh,per kW"</formula1>
    </dataValidation>
  </dataValidations>
  <pageMargins left="0.74803149606299213" right="0.74803149606299213" top="0.98425196850393704" bottom="0.98425196850393704"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A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0.85546875" customWidth="1"/>
    <col min="7" max="7" width="11" customWidth="1"/>
    <col min="8" max="8" width="13" customWidth="1"/>
    <col min="9" max="9" width="1.42578125" customWidth="1"/>
    <col min="10" max="11" width="11" customWidth="1"/>
    <col min="12" max="12" width="13" customWidth="1"/>
    <col min="13" max="13" width="1.42578125" customWidth="1"/>
    <col min="14" max="14" width="11" customWidth="1"/>
    <col min="15" max="15" width="10" customWidth="1"/>
    <col min="16" max="16" width="1.7109375" customWidth="1"/>
    <col min="17" max="18" width="11" customWidth="1"/>
    <col min="19" max="19" width="13" customWidth="1"/>
    <col min="20" max="20" width="0.42578125" customWidth="1"/>
    <col min="21" max="21" width="11" customWidth="1"/>
    <col min="22" max="22" width="10" customWidth="1"/>
    <col min="23" max="23" width="2.28515625" customWidth="1"/>
    <col min="24" max="25" width="11" customWidth="1"/>
    <col min="26" max="26" width="13" customWidth="1"/>
    <col min="27" max="27" width="0.42578125" customWidth="1"/>
    <col min="28" max="28" width="11" customWidth="1"/>
    <col min="29" max="29" width="10" customWidth="1"/>
    <col min="30" max="30" width="2.140625" customWidth="1"/>
    <col min="31" max="32" width="11" customWidth="1"/>
    <col min="33" max="33" width="13" customWidth="1"/>
    <col min="34" max="34" width="0.42578125" customWidth="1"/>
    <col min="35" max="35" width="11" customWidth="1"/>
    <col min="36" max="36" width="10" customWidth="1"/>
    <col min="37" max="37" width="0.7109375" customWidth="1"/>
    <col min="38" max="39" width="11" customWidth="1"/>
    <col min="40" max="40" width="13" customWidth="1"/>
    <col min="41" max="41" width="1.28515625" customWidth="1"/>
    <col min="42" max="42" width="11" customWidth="1"/>
    <col min="43" max="43" width="10" customWidth="1"/>
    <col min="44" max="44" width="1.28515625" customWidth="1"/>
    <col min="45" max="53" width="12.42578125" customWidth="1"/>
  </cols>
  <sheetData>
    <row r="1" spans="1:53" ht="7.5" customHeight="1">
      <c r="A1" s="53"/>
      <c r="B1" s="53"/>
      <c r="C1" s="549"/>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53" ht="18.75" customHeight="1">
      <c r="A2" s="53"/>
      <c r="B2" s="53"/>
      <c r="C2" s="550"/>
      <c r="D2" s="373"/>
      <c r="E2" s="373"/>
      <c r="F2" s="373" t="s">
        <v>320</v>
      </c>
      <c r="G2" s="373"/>
      <c r="H2" s="373"/>
      <c r="I2" s="373"/>
      <c r="J2" s="373"/>
      <c r="K2" s="373"/>
      <c r="L2" s="373"/>
      <c r="M2" s="373"/>
      <c r="N2" s="373"/>
      <c r="O2" s="37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53" ht="18.75" customHeight="1">
      <c r="A3" s="53"/>
      <c r="B3" s="53"/>
      <c r="C3" s="550"/>
      <c r="D3" s="373"/>
      <c r="E3" s="373"/>
      <c r="F3" s="373" t="s">
        <v>322</v>
      </c>
      <c r="G3" s="373"/>
      <c r="H3" s="373"/>
      <c r="I3" s="373"/>
      <c r="J3" s="373"/>
      <c r="K3" s="373"/>
      <c r="L3" s="373"/>
      <c r="M3" s="373"/>
      <c r="N3" s="373"/>
      <c r="O3" s="373"/>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3"/>
      <c r="AT3" s="3"/>
      <c r="AU3" s="3"/>
      <c r="AV3" s="3"/>
      <c r="AW3" s="3"/>
      <c r="AX3" s="3"/>
      <c r="AY3" s="3"/>
      <c r="AZ3" s="3"/>
      <c r="BA3" s="3"/>
    </row>
    <row r="4" spans="1:53" ht="7.5" customHeight="1">
      <c r="A4" s="53"/>
      <c r="B4" s="53"/>
      <c r="C4" s="549"/>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3"/>
      <c r="AT4" s="3"/>
      <c r="AU4" s="3"/>
      <c r="AV4" s="3"/>
      <c r="AW4" s="3"/>
      <c r="AX4" s="3"/>
      <c r="AY4" s="3"/>
      <c r="AZ4" s="3"/>
      <c r="BA4" s="3"/>
    </row>
    <row r="5" spans="1:53" ht="7.5" customHeight="1">
      <c r="A5" s="53"/>
      <c r="B5" s="53"/>
      <c r="C5" s="549"/>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c r="AU5" s="3"/>
      <c r="AV5" s="3"/>
      <c r="AW5" s="3"/>
      <c r="AX5" s="3"/>
      <c r="AY5" s="3"/>
      <c r="AZ5" s="3"/>
      <c r="BA5" s="3"/>
    </row>
    <row r="6" spans="1:53" ht="12.75" customHeight="1">
      <c r="A6" s="53"/>
      <c r="B6" s="327" t="s">
        <v>323</v>
      </c>
      <c r="C6" s="549"/>
      <c r="D6" s="499" t="s">
        <v>250</v>
      </c>
      <c r="E6" s="500"/>
      <c r="F6" s="500"/>
      <c r="G6" s="500"/>
      <c r="H6" s="500"/>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c r="AV6" s="3"/>
      <c r="AW6" s="3"/>
      <c r="AX6" s="3"/>
      <c r="AY6" s="3"/>
      <c r="AZ6" s="3"/>
      <c r="BA6" s="3"/>
    </row>
    <row r="7" spans="1:53" ht="7.5" customHeight="1">
      <c r="A7" s="53"/>
      <c r="B7" s="377"/>
      <c r="C7" s="549"/>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53" ht="12.75" customHeight="1">
      <c r="A8" s="53"/>
      <c r="B8" s="327" t="s">
        <v>324</v>
      </c>
      <c r="C8" s="549"/>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53" ht="12.75" customHeight="1">
      <c r="A9" s="53"/>
      <c r="B9" s="377"/>
      <c r="C9" s="549"/>
      <c r="D9" s="314" t="s">
        <v>326</v>
      </c>
      <c r="E9" s="314"/>
      <c r="F9" s="380">
        <v>1277500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53" ht="12.75" customHeight="1">
      <c r="A10" s="53"/>
      <c r="B10" s="53"/>
      <c r="C10" s="549"/>
      <c r="D10" s="53"/>
      <c r="E10" s="53"/>
      <c r="F10" s="380">
        <v>4000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53" ht="12.75" customHeight="1">
      <c r="A11" s="53"/>
      <c r="B11" s="53"/>
      <c r="C11" s="549"/>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53" ht="12.75" customHeight="1">
      <c r="A12" s="53"/>
      <c r="B12" s="53"/>
      <c r="C12" s="549"/>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53" ht="12.75" customHeight="1">
      <c r="A13" s="53"/>
      <c r="B13" s="53"/>
      <c r="C13" s="549"/>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53" ht="12.75" customHeight="1">
      <c r="A14" s="53"/>
      <c r="B14" s="53"/>
      <c r="C14" s="549"/>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53" ht="12.75" customHeight="1">
      <c r="A15" s="53"/>
      <c r="B15" s="328" t="s">
        <v>246</v>
      </c>
      <c r="C15" s="389" t="str">
        <f t="shared" ref="C15:C28" si="0">D$6&amp;"."&amp;B15</f>
        <v>General Service 1,500 to 4,999 KW.Monthly Service Charge</v>
      </c>
      <c r="D15" s="390" t="s">
        <v>335</v>
      </c>
      <c r="E15" s="328"/>
      <c r="F15" s="391">
        <f>IFERROR(VLOOKUP($C15,'Proposed Rates'!$B:$J,F$11,FALSE),0)</f>
        <v>4126.75</v>
      </c>
      <c r="G15" s="409">
        <f t="shared" ref="G15:G28" si="1">IF($D15="Monthly",1,IF($D15="per KW",$F$10,IF($D15="per kWh",$F$9,0)))</f>
        <v>1</v>
      </c>
      <c r="H15" s="394">
        <f t="shared" ref="H15:H28" si="2">G15*F15</f>
        <v>4126.75</v>
      </c>
      <c r="I15" s="138"/>
      <c r="J15" s="391">
        <f>IFERROR(VLOOKUP($C15,'Proposed Rates'!$B:$J,J$11,FALSE),0)</f>
        <v>4126.75</v>
      </c>
      <c r="K15" s="409">
        <f t="shared" ref="K15:K28" si="3">IF($D15="Monthly",1,IF($D15="per KW",$F$10,IF($D15="per kWh",$F$9,0)))</f>
        <v>1</v>
      </c>
      <c r="L15" s="394">
        <f t="shared" ref="L15:L28" si="4">K15*J15</f>
        <v>4126.75</v>
      </c>
      <c r="M15" s="138"/>
      <c r="N15" s="395">
        <f t="shared" ref="N15:N46" si="5">L15-H15</f>
        <v>0</v>
      </c>
      <c r="O15" s="396">
        <f t="shared" ref="O15:O46" si="6">IF((H15)=0,"",(N15/H15))</f>
        <v>0</v>
      </c>
      <c r="P15" s="53"/>
      <c r="Q15" s="391">
        <f>IFERROR(VLOOKUP($C15,'Proposed Rates'!$B:$J,Q$11,FALSE),0)</f>
        <v>4126.75</v>
      </c>
      <c r="R15" s="409">
        <f t="shared" ref="R15:R28" si="7">IF($D15="Monthly",1,IF($D15="per KW",$F$10,IF($D15="per kWh",$F$9,0)))</f>
        <v>1</v>
      </c>
      <c r="S15" s="394">
        <f t="shared" ref="S15:S28" si="8">R15*Q15</f>
        <v>4126.75</v>
      </c>
      <c r="T15" s="138"/>
      <c r="U15" s="395">
        <f t="shared" ref="U15:U46" si="9">S15-L15</f>
        <v>0</v>
      </c>
      <c r="V15" s="396">
        <f t="shared" ref="V15:V46" si="10">IF((L15)=0,"",(U15/L15))</f>
        <v>0</v>
      </c>
      <c r="W15" s="53"/>
      <c r="X15" s="391">
        <f>IFERROR(VLOOKUP($C15,'Proposed Rates'!$B:$J,X$11,FALSE),0)</f>
        <v>4126.75</v>
      </c>
      <c r="Y15" s="409">
        <f t="shared" ref="Y15:Y28" si="11">IF($D15="Monthly",1,IF($D15="per KW",$F$10,IF($D15="per kWh",$F$9,0)))</f>
        <v>1</v>
      </c>
      <c r="Z15" s="394">
        <f t="shared" ref="Z15:Z28" si="12">Y15*X15</f>
        <v>4126.75</v>
      </c>
      <c r="AA15" s="138"/>
      <c r="AB15" s="395">
        <f t="shared" ref="AB15:AB46" si="13">Z15-S15</f>
        <v>0</v>
      </c>
      <c r="AC15" s="396">
        <f t="shared" ref="AC15:AC46" si="14">IF((S15)=0,"",(AB15/S15))</f>
        <v>0</v>
      </c>
      <c r="AD15" s="53"/>
      <c r="AE15" s="391">
        <f>IFERROR(VLOOKUP($C15,'Proposed Rates'!$B:$J,AE$11,FALSE),0)</f>
        <v>4126.75</v>
      </c>
      <c r="AF15" s="409">
        <f t="shared" ref="AF15:AF28" si="15">IF($D15="Monthly",1,IF($D15="per KW",$F$10,IF($D15="per kWh",$F$9,0)))</f>
        <v>1</v>
      </c>
      <c r="AG15" s="394">
        <f t="shared" ref="AG15:AG28" si="16">AF15*AE15</f>
        <v>4126.75</v>
      </c>
      <c r="AH15" s="138"/>
      <c r="AI15" s="395">
        <f t="shared" ref="AI15:AI46" si="17">AG15-Z15</f>
        <v>0</v>
      </c>
      <c r="AJ15" s="396">
        <f t="shared" ref="AJ15:AJ46" si="18">IF((Z15)=0,"",(AI15/Z15))</f>
        <v>0</v>
      </c>
      <c r="AK15" s="53"/>
      <c r="AL15" s="391">
        <f>IFERROR(VLOOKUP($C15,'Proposed Rates'!$B:$J,AL$11,FALSE),0)</f>
        <v>4126.75</v>
      </c>
      <c r="AM15" s="409">
        <f t="shared" ref="AM15:AM28" si="19">IF($D15="Monthly",1,IF($D15="per KW",$F$10,IF($D15="per kWh",$F$9,0)))</f>
        <v>1</v>
      </c>
      <c r="AN15" s="394">
        <f t="shared" ref="AN15:AN28" si="20">AM15*AL15</f>
        <v>4126.75</v>
      </c>
      <c r="AO15" s="138"/>
      <c r="AP15" s="395">
        <f t="shared" ref="AP15:AP46" si="21">AN15-AG15</f>
        <v>0</v>
      </c>
      <c r="AQ15" s="396">
        <f t="shared" ref="AQ15:AQ46" si="22">IF((AG15)=0,"",(AP15/AG15))</f>
        <v>0</v>
      </c>
      <c r="AR15" s="397"/>
    </row>
    <row r="16" spans="1:53" ht="12.75" customHeight="1">
      <c r="A16" s="53"/>
      <c r="B16" s="328" t="s">
        <v>336</v>
      </c>
      <c r="C16" s="389" t="str">
        <f t="shared" si="0"/>
        <v>General Service 1,500 to 4,999 KW.Smart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row>
    <row r="17" spans="1:44" ht="12.75" customHeight="1">
      <c r="A17" s="53"/>
      <c r="B17" s="398" t="str">
        <f>'Proposed Rates'!C115</f>
        <v>Rate Rider Calculation for Forgone Revenue - variable</v>
      </c>
      <c r="C17" s="389" t="str">
        <f t="shared" si="0"/>
        <v>General Service 1,500 to 4,999 KW.Rate Rider Calculation for Forgone Revenue - variable</v>
      </c>
      <c r="D17" s="390" t="s">
        <v>406</v>
      </c>
      <c r="E17" s="328"/>
      <c r="F17" s="391">
        <f>IFERROR(VLOOKUP($C17,'Proposed Rates'!$B:$J,F$11,FALSE),0)</f>
        <v>0</v>
      </c>
      <c r="G17" s="409">
        <f t="shared" si="1"/>
        <v>4000</v>
      </c>
      <c r="H17" s="394">
        <f t="shared" si="2"/>
        <v>0</v>
      </c>
      <c r="I17" s="138"/>
      <c r="J17" s="391">
        <f>IFERROR(VLOOKUP($C17,'Proposed Rates'!$B:$J,J$11,FALSE),0)</f>
        <v>0.48420000000000002</v>
      </c>
      <c r="K17" s="409">
        <f t="shared" si="3"/>
        <v>4000</v>
      </c>
      <c r="L17" s="394">
        <f t="shared" si="4"/>
        <v>1936.8000000000002</v>
      </c>
      <c r="M17" s="138"/>
      <c r="N17" s="395">
        <f t="shared" si="5"/>
        <v>1936.8000000000002</v>
      </c>
      <c r="O17" s="396" t="str">
        <f t="shared" si="6"/>
        <v/>
      </c>
      <c r="P17" s="53"/>
      <c r="Q17" s="391">
        <f>IFERROR(VLOOKUP($C17,'Proposed Rates'!$B:$J,Q$11,FALSE),0)</f>
        <v>0.48420000000000002</v>
      </c>
      <c r="R17" s="409">
        <f t="shared" si="7"/>
        <v>4000</v>
      </c>
      <c r="S17" s="394">
        <f t="shared" si="8"/>
        <v>1936.8000000000002</v>
      </c>
      <c r="T17" s="138"/>
      <c r="U17" s="395">
        <f t="shared" si="9"/>
        <v>0</v>
      </c>
      <c r="V17" s="396">
        <f t="shared" si="10"/>
        <v>0</v>
      </c>
      <c r="W17" s="53"/>
      <c r="X17" s="391">
        <f>IFERROR(VLOOKUP($C17,'Proposed Rates'!$B:$J,X$11,FALSE),0)</f>
        <v>0</v>
      </c>
      <c r="Y17" s="409">
        <f t="shared" si="11"/>
        <v>4000</v>
      </c>
      <c r="Z17" s="394">
        <f t="shared" si="12"/>
        <v>0</v>
      </c>
      <c r="AA17" s="138"/>
      <c r="AB17" s="395">
        <f t="shared" si="13"/>
        <v>-1936.8000000000002</v>
      </c>
      <c r="AC17" s="396">
        <f t="shared" si="14"/>
        <v>-1</v>
      </c>
      <c r="AD17" s="53"/>
      <c r="AE17" s="391">
        <f>IFERROR(VLOOKUP($C17,'Proposed Rates'!$B:$J,AE$11,FALSE),0)</f>
        <v>0</v>
      </c>
      <c r="AF17" s="409">
        <f t="shared" si="15"/>
        <v>4000</v>
      </c>
      <c r="AG17" s="394">
        <f t="shared" si="16"/>
        <v>0</v>
      </c>
      <c r="AH17" s="138"/>
      <c r="AI17" s="395">
        <f t="shared" si="17"/>
        <v>0</v>
      </c>
      <c r="AJ17" s="396" t="str">
        <f t="shared" si="18"/>
        <v/>
      </c>
      <c r="AK17" s="53"/>
      <c r="AL17" s="391">
        <f>IFERROR(VLOOKUP($C17,'Proposed Rates'!$B:$J,AL$11,FALSE),0)</f>
        <v>0</v>
      </c>
      <c r="AM17" s="409">
        <f t="shared" si="19"/>
        <v>4000</v>
      </c>
      <c r="AN17" s="394">
        <f t="shared" si="20"/>
        <v>0</v>
      </c>
      <c r="AO17" s="138"/>
      <c r="AP17" s="395">
        <f t="shared" si="21"/>
        <v>0</v>
      </c>
      <c r="AQ17" s="396" t="str">
        <f t="shared" si="22"/>
        <v/>
      </c>
      <c r="AR17" s="397"/>
    </row>
    <row r="18" spans="1:44" ht="12.75" customHeight="1">
      <c r="A18" s="53"/>
      <c r="B18" s="398" t="str">
        <f>'Proposed Rates'!C128</f>
        <v>Rate Rider Calculation for Forgone Revenue - fixed</v>
      </c>
      <c r="C18" s="389" t="str">
        <f t="shared" si="0"/>
        <v>General Service 1,500 to 4,999 KW.Rate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-12</v>
      </c>
      <c r="K18" s="409">
        <f t="shared" si="3"/>
        <v>1</v>
      </c>
      <c r="L18" s="394">
        <f t="shared" si="4"/>
        <v>-12</v>
      </c>
      <c r="M18" s="138"/>
      <c r="N18" s="395">
        <f t="shared" si="5"/>
        <v>-12</v>
      </c>
      <c r="O18" s="396" t="str">
        <f t="shared" si="6"/>
        <v/>
      </c>
      <c r="P18" s="53"/>
      <c r="Q18" s="391">
        <f>IFERROR(VLOOKUP($C18,'Proposed Rates'!$B:$J,Q$11,FALSE),0)</f>
        <v>-12</v>
      </c>
      <c r="R18" s="409">
        <f t="shared" si="7"/>
        <v>1</v>
      </c>
      <c r="S18" s="394">
        <f t="shared" si="8"/>
        <v>-12</v>
      </c>
      <c r="T18" s="138"/>
      <c r="U18" s="395">
        <f t="shared" si="9"/>
        <v>0</v>
      </c>
      <c r="V18" s="396">
        <f t="shared" si="10"/>
        <v>0</v>
      </c>
      <c r="W18" s="53"/>
      <c r="X18" s="391">
        <f>IFERROR(VLOOKUP($C18,'Proposed Rates'!$B:$J,X$11,FALSE),0)</f>
        <v>0</v>
      </c>
      <c r="Y18" s="409">
        <f t="shared" si="11"/>
        <v>1</v>
      </c>
      <c r="Z18" s="394">
        <f t="shared" si="12"/>
        <v>0</v>
      </c>
      <c r="AA18" s="138"/>
      <c r="AB18" s="395">
        <f t="shared" si="13"/>
        <v>12</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row>
    <row r="19" spans="1:44" ht="12.75" customHeight="1">
      <c r="A19" s="53"/>
      <c r="B19" s="328" t="s">
        <v>62</v>
      </c>
      <c r="C19" s="389" t="str">
        <f t="shared" si="0"/>
        <v>General Service 1,500 to 4,999 KW.Distribution Volumetric Rate</v>
      </c>
      <c r="D19" s="390" t="s">
        <v>406</v>
      </c>
      <c r="E19" s="328"/>
      <c r="F19" s="391">
        <f>IFERROR(VLOOKUP($C19,'Proposed Rates'!$B:$J,F$11,FALSE),0)</f>
        <v>6.0796000000000001</v>
      </c>
      <c r="G19" s="409">
        <f t="shared" si="1"/>
        <v>4000</v>
      </c>
      <c r="H19" s="394">
        <f t="shared" si="2"/>
        <v>24318.400000000001</v>
      </c>
      <c r="I19" s="138"/>
      <c r="J19" s="391">
        <f>IFERROR(VLOOKUP($C19,'Proposed Rates'!$B:$J,J$11,FALSE),0)</f>
        <v>7.2919999999999998</v>
      </c>
      <c r="K19" s="409">
        <f t="shared" si="3"/>
        <v>4000</v>
      </c>
      <c r="L19" s="394">
        <f t="shared" si="4"/>
        <v>29168</v>
      </c>
      <c r="M19" s="138"/>
      <c r="N19" s="395">
        <f t="shared" si="5"/>
        <v>4849.5999999999985</v>
      </c>
      <c r="O19" s="396">
        <f t="shared" si="6"/>
        <v>0.19942101454043021</v>
      </c>
      <c r="P19" s="53"/>
      <c r="Q19" s="391">
        <f>IFERROR(VLOOKUP($C19,'Proposed Rates'!$B:$J,Q$11,FALSE),0)</f>
        <v>7.7595000000000001</v>
      </c>
      <c r="R19" s="409">
        <f t="shared" si="7"/>
        <v>4000</v>
      </c>
      <c r="S19" s="394">
        <f t="shared" si="8"/>
        <v>31038</v>
      </c>
      <c r="T19" s="138"/>
      <c r="U19" s="395">
        <f t="shared" si="9"/>
        <v>1870</v>
      </c>
      <c r="V19" s="396">
        <f t="shared" si="10"/>
        <v>6.4111354909489854E-2</v>
      </c>
      <c r="W19" s="53"/>
      <c r="X19" s="391">
        <f>IFERROR(VLOOKUP($C19,'Proposed Rates'!$B:$J,X$11,FALSE),0)</f>
        <v>8.4582999999999995</v>
      </c>
      <c r="Y19" s="409">
        <f t="shared" si="11"/>
        <v>4000</v>
      </c>
      <c r="Z19" s="394">
        <f t="shared" si="12"/>
        <v>33833.199999999997</v>
      </c>
      <c r="AA19" s="138"/>
      <c r="AB19" s="395">
        <f t="shared" si="13"/>
        <v>2795.1999999999971</v>
      </c>
      <c r="AC19" s="396">
        <f t="shared" si="14"/>
        <v>9.0057349055995786E-2</v>
      </c>
      <c r="AD19" s="53"/>
      <c r="AE19" s="391">
        <f>IFERROR(VLOOKUP($C19,'Proposed Rates'!$B:$J,AE$11,FALSE),0)</f>
        <v>8.8265999999999991</v>
      </c>
      <c r="AF19" s="409">
        <f t="shared" si="15"/>
        <v>4000</v>
      </c>
      <c r="AG19" s="394">
        <f t="shared" si="16"/>
        <v>35306.399999999994</v>
      </c>
      <c r="AH19" s="138"/>
      <c r="AI19" s="395">
        <f t="shared" si="17"/>
        <v>1473.1999999999971</v>
      </c>
      <c r="AJ19" s="396">
        <f t="shared" si="18"/>
        <v>4.3543028740999884E-2</v>
      </c>
      <c r="AK19" s="53"/>
      <c r="AL19" s="391">
        <f>IFERROR(VLOOKUP($C19,'Proposed Rates'!$B:$J,AL$11,FALSE),0)</f>
        <v>9.1635000000000009</v>
      </c>
      <c r="AM19" s="409">
        <f t="shared" si="19"/>
        <v>4000</v>
      </c>
      <c r="AN19" s="394">
        <f t="shared" si="20"/>
        <v>36654</v>
      </c>
      <c r="AO19" s="138"/>
      <c r="AP19" s="395">
        <f t="shared" si="21"/>
        <v>1347.6000000000058</v>
      </c>
      <c r="AQ19" s="396">
        <f t="shared" si="22"/>
        <v>3.8168717286384511E-2</v>
      </c>
      <c r="AR19" s="397"/>
    </row>
    <row r="20" spans="1:44" ht="12.75" customHeight="1">
      <c r="A20" s="53"/>
      <c r="B20" s="328" t="s">
        <v>338</v>
      </c>
      <c r="C20" s="389" t="str">
        <f t="shared" si="0"/>
        <v>General Service 1,500 to 4,999 KW.Smart Meter Disposition Rider</v>
      </c>
      <c r="D20" s="390" t="s">
        <v>337</v>
      </c>
      <c r="E20" s="328"/>
      <c r="F20" s="391">
        <f>IFERROR(VLOOKUP($C20,'Proposed Rates'!$B:$J,F$11,FALSE),0)</f>
        <v>0</v>
      </c>
      <c r="G20" s="409">
        <f t="shared" si="1"/>
        <v>1277500</v>
      </c>
      <c r="H20" s="394">
        <f t="shared" si="2"/>
        <v>0</v>
      </c>
      <c r="I20" s="138"/>
      <c r="J20" s="391">
        <f>IFERROR(VLOOKUP($C20,'Proposed Rates'!$B:$J,J$11,FALSE),0)</f>
        <v>0</v>
      </c>
      <c r="K20" s="409">
        <f t="shared" si="3"/>
        <v>1277500</v>
      </c>
      <c r="L20" s="394">
        <f t="shared" si="4"/>
        <v>0</v>
      </c>
      <c r="M20" s="138"/>
      <c r="N20" s="395">
        <f t="shared" si="5"/>
        <v>0</v>
      </c>
      <c r="O20" s="396" t="str">
        <f t="shared" si="6"/>
        <v/>
      </c>
      <c r="P20" s="53"/>
      <c r="Q20" s="391">
        <f>IFERROR(VLOOKUP($C20,'Proposed Rates'!$B:$J,Q$11,FALSE),0)</f>
        <v>0</v>
      </c>
      <c r="R20" s="409">
        <f t="shared" si="7"/>
        <v>1277500</v>
      </c>
      <c r="S20" s="394">
        <f t="shared" si="8"/>
        <v>0</v>
      </c>
      <c r="T20" s="138"/>
      <c r="U20" s="395">
        <f t="shared" si="9"/>
        <v>0</v>
      </c>
      <c r="V20" s="396" t="str">
        <f t="shared" si="10"/>
        <v/>
      </c>
      <c r="W20" s="53"/>
      <c r="X20" s="391">
        <f>IFERROR(VLOOKUP($C20,'Proposed Rates'!$B:$J,X$11,FALSE),0)</f>
        <v>0</v>
      </c>
      <c r="Y20" s="409">
        <f t="shared" si="11"/>
        <v>1277500</v>
      </c>
      <c r="Z20" s="394">
        <f t="shared" si="12"/>
        <v>0</v>
      </c>
      <c r="AA20" s="138"/>
      <c r="AB20" s="395">
        <f t="shared" si="13"/>
        <v>0</v>
      </c>
      <c r="AC20" s="396" t="str">
        <f t="shared" si="14"/>
        <v/>
      </c>
      <c r="AD20" s="53"/>
      <c r="AE20" s="391">
        <f>IFERROR(VLOOKUP($C20,'Proposed Rates'!$B:$J,AE$11,FALSE),0)</f>
        <v>0</v>
      </c>
      <c r="AF20" s="409">
        <f t="shared" si="15"/>
        <v>1277500</v>
      </c>
      <c r="AG20" s="394">
        <f t="shared" si="16"/>
        <v>0</v>
      </c>
      <c r="AH20" s="138"/>
      <c r="AI20" s="395">
        <f t="shared" si="17"/>
        <v>0</v>
      </c>
      <c r="AJ20" s="396" t="str">
        <f t="shared" si="18"/>
        <v/>
      </c>
      <c r="AK20" s="53"/>
      <c r="AL20" s="391">
        <f>IFERROR(VLOOKUP($C20,'Proposed Rates'!$B:$J,AL$11,FALSE),0)</f>
        <v>0</v>
      </c>
      <c r="AM20" s="409">
        <f t="shared" si="19"/>
        <v>1277500</v>
      </c>
      <c r="AN20" s="394">
        <f t="shared" si="20"/>
        <v>0</v>
      </c>
      <c r="AO20" s="138"/>
      <c r="AP20" s="395">
        <f t="shared" si="21"/>
        <v>0</v>
      </c>
      <c r="AQ20" s="396" t="str">
        <f t="shared" si="22"/>
        <v/>
      </c>
      <c r="AR20" s="397"/>
    </row>
    <row r="21" spans="1:44" ht="12.75" customHeight="1">
      <c r="A21" s="53"/>
      <c r="B21" s="328" t="s">
        <v>269</v>
      </c>
      <c r="C21" s="389" t="str">
        <f t="shared" si="0"/>
        <v>General Service 1,500 to 4,999 KW.LRAM Rate Rider</v>
      </c>
      <c r="D21" s="390" t="s">
        <v>406</v>
      </c>
      <c r="E21" s="328"/>
      <c r="F21" s="408">
        <f>'Proposed Rates'!E80+'Proposed Rates'!E93</f>
        <v>0.2021</v>
      </c>
      <c r="G21" s="409">
        <f t="shared" si="1"/>
        <v>4000</v>
      </c>
      <c r="H21" s="394">
        <f t="shared" si="2"/>
        <v>808.4</v>
      </c>
      <c r="I21" s="138"/>
      <c r="J21" s="408">
        <f>'Proposed Rates'!F80+'Proposed Rates'!F93</f>
        <v>-0.63370000000000004</v>
      </c>
      <c r="K21" s="409">
        <f t="shared" si="3"/>
        <v>4000</v>
      </c>
      <c r="L21" s="394">
        <f t="shared" si="4"/>
        <v>-2534.8000000000002</v>
      </c>
      <c r="M21" s="138"/>
      <c r="N21" s="395">
        <f t="shared" si="5"/>
        <v>-3343.2000000000003</v>
      </c>
      <c r="O21" s="396">
        <f t="shared" si="6"/>
        <v>-4.1355764473033156</v>
      </c>
      <c r="P21" s="53"/>
      <c r="Q21" s="408">
        <f>'Proposed Rates'!G80+'Proposed Rates'!G93</f>
        <v>0</v>
      </c>
      <c r="R21" s="409">
        <f t="shared" si="7"/>
        <v>4000</v>
      </c>
      <c r="S21" s="394">
        <f t="shared" si="8"/>
        <v>0</v>
      </c>
      <c r="T21" s="138"/>
      <c r="U21" s="395">
        <f t="shared" si="9"/>
        <v>2534.8000000000002</v>
      </c>
      <c r="V21" s="396">
        <f t="shared" si="10"/>
        <v>-1</v>
      </c>
      <c r="W21" s="53"/>
      <c r="X21" s="391">
        <f>IFERROR(VLOOKUP($C21,'Proposed Rates'!$B:$J,X$11,FALSE),0)</f>
        <v>0</v>
      </c>
      <c r="Y21" s="409">
        <f t="shared" si="11"/>
        <v>4000</v>
      </c>
      <c r="Z21" s="394">
        <f t="shared" si="12"/>
        <v>0</v>
      </c>
      <c r="AA21" s="138"/>
      <c r="AB21" s="395">
        <f t="shared" si="13"/>
        <v>0</v>
      </c>
      <c r="AC21" s="396" t="str">
        <f t="shared" si="14"/>
        <v/>
      </c>
      <c r="AD21" s="53"/>
      <c r="AE21" s="391">
        <f>IFERROR(VLOOKUP($C21,'Proposed Rates'!$B:$J,AE$11,FALSE),0)</f>
        <v>0</v>
      </c>
      <c r="AF21" s="409">
        <f t="shared" si="15"/>
        <v>4000</v>
      </c>
      <c r="AG21" s="394">
        <f t="shared" si="16"/>
        <v>0</v>
      </c>
      <c r="AH21" s="138"/>
      <c r="AI21" s="395">
        <f t="shared" si="17"/>
        <v>0</v>
      </c>
      <c r="AJ21" s="396" t="str">
        <f t="shared" si="18"/>
        <v/>
      </c>
      <c r="AK21" s="53"/>
      <c r="AL21" s="391">
        <f>IFERROR(VLOOKUP($C21,'Proposed Rates'!$B:$J,AL$11,FALSE),0)</f>
        <v>0</v>
      </c>
      <c r="AM21" s="409">
        <f t="shared" si="19"/>
        <v>4000</v>
      </c>
      <c r="AN21" s="394">
        <f t="shared" si="20"/>
        <v>0</v>
      </c>
      <c r="AO21" s="138"/>
      <c r="AP21" s="395">
        <f t="shared" si="21"/>
        <v>0</v>
      </c>
      <c r="AQ21" s="396" t="str">
        <f t="shared" si="22"/>
        <v/>
      </c>
      <c r="AR21" s="397"/>
    </row>
    <row r="22" spans="1:44" ht="12.75" customHeight="1">
      <c r="A22" s="53"/>
      <c r="B22" s="478" t="s">
        <v>265</v>
      </c>
      <c r="C22" s="389" t="str">
        <f t="shared" si="0"/>
        <v>General Service 1,500 to 4,999 KW.Deferral/Variance Account Disposition Rate Rider Group 2</v>
      </c>
      <c r="D22" s="390" t="s">
        <v>406</v>
      </c>
      <c r="E22" s="328"/>
      <c r="F22" s="391">
        <f>IFERROR(VLOOKUP($C22,'Proposed Rates'!$B:$J,F$11,FALSE),0)</f>
        <v>0</v>
      </c>
      <c r="G22" s="409">
        <f t="shared" si="1"/>
        <v>4000</v>
      </c>
      <c r="H22" s="394">
        <f t="shared" si="2"/>
        <v>0</v>
      </c>
      <c r="I22" s="138"/>
      <c r="J22" s="391">
        <f>IFERROR(VLOOKUP($C22,'Proposed Rates'!$B:$J,J$11,FALSE),0)</f>
        <v>-0.28470000000000001</v>
      </c>
      <c r="K22" s="409">
        <f t="shared" si="3"/>
        <v>4000</v>
      </c>
      <c r="L22" s="394">
        <f t="shared" si="4"/>
        <v>-1138.8</v>
      </c>
      <c r="M22" s="138"/>
      <c r="N22" s="395">
        <f t="shared" si="5"/>
        <v>-1138.8</v>
      </c>
      <c r="O22" s="396" t="str">
        <f t="shared" si="6"/>
        <v/>
      </c>
      <c r="P22" s="53"/>
      <c r="Q22" s="391">
        <f>IFERROR(VLOOKUP($C22,'Proposed Rates'!$B:$J,Q$11,FALSE),0)</f>
        <v>0</v>
      </c>
      <c r="R22" s="409">
        <f t="shared" si="7"/>
        <v>4000</v>
      </c>
      <c r="S22" s="394">
        <f t="shared" si="8"/>
        <v>0</v>
      </c>
      <c r="T22" s="138"/>
      <c r="U22" s="395">
        <f t="shared" si="9"/>
        <v>1138.8</v>
      </c>
      <c r="V22" s="396">
        <f t="shared" si="10"/>
        <v>-1</v>
      </c>
      <c r="W22" s="53"/>
      <c r="X22" s="391">
        <f>IFERROR(VLOOKUP($C22,'Proposed Rates'!$B:$J,X$11,FALSE),0)</f>
        <v>0</v>
      </c>
      <c r="Y22" s="409">
        <f t="shared" si="11"/>
        <v>4000</v>
      </c>
      <c r="Z22" s="394">
        <f t="shared" si="12"/>
        <v>0</v>
      </c>
      <c r="AA22" s="138"/>
      <c r="AB22" s="395">
        <f t="shared" si="13"/>
        <v>0</v>
      </c>
      <c r="AC22" s="396" t="str">
        <f t="shared" si="14"/>
        <v/>
      </c>
      <c r="AD22" s="53"/>
      <c r="AE22" s="391">
        <f>IFERROR(VLOOKUP($C22,'Proposed Rates'!$B:$J,AE$11,FALSE),0)</f>
        <v>0</v>
      </c>
      <c r="AF22" s="409">
        <f t="shared" si="15"/>
        <v>4000</v>
      </c>
      <c r="AG22" s="394">
        <f t="shared" si="16"/>
        <v>0</v>
      </c>
      <c r="AH22" s="138"/>
      <c r="AI22" s="395">
        <f t="shared" si="17"/>
        <v>0</v>
      </c>
      <c r="AJ22" s="396" t="str">
        <f t="shared" si="18"/>
        <v/>
      </c>
      <c r="AK22" s="53"/>
      <c r="AL22" s="391">
        <f>IFERROR(VLOOKUP($C22,'Proposed Rates'!$B:$J,AL$11,FALSE),0)</f>
        <v>0</v>
      </c>
      <c r="AM22" s="409">
        <f t="shared" si="19"/>
        <v>4000</v>
      </c>
      <c r="AN22" s="394">
        <f t="shared" si="20"/>
        <v>0</v>
      </c>
      <c r="AO22" s="138"/>
      <c r="AP22" s="395">
        <f t="shared" si="21"/>
        <v>0</v>
      </c>
      <c r="AQ22" s="396" t="str">
        <f t="shared" si="22"/>
        <v/>
      </c>
      <c r="AR22" s="397"/>
    </row>
    <row r="23" spans="1:44" ht="12.75" customHeight="1">
      <c r="A23" s="53"/>
      <c r="B23" s="398"/>
      <c r="C23" s="389" t="str">
        <f t="shared" si="0"/>
        <v>General Service 1,500 to 4,999 KW.</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row>
    <row r="24" spans="1:44" ht="12.75" customHeight="1">
      <c r="A24" s="53"/>
      <c r="B24" s="398"/>
      <c r="C24" s="389" t="str">
        <f t="shared" si="0"/>
        <v>General Service 1,500 to 4,999 KW.</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row>
    <row r="25" spans="1:44" ht="12.75" customHeight="1">
      <c r="A25" s="53"/>
      <c r="B25" s="398"/>
      <c r="C25" s="389" t="str">
        <f t="shared" si="0"/>
        <v>General Service 1,500 to 4,999 KW.</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row>
    <row r="26" spans="1:44" ht="12.75" customHeight="1">
      <c r="A26" s="53"/>
      <c r="B26" s="478"/>
      <c r="C26" s="389" t="str">
        <f t="shared" si="0"/>
        <v>General Service 1,500 to 4,999 KW.</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row>
    <row r="27" spans="1:44" ht="12.75" customHeight="1">
      <c r="A27" s="53"/>
      <c r="B27" s="398"/>
      <c r="C27" s="389" t="str">
        <f t="shared" si="0"/>
        <v>General Service 1,500 to 4,999 KW.</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row>
    <row r="28" spans="1:44" ht="12.75" customHeight="1">
      <c r="A28" s="53"/>
      <c r="B28" s="398"/>
      <c r="C28" s="389" t="str">
        <f t="shared" si="0"/>
        <v>General Service 1,500 to 4,999 KW.</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row>
    <row r="29" spans="1:44" ht="12.75" customHeight="1">
      <c r="A29" s="314"/>
      <c r="B29" s="399" t="s">
        <v>339</v>
      </c>
      <c r="C29" s="551"/>
      <c r="D29" s="400"/>
      <c r="E29" s="400"/>
      <c r="F29" s="401"/>
      <c r="G29" s="494"/>
      <c r="H29" s="403">
        <f>SUM(H15:H28)</f>
        <v>29253.550000000003</v>
      </c>
      <c r="I29" s="404"/>
      <c r="J29" s="401"/>
      <c r="K29" s="494"/>
      <c r="L29" s="403">
        <f>SUM(L15:L28)</f>
        <v>31545.950000000004</v>
      </c>
      <c r="M29" s="404"/>
      <c r="N29" s="405">
        <f t="shared" si="5"/>
        <v>2292.4000000000015</v>
      </c>
      <c r="O29" s="406">
        <f t="shared" si="6"/>
        <v>7.8363138832722903E-2</v>
      </c>
      <c r="P29" s="314"/>
      <c r="Q29" s="401"/>
      <c r="R29" s="494"/>
      <c r="S29" s="403">
        <f>SUM(S15:S28)</f>
        <v>37089.550000000003</v>
      </c>
      <c r="T29" s="404"/>
      <c r="U29" s="405">
        <f t="shared" si="9"/>
        <v>5543.5999999999985</v>
      </c>
      <c r="V29" s="406">
        <f t="shared" si="10"/>
        <v>0.17573095753971579</v>
      </c>
      <c r="W29" s="314"/>
      <c r="X29" s="401"/>
      <c r="Y29" s="494"/>
      <c r="Z29" s="403">
        <f>SUM(Z15:Z28)</f>
        <v>37959.949999999997</v>
      </c>
      <c r="AA29" s="404"/>
      <c r="AB29" s="405">
        <f t="shared" si="13"/>
        <v>870.39999999999418</v>
      </c>
      <c r="AC29" s="406">
        <f t="shared" si="14"/>
        <v>2.3467526567456175E-2</v>
      </c>
      <c r="AD29" s="314"/>
      <c r="AE29" s="401"/>
      <c r="AF29" s="494"/>
      <c r="AG29" s="403">
        <f>SUM(AG15:AG28)</f>
        <v>39433.149999999994</v>
      </c>
      <c r="AH29" s="404"/>
      <c r="AI29" s="405">
        <f t="shared" si="17"/>
        <v>1473.1999999999971</v>
      </c>
      <c r="AJ29" s="406">
        <f t="shared" si="18"/>
        <v>3.8809324037571105E-2</v>
      </c>
      <c r="AK29" s="314"/>
      <c r="AL29" s="401"/>
      <c r="AM29" s="494"/>
      <c r="AN29" s="403">
        <f>SUM(AN15:AN28)</f>
        <v>40780.75</v>
      </c>
      <c r="AO29" s="404"/>
      <c r="AP29" s="405">
        <f t="shared" si="21"/>
        <v>1347.6000000000058</v>
      </c>
      <c r="AQ29" s="406">
        <f t="shared" si="22"/>
        <v>3.4174292441765522E-2</v>
      </c>
      <c r="AR29" s="407"/>
    </row>
    <row r="30" spans="1:44" ht="12.75" customHeight="1">
      <c r="A30" s="53"/>
      <c r="B30" s="398" t="s">
        <v>262</v>
      </c>
      <c r="C30" s="389" t="str">
        <f t="shared" ref="C30:C38" si="23">D$6&amp;"."&amp;B30</f>
        <v>General Service 1,500 to 4,999 KW.DVA Disposition Rate Rider Group 1 -2025</v>
      </c>
      <c r="D30" s="390" t="s">
        <v>406</v>
      </c>
      <c r="E30" s="328"/>
      <c r="F30" s="408">
        <f>IFERROR(VLOOKUP($C30,'Proposed Rates'!$B:$J,F$11,FALSE),0)</f>
        <v>5.3600000000000002E-2</v>
      </c>
      <c r="G30" s="409">
        <f t="shared" ref="G30:G36" si="24">IF($D30="Monthly",1,IF($D30="per KW",$F$10,IF($D30="per kWh",$F$9,0)))</f>
        <v>4000</v>
      </c>
      <c r="H30" s="394">
        <f t="shared" ref="H30:H38" si="25">G30*F30</f>
        <v>214.4</v>
      </c>
      <c r="I30" s="138"/>
      <c r="J30" s="408">
        <f>IFERROR(VLOOKUP($C30,'Proposed Rates'!$B:$J,J$11,FALSE),0)</f>
        <v>-0.373</v>
      </c>
      <c r="K30" s="409">
        <f t="shared" ref="K30:K36" si="26">IF($D30="Monthly",1,IF($D30="per KW",$F$10,IF($D30="per kWh",$F$9,0)))</f>
        <v>4000</v>
      </c>
      <c r="L30" s="394">
        <f t="shared" ref="L30:L38" si="27">K30*J30</f>
        <v>-1492</v>
      </c>
      <c r="M30" s="138"/>
      <c r="N30" s="395">
        <f t="shared" si="5"/>
        <v>-1706.4</v>
      </c>
      <c r="O30" s="396">
        <f t="shared" si="6"/>
        <v>-7.9589552238805972</v>
      </c>
      <c r="P30" s="53"/>
      <c r="Q30" s="408">
        <f>IFERROR(VLOOKUP($C30,'Proposed Rates'!$B:$J,Q$11,FALSE),0)</f>
        <v>0</v>
      </c>
      <c r="R30" s="409">
        <f t="shared" ref="R30:R36" si="28">IF($D30="Monthly",1,IF($D30="per KW",$F$10,IF($D30="per kWh",$F$9,0)))</f>
        <v>4000</v>
      </c>
      <c r="S30" s="394">
        <f t="shared" ref="S30:S38" si="29">R30*Q30</f>
        <v>0</v>
      </c>
      <c r="T30" s="138"/>
      <c r="U30" s="395">
        <f t="shared" si="9"/>
        <v>1492</v>
      </c>
      <c r="V30" s="396">
        <f t="shared" si="10"/>
        <v>-1</v>
      </c>
      <c r="W30" s="53"/>
      <c r="X30" s="408">
        <f>IFERROR(VLOOKUP($C30,'Proposed Rates'!$B:$J,X$11,FALSE),0)</f>
        <v>0</v>
      </c>
      <c r="Y30" s="409">
        <f t="shared" ref="Y30:Y36" si="30">IF($D30="Monthly",1,IF($D30="per KW",$F$10,IF($D30="per kWh",$F$9,0)))</f>
        <v>4000</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4000</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4000</v>
      </c>
      <c r="AN30" s="394">
        <f t="shared" ref="AN30:AN38" si="35">AM30*AL30</f>
        <v>0</v>
      </c>
      <c r="AO30" s="138"/>
      <c r="AP30" s="395">
        <f t="shared" si="21"/>
        <v>0</v>
      </c>
      <c r="AQ30" s="396" t="str">
        <f t="shared" si="22"/>
        <v/>
      </c>
      <c r="AR30" s="397"/>
    </row>
    <row r="31" spans="1:44" ht="12.75" customHeight="1">
      <c r="A31" s="53"/>
      <c r="B31" s="478" t="s">
        <v>264</v>
      </c>
      <c r="C31" s="389" t="str">
        <f t="shared" si="23"/>
        <v>General Service 1,500 to 4,999 KW.DVA Disposition Rate Rider Group 1 - 2024</v>
      </c>
      <c r="D31" s="390" t="s">
        <v>406</v>
      </c>
      <c r="E31" s="328"/>
      <c r="F31" s="408">
        <f>IFERROR(VLOOKUP($C31,'Proposed Rates'!$B:$J,F$11,FALSE),0)</f>
        <v>0</v>
      </c>
      <c r="G31" s="409">
        <f t="shared" si="24"/>
        <v>4000</v>
      </c>
      <c r="H31" s="394">
        <f t="shared" si="25"/>
        <v>0</v>
      </c>
      <c r="I31" s="138"/>
      <c r="J31" s="408">
        <f>IFERROR(VLOOKUP($C31,'Proposed Rates'!$B:$J,J$11,FALSE),0)</f>
        <v>0</v>
      </c>
      <c r="K31" s="409">
        <f t="shared" si="26"/>
        <v>4000</v>
      </c>
      <c r="L31" s="394">
        <f t="shared" si="27"/>
        <v>0</v>
      </c>
      <c r="M31" s="138"/>
      <c r="N31" s="395">
        <f t="shared" si="5"/>
        <v>0</v>
      </c>
      <c r="O31" s="396" t="str">
        <f t="shared" si="6"/>
        <v/>
      </c>
      <c r="P31" s="53"/>
      <c r="Q31" s="408">
        <f>IFERROR(VLOOKUP($C31,'Proposed Rates'!$B:$J,Q$11,FALSE),0)</f>
        <v>0</v>
      </c>
      <c r="R31" s="409">
        <f t="shared" si="28"/>
        <v>4000</v>
      </c>
      <c r="S31" s="394">
        <f t="shared" si="29"/>
        <v>0</v>
      </c>
      <c r="T31" s="138"/>
      <c r="U31" s="395">
        <f t="shared" si="9"/>
        <v>0</v>
      </c>
      <c r="V31" s="396" t="str">
        <f t="shared" si="10"/>
        <v/>
      </c>
      <c r="W31" s="53"/>
      <c r="X31" s="408">
        <f>IFERROR(VLOOKUP($C31,'Proposed Rates'!$B:$J,X$11,FALSE),0)</f>
        <v>0</v>
      </c>
      <c r="Y31" s="409">
        <f t="shared" si="30"/>
        <v>4000</v>
      </c>
      <c r="Z31" s="394">
        <f t="shared" si="31"/>
        <v>0</v>
      </c>
      <c r="AA31" s="138"/>
      <c r="AB31" s="395">
        <f t="shared" si="13"/>
        <v>0</v>
      </c>
      <c r="AC31" s="396" t="str">
        <f t="shared" si="14"/>
        <v/>
      </c>
      <c r="AD31" s="53"/>
      <c r="AE31" s="408">
        <f>IFERROR(VLOOKUP($C31,'Proposed Rates'!$B:$J,AE$11,FALSE),0)</f>
        <v>0</v>
      </c>
      <c r="AF31" s="409">
        <f t="shared" si="32"/>
        <v>4000</v>
      </c>
      <c r="AG31" s="394">
        <f t="shared" si="33"/>
        <v>0</v>
      </c>
      <c r="AH31" s="138"/>
      <c r="AI31" s="395">
        <f t="shared" si="17"/>
        <v>0</v>
      </c>
      <c r="AJ31" s="396" t="str">
        <f t="shared" si="18"/>
        <v/>
      </c>
      <c r="AK31" s="53"/>
      <c r="AL31" s="408">
        <f>IFERROR(VLOOKUP($C31,'Proposed Rates'!$B:$J,AL$11,FALSE),0)</f>
        <v>0</v>
      </c>
      <c r="AM31" s="409">
        <f t="shared" si="34"/>
        <v>4000</v>
      </c>
      <c r="AN31" s="394">
        <f t="shared" si="35"/>
        <v>0</v>
      </c>
      <c r="AO31" s="138"/>
      <c r="AP31" s="395">
        <f t="shared" si="21"/>
        <v>0</v>
      </c>
      <c r="AQ31" s="396" t="str">
        <f t="shared" si="22"/>
        <v/>
      </c>
      <c r="AR31" s="397"/>
    </row>
    <row r="32" spans="1:44" ht="12.75" customHeight="1">
      <c r="A32" s="53"/>
      <c r="B32" s="478" t="s">
        <v>272</v>
      </c>
      <c r="C32" s="389" t="str">
        <f t="shared" si="23"/>
        <v>General Service 1,500 to 4,999 KW.CBR Class B Rate Riders</v>
      </c>
      <c r="D32" s="390" t="s">
        <v>337</v>
      </c>
      <c r="E32" s="328"/>
      <c r="F32" s="408">
        <f>IFERROR(VLOOKUP($C32,'Proposed Rates'!$B:$J,F$11,FALSE),0)</f>
        <v>2.0000000000000001E-4</v>
      </c>
      <c r="G32" s="409">
        <f t="shared" si="24"/>
        <v>1277500</v>
      </c>
      <c r="H32" s="394">
        <f t="shared" si="25"/>
        <v>255.5</v>
      </c>
      <c r="I32" s="479"/>
      <c r="J32" s="408">
        <f>IFERROR(VLOOKUP($C32,'Proposed Rates'!$B:$J,J$11,FALSE),0)</f>
        <v>6.9999999999999999E-4</v>
      </c>
      <c r="K32" s="409">
        <f t="shared" si="26"/>
        <v>1277500</v>
      </c>
      <c r="L32" s="394">
        <f t="shared" si="27"/>
        <v>894.25</v>
      </c>
      <c r="M32" s="411"/>
      <c r="N32" s="395">
        <f t="shared" si="5"/>
        <v>638.75</v>
      </c>
      <c r="O32" s="396">
        <f t="shared" si="6"/>
        <v>2.5</v>
      </c>
      <c r="P32" s="53"/>
      <c r="Q32" s="408">
        <f>IFERROR(VLOOKUP($C32,'Proposed Rates'!$B:$J,Q$11,FALSE),0)</f>
        <v>0</v>
      </c>
      <c r="R32" s="409">
        <f t="shared" si="28"/>
        <v>1277500</v>
      </c>
      <c r="S32" s="394">
        <f t="shared" si="29"/>
        <v>0</v>
      </c>
      <c r="T32" s="411"/>
      <c r="U32" s="395">
        <f t="shared" si="9"/>
        <v>-894.25</v>
      </c>
      <c r="V32" s="396">
        <f t="shared" si="10"/>
        <v>-1</v>
      </c>
      <c r="W32" s="53"/>
      <c r="X32" s="408">
        <f>IFERROR(VLOOKUP($C32,'Proposed Rates'!$B:$J,X$11,FALSE),0)</f>
        <v>0</v>
      </c>
      <c r="Y32" s="409">
        <f t="shared" si="30"/>
        <v>1277500</v>
      </c>
      <c r="Z32" s="394">
        <f t="shared" si="31"/>
        <v>0</v>
      </c>
      <c r="AA32" s="138"/>
      <c r="AB32" s="395">
        <f t="shared" si="13"/>
        <v>0</v>
      </c>
      <c r="AC32" s="396" t="str">
        <f t="shared" si="14"/>
        <v/>
      </c>
      <c r="AD32" s="53"/>
      <c r="AE32" s="408">
        <f>IFERROR(VLOOKUP($C32,'Proposed Rates'!$B:$J,AE$11,FALSE),0)</f>
        <v>0</v>
      </c>
      <c r="AF32" s="409">
        <f t="shared" si="32"/>
        <v>1277500</v>
      </c>
      <c r="AG32" s="394">
        <f t="shared" si="33"/>
        <v>0</v>
      </c>
      <c r="AH32" s="138"/>
      <c r="AI32" s="395">
        <f t="shared" si="17"/>
        <v>0</v>
      </c>
      <c r="AJ32" s="396" t="str">
        <f t="shared" si="18"/>
        <v/>
      </c>
      <c r="AK32" s="53"/>
      <c r="AL32" s="408">
        <f>IFERROR(VLOOKUP($C32,'Proposed Rates'!$B:$J,AL$11,FALSE),0)</f>
        <v>0</v>
      </c>
      <c r="AM32" s="409">
        <f t="shared" si="34"/>
        <v>1277500</v>
      </c>
      <c r="AN32" s="394">
        <f t="shared" si="35"/>
        <v>0</v>
      </c>
      <c r="AO32" s="411"/>
      <c r="AP32" s="395">
        <f t="shared" si="21"/>
        <v>0</v>
      </c>
      <c r="AQ32" s="396" t="str">
        <f t="shared" si="22"/>
        <v/>
      </c>
      <c r="AR32" s="397"/>
    </row>
    <row r="33" spans="1:44" ht="12.75" customHeight="1">
      <c r="A33" s="53"/>
      <c r="B33" s="478" t="s">
        <v>279</v>
      </c>
      <c r="C33" s="389" t="str">
        <f t="shared" si="23"/>
        <v>General Service 1,500 to 4,999 KW.GA Rate Riders</v>
      </c>
      <c r="D33" s="390" t="s">
        <v>337</v>
      </c>
      <c r="E33" s="328"/>
      <c r="F33" s="408">
        <f>IFERROR(VLOOKUP($C33,'Proposed Rates'!$B:$J,F$11,FALSE),0)</f>
        <v>3.8999999999999998E-3</v>
      </c>
      <c r="G33" s="409">
        <f t="shared" si="24"/>
        <v>1277500</v>
      </c>
      <c r="H33" s="394">
        <f t="shared" si="25"/>
        <v>4982.25</v>
      </c>
      <c r="I33" s="479"/>
      <c r="J33" s="408">
        <f>IFERROR(VLOOKUP($C33,'Proposed Rates'!$B:$J,J$11,FALSE),0)</f>
        <v>4.4999999999999997E-3</v>
      </c>
      <c r="K33" s="409">
        <f t="shared" si="26"/>
        <v>1277500</v>
      </c>
      <c r="L33" s="394">
        <f t="shared" si="27"/>
        <v>5748.75</v>
      </c>
      <c r="M33" s="411"/>
      <c r="N33" s="395">
        <f t="shared" si="5"/>
        <v>766.5</v>
      </c>
      <c r="O33" s="396">
        <f t="shared" si="6"/>
        <v>0.15384615384615385</v>
      </c>
      <c r="P33" s="53"/>
      <c r="Q33" s="408">
        <f>IFERROR(VLOOKUP($C33,'Proposed Rates'!$B:$J,Q$11,FALSE),0)</f>
        <v>4.4999999999999997E-3</v>
      </c>
      <c r="R33" s="409">
        <f t="shared" si="28"/>
        <v>1277500</v>
      </c>
      <c r="S33" s="394">
        <f t="shared" si="29"/>
        <v>5748.75</v>
      </c>
      <c r="T33" s="411"/>
      <c r="U33" s="395">
        <f t="shared" si="9"/>
        <v>0</v>
      </c>
      <c r="V33" s="396">
        <f t="shared" si="10"/>
        <v>0</v>
      </c>
      <c r="W33" s="53"/>
      <c r="X33" s="408">
        <f>IFERROR(VLOOKUP($C33,'Proposed Rates'!$B:$J,X$11,FALSE),0)</f>
        <v>0</v>
      </c>
      <c r="Y33" s="409">
        <f t="shared" si="30"/>
        <v>1277500</v>
      </c>
      <c r="Z33" s="394">
        <f t="shared" si="31"/>
        <v>0</v>
      </c>
      <c r="AA33" s="411"/>
      <c r="AB33" s="395">
        <f t="shared" si="13"/>
        <v>-5748.75</v>
      </c>
      <c r="AC33" s="396">
        <f t="shared" si="14"/>
        <v>-1</v>
      </c>
      <c r="AD33" s="53"/>
      <c r="AE33" s="408">
        <f>IFERROR(VLOOKUP($C33,'Proposed Rates'!$B:$J,AE$11,FALSE),0)</f>
        <v>0</v>
      </c>
      <c r="AF33" s="409">
        <f t="shared" si="32"/>
        <v>1277500</v>
      </c>
      <c r="AG33" s="394">
        <f t="shared" si="33"/>
        <v>0</v>
      </c>
      <c r="AH33" s="411"/>
      <c r="AI33" s="395">
        <f t="shared" si="17"/>
        <v>0</v>
      </c>
      <c r="AJ33" s="396" t="str">
        <f t="shared" si="18"/>
        <v/>
      </c>
      <c r="AK33" s="53"/>
      <c r="AL33" s="408">
        <f>IFERROR(VLOOKUP($C33,'Proposed Rates'!$B:$J,AL$11,FALSE),0)</f>
        <v>0</v>
      </c>
      <c r="AM33" s="409">
        <f t="shared" si="34"/>
        <v>1277500</v>
      </c>
      <c r="AN33" s="394">
        <f t="shared" si="35"/>
        <v>0</v>
      </c>
      <c r="AO33" s="411"/>
      <c r="AP33" s="395">
        <f t="shared" si="21"/>
        <v>0</v>
      </c>
      <c r="AQ33" s="396" t="str">
        <f t="shared" si="22"/>
        <v/>
      </c>
      <c r="AR33" s="397"/>
    </row>
    <row r="34" spans="1:44" ht="12.75" customHeight="1">
      <c r="A34" s="53"/>
      <c r="B34" s="478" t="s">
        <v>282</v>
      </c>
      <c r="C34" s="389" t="str">
        <f t="shared" si="23"/>
        <v>General Service 1,500 to 4,999 KW.Total Deferral/Variance Account Rate RidersYr2</v>
      </c>
      <c r="D34" s="390" t="s">
        <v>406</v>
      </c>
      <c r="E34" s="328"/>
      <c r="F34" s="408">
        <f>IFERROR(VLOOKUP($C34,'Proposed Rates'!$B:$J,F$11,FALSE),0)</f>
        <v>0</v>
      </c>
      <c r="G34" s="409">
        <f t="shared" si="24"/>
        <v>4000</v>
      </c>
      <c r="H34" s="394">
        <f t="shared" si="25"/>
        <v>0</v>
      </c>
      <c r="I34" s="479"/>
      <c r="J34" s="408">
        <f>IFERROR(VLOOKUP($C34,'Proposed Rates'!$B:$J,J$11,FALSE),0)</f>
        <v>0</v>
      </c>
      <c r="K34" s="409">
        <f t="shared" si="26"/>
        <v>4000</v>
      </c>
      <c r="L34" s="394">
        <f t="shared" si="27"/>
        <v>0</v>
      </c>
      <c r="M34" s="411"/>
      <c r="N34" s="395">
        <f t="shared" si="5"/>
        <v>0</v>
      </c>
      <c r="O34" s="396" t="str">
        <f t="shared" si="6"/>
        <v/>
      </c>
      <c r="P34" s="53"/>
      <c r="Q34" s="408">
        <f>IFERROR(VLOOKUP($C34,'Proposed Rates'!$B:$J,Q$11,FALSE),0)</f>
        <v>0</v>
      </c>
      <c r="R34" s="409">
        <f t="shared" si="28"/>
        <v>4000</v>
      </c>
      <c r="S34" s="394">
        <f t="shared" si="29"/>
        <v>0</v>
      </c>
      <c r="T34" s="411"/>
      <c r="U34" s="395">
        <f t="shared" si="9"/>
        <v>0</v>
      </c>
      <c r="V34" s="396" t="str">
        <f t="shared" si="10"/>
        <v/>
      </c>
      <c r="W34" s="53"/>
      <c r="X34" s="408">
        <f>IFERROR(VLOOKUP($C34,'Proposed Rates'!$B:$J,X$11,FALSE),0)</f>
        <v>0</v>
      </c>
      <c r="Y34" s="409">
        <f t="shared" si="30"/>
        <v>4000</v>
      </c>
      <c r="Z34" s="394">
        <f t="shared" si="31"/>
        <v>0</v>
      </c>
      <c r="AA34" s="411"/>
      <c r="AB34" s="395">
        <f t="shared" si="13"/>
        <v>0</v>
      </c>
      <c r="AC34" s="396" t="str">
        <f t="shared" si="14"/>
        <v/>
      </c>
      <c r="AD34" s="53"/>
      <c r="AE34" s="408">
        <f>IFERROR(VLOOKUP($C34,'Proposed Rates'!$B:$J,AE$11,FALSE),0)</f>
        <v>0</v>
      </c>
      <c r="AF34" s="409">
        <f t="shared" si="32"/>
        <v>4000</v>
      </c>
      <c r="AG34" s="394">
        <f t="shared" si="33"/>
        <v>0</v>
      </c>
      <c r="AH34" s="411"/>
      <c r="AI34" s="395">
        <f t="shared" si="17"/>
        <v>0</v>
      </c>
      <c r="AJ34" s="396" t="str">
        <f t="shared" si="18"/>
        <v/>
      </c>
      <c r="AK34" s="53"/>
      <c r="AL34" s="408">
        <f>IFERROR(VLOOKUP($C34,'Proposed Rates'!$B:$J,AL$11,FALSE),0)</f>
        <v>0</v>
      </c>
      <c r="AM34" s="409">
        <f t="shared" si="34"/>
        <v>4000</v>
      </c>
      <c r="AN34" s="394">
        <f t="shared" si="35"/>
        <v>0</v>
      </c>
      <c r="AO34" s="411"/>
      <c r="AP34" s="395">
        <f t="shared" si="21"/>
        <v>0</v>
      </c>
      <c r="AQ34" s="396" t="str">
        <f t="shared" si="22"/>
        <v/>
      </c>
      <c r="AR34" s="397"/>
    </row>
    <row r="35" spans="1:44" ht="12.75" customHeight="1">
      <c r="A35" s="53"/>
      <c r="B35" s="478" t="s">
        <v>284</v>
      </c>
      <c r="C35" s="389" t="str">
        <f t="shared" si="23"/>
        <v>General Service 1,500 to 4,999 KW.Total Deferral/Variance Account Rate Riders</v>
      </c>
      <c r="D35" s="390" t="s">
        <v>406</v>
      </c>
      <c r="E35" s="328"/>
      <c r="F35" s="408">
        <f>IFERROR(VLOOKUP($C35,'Proposed Rates'!$B:$J,F$11,FALSE),0)</f>
        <v>0</v>
      </c>
      <c r="G35" s="409">
        <f t="shared" si="24"/>
        <v>4000</v>
      </c>
      <c r="H35" s="394">
        <f t="shared" si="25"/>
        <v>0</v>
      </c>
      <c r="I35" s="138"/>
      <c r="J35" s="408">
        <f>IFERROR(VLOOKUP($C35,'Proposed Rates'!$B:$J,J$11,FALSE),0)</f>
        <v>0</v>
      </c>
      <c r="K35" s="409">
        <f t="shared" si="26"/>
        <v>4000</v>
      </c>
      <c r="L35" s="394">
        <f t="shared" si="27"/>
        <v>0</v>
      </c>
      <c r="M35" s="138"/>
      <c r="N35" s="395">
        <f t="shared" si="5"/>
        <v>0</v>
      </c>
      <c r="O35" s="396" t="str">
        <f t="shared" si="6"/>
        <v/>
      </c>
      <c r="P35" s="53"/>
      <c r="Q35" s="408">
        <f>IFERROR(VLOOKUP($C35,'Proposed Rates'!$B:$J,Q$11,FALSE),0)</f>
        <v>0</v>
      </c>
      <c r="R35" s="409">
        <f t="shared" si="28"/>
        <v>4000</v>
      </c>
      <c r="S35" s="394">
        <f t="shared" si="29"/>
        <v>0</v>
      </c>
      <c r="T35" s="138"/>
      <c r="U35" s="395">
        <f t="shared" si="9"/>
        <v>0</v>
      </c>
      <c r="V35" s="396" t="str">
        <f t="shared" si="10"/>
        <v/>
      </c>
      <c r="W35" s="53"/>
      <c r="X35" s="408">
        <f>IFERROR(VLOOKUP($C35,'Proposed Rates'!$B:$J,X$11,FALSE),0)</f>
        <v>0</v>
      </c>
      <c r="Y35" s="409">
        <f t="shared" si="30"/>
        <v>4000</v>
      </c>
      <c r="Z35" s="394">
        <f t="shared" si="31"/>
        <v>0</v>
      </c>
      <c r="AA35" s="138"/>
      <c r="AB35" s="395">
        <f t="shared" si="13"/>
        <v>0</v>
      </c>
      <c r="AC35" s="396" t="str">
        <f t="shared" si="14"/>
        <v/>
      </c>
      <c r="AD35" s="53"/>
      <c r="AE35" s="408">
        <f>IFERROR(VLOOKUP($C35,'Proposed Rates'!$B:$J,AE$11,FALSE),0)</f>
        <v>0</v>
      </c>
      <c r="AF35" s="409">
        <f t="shared" si="32"/>
        <v>4000</v>
      </c>
      <c r="AG35" s="394">
        <f t="shared" si="33"/>
        <v>0</v>
      </c>
      <c r="AH35" s="138"/>
      <c r="AI35" s="395">
        <f t="shared" si="17"/>
        <v>0</v>
      </c>
      <c r="AJ35" s="396" t="str">
        <f t="shared" si="18"/>
        <v/>
      </c>
      <c r="AK35" s="53"/>
      <c r="AL35" s="408">
        <f>IFERROR(VLOOKUP($C35,'Proposed Rates'!$B:$J,AL$11,FALSE),0)</f>
        <v>0</v>
      </c>
      <c r="AM35" s="409">
        <f t="shared" si="34"/>
        <v>4000</v>
      </c>
      <c r="AN35" s="394">
        <f t="shared" si="35"/>
        <v>0</v>
      </c>
      <c r="AO35" s="138"/>
      <c r="AP35" s="395">
        <f t="shared" si="21"/>
        <v>0</v>
      </c>
      <c r="AQ35" s="396" t="str">
        <f t="shared" si="22"/>
        <v/>
      </c>
      <c r="AR35" s="397"/>
    </row>
    <row r="36" spans="1:44" ht="12.75" customHeight="1">
      <c r="A36" s="53"/>
      <c r="B36" s="328" t="s">
        <v>300</v>
      </c>
      <c r="C36" s="389" t="str">
        <f t="shared" si="23"/>
        <v>General Service 1,500 to 4,999 KW.Low Voltage Service Charge</v>
      </c>
      <c r="D36" s="390" t="s">
        <v>406</v>
      </c>
      <c r="E36" s="328"/>
      <c r="F36" s="412">
        <f>IFERROR(VLOOKUP($C36,'Proposed Rates'!$B:$J,F$11,FALSE),0)</f>
        <v>2.2040000000000001E-2</v>
      </c>
      <c r="G36" s="409">
        <f t="shared" si="24"/>
        <v>4000</v>
      </c>
      <c r="H36" s="394">
        <f t="shared" si="25"/>
        <v>88.16</v>
      </c>
      <c r="I36" s="138"/>
      <c r="J36" s="412">
        <f>IFERROR(VLOOKUP($C36,'Proposed Rates'!$B:$J,J$11,FALSE),0)</f>
        <v>2.3130000000000001E-2</v>
      </c>
      <c r="K36" s="409">
        <f t="shared" si="26"/>
        <v>4000</v>
      </c>
      <c r="L36" s="394">
        <f t="shared" si="27"/>
        <v>92.52000000000001</v>
      </c>
      <c r="M36" s="138"/>
      <c r="N36" s="395">
        <f t="shared" si="5"/>
        <v>4.3600000000000136</v>
      </c>
      <c r="O36" s="396">
        <f t="shared" si="6"/>
        <v>4.9455535390199791E-2</v>
      </c>
      <c r="P36" s="53"/>
      <c r="Q36" s="412">
        <f>IFERROR(VLOOKUP($C36,'Proposed Rates'!$B:$J,Q$11,FALSE),0)</f>
        <v>2.3730000000000001E-2</v>
      </c>
      <c r="R36" s="409">
        <f t="shared" si="28"/>
        <v>4000</v>
      </c>
      <c r="S36" s="394">
        <f t="shared" si="29"/>
        <v>94.92</v>
      </c>
      <c r="T36" s="138"/>
      <c r="U36" s="395">
        <f t="shared" si="9"/>
        <v>2.3999999999999915</v>
      </c>
      <c r="V36" s="396">
        <f t="shared" si="10"/>
        <v>2.5940337224383821E-2</v>
      </c>
      <c r="W36" s="53"/>
      <c r="X36" s="412">
        <f>IFERROR(VLOOKUP($C36,'Proposed Rates'!$B:$J,X$11,FALSE),0)</f>
        <v>2.402E-2</v>
      </c>
      <c r="Y36" s="409">
        <f t="shared" si="30"/>
        <v>4000</v>
      </c>
      <c r="Z36" s="394">
        <f t="shared" si="31"/>
        <v>96.08</v>
      </c>
      <c r="AA36" s="138"/>
      <c r="AB36" s="395">
        <f t="shared" si="13"/>
        <v>1.1599999999999966</v>
      </c>
      <c r="AC36" s="396">
        <f t="shared" si="14"/>
        <v>1.2220817530552007E-2</v>
      </c>
      <c r="AD36" s="53"/>
      <c r="AE36" s="412">
        <f>IFERROR(VLOOKUP($C36,'Proposed Rates'!$B:$J,AE$11,FALSE),0)</f>
        <v>2.4410000000000001E-2</v>
      </c>
      <c r="AF36" s="409">
        <f t="shared" si="32"/>
        <v>4000</v>
      </c>
      <c r="AG36" s="394">
        <f t="shared" si="33"/>
        <v>97.64</v>
      </c>
      <c r="AH36" s="138"/>
      <c r="AI36" s="395">
        <f t="shared" si="17"/>
        <v>1.5600000000000023</v>
      </c>
      <c r="AJ36" s="396">
        <f t="shared" si="18"/>
        <v>1.6236469608659473E-2</v>
      </c>
      <c r="AK36" s="53"/>
      <c r="AL36" s="412">
        <f>IFERROR(VLOOKUP($C36,'Proposed Rates'!$B:$J,AL$11,FALSE),0)</f>
        <v>2.4840000000000001E-2</v>
      </c>
      <c r="AM36" s="409">
        <f t="shared" si="34"/>
        <v>4000</v>
      </c>
      <c r="AN36" s="394">
        <f t="shared" si="35"/>
        <v>99.36</v>
      </c>
      <c r="AO36" s="138"/>
      <c r="AP36" s="395">
        <f t="shared" si="21"/>
        <v>1.7199999999999989</v>
      </c>
      <c r="AQ36" s="396">
        <f t="shared" si="22"/>
        <v>1.7615731257681268E-2</v>
      </c>
      <c r="AR36" s="397"/>
    </row>
    <row r="37" spans="1:44" ht="12.75" customHeight="1">
      <c r="A37" s="53"/>
      <c r="B37" s="328" t="s">
        <v>341</v>
      </c>
      <c r="C37" s="389" t="str">
        <f t="shared" si="23"/>
        <v>General Service 1,500 to 4,999 KW.Line Losses on Cost of Power</v>
      </c>
      <c r="D37" s="390" t="s">
        <v>337</v>
      </c>
      <c r="E37" s="328"/>
      <c r="F37" s="552"/>
      <c r="G37" s="501">
        <f>$F$9*(1+F65)-$F$9</f>
        <v>43179.5</v>
      </c>
      <c r="H37" s="394">
        <f t="shared" si="25"/>
        <v>0</v>
      </c>
      <c r="I37" s="138"/>
      <c r="J37" s="552"/>
      <c r="K37" s="501">
        <f>$F$9*(1+J65)-$F$9</f>
        <v>42412.999999999767</v>
      </c>
      <c r="L37" s="394">
        <f t="shared" si="27"/>
        <v>0</v>
      </c>
      <c r="M37" s="138"/>
      <c r="N37" s="395">
        <f t="shared" si="5"/>
        <v>0</v>
      </c>
      <c r="O37" s="396" t="str">
        <f t="shared" si="6"/>
        <v/>
      </c>
      <c r="P37" s="53"/>
      <c r="Q37" s="552"/>
      <c r="R37" s="501">
        <f>$F$9*(1+Q65)-$F$9</f>
        <v>42412.999999999767</v>
      </c>
      <c r="S37" s="394">
        <f t="shared" si="29"/>
        <v>0</v>
      </c>
      <c r="T37" s="138"/>
      <c r="U37" s="395">
        <f t="shared" si="9"/>
        <v>0</v>
      </c>
      <c r="V37" s="396" t="str">
        <f t="shared" si="10"/>
        <v/>
      </c>
      <c r="W37" s="53"/>
      <c r="X37" s="552"/>
      <c r="Y37" s="501">
        <f>$F$9*(1+X65)-$F$9</f>
        <v>42412.999999999767</v>
      </c>
      <c r="Z37" s="394">
        <f t="shared" si="31"/>
        <v>0</v>
      </c>
      <c r="AA37" s="138"/>
      <c r="AB37" s="395">
        <f t="shared" si="13"/>
        <v>0</v>
      </c>
      <c r="AC37" s="396" t="str">
        <f t="shared" si="14"/>
        <v/>
      </c>
      <c r="AD37" s="53"/>
      <c r="AE37" s="552"/>
      <c r="AF37" s="501">
        <f>$F$9*(1+AE65)-$F$9</f>
        <v>42412.999999999767</v>
      </c>
      <c r="AG37" s="394">
        <f t="shared" si="33"/>
        <v>0</v>
      </c>
      <c r="AH37" s="138"/>
      <c r="AI37" s="395">
        <f t="shared" si="17"/>
        <v>0</v>
      </c>
      <c r="AJ37" s="396" t="str">
        <f t="shared" si="18"/>
        <v/>
      </c>
      <c r="AK37" s="53"/>
      <c r="AL37" s="552"/>
      <c r="AM37" s="501">
        <f>$F$9*(1+AL65)-$F$9</f>
        <v>42412.999999999767</v>
      </c>
      <c r="AN37" s="394">
        <f t="shared" si="35"/>
        <v>0</v>
      </c>
      <c r="AO37" s="138"/>
      <c r="AP37" s="395">
        <f t="shared" si="21"/>
        <v>0</v>
      </c>
      <c r="AQ37" s="396" t="str">
        <f t="shared" si="22"/>
        <v/>
      </c>
      <c r="AR37" s="397"/>
    </row>
    <row r="38" spans="1:44" ht="12.75" customHeight="1">
      <c r="A38" s="53"/>
      <c r="B38" s="328" t="s">
        <v>302</v>
      </c>
      <c r="C38" s="389" t="str">
        <f t="shared" si="23"/>
        <v>General Service 1,500 to 4,999 KW.Smart Meter Entity Charge</v>
      </c>
      <c r="D38" s="390" t="s">
        <v>335</v>
      </c>
      <c r="E38" s="328"/>
      <c r="F38" s="412">
        <f>IFERROR(VLOOKUP($C38,'Proposed Rates'!$B:$J,F$11,FALSE),0)</f>
        <v>0</v>
      </c>
      <c r="G38" s="409">
        <f>IF($D38="Monthly",1,IF($D38="per KW",$F$10,IF($D38="per kWh",$F$9,0)))</f>
        <v>1</v>
      </c>
      <c r="H38" s="394">
        <f t="shared" si="25"/>
        <v>0</v>
      </c>
      <c r="I38" s="138"/>
      <c r="J38" s="412">
        <f>IFERROR(VLOOKUP($C38,'Proposed Rates'!$B:$J,J$11,FALSE),0)</f>
        <v>0</v>
      </c>
      <c r="K38" s="409">
        <f>IF($D38="Monthly",1,IF($D38="per KW",$F$10,IF($D38="per kWh",$F$9,0)))</f>
        <v>1</v>
      </c>
      <c r="L38" s="394">
        <f t="shared" si="27"/>
        <v>0</v>
      </c>
      <c r="M38" s="138"/>
      <c r="N38" s="395">
        <f t="shared" si="5"/>
        <v>0</v>
      </c>
      <c r="O38" s="396" t="str">
        <f t="shared" si="6"/>
        <v/>
      </c>
      <c r="P38" s="53"/>
      <c r="Q38" s="412">
        <f>IFERROR(VLOOKUP($C38,'Proposed Rates'!$B:$J,Q$11,FALSE),0)</f>
        <v>0</v>
      </c>
      <c r="R38" s="409">
        <f>IF($D38="Monthly",1,IF($D38="per KW",$F$10,IF($D38="per kWh",$F$9,0)))</f>
        <v>1</v>
      </c>
      <c r="S38" s="394">
        <f t="shared" si="29"/>
        <v>0</v>
      </c>
      <c r="T38" s="138"/>
      <c r="U38" s="395">
        <f t="shared" si="9"/>
        <v>0</v>
      </c>
      <c r="V38" s="396" t="str">
        <f t="shared" si="10"/>
        <v/>
      </c>
      <c r="W38" s="53"/>
      <c r="X38" s="412">
        <f>IFERROR(VLOOKUP($C38,'Proposed Rates'!$B:$J,X$11,FALSE),0)</f>
        <v>0</v>
      </c>
      <c r="Y38" s="409">
        <f>IF($D38="Monthly",1,IF($D38="per KW",$F$10,IF($D38="per kWh",$F$9,0)))</f>
        <v>1</v>
      </c>
      <c r="Z38" s="394">
        <f t="shared" si="31"/>
        <v>0</v>
      </c>
      <c r="AA38" s="138"/>
      <c r="AB38" s="395">
        <f t="shared" si="13"/>
        <v>0</v>
      </c>
      <c r="AC38" s="396" t="str">
        <f t="shared" si="14"/>
        <v/>
      </c>
      <c r="AD38" s="53"/>
      <c r="AE38" s="412">
        <f>IFERROR(VLOOKUP($C38,'Proposed Rates'!$B:$J,AE$11,FALSE),0)</f>
        <v>0</v>
      </c>
      <c r="AF38" s="409">
        <f>IF($D38="Monthly",1,IF($D38="per KW",$F$10,IF($D38="per kWh",$F$9,0)))</f>
        <v>1</v>
      </c>
      <c r="AG38" s="394">
        <f t="shared" si="33"/>
        <v>0</v>
      </c>
      <c r="AH38" s="138"/>
      <c r="AI38" s="395">
        <f t="shared" si="17"/>
        <v>0</v>
      </c>
      <c r="AJ38" s="396" t="str">
        <f t="shared" si="18"/>
        <v/>
      </c>
      <c r="AK38" s="53"/>
      <c r="AL38" s="412">
        <f>IFERROR(VLOOKUP($C38,'Proposed Rates'!$B:$J,AL$11,FALSE),0)</f>
        <v>0</v>
      </c>
      <c r="AM38" s="409">
        <f>IF($D38="Monthly",1,IF($D38="per KW",$F$10,IF($D38="per kWh",$F$9,0)))</f>
        <v>1</v>
      </c>
      <c r="AN38" s="394">
        <f t="shared" si="35"/>
        <v>0</v>
      </c>
      <c r="AO38" s="138"/>
      <c r="AP38" s="395">
        <f t="shared" si="21"/>
        <v>0</v>
      </c>
      <c r="AQ38" s="396" t="str">
        <f t="shared" si="22"/>
        <v/>
      </c>
      <c r="AR38" s="397"/>
    </row>
    <row r="39" spans="1:44" ht="12.75" customHeight="1">
      <c r="A39" s="53"/>
      <c r="B39" s="480" t="s">
        <v>342</v>
      </c>
      <c r="C39" s="553"/>
      <c r="D39" s="416"/>
      <c r="E39" s="416"/>
      <c r="F39" s="417"/>
      <c r="G39" s="495"/>
      <c r="H39" s="403">
        <f>SUM(H30:H38)+H29</f>
        <v>34793.86</v>
      </c>
      <c r="I39" s="419"/>
      <c r="J39" s="417"/>
      <c r="K39" s="495"/>
      <c r="L39" s="403">
        <f>SUM(L30:L38)+L29</f>
        <v>36789.47</v>
      </c>
      <c r="M39" s="419"/>
      <c r="N39" s="405">
        <f t="shared" si="5"/>
        <v>1995.6100000000006</v>
      </c>
      <c r="O39" s="406">
        <f t="shared" si="6"/>
        <v>5.7355234515515108E-2</v>
      </c>
      <c r="P39" s="53"/>
      <c r="Q39" s="417"/>
      <c r="R39" s="495"/>
      <c r="S39" s="403">
        <f>SUM(S30:S38)+S29</f>
        <v>42933.22</v>
      </c>
      <c r="T39" s="419"/>
      <c r="U39" s="405">
        <f t="shared" si="9"/>
        <v>6143.75</v>
      </c>
      <c r="V39" s="406">
        <f t="shared" si="10"/>
        <v>0.16699751314710432</v>
      </c>
      <c r="W39" s="53"/>
      <c r="X39" s="417"/>
      <c r="Y39" s="495"/>
      <c r="Z39" s="403">
        <f>SUM(Z30:Z38)+Z29</f>
        <v>38056.03</v>
      </c>
      <c r="AA39" s="419"/>
      <c r="AB39" s="405">
        <f t="shared" si="13"/>
        <v>-4877.1900000000023</v>
      </c>
      <c r="AC39" s="406">
        <f t="shared" si="14"/>
        <v>-0.11359944583704651</v>
      </c>
      <c r="AD39" s="53"/>
      <c r="AE39" s="417"/>
      <c r="AF39" s="495"/>
      <c r="AG39" s="403">
        <f>SUM(AG30:AG38)+AG29</f>
        <v>39530.789999999994</v>
      </c>
      <c r="AH39" s="419"/>
      <c r="AI39" s="405">
        <f t="shared" si="17"/>
        <v>1474.7599999999948</v>
      </c>
      <c r="AJ39" s="406">
        <f t="shared" si="18"/>
        <v>3.8752334386955099E-2</v>
      </c>
      <c r="AK39" s="53"/>
      <c r="AL39" s="417"/>
      <c r="AM39" s="495"/>
      <c r="AN39" s="403">
        <f>SUM(AN30:AN38)+AN29</f>
        <v>40880.11</v>
      </c>
      <c r="AO39" s="419"/>
      <c r="AP39" s="405">
        <f t="shared" si="21"/>
        <v>1349.320000000007</v>
      </c>
      <c r="AQ39" s="406">
        <f t="shared" si="22"/>
        <v>3.4133393236006851E-2</v>
      </c>
      <c r="AR39" s="407"/>
    </row>
    <row r="40" spans="1:44" ht="12.75" customHeight="1">
      <c r="A40" s="53"/>
      <c r="B40" s="138" t="s">
        <v>285</v>
      </c>
      <c r="C40" s="389" t="str">
        <f t="shared" ref="C40:C41" si="36">D$6&amp;"."&amp;B40</f>
        <v>General Service 1,500 to 4,999 KW.RTSR - Network</v>
      </c>
      <c r="D40" s="420" t="s">
        <v>406</v>
      </c>
      <c r="E40" s="138"/>
      <c r="F40" s="408">
        <f>IFERROR(VLOOKUP($C40,'Proposed Rates'!$B:$J,F$11,FALSE),0)</f>
        <v>5.0336999999999996</v>
      </c>
      <c r="G40" s="409">
        <f t="shared" ref="G40:G41" si="37">IF($D40="Monthly",1,IF($D40="per KW",$F$10,IF($D40="per kWh",$F$9,0)))</f>
        <v>4000</v>
      </c>
      <c r="H40" s="394">
        <f t="shared" ref="H40:H41" si="38">G40*F40</f>
        <v>20134.8</v>
      </c>
      <c r="I40" s="138"/>
      <c r="J40" s="408">
        <f>IFERROR(VLOOKUP($C40,'Proposed Rates'!$B:$J,J$11,FALSE),0)</f>
        <v>4.5423999999999998</v>
      </c>
      <c r="K40" s="409">
        <f t="shared" ref="K40:K41" si="39">IF($D40="Monthly",1,IF($D40="per KW",$F$10,IF($D40="per kWh",$F$9,0)))</f>
        <v>4000</v>
      </c>
      <c r="L40" s="394">
        <f t="shared" ref="L40:L41" si="40">K40*J40</f>
        <v>18169.599999999999</v>
      </c>
      <c r="M40" s="138"/>
      <c r="N40" s="395">
        <f t="shared" si="5"/>
        <v>-1965.2000000000007</v>
      </c>
      <c r="O40" s="396">
        <f t="shared" si="6"/>
        <v>-9.7602161431948706E-2</v>
      </c>
      <c r="P40" s="53"/>
      <c r="Q40" s="408">
        <f>IFERROR(VLOOKUP($C40,'Proposed Rates'!$B:$J,Q$11,FALSE),0)</f>
        <v>4.5423999999999998</v>
      </c>
      <c r="R40" s="409">
        <f t="shared" ref="R40:R41" si="41">IF($D40="Monthly",1,IF($D40="per KW",$F$10,IF($D40="per kWh",$F$9,0)))</f>
        <v>4000</v>
      </c>
      <c r="S40" s="394">
        <f t="shared" ref="S40:S41" si="42">R40*Q40</f>
        <v>18169.599999999999</v>
      </c>
      <c r="T40" s="138"/>
      <c r="U40" s="395">
        <f t="shared" si="9"/>
        <v>0</v>
      </c>
      <c r="V40" s="396">
        <f t="shared" si="10"/>
        <v>0</v>
      </c>
      <c r="W40" s="53"/>
      <c r="X40" s="408">
        <f>IFERROR(VLOOKUP($C40,'Proposed Rates'!$B:$J,X$11,FALSE),0)</f>
        <v>4.5423999999999998</v>
      </c>
      <c r="Y40" s="409">
        <f t="shared" ref="Y40:Y41" si="43">IF($D40="Monthly",1,IF($D40="per KW",$F$10,IF($D40="per kWh",$F$9,0)))</f>
        <v>4000</v>
      </c>
      <c r="Z40" s="394">
        <f t="shared" ref="Z40:Z41" si="44">Y40*X40</f>
        <v>18169.599999999999</v>
      </c>
      <c r="AA40" s="138"/>
      <c r="AB40" s="395">
        <f t="shared" si="13"/>
        <v>0</v>
      </c>
      <c r="AC40" s="396">
        <f t="shared" si="14"/>
        <v>0</v>
      </c>
      <c r="AD40" s="53"/>
      <c r="AE40" s="408">
        <f>IFERROR(VLOOKUP($C40,'Proposed Rates'!$B:$J,AE$11,FALSE),0)</f>
        <v>4.5423999999999998</v>
      </c>
      <c r="AF40" s="409">
        <f t="shared" ref="AF40:AF41" si="45">IF($D40="Monthly",1,IF($D40="per KW",$F$10,IF($D40="per kWh",$F$9,0)))</f>
        <v>4000</v>
      </c>
      <c r="AG40" s="394">
        <f t="shared" ref="AG40:AG41" si="46">AF40*AE40</f>
        <v>18169.599999999999</v>
      </c>
      <c r="AH40" s="138"/>
      <c r="AI40" s="395">
        <f t="shared" si="17"/>
        <v>0</v>
      </c>
      <c r="AJ40" s="396">
        <f t="shared" si="18"/>
        <v>0</v>
      </c>
      <c r="AK40" s="53"/>
      <c r="AL40" s="408">
        <f>IFERROR(VLOOKUP($C40,'Proposed Rates'!$B:$J,AL$11,FALSE),0)</f>
        <v>4.5423999999999998</v>
      </c>
      <c r="AM40" s="409">
        <f t="shared" ref="AM40:AM41" si="47">IF($D40="Monthly",1,IF($D40="per KW",$F$10,IF($D40="per kWh",$F$9,0)))</f>
        <v>4000</v>
      </c>
      <c r="AN40" s="394">
        <f t="shared" ref="AN40:AN41" si="48">AM40*AL40</f>
        <v>18169.599999999999</v>
      </c>
      <c r="AO40" s="138"/>
      <c r="AP40" s="395">
        <f t="shared" si="21"/>
        <v>0</v>
      </c>
      <c r="AQ40" s="396">
        <f t="shared" si="22"/>
        <v>0</v>
      </c>
      <c r="AR40" s="397"/>
    </row>
    <row r="41" spans="1:44" ht="12.75" customHeight="1">
      <c r="A41" s="53"/>
      <c r="B41" s="481" t="s">
        <v>288</v>
      </c>
      <c r="C41" s="389" t="str">
        <f t="shared" si="36"/>
        <v>General Service 1,500 to 4,999 KW.RTSR - Line and Transformation Connection</v>
      </c>
      <c r="D41" s="420" t="s">
        <v>406</v>
      </c>
      <c r="E41" s="138"/>
      <c r="F41" s="408">
        <f>IFERROR(VLOOKUP($C41,'Proposed Rates'!$B:$J,F$11,FALSE),0)</f>
        <v>3.0125999999999999</v>
      </c>
      <c r="G41" s="409">
        <f t="shared" si="37"/>
        <v>4000</v>
      </c>
      <c r="H41" s="394">
        <f t="shared" si="38"/>
        <v>12050.4</v>
      </c>
      <c r="I41" s="138"/>
      <c r="J41" s="408">
        <f>IFERROR(VLOOKUP($C41,'Proposed Rates'!$B:$J,J$11,FALSE),0)</f>
        <v>2.5712000000000002</v>
      </c>
      <c r="K41" s="409">
        <f t="shared" si="39"/>
        <v>4000</v>
      </c>
      <c r="L41" s="394">
        <f t="shared" si="40"/>
        <v>10284.800000000001</v>
      </c>
      <c r="M41" s="138"/>
      <c r="N41" s="395">
        <f t="shared" si="5"/>
        <v>-1765.5999999999985</v>
      </c>
      <c r="O41" s="396">
        <f t="shared" si="6"/>
        <v>-0.14651795791011074</v>
      </c>
      <c r="P41" s="53"/>
      <c r="Q41" s="408">
        <f>IFERROR(VLOOKUP($C41,'Proposed Rates'!$B:$J,Q$11,FALSE),0)</f>
        <v>2.5712000000000002</v>
      </c>
      <c r="R41" s="409">
        <f t="shared" si="41"/>
        <v>4000</v>
      </c>
      <c r="S41" s="394">
        <f t="shared" si="42"/>
        <v>10284.800000000001</v>
      </c>
      <c r="T41" s="138"/>
      <c r="U41" s="395">
        <f t="shared" si="9"/>
        <v>0</v>
      </c>
      <c r="V41" s="396">
        <f t="shared" si="10"/>
        <v>0</v>
      </c>
      <c r="W41" s="53"/>
      <c r="X41" s="408">
        <f>IFERROR(VLOOKUP($C41,'Proposed Rates'!$B:$J,X$11,FALSE),0)</f>
        <v>2.5712000000000002</v>
      </c>
      <c r="Y41" s="409">
        <f t="shared" si="43"/>
        <v>4000</v>
      </c>
      <c r="Z41" s="394">
        <f t="shared" si="44"/>
        <v>10284.800000000001</v>
      </c>
      <c r="AA41" s="138"/>
      <c r="AB41" s="395">
        <f t="shared" si="13"/>
        <v>0</v>
      </c>
      <c r="AC41" s="396">
        <f t="shared" si="14"/>
        <v>0</v>
      </c>
      <c r="AD41" s="53"/>
      <c r="AE41" s="408">
        <f>IFERROR(VLOOKUP($C41,'Proposed Rates'!$B:$J,AE$11,FALSE),0)</f>
        <v>2.5712000000000002</v>
      </c>
      <c r="AF41" s="409">
        <f t="shared" si="45"/>
        <v>4000</v>
      </c>
      <c r="AG41" s="394">
        <f t="shared" si="46"/>
        <v>10284.800000000001</v>
      </c>
      <c r="AH41" s="138"/>
      <c r="AI41" s="395">
        <f t="shared" si="17"/>
        <v>0</v>
      </c>
      <c r="AJ41" s="396">
        <f t="shared" si="18"/>
        <v>0</v>
      </c>
      <c r="AK41" s="53"/>
      <c r="AL41" s="408">
        <f>IFERROR(VLOOKUP($C41,'Proposed Rates'!$B:$J,AL$11,FALSE),0)</f>
        <v>2.5712000000000002</v>
      </c>
      <c r="AM41" s="409">
        <f t="shared" si="47"/>
        <v>4000</v>
      </c>
      <c r="AN41" s="394">
        <f t="shared" si="48"/>
        <v>10284.800000000001</v>
      </c>
      <c r="AO41" s="138"/>
      <c r="AP41" s="395">
        <f t="shared" si="21"/>
        <v>0</v>
      </c>
      <c r="AQ41" s="396">
        <f t="shared" si="22"/>
        <v>0</v>
      </c>
      <c r="AR41" s="397"/>
    </row>
    <row r="42" spans="1:44" ht="12.75" customHeight="1">
      <c r="A42" s="53"/>
      <c r="B42" s="480" t="s">
        <v>343</v>
      </c>
      <c r="C42" s="554"/>
      <c r="D42" s="421"/>
      <c r="E42" s="421"/>
      <c r="F42" s="422"/>
      <c r="G42" s="495"/>
      <c r="H42" s="403">
        <f>SUM(H39:H41)</f>
        <v>66979.06</v>
      </c>
      <c r="I42" s="404"/>
      <c r="J42" s="422"/>
      <c r="K42" s="495"/>
      <c r="L42" s="403">
        <f>SUM(L39:L41)</f>
        <v>65243.87</v>
      </c>
      <c r="M42" s="404"/>
      <c r="N42" s="405">
        <f t="shared" si="5"/>
        <v>-1735.1899999999951</v>
      </c>
      <c r="O42" s="406">
        <f t="shared" si="6"/>
        <v>-2.5906454942783538E-2</v>
      </c>
      <c r="P42" s="53"/>
      <c r="Q42" s="422"/>
      <c r="R42" s="495"/>
      <c r="S42" s="403">
        <f>SUM(S39:S41)</f>
        <v>71387.62</v>
      </c>
      <c r="T42" s="404"/>
      <c r="U42" s="405">
        <f t="shared" si="9"/>
        <v>6143.7499999999927</v>
      </c>
      <c r="V42" s="406">
        <f t="shared" si="10"/>
        <v>9.4165934669417875E-2</v>
      </c>
      <c r="W42" s="53"/>
      <c r="X42" s="422"/>
      <c r="Y42" s="495"/>
      <c r="Z42" s="403">
        <f>SUM(Z39:Z41)</f>
        <v>66510.429999999993</v>
      </c>
      <c r="AA42" s="404"/>
      <c r="AB42" s="405">
        <f t="shared" si="13"/>
        <v>-4877.1900000000023</v>
      </c>
      <c r="AC42" s="406">
        <f t="shared" si="14"/>
        <v>-6.8319829124433656E-2</v>
      </c>
      <c r="AD42" s="53"/>
      <c r="AE42" s="422"/>
      <c r="AF42" s="495"/>
      <c r="AG42" s="403">
        <f>SUM(AG39:AG41)</f>
        <v>67985.189999999988</v>
      </c>
      <c r="AH42" s="404"/>
      <c r="AI42" s="405">
        <f t="shared" si="17"/>
        <v>1474.7599999999948</v>
      </c>
      <c r="AJ42" s="406">
        <f t="shared" si="18"/>
        <v>2.2173364388111683E-2</v>
      </c>
      <c r="AK42" s="53"/>
      <c r="AL42" s="422"/>
      <c r="AM42" s="495"/>
      <c r="AN42" s="403">
        <f>SUM(AN39:AN41)</f>
        <v>69334.509999999995</v>
      </c>
      <c r="AO42" s="404"/>
      <c r="AP42" s="405">
        <f t="shared" si="21"/>
        <v>1349.320000000007</v>
      </c>
      <c r="AQ42" s="406">
        <f t="shared" si="22"/>
        <v>1.9847263793776368E-2</v>
      </c>
      <c r="AR42" s="407"/>
    </row>
    <row r="43" spans="1:44" ht="12.75" customHeight="1">
      <c r="A43" s="53"/>
      <c r="B43" s="482" t="s">
        <v>289</v>
      </c>
      <c r="C43" s="389" t="str">
        <f t="shared" ref="C43:C44" si="49">D$6&amp;"."&amp;B43</f>
        <v>General Service 1,500 to 4,999 KW.Wholesale Market Service Charge (WMSC)</v>
      </c>
      <c r="D43" s="390" t="s">
        <v>337</v>
      </c>
      <c r="E43" s="328"/>
      <c r="F43" s="408">
        <f>IFERROR(VLOOKUP($C43,'Proposed Rates'!$B:$J,F$11,FALSE),0)</f>
        <v>4.4999999999999997E-3</v>
      </c>
      <c r="G43" s="502">
        <f t="shared" ref="G43:G44" si="50">$F$9+G$37</f>
        <v>1320679.5</v>
      </c>
      <c r="H43" s="394">
        <f t="shared" ref="H43:H46" si="51">G43*F43</f>
        <v>5943.0577499999999</v>
      </c>
      <c r="I43" s="138"/>
      <c r="J43" s="408">
        <f>IFERROR(VLOOKUP($C43,'Proposed Rates'!$B:$J,J$11,FALSE),0)</f>
        <v>4.7000000000000002E-3</v>
      </c>
      <c r="K43" s="502">
        <f t="shared" ref="K43:K44" si="52">$F$9+K$37</f>
        <v>1319912.9999999998</v>
      </c>
      <c r="L43" s="394">
        <f t="shared" ref="L43:L46" si="53">K43*J43</f>
        <v>6203.5910999999987</v>
      </c>
      <c r="M43" s="138"/>
      <c r="N43" s="395">
        <f t="shared" si="5"/>
        <v>260.53334999999879</v>
      </c>
      <c r="O43" s="396">
        <f t="shared" si="6"/>
        <v>4.3838266589282054E-2</v>
      </c>
      <c r="P43" s="53"/>
      <c r="Q43" s="408">
        <f>IFERROR(VLOOKUP($C43,'Proposed Rates'!$B:$J,Q$11,FALSE),0)</f>
        <v>4.7000000000000002E-3</v>
      </c>
      <c r="R43" s="502">
        <f t="shared" ref="R43:R44" si="54">$F$9+R$37</f>
        <v>1319912.9999999998</v>
      </c>
      <c r="S43" s="394">
        <f t="shared" ref="S43:S46" si="55">R43*Q43</f>
        <v>6203.5910999999987</v>
      </c>
      <c r="T43" s="138"/>
      <c r="U43" s="395">
        <f t="shared" si="9"/>
        <v>0</v>
      </c>
      <c r="V43" s="396">
        <f t="shared" si="10"/>
        <v>0</v>
      </c>
      <c r="W43" s="53"/>
      <c r="X43" s="408">
        <f>IFERROR(VLOOKUP($C43,'Proposed Rates'!$B:$J,X$11,FALSE),0)</f>
        <v>4.7000000000000002E-3</v>
      </c>
      <c r="Y43" s="502">
        <f t="shared" ref="Y43:Y44" si="56">$F$9+Y$37</f>
        <v>1319912.9999999998</v>
      </c>
      <c r="Z43" s="394">
        <f t="shared" ref="Z43:Z46" si="57">Y43*X43</f>
        <v>6203.5910999999987</v>
      </c>
      <c r="AA43" s="138"/>
      <c r="AB43" s="395">
        <f t="shared" si="13"/>
        <v>0</v>
      </c>
      <c r="AC43" s="396">
        <f t="shared" si="14"/>
        <v>0</v>
      </c>
      <c r="AD43" s="53"/>
      <c r="AE43" s="408">
        <f>IFERROR(VLOOKUP($C43,'Proposed Rates'!$B:$J,AE$11,FALSE),0)</f>
        <v>4.7000000000000002E-3</v>
      </c>
      <c r="AF43" s="502">
        <f t="shared" ref="AF43:AF44" si="58">$F$9+AF$37</f>
        <v>1319912.9999999998</v>
      </c>
      <c r="AG43" s="394">
        <f t="shared" ref="AG43:AG46" si="59">AF43*AE43</f>
        <v>6203.5910999999987</v>
      </c>
      <c r="AH43" s="138"/>
      <c r="AI43" s="395">
        <f t="shared" si="17"/>
        <v>0</v>
      </c>
      <c r="AJ43" s="396">
        <f t="shared" si="18"/>
        <v>0</v>
      </c>
      <c r="AK43" s="53"/>
      <c r="AL43" s="408">
        <f>IFERROR(VLOOKUP($C43,'Proposed Rates'!$B:$J,AL$11,FALSE),0)</f>
        <v>4.7000000000000002E-3</v>
      </c>
      <c r="AM43" s="502">
        <f t="shared" ref="AM43:AM44" si="60">$F$9+AM$37</f>
        <v>1319912.9999999998</v>
      </c>
      <c r="AN43" s="394">
        <f t="shared" ref="AN43:AN46" si="61">AM43*AL43</f>
        <v>6203.5910999999987</v>
      </c>
      <c r="AO43" s="138"/>
      <c r="AP43" s="395">
        <f t="shared" si="21"/>
        <v>0</v>
      </c>
      <c r="AQ43" s="396">
        <f t="shared" si="22"/>
        <v>0</v>
      </c>
      <c r="AR43" s="397"/>
    </row>
    <row r="44" spans="1:44" ht="12.75" customHeight="1">
      <c r="A44" s="53"/>
      <c r="B44" s="482" t="s">
        <v>290</v>
      </c>
      <c r="C44" s="389" t="str">
        <f t="shared" si="49"/>
        <v>General Service 1,500 to 4,999 KW.Rural and Remote Rate Protection (RRRP)</v>
      </c>
      <c r="D44" s="390" t="s">
        <v>337</v>
      </c>
      <c r="E44" s="328"/>
      <c r="F44" s="408">
        <f>IFERROR(VLOOKUP($C44,'Proposed Rates'!$B:$J,F$11,FALSE),0)</f>
        <v>1.5E-3</v>
      </c>
      <c r="G44" s="502">
        <f t="shared" si="50"/>
        <v>1320679.5</v>
      </c>
      <c r="H44" s="394">
        <f t="shared" si="51"/>
        <v>1981.0192500000001</v>
      </c>
      <c r="I44" s="138"/>
      <c r="J44" s="408">
        <f>IFERROR(VLOOKUP($C44,'Proposed Rates'!$B:$J,J$11,FALSE),0)</f>
        <v>5.9999999999999995E-4</v>
      </c>
      <c r="K44" s="502">
        <f t="shared" si="52"/>
        <v>1319912.9999999998</v>
      </c>
      <c r="L44" s="394">
        <f t="shared" si="53"/>
        <v>791.9477999999998</v>
      </c>
      <c r="M44" s="138"/>
      <c r="N44" s="395">
        <f t="shared" si="5"/>
        <v>-1189.0714500000004</v>
      </c>
      <c r="O44" s="396">
        <f t="shared" si="6"/>
        <v>-0.60023215322112611</v>
      </c>
      <c r="P44" s="53"/>
      <c r="Q44" s="408">
        <f>IFERROR(VLOOKUP($C44,'Proposed Rates'!$B:$J,Q$11,FALSE),0)</f>
        <v>5.9999999999999995E-4</v>
      </c>
      <c r="R44" s="502">
        <f t="shared" si="54"/>
        <v>1319912.9999999998</v>
      </c>
      <c r="S44" s="394">
        <f t="shared" si="55"/>
        <v>791.9477999999998</v>
      </c>
      <c r="T44" s="138"/>
      <c r="U44" s="395">
        <f t="shared" si="9"/>
        <v>0</v>
      </c>
      <c r="V44" s="396">
        <f t="shared" si="10"/>
        <v>0</v>
      </c>
      <c r="W44" s="53"/>
      <c r="X44" s="408">
        <f>IFERROR(VLOOKUP($C44,'Proposed Rates'!$B:$J,X$11,FALSE),0)</f>
        <v>5.9999999999999995E-4</v>
      </c>
      <c r="Y44" s="502">
        <f t="shared" si="56"/>
        <v>1319912.9999999998</v>
      </c>
      <c r="Z44" s="394">
        <f t="shared" si="57"/>
        <v>791.9477999999998</v>
      </c>
      <c r="AA44" s="138"/>
      <c r="AB44" s="395">
        <f t="shared" si="13"/>
        <v>0</v>
      </c>
      <c r="AC44" s="396">
        <f t="shared" si="14"/>
        <v>0</v>
      </c>
      <c r="AD44" s="53"/>
      <c r="AE44" s="408">
        <f>IFERROR(VLOOKUP($C44,'Proposed Rates'!$B:$J,AE$11,FALSE),0)</f>
        <v>5.9999999999999995E-4</v>
      </c>
      <c r="AF44" s="502">
        <f t="shared" si="58"/>
        <v>1319912.9999999998</v>
      </c>
      <c r="AG44" s="394">
        <f t="shared" si="59"/>
        <v>791.9477999999998</v>
      </c>
      <c r="AH44" s="138"/>
      <c r="AI44" s="395">
        <f t="shared" si="17"/>
        <v>0</v>
      </c>
      <c r="AJ44" s="396">
        <f t="shared" si="18"/>
        <v>0</v>
      </c>
      <c r="AK44" s="53"/>
      <c r="AL44" s="408">
        <f>IFERROR(VLOOKUP($C44,'Proposed Rates'!$B:$J,AL$11,FALSE),0)</f>
        <v>5.9999999999999995E-4</v>
      </c>
      <c r="AM44" s="502">
        <f t="shared" si="60"/>
        <v>1319912.9999999998</v>
      </c>
      <c r="AN44" s="394">
        <f t="shared" si="61"/>
        <v>791.9477999999998</v>
      </c>
      <c r="AO44" s="138"/>
      <c r="AP44" s="395">
        <f t="shared" si="21"/>
        <v>0</v>
      </c>
      <c r="AQ44" s="396">
        <f t="shared" si="22"/>
        <v>0</v>
      </c>
      <c r="AR44" s="397"/>
    </row>
    <row r="45" spans="1:44" ht="12.75" customHeight="1">
      <c r="A45" s="53"/>
      <c r="B45" s="328" t="s">
        <v>291</v>
      </c>
      <c r="C45" s="558"/>
      <c r="D45" s="390" t="s">
        <v>335</v>
      </c>
      <c r="E45" s="328"/>
      <c r="F45" s="408">
        <f>IFERROR(VLOOKUP($C47,'Proposed Rates'!$B:$J,F$11,FALSE),0)</f>
        <v>0.25</v>
      </c>
      <c r="G45" s="409">
        <f>IF($D45="Monthly",1,IF($D45="per KW",$F$10,IF($D45="per kWh",$F$9,0)))</f>
        <v>1</v>
      </c>
      <c r="H45" s="394">
        <f t="shared" si="51"/>
        <v>0.25</v>
      </c>
      <c r="I45" s="138"/>
      <c r="J45" s="408">
        <f>IFERROR(VLOOKUP($C47,'Proposed Rates'!$B:$J,J$11,FALSE),0)</f>
        <v>0.25</v>
      </c>
      <c r="K45" s="409">
        <f>IF($D45="Monthly",1,IF($D45="per KW",$F$10,IF($D45="per kWh",$F$9,0)))</f>
        <v>1</v>
      </c>
      <c r="L45" s="394">
        <f t="shared" si="53"/>
        <v>0.25</v>
      </c>
      <c r="M45" s="138"/>
      <c r="N45" s="395">
        <f t="shared" si="5"/>
        <v>0</v>
      </c>
      <c r="O45" s="396">
        <f t="shared" si="6"/>
        <v>0</v>
      </c>
      <c r="P45" s="53"/>
      <c r="Q45" s="408">
        <f>IFERROR(VLOOKUP($C47,'Proposed Rates'!$B:$J,Q$11,FALSE),0)</f>
        <v>0.25</v>
      </c>
      <c r="R45" s="409">
        <f>IF($D45="Monthly",1,IF($D45="per KW",$F$10,IF($D45="per kWh",$F$9,0)))</f>
        <v>1</v>
      </c>
      <c r="S45" s="394">
        <f t="shared" si="55"/>
        <v>0.25</v>
      </c>
      <c r="T45" s="138"/>
      <c r="U45" s="395">
        <f t="shared" si="9"/>
        <v>0</v>
      </c>
      <c r="V45" s="396">
        <f t="shared" si="10"/>
        <v>0</v>
      </c>
      <c r="W45" s="53"/>
      <c r="X45" s="408">
        <f>IFERROR(VLOOKUP($C47,'Proposed Rates'!$B:$J,X$11,FALSE),0)</f>
        <v>0.25</v>
      </c>
      <c r="Y45" s="409">
        <f>IF($D45="Monthly",1,IF($D45="per KW",$F$10,IF($D45="per kWh",$F$9,0)))</f>
        <v>1</v>
      </c>
      <c r="Z45" s="394">
        <f t="shared" si="57"/>
        <v>0.25</v>
      </c>
      <c r="AA45" s="138"/>
      <c r="AB45" s="395">
        <f t="shared" si="13"/>
        <v>0</v>
      </c>
      <c r="AC45" s="396">
        <f t="shared" si="14"/>
        <v>0</v>
      </c>
      <c r="AD45" s="53"/>
      <c r="AE45" s="408">
        <f>IFERROR(VLOOKUP($C47,'Proposed Rates'!$B:$J,AE$11,FALSE),0)</f>
        <v>0.25</v>
      </c>
      <c r="AF45" s="409">
        <f>IF($D45="Monthly",1,IF($D45="per KW",$F$10,IF($D45="per kWh",$F$9,0)))</f>
        <v>1</v>
      </c>
      <c r="AG45" s="394">
        <f t="shared" si="59"/>
        <v>0.25</v>
      </c>
      <c r="AH45" s="138"/>
      <c r="AI45" s="395">
        <f t="shared" si="17"/>
        <v>0</v>
      </c>
      <c r="AJ45" s="396">
        <f t="shared" si="18"/>
        <v>0</v>
      </c>
      <c r="AK45" s="53"/>
      <c r="AL45" s="408">
        <f>IFERROR(VLOOKUP($C47,'Proposed Rates'!$B:$J,AL$11,FALSE),0)</f>
        <v>0.25</v>
      </c>
      <c r="AM45" s="409">
        <f>IF($D45="Monthly",1,IF($D45="per KW",$F$10,IF($D45="per kWh",$F$9,0)))</f>
        <v>1</v>
      </c>
      <c r="AN45" s="394">
        <f t="shared" si="61"/>
        <v>0.25</v>
      </c>
      <c r="AO45" s="138"/>
      <c r="AP45" s="395">
        <f t="shared" si="21"/>
        <v>0</v>
      </c>
      <c r="AQ45" s="396">
        <f t="shared" si="22"/>
        <v>0</v>
      </c>
      <c r="AR45" s="397"/>
    </row>
    <row r="46" spans="1:44" ht="12.75" customHeight="1">
      <c r="A46" s="53"/>
      <c r="B46" s="328" t="s">
        <v>298</v>
      </c>
      <c r="C46" s="389" t="str">
        <f>B46</f>
        <v>Average IESO Wholesale Market Price</v>
      </c>
      <c r="D46" s="390" t="s">
        <v>337</v>
      </c>
      <c r="E46" s="328"/>
      <c r="F46" s="408">
        <f>IFERROR(VLOOKUP($C46,'Proposed Rates'!$B:$J,F$11,FALSE),0)</f>
        <v>0.10453</v>
      </c>
      <c r="G46" s="502">
        <f>$F$9+G$37</f>
        <v>1320679.5</v>
      </c>
      <c r="H46" s="394">
        <f t="shared" si="51"/>
        <v>138050.62813500001</v>
      </c>
      <c r="I46" s="138"/>
      <c r="J46" s="408">
        <f>IFERROR(VLOOKUP($C46,'Proposed Rates'!$B:$J,J$11,FALSE),0)</f>
        <v>0.10453</v>
      </c>
      <c r="K46" s="502">
        <f>$F$9+K$37</f>
        <v>1319912.9999999998</v>
      </c>
      <c r="L46" s="394">
        <f t="shared" si="53"/>
        <v>137970.50588999997</v>
      </c>
      <c r="M46" s="138"/>
      <c r="N46" s="395">
        <f t="shared" si="5"/>
        <v>-80.122245000035036</v>
      </c>
      <c r="O46" s="396">
        <f t="shared" si="6"/>
        <v>-5.8038305281511162E-4</v>
      </c>
      <c r="P46" s="53"/>
      <c r="Q46" s="408">
        <f>IFERROR(VLOOKUP($C46,'Proposed Rates'!$B:$J,Q$11,FALSE),0)</f>
        <v>0.10453</v>
      </c>
      <c r="R46" s="502">
        <f>$F$9+R$37</f>
        <v>1319912.9999999998</v>
      </c>
      <c r="S46" s="394">
        <f t="shared" si="55"/>
        <v>137970.50588999997</v>
      </c>
      <c r="T46" s="138"/>
      <c r="U46" s="395">
        <f t="shared" si="9"/>
        <v>0</v>
      </c>
      <c r="V46" s="396">
        <f t="shared" si="10"/>
        <v>0</v>
      </c>
      <c r="W46" s="53"/>
      <c r="X46" s="408">
        <f>IFERROR(VLOOKUP($C46,'Proposed Rates'!$B:$J,X$11,FALSE),0)</f>
        <v>0.10453</v>
      </c>
      <c r="Y46" s="502">
        <f>$F$9+Y$37</f>
        <v>1319912.9999999998</v>
      </c>
      <c r="Z46" s="394">
        <f t="shared" si="57"/>
        <v>137970.50588999997</v>
      </c>
      <c r="AA46" s="138"/>
      <c r="AB46" s="395">
        <f t="shared" si="13"/>
        <v>0</v>
      </c>
      <c r="AC46" s="396">
        <f t="shared" si="14"/>
        <v>0</v>
      </c>
      <c r="AD46" s="53"/>
      <c r="AE46" s="408">
        <f>IFERROR(VLOOKUP($C46,'Proposed Rates'!$B:$J,AE$11,FALSE),0)</f>
        <v>0.10453</v>
      </c>
      <c r="AF46" s="502">
        <f>$F$9+AF$37</f>
        <v>1319912.9999999998</v>
      </c>
      <c r="AG46" s="394">
        <f t="shared" si="59"/>
        <v>137970.50588999997</v>
      </c>
      <c r="AH46" s="138"/>
      <c r="AI46" s="395">
        <f t="shared" si="17"/>
        <v>0</v>
      </c>
      <c r="AJ46" s="396">
        <f t="shared" si="18"/>
        <v>0</v>
      </c>
      <c r="AK46" s="53"/>
      <c r="AL46" s="408">
        <f>IFERROR(VLOOKUP($C46,'Proposed Rates'!$B:$J,AL$11,FALSE),0)</f>
        <v>0.10453</v>
      </c>
      <c r="AM46" s="502">
        <f>$F$9+AM$37</f>
        <v>1319912.9999999998</v>
      </c>
      <c r="AN46" s="394">
        <f t="shared" si="61"/>
        <v>137970.50588999997</v>
      </c>
      <c r="AO46" s="138"/>
      <c r="AP46" s="395">
        <f t="shared" si="21"/>
        <v>0</v>
      </c>
      <c r="AQ46" s="396">
        <f t="shared" si="22"/>
        <v>0</v>
      </c>
      <c r="AR46" s="397"/>
    </row>
    <row r="47" spans="1:44" ht="7.5" customHeight="1">
      <c r="A47" s="53"/>
      <c r="B47" s="328"/>
      <c r="C47" s="389" t="str">
        <f t="shared" ref="C47:C50" si="62">D$6&amp;"."&amp;B45</f>
        <v>General Service 1,500 to 4,999 KW.Standard Supply Service Charge</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row>
    <row r="48" spans="1:44" ht="7.5" customHeight="1">
      <c r="A48" s="53"/>
      <c r="B48" s="53"/>
      <c r="C48" s="389" t="str">
        <f t="shared" si="62"/>
        <v>General Service 1,500 to 4,999 KW.Average IESO Wholesale Market Price</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row>
    <row r="49" spans="1:44" ht="7.5" customHeight="1">
      <c r="A49" s="53"/>
      <c r="B49" s="328"/>
      <c r="C49" s="389" t="str">
        <f t="shared" si="62"/>
        <v>General Service 1,500 to 4,999 KW.</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row>
    <row r="50" spans="1:44" ht="7.5" customHeight="1">
      <c r="A50" s="53"/>
      <c r="B50" s="328"/>
      <c r="C50" s="389" t="str">
        <f t="shared" si="62"/>
        <v>General Service 1,500 to 4,999 KW.</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row>
    <row r="51" spans="1:44" ht="8.25" customHeight="1">
      <c r="A51" s="53"/>
      <c r="B51" s="428"/>
      <c r="C51" s="555"/>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row>
    <row r="52" spans="1:44" ht="12.75" customHeight="1">
      <c r="A52" s="53"/>
      <c r="B52" s="438" t="s">
        <v>344</v>
      </c>
      <c r="C52" s="556"/>
      <c r="D52" s="328"/>
      <c r="E52" s="328"/>
      <c r="F52" s="439"/>
      <c r="G52" s="483"/>
      <c r="H52" s="441">
        <f>SUM(H43:H48,H42)</f>
        <v>212954.01513499999</v>
      </c>
      <c r="I52" s="476"/>
      <c r="J52" s="440"/>
      <c r="K52" s="440"/>
      <c r="L52" s="441">
        <f>SUM(L43:L48,L42)</f>
        <v>210210.16478999995</v>
      </c>
      <c r="M52" s="443"/>
      <c r="N52" s="442">
        <f t="shared" ref="N52:N56" si="63">L52-H52</f>
        <v>-2743.8503450000426</v>
      </c>
      <c r="O52" s="444">
        <f t="shared" ref="O52:O56" si="64">IF((H52)=0,"",(N52/H52))</f>
        <v>-1.2884708199845902E-2</v>
      </c>
      <c r="P52" s="53"/>
      <c r="Q52" s="440"/>
      <c r="R52" s="440"/>
      <c r="S52" s="441">
        <f>SUM(S43:S48,S42)</f>
        <v>216353.91478999995</v>
      </c>
      <c r="T52" s="443"/>
      <c r="U52" s="442">
        <f t="shared" ref="U52:U56" si="65">S52-L52</f>
        <v>6143.75</v>
      </c>
      <c r="V52" s="444">
        <f t="shared" ref="V52:V56" si="66">IF((L52)=0,"",(U52/L52))</f>
        <v>2.9226702743597621E-2</v>
      </c>
      <c r="W52" s="53"/>
      <c r="X52" s="440"/>
      <c r="Y52" s="440"/>
      <c r="Z52" s="441">
        <f>SUM(Z43:Z48,Z42)</f>
        <v>211476.72478999995</v>
      </c>
      <c r="AA52" s="443"/>
      <c r="AB52" s="442">
        <f t="shared" ref="AB52:AB56" si="67">Z52-S52</f>
        <v>-4877.1900000000023</v>
      </c>
      <c r="AC52" s="444">
        <f t="shared" ref="AC52:AC56" si="68">IF((S52)=0,"",(AB52/S52))</f>
        <v>-2.2542647331960503E-2</v>
      </c>
      <c r="AD52" s="53"/>
      <c r="AE52" s="440"/>
      <c r="AF52" s="440"/>
      <c r="AG52" s="441">
        <f>SUM(AG43:AG48,AG42)</f>
        <v>212951.48478999996</v>
      </c>
      <c r="AH52" s="443"/>
      <c r="AI52" s="442">
        <f t="shared" ref="AI52:AI56" si="69">AG52-Z52</f>
        <v>1474.7600000000093</v>
      </c>
      <c r="AJ52" s="444">
        <f t="shared" ref="AJ52:AJ56" si="70">IF((Z52)=0,"",(AI52/Z52))</f>
        <v>6.9736279558162799E-3</v>
      </c>
      <c r="AK52" s="53"/>
      <c r="AL52" s="440"/>
      <c r="AM52" s="440"/>
      <c r="AN52" s="441">
        <f>SUM(AN43:AN48,AN42)</f>
        <v>214300.80478999997</v>
      </c>
      <c r="AO52" s="443"/>
      <c r="AP52" s="442">
        <f t="shared" ref="AP52:AP56" si="71">AN52-AG52</f>
        <v>1349.320000000007</v>
      </c>
      <c r="AQ52" s="444">
        <f t="shared" ref="AQ52:AQ56" si="72">IF((AG52)=0,"",(AP52/AG52))</f>
        <v>6.3362789009460338E-3</v>
      </c>
      <c r="AR52" s="445"/>
    </row>
    <row r="53" spans="1:44" ht="12.75" customHeight="1">
      <c r="A53" s="53"/>
      <c r="B53" s="446" t="s">
        <v>345</v>
      </c>
      <c r="C53" s="556"/>
      <c r="D53" s="328"/>
      <c r="E53" s="328"/>
      <c r="F53" s="439">
        <v>0.13</v>
      </c>
      <c r="G53" s="138"/>
      <c r="H53" s="484">
        <f>H52*F53</f>
        <v>27684.021967550001</v>
      </c>
      <c r="I53" s="411"/>
      <c r="J53" s="447">
        <v>0.13</v>
      </c>
      <c r="K53" s="411"/>
      <c r="L53" s="394">
        <f>L52*J53</f>
        <v>27327.321422699995</v>
      </c>
      <c r="M53" s="138"/>
      <c r="N53" s="395">
        <f t="shared" si="63"/>
        <v>-356.70054485000583</v>
      </c>
      <c r="O53" s="396">
        <f t="shared" si="64"/>
        <v>-1.2884708199845911E-2</v>
      </c>
      <c r="P53" s="53"/>
      <c r="Q53" s="447">
        <v>0.13</v>
      </c>
      <c r="R53" s="411"/>
      <c r="S53" s="394">
        <f>S52*Q53</f>
        <v>28126.008922699995</v>
      </c>
      <c r="T53" s="138"/>
      <c r="U53" s="395">
        <f t="shared" si="65"/>
        <v>798.6875</v>
      </c>
      <c r="V53" s="396">
        <f t="shared" si="66"/>
        <v>2.9226702743597621E-2</v>
      </c>
      <c r="W53" s="53"/>
      <c r="X53" s="447">
        <v>0.13</v>
      </c>
      <c r="Y53" s="411"/>
      <c r="Z53" s="394">
        <f>Z52*X53</f>
        <v>27491.974222699995</v>
      </c>
      <c r="AA53" s="138"/>
      <c r="AB53" s="395">
        <f t="shared" si="67"/>
        <v>-634.03470000000016</v>
      </c>
      <c r="AC53" s="396">
        <f t="shared" si="68"/>
        <v>-2.2542647331960496E-2</v>
      </c>
      <c r="AD53" s="53"/>
      <c r="AE53" s="447">
        <v>0.13</v>
      </c>
      <c r="AF53" s="411"/>
      <c r="AG53" s="394">
        <f>AG52*AE53</f>
        <v>27683.693022699994</v>
      </c>
      <c r="AH53" s="138"/>
      <c r="AI53" s="395">
        <f t="shared" si="69"/>
        <v>191.71879999999874</v>
      </c>
      <c r="AJ53" s="396">
        <f t="shared" si="70"/>
        <v>6.9736279558161897E-3</v>
      </c>
      <c r="AK53" s="53"/>
      <c r="AL53" s="447">
        <v>0.13</v>
      </c>
      <c r="AM53" s="411"/>
      <c r="AN53" s="394">
        <f>AN52*AL53</f>
        <v>27859.104622699997</v>
      </c>
      <c r="AO53" s="138"/>
      <c r="AP53" s="395">
        <f t="shared" si="71"/>
        <v>175.41160000000309</v>
      </c>
      <c r="AQ53" s="396">
        <f t="shared" si="72"/>
        <v>6.3362789009461127E-3</v>
      </c>
      <c r="AR53" s="397"/>
    </row>
    <row r="54" spans="1:44" ht="12.75" customHeight="1">
      <c r="A54" s="53"/>
      <c r="B54" s="485" t="s">
        <v>431</v>
      </c>
      <c r="C54" s="556"/>
      <c r="D54" s="328"/>
      <c r="E54" s="328"/>
      <c r="F54" s="449"/>
      <c r="G54" s="138"/>
      <c r="H54" s="484">
        <f>H52+H53</f>
        <v>240638.03710255001</v>
      </c>
      <c r="I54" s="411"/>
      <c r="J54" s="411"/>
      <c r="K54" s="411"/>
      <c r="L54" s="394">
        <f>L52+L53</f>
        <v>237537.48621269994</v>
      </c>
      <c r="M54" s="138"/>
      <c r="N54" s="395">
        <f t="shared" si="63"/>
        <v>-3100.5508898500702</v>
      </c>
      <c r="O54" s="396">
        <f t="shared" si="64"/>
        <v>-1.2884708199845992E-2</v>
      </c>
      <c r="P54" s="53"/>
      <c r="Q54" s="411"/>
      <c r="R54" s="411"/>
      <c r="S54" s="394">
        <f>S52+S53</f>
        <v>244479.92371269994</v>
      </c>
      <c r="T54" s="138"/>
      <c r="U54" s="395">
        <f t="shared" si="65"/>
        <v>6942.4375</v>
      </c>
      <c r="V54" s="396">
        <f t="shared" si="66"/>
        <v>2.9226702743597625E-2</v>
      </c>
      <c r="W54" s="53"/>
      <c r="X54" s="411"/>
      <c r="Y54" s="411"/>
      <c r="Z54" s="394">
        <f>Z52+Z53</f>
        <v>238968.69901269994</v>
      </c>
      <c r="AA54" s="138"/>
      <c r="AB54" s="395">
        <f t="shared" si="67"/>
        <v>-5511.2246999999916</v>
      </c>
      <c r="AC54" s="396">
        <f t="shared" si="68"/>
        <v>-2.2542647331960458E-2</v>
      </c>
      <c r="AD54" s="53"/>
      <c r="AE54" s="411"/>
      <c r="AF54" s="411"/>
      <c r="AG54" s="394">
        <f>AG52+AG53</f>
        <v>240635.17781269996</v>
      </c>
      <c r="AH54" s="138"/>
      <c r="AI54" s="395">
        <f t="shared" si="69"/>
        <v>1666.4788000000117</v>
      </c>
      <c r="AJ54" s="396">
        <f t="shared" si="70"/>
        <v>6.9736279558162842E-3</v>
      </c>
      <c r="AK54" s="53"/>
      <c r="AL54" s="411"/>
      <c r="AM54" s="411"/>
      <c r="AN54" s="394">
        <f>AN52+AN53</f>
        <v>242159.90941269996</v>
      </c>
      <c r="AO54" s="138"/>
      <c r="AP54" s="395">
        <f t="shared" si="71"/>
        <v>1524.7315999999992</v>
      </c>
      <c r="AQ54" s="396">
        <f t="shared" si="72"/>
        <v>6.3362789009459974E-3</v>
      </c>
      <c r="AR54" s="397"/>
    </row>
    <row r="55" spans="1:44" ht="15.75" customHeight="1">
      <c r="A55" s="53"/>
      <c r="B55" s="626" t="s">
        <v>304</v>
      </c>
      <c r="C55" s="616"/>
      <c r="D55" s="616"/>
      <c r="E55" s="328"/>
      <c r="F55" s="449"/>
      <c r="G55" s="138"/>
      <c r="H55" s="486">
        <f>F55*H52</f>
        <v>0</v>
      </c>
      <c r="I55" s="411"/>
      <c r="J55" s="411"/>
      <c r="K55" s="411"/>
      <c r="L55" s="506">
        <f>J55*L52</f>
        <v>0</v>
      </c>
      <c r="M55" s="138"/>
      <c r="N55" s="451">
        <f t="shared" si="63"/>
        <v>0</v>
      </c>
      <c r="O55" s="453" t="str">
        <f t="shared" si="64"/>
        <v/>
      </c>
      <c r="P55" s="53"/>
      <c r="Q55" s="411"/>
      <c r="R55" s="411"/>
      <c r="S55" s="506">
        <f>Q55*S52</f>
        <v>0</v>
      </c>
      <c r="T55" s="138"/>
      <c r="U55" s="451">
        <f t="shared" si="65"/>
        <v>0</v>
      </c>
      <c r="V55" s="453" t="str">
        <f t="shared" si="66"/>
        <v/>
      </c>
      <c r="W55" s="53"/>
      <c r="X55" s="411"/>
      <c r="Y55" s="411"/>
      <c r="Z55" s="506">
        <f>X55*Z52</f>
        <v>0</v>
      </c>
      <c r="AA55" s="138"/>
      <c r="AB55" s="451">
        <f t="shared" si="67"/>
        <v>0</v>
      </c>
      <c r="AC55" s="453" t="str">
        <f t="shared" si="68"/>
        <v/>
      </c>
      <c r="AD55" s="53"/>
      <c r="AE55" s="411"/>
      <c r="AF55" s="411"/>
      <c r="AG55" s="506">
        <f>AE55*AG52</f>
        <v>0</v>
      </c>
      <c r="AH55" s="138"/>
      <c r="AI55" s="451">
        <f t="shared" si="69"/>
        <v>0</v>
      </c>
      <c r="AJ55" s="453" t="str">
        <f t="shared" si="70"/>
        <v/>
      </c>
      <c r="AK55" s="53"/>
      <c r="AL55" s="411"/>
      <c r="AM55" s="411"/>
      <c r="AN55" s="506">
        <f>AL55*AN52</f>
        <v>0</v>
      </c>
      <c r="AO55" s="138"/>
      <c r="AP55" s="451">
        <f t="shared" si="71"/>
        <v>0</v>
      </c>
      <c r="AQ55" s="453" t="str">
        <f t="shared" si="72"/>
        <v/>
      </c>
      <c r="AR55" s="454"/>
    </row>
    <row r="56" spans="1:44" ht="13.5" customHeight="1">
      <c r="A56" s="53"/>
      <c r="B56" s="627" t="s">
        <v>347</v>
      </c>
      <c r="C56" s="608"/>
      <c r="D56" s="600"/>
      <c r="E56" s="455"/>
      <c r="F56" s="456"/>
      <c r="G56" s="487"/>
      <c r="H56" s="488">
        <f>H54-H55</f>
        <v>240638.03710255001</v>
      </c>
      <c r="I56" s="457"/>
      <c r="J56" s="457"/>
      <c r="K56" s="457"/>
      <c r="L56" s="458">
        <f>L54-L55</f>
        <v>237537.48621269994</v>
      </c>
      <c r="M56" s="459"/>
      <c r="N56" s="460">
        <f t="shared" si="63"/>
        <v>-3100.5508898500702</v>
      </c>
      <c r="O56" s="461">
        <f t="shared" si="64"/>
        <v>-1.2884708199845992E-2</v>
      </c>
      <c r="P56" s="53"/>
      <c r="Q56" s="457"/>
      <c r="R56" s="457"/>
      <c r="S56" s="458">
        <f>S54-S55</f>
        <v>244479.92371269994</v>
      </c>
      <c r="T56" s="459"/>
      <c r="U56" s="460">
        <f t="shared" si="65"/>
        <v>6942.4375</v>
      </c>
      <c r="V56" s="461">
        <f t="shared" si="66"/>
        <v>2.9226702743597625E-2</v>
      </c>
      <c r="W56" s="53"/>
      <c r="X56" s="457"/>
      <c r="Y56" s="457"/>
      <c r="Z56" s="458">
        <f>Z54-Z55</f>
        <v>238968.69901269994</v>
      </c>
      <c r="AA56" s="459"/>
      <c r="AB56" s="460">
        <f t="shared" si="67"/>
        <v>-5511.2246999999916</v>
      </c>
      <c r="AC56" s="461">
        <f t="shared" si="68"/>
        <v>-2.2542647331960458E-2</v>
      </c>
      <c r="AD56" s="53"/>
      <c r="AE56" s="457"/>
      <c r="AF56" s="457"/>
      <c r="AG56" s="458">
        <f>AG54-AG55</f>
        <v>240635.17781269996</v>
      </c>
      <c r="AH56" s="459"/>
      <c r="AI56" s="460">
        <f t="shared" si="69"/>
        <v>1666.4788000000117</v>
      </c>
      <c r="AJ56" s="461">
        <f t="shared" si="70"/>
        <v>6.9736279558162842E-3</v>
      </c>
      <c r="AK56" s="53"/>
      <c r="AL56" s="457"/>
      <c r="AM56" s="457"/>
      <c r="AN56" s="458">
        <f>AN54-AN55</f>
        <v>242159.90941269996</v>
      </c>
      <c r="AO56" s="459"/>
      <c r="AP56" s="460">
        <f t="shared" si="71"/>
        <v>1524.7315999999992</v>
      </c>
      <c r="AQ56" s="461">
        <f t="shared" si="72"/>
        <v>6.3362789009459974E-3</v>
      </c>
      <c r="AR56" s="462"/>
    </row>
    <row r="57" spans="1:44" ht="8.25" customHeight="1">
      <c r="A57" s="53"/>
      <c r="B57" s="428"/>
      <c r="C57" s="555"/>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row>
    <row r="58" spans="1:44" ht="12.75" customHeight="1">
      <c r="A58" s="507"/>
      <c r="B58" s="508" t="s">
        <v>348</v>
      </c>
      <c r="C58" s="557"/>
      <c r="D58" s="509"/>
      <c r="E58" s="509"/>
      <c r="F58" s="510"/>
      <c r="G58" s="511"/>
      <c r="H58" s="512">
        <f>SUM(H49:H50,H42,H43:H45)</f>
        <v>74903.387000000002</v>
      </c>
      <c r="I58" s="513"/>
      <c r="J58" s="514"/>
      <c r="K58" s="514"/>
      <c r="L58" s="512">
        <f>SUM(L49:L50,L42,L43:L45)</f>
        <v>72239.658899999995</v>
      </c>
      <c r="M58" s="515"/>
      <c r="N58" s="516">
        <f t="shared" ref="N58:N62" si="73">L58-H58</f>
        <v>-2663.7281000000075</v>
      </c>
      <c r="O58" s="517">
        <f t="shared" ref="O58:O62" si="74">IF((H58)=0,"",(N58/H58))</f>
        <v>-3.5562184924962173E-2</v>
      </c>
      <c r="P58" s="507"/>
      <c r="Q58" s="514"/>
      <c r="R58" s="514"/>
      <c r="S58" s="512">
        <f>SUM(S49:S50,S42,S43:S45)</f>
        <v>78383.408899999995</v>
      </c>
      <c r="T58" s="515"/>
      <c r="U58" s="516">
        <f t="shared" ref="U58:U62" si="75">S58-L58</f>
        <v>6143.75</v>
      </c>
      <c r="V58" s="517">
        <f t="shared" ref="V58:V62" si="76">IF((L58)=0,"",(U58/L58))</f>
        <v>8.5046774770970029E-2</v>
      </c>
      <c r="W58" s="507"/>
      <c r="X58" s="514"/>
      <c r="Y58" s="514"/>
      <c r="Z58" s="512">
        <f>SUM(Z49:Z50,Z42,Z43:Z45)</f>
        <v>73506.218899999993</v>
      </c>
      <c r="AA58" s="515"/>
      <c r="AB58" s="516">
        <f t="shared" ref="AB58:AB62" si="77">Z58-S58</f>
        <v>-4877.1900000000023</v>
      </c>
      <c r="AC58" s="517">
        <f t="shared" ref="AC58:AC62" si="78">IF((S58)=0,"",(AB58/S58))</f>
        <v>-6.2222223662436335E-2</v>
      </c>
      <c r="AD58" s="507"/>
      <c r="AE58" s="514"/>
      <c r="AF58" s="514"/>
      <c r="AG58" s="512">
        <f>SUM(AG49:AG50,AG42,AG43:AG45)</f>
        <v>74980.978899999987</v>
      </c>
      <c r="AH58" s="515"/>
      <c r="AI58" s="516">
        <f t="shared" ref="AI58:AI62" si="79">AG58-Z58</f>
        <v>1474.7599999999948</v>
      </c>
      <c r="AJ58" s="517">
        <f t="shared" ref="AJ58:AJ62" si="80">IF((Z58)=0,"",(AI58/Z58))</f>
        <v>2.0063064351144241E-2</v>
      </c>
      <c r="AK58" s="507"/>
      <c r="AL58" s="514"/>
      <c r="AM58" s="514"/>
      <c r="AN58" s="512">
        <f>SUM(AN49:AN50,AN42,AN43:AN45)</f>
        <v>76330.298899999994</v>
      </c>
      <c r="AO58" s="515"/>
      <c r="AP58" s="516">
        <f t="shared" ref="AP58:AP62" si="81">AN58-AG58</f>
        <v>1349.320000000007</v>
      </c>
      <c r="AQ58" s="517">
        <f t="shared" ref="AQ58:AQ62" si="82">IF((AG58)=0,"",(AP58/AG58))</f>
        <v>1.7995497255371352E-2</v>
      </c>
      <c r="AR58" s="518"/>
    </row>
    <row r="59" spans="1:44" ht="12.75" customHeight="1">
      <c r="A59" s="507"/>
      <c r="B59" s="519" t="s">
        <v>345</v>
      </c>
      <c r="C59" s="557"/>
      <c r="D59" s="509"/>
      <c r="E59" s="509"/>
      <c r="F59" s="510">
        <v>0.13</v>
      </c>
      <c r="G59" s="511"/>
      <c r="H59" s="520">
        <f>H58*F59</f>
        <v>9737.44031</v>
      </c>
      <c r="I59" s="521"/>
      <c r="J59" s="510">
        <v>0.13</v>
      </c>
      <c r="K59" s="522"/>
      <c r="L59" s="523">
        <f>L58*J59</f>
        <v>9391.1556569999993</v>
      </c>
      <c r="M59" s="524"/>
      <c r="N59" s="525">
        <f t="shared" si="73"/>
        <v>-346.28465300000062</v>
      </c>
      <c r="O59" s="526">
        <f t="shared" si="74"/>
        <v>-3.5562184924962138E-2</v>
      </c>
      <c r="P59" s="507"/>
      <c r="Q59" s="510">
        <v>0.13</v>
      </c>
      <c r="R59" s="522"/>
      <c r="S59" s="523">
        <f>S58*Q59</f>
        <v>10189.843156999999</v>
      </c>
      <c r="T59" s="524"/>
      <c r="U59" s="525">
        <f t="shared" si="75"/>
        <v>798.6875</v>
      </c>
      <c r="V59" s="526">
        <f t="shared" si="76"/>
        <v>8.5046774770970029E-2</v>
      </c>
      <c r="W59" s="507"/>
      <c r="X59" s="510">
        <v>0.13</v>
      </c>
      <c r="Y59" s="522"/>
      <c r="Z59" s="523">
        <f>Z58*X59</f>
        <v>9555.8084569999992</v>
      </c>
      <c r="AA59" s="524"/>
      <c r="AB59" s="525">
        <f t="shared" si="77"/>
        <v>-634.03470000000016</v>
      </c>
      <c r="AC59" s="526">
        <f t="shared" si="78"/>
        <v>-6.2222223662436321E-2</v>
      </c>
      <c r="AD59" s="507"/>
      <c r="AE59" s="510">
        <v>0.13</v>
      </c>
      <c r="AF59" s="522"/>
      <c r="AG59" s="523">
        <f>AG58*AE59</f>
        <v>9747.5272569999979</v>
      </c>
      <c r="AH59" s="524"/>
      <c r="AI59" s="525">
        <f t="shared" si="79"/>
        <v>191.71879999999874</v>
      </c>
      <c r="AJ59" s="526">
        <f t="shared" si="80"/>
        <v>2.0063064351144178E-2</v>
      </c>
      <c r="AK59" s="507"/>
      <c r="AL59" s="510">
        <v>0.13</v>
      </c>
      <c r="AM59" s="522"/>
      <c r="AN59" s="523">
        <f>AN58*AL59</f>
        <v>9922.9388569999992</v>
      </c>
      <c r="AO59" s="524"/>
      <c r="AP59" s="525">
        <f t="shared" si="81"/>
        <v>175.41160000000127</v>
      </c>
      <c r="AQ59" s="526">
        <f t="shared" si="82"/>
        <v>1.799549725537139E-2</v>
      </c>
      <c r="AR59" s="527"/>
    </row>
    <row r="60" spans="1:44" ht="12.75" customHeight="1">
      <c r="A60" s="507"/>
      <c r="B60" s="548" t="s">
        <v>432</v>
      </c>
      <c r="C60" s="557"/>
      <c r="D60" s="509"/>
      <c r="E60" s="509"/>
      <c r="F60" s="529"/>
      <c r="G60" s="524"/>
      <c r="H60" s="520">
        <f>H58+H59</f>
        <v>84640.827310000008</v>
      </c>
      <c r="I60" s="521"/>
      <c r="J60" s="521"/>
      <c r="K60" s="521"/>
      <c r="L60" s="523">
        <f>L58+L59</f>
        <v>81630.814556999991</v>
      </c>
      <c r="M60" s="524"/>
      <c r="N60" s="525">
        <f t="shared" si="73"/>
        <v>-3010.0127530000173</v>
      </c>
      <c r="O60" s="526">
        <f t="shared" si="74"/>
        <v>-3.556218492496227E-2</v>
      </c>
      <c r="P60" s="507"/>
      <c r="Q60" s="521"/>
      <c r="R60" s="521"/>
      <c r="S60" s="523">
        <f>S58+S59</f>
        <v>88573.252056999991</v>
      </c>
      <c r="T60" s="524"/>
      <c r="U60" s="525">
        <f t="shared" si="75"/>
        <v>6942.4375</v>
      </c>
      <c r="V60" s="526">
        <f t="shared" si="76"/>
        <v>8.5046774770970029E-2</v>
      </c>
      <c r="W60" s="507"/>
      <c r="X60" s="521"/>
      <c r="Y60" s="521"/>
      <c r="Z60" s="523">
        <f>Z58+Z59</f>
        <v>83062.027356999984</v>
      </c>
      <c r="AA60" s="524"/>
      <c r="AB60" s="525">
        <f t="shared" si="77"/>
        <v>-5511.2247000000061</v>
      </c>
      <c r="AC60" s="526">
        <f t="shared" si="78"/>
        <v>-6.2222223662436377E-2</v>
      </c>
      <c r="AD60" s="507"/>
      <c r="AE60" s="521"/>
      <c r="AF60" s="521"/>
      <c r="AG60" s="523">
        <f>AG58+AG59</f>
        <v>84728.506156999982</v>
      </c>
      <c r="AH60" s="524"/>
      <c r="AI60" s="525">
        <f t="shared" si="79"/>
        <v>1666.4787999999971</v>
      </c>
      <c r="AJ60" s="526">
        <f t="shared" si="80"/>
        <v>2.0063064351144279E-2</v>
      </c>
      <c r="AK60" s="507"/>
      <c r="AL60" s="521"/>
      <c r="AM60" s="521"/>
      <c r="AN60" s="523">
        <f>AN58+AN59</f>
        <v>86253.237756999995</v>
      </c>
      <c r="AO60" s="524"/>
      <c r="AP60" s="525">
        <f t="shared" si="81"/>
        <v>1524.7316000000137</v>
      </c>
      <c r="AQ60" s="526">
        <f t="shared" si="82"/>
        <v>1.7995497255371421E-2</v>
      </c>
      <c r="AR60" s="527"/>
    </row>
    <row r="61" spans="1:44" ht="15.75" customHeight="1">
      <c r="A61" s="507"/>
      <c r="B61" s="636" t="s">
        <v>304</v>
      </c>
      <c r="C61" s="616"/>
      <c r="D61" s="616"/>
      <c r="E61" s="509"/>
      <c r="F61" s="529"/>
      <c r="G61" s="524"/>
      <c r="H61" s="530">
        <f>F61*H58</f>
        <v>0</v>
      </c>
      <c r="I61" s="521"/>
      <c r="J61" s="521"/>
      <c r="K61" s="521"/>
      <c r="L61" s="531">
        <f>J61*L58</f>
        <v>0</v>
      </c>
      <c r="M61" s="524"/>
      <c r="N61" s="532">
        <f t="shared" si="73"/>
        <v>0</v>
      </c>
      <c r="O61" s="533" t="str">
        <f t="shared" si="74"/>
        <v/>
      </c>
      <c r="P61" s="507"/>
      <c r="Q61" s="521"/>
      <c r="R61" s="521"/>
      <c r="S61" s="531">
        <f>Q61*S58</f>
        <v>0</v>
      </c>
      <c r="T61" s="524"/>
      <c r="U61" s="532">
        <f t="shared" si="75"/>
        <v>0</v>
      </c>
      <c r="V61" s="533" t="str">
        <f t="shared" si="76"/>
        <v/>
      </c>
      <c r="W61" s="507"/>
      <c r="X61" s="521"/>
      <c r="Y61" s="521"/>
      <c r="Z61" s="531">
        <f>X61*Z58</f>
        <v>0</v>
      </c>
      <c r="AA61" s="524"/>
      <c r="AB61" s="532">
        <f t="shared" si="77"/>
        <v>0</v>
      </c>
      <c r="AC61" s="533" t="str">
        <f t="shared" si="78"/>
        <v/>
      </c>
      <c r="AD61" s="507"/>
      <c r="AE61" s="521"/>
      <c r="AF61" s="521"/>
      <c r="AG61" s="531">
        <f>AE61*AG58</f>
        <v>0</v>
      </c>
      <c r="AH61" s="524"/>
      <c r="AI61" s="532">
        <f t="shared" si="79"/>
        <v>0</v>
      </c>
      <c r="AJ61" s="533" t="str">
        <f t="shared" si="80"/>
        <v/>
      </c>
      <c r="AK61" s="507"/>
      <c r="AL61" s="521"/>
      <c r="AM61" s="521"/>
      <c r="AN61" s="531">
        <f>AL61*AN58</f>
        <v>0</v>
      </c>
      <c r="AO61" s="524"/>
      <c r="AP61" s="532">
        <f t="shared" si="81"/>
        <v>0</v>
      </c>
      <c r="AQ61" s="533" t="str">
        <f t="shared" si="82"/>
        <v/>
      </c>
      <c r="AR61" s="534"/>
    </row>
    <row r="62" spans="1:44" ht="13.5" customHeight="1">
      <c r="A62" s="507"/>
      <c r="B62" s="637" t="s">
        <v>350</v>
      </c>
      <c r="C62" s="608"/>
      <c r="D62" s="600"/>
      <c r="E62" s="535"/>
      <c r="F62" s="536"/>
      <c r="G62" s="537"/>
      <c r="H62" s="538">
        <f>H60-H61</f>
        <v>84640.827310000008</v>
      </c>
      <c r="I62" s="539"/>
      <c r="J62" s="539"/>
      <c r="K62" s="539"/>
      <c r="L62" s="540">
        <f>L60-L61</f>
        <v>81630.814556999991</v>
      </c>
      <c r="M62" s="541"/>
      <c r="N62" s="542">
        <f t="shared" si="73"/>
        <v>-3010.0127530000173</v>
      </c>
      <c r="O62" s="543">
        <f t="shared" si="74"/>
        <v>-3.556218492496227E-2</v>
      </c>
      <c r="P62" s="507"/>
      <c r="Q62" s="539"/>
      <c r="R62" s="539"/>
      <c r="S62" s="540">
        <f>S60-S61</f>
        <v>88573.252056999991</v>
      </c>
      <c r="T62" s="541"/>
      <c r="U62" s="542">
        <f t="shared" si="75"/>
        <v>6942.4375</v>
      </c>
      <c r="V62" s="543">
        <f t="shared" si="76"/>
        <v>8.5046774770970029E-2</v>
      </c>
      <c r="W62" s="507"/>
      <c r="X62" s="539"/>
      <c r="Y62" s="539"/>
      <c r="Z62" s="540">
        <f>Z60-Z61</f>
        <v>83062.027356999984</v>
      </c>
      <c r="AA62" s="541"/>
      <c r="AB62" s="542">
        <f t="shared" si="77"/>
        <v>-5511.2247000000061</v>
      </c>
      <c r="AC62" s="543">
        <f t="shared" si="78"/>
        <v>-6.2222223662436377E-2</v>
      </c>
      <c r="AD62" s="507"/>
      <c r="AE62" s="539"/>
      <c r="AF62" s="539"/>
      <c r="AG62" s="540">
        <f>AG60-AG61</f>
        <v>84728.506156999982</v>
      </c>
      <c r="AH62" s="541"/>
      <c r="AI62" s="542">
        <f t="shared" si="79"/>
        <v>1666.4787999999971</v>
      </c>
      <c r="AJ62" s="543">
        <f t="shared" si="80"/>
        <v>2.0063064351144279E-2</v>
      </c>
      <c r="AK62" s="507"/>
      <c r="AL62" s="539"/>
      <c r="AM62" s="539"/>
      <c r="AN62" s="540">
        <f>AN60-AN61</f>
        <v>86253.237756999995</v>
      </c>
      <c r="AO62" s="541"/>
      <c r="AP62" s="542">
        <f t="shared" si="81"/>
        <v>1524.7316000000137</v>
      </c>
      <c r="AQ62" s="543">
        <f t="shared" si="82"/>
        <v>1.7995497255371421E-2</v>
      </c>
      <c r="AR62" s="544"/>
    </row>
    <row r="63" spans="1:44" ht="8.25" customHeight="1">
      <c r="A63" s="53"/>
      <c r="B63" s="428"/>
      <c r="C63" s="555"/>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row>
    <row r="64" spans="1:44" ht="12.75" customHeight="1">
      <c r="A64" s="53"/>
      <c r="B64" s="53"/>
      <c r="C64" s="549"/>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4" t="s">
        <v>351</v>
      </c>
      <c r="C65" s="549"/>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row>
    <row r="66" spans="1:44" ht="12.75" customHeight="1">
      <c r="A66" s="53"/>
      <c r="B66" s="53"/>
      <c r="C66" s="549"/>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3" t="s">
        <v>433</v>
      </c>
      <c r="B67" s="53"/>
      <c r="C67" s="549"/>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49"/>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49"/>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49"/>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49"/>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49"/>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49"/>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49"/>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49"/>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49"/>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49"/>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49"/>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49"/>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49"/>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4"/>
      <c r="B81" s="53" t="s">
        <v>362</v>
      </c>
      <c r="C81" s="549"/>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49"/>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49"/>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49"/>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49"/>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49"/>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49"/>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49"/>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49"/>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49"/>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49"/>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49"/>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49"/>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49"/>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49"/>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49"/>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49"/>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49"/>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49"/>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49"/>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49"/>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49"/>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49"/>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49"/>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49"/>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49"/>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49"/>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49"/>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49"/>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49"/>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49"/>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49"/>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49"/>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49"/>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49"/>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49"/>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49"/>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49"/>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49"/>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49"/>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49"/>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49"/>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49"/>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49"/>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49"/>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49"/>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49"/>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49"/>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49"/>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49"/>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49"/>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49"/>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49"/>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49"/>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49"/>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49"/>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49"/>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49"/>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49"/>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49"/>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49"/>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49"/>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49"/>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49"/>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49"/>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49"/>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49"/>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49"/>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49"/>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49"/>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49"/>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49"/>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49"/>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49"/>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49"/>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49"/>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49"/>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49"/>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49"/>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49"/>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49"/>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49"/>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49"/>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49"/>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49"/>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49"/>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49"/>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49"/>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49"/>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49"/>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49"/>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49"/>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49"/>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49"/>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49"/>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49"/>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49"/>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49"/>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49"/>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49"/>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49"/>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49"/>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49"/>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49"/>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49"/>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49"/>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49"/>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49"/>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49"/>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49"/>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49"/>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49"/>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9"/>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9"/>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9"/>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9"/>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9"/>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9"/>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9"/>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9"/>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9"/>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9"/>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9"/>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9"/>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9"/>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9"/>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9"/>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9"/>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9"/>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9"/>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9"/>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9"/>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9"/>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9"/>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9"/>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9"/>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9"/>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9"/>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9"/>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9"/>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9"/>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9"/>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9"/>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9"/>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9"/>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9"/>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9"/>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9"/>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9"/>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9"/>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9"/>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9"/>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9"/>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9"/>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9"/>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9"/>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9"/>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9"/>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9"/>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9"/>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9"/>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9"/>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9"/>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9"/>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9"/>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9"/>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9"/>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9"/>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9"/>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9"/>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9"/>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9"/>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9"/>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9"/>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9"/>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9"/>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9"/>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9"/>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9"/>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9"/>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9"/>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9"/>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9"/>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9"/>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9"/>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9"/>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9"/>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9"/>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9"/>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9"/>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9"/>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9"/>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9"/>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9"/>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9"/>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9"/>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9"/>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9"/>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9"/>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9"/>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9"/>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9"/>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9"/>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2000-000000000000}">
      <formula1>"TOU,non-TOU"</formula1>
    </dataValidation>
    <dataValidation type="list" allowBlank="1" showErrorMessage="1" sqref="E15:E28 E30:E38 E40:E41 E43:E51 E57 E63" xr:uid="{00000000-0002-0000-2000-000001000000}">
      <formula1>#REF!</formula1>
    </dataValidation>
    <dataValidation type="list" allowBlank="1" showInputMessage="1" showErrorMessage="1" prompt="Select Charge Unit - monthly, per kWh, per kW" sqref="D15:D28 D30:D38 D40:D41 D43:D51 D57 D63" xr:uid="{00000000-0002-0000-2000-000002000000}">
      <formula1>"Monthly,per kWh,per kW"</formula1>
    </dataValidation>
  </dataValidations>
  <pageMargins left="0.74803149606299213" right="0.74803149606299213" top="0.98425196850393704" bottom="0.98425196850393704"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3.140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140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 customWidth="1"/>
    <col min="36" max="36" width="10" customWidth="1"/>
    <col min="37" max="37" width="0.7109375" customWidth="1"/>
    <col min="38" max="38" width="12.28515625" customWidth="1"/>
    <col min="39" max="39" width="11" customWidth="1"/>
    <col min="40" max="40" width="13" customWidth="1"/>
    <col min="41" max="41" width="1.28515625" customWidth="1"/>
    <col min="42" max="42" width="11" customWidth="1"/>
    <col min="43" max="43" width="10" customWidth="1"/>
    <col min="44" max="44" width="1.28515625" customWidth="1"/>
  </cols>
  <sheetData>
    <row r="1" spans="1:44" ht="7.5" customHeight="1">
      <c r="A1" s="53"/>
      <c r="B1" s="53"/>
      <c r="C1" s="549"/>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4" ht="18.75" customHeight="1">
      <c r="A2" s="53"/>
      <c r="B2" s="53"/>
      <c r="C2" s="550"/>
      <c r="D2" s="373"/>
      <c r="E2" s="373"/>
      <c r="F2" s="373" t="s">
        <v>320</v>
      </c>
      <c r="G2" s="373"/>
      <c r="H2" s="373"/>
      <c r="I2" s="373"/>
      <c r="J2" s="373"/>
      <c r="K2" s="373"/>
      <c r="L2" s="373"/>
      <c r="M2" s="373"/>
      <c r="N2" s="373"/>
      <c r="O2" s="37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4" ht="18.75" customHeight="1">
      <c r="A3" s="53"/>
      <c r="B3" s="53"/>
      <c r="C3" s="550"/>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7.5" customHeight="1">
      <c r="A4" s="53"/>
      <c r="B4" s="53"/>
      <c r="C4" s="549"/>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7.5" customHeight="1">
      <c r="A5" s="53"/>
      <c r="B5" s="53"/>
      <c r="C5" s="549"/>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75" customHeight="1">
      <c r="A6" s="53"/>
      <c r="B6" s="327" t="s">
        <v>323</v>
      </c>
      <c r="C6" s="549"/>
      <c r="D6" s="375" t="s">
        <v>251</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7.5" customHeight="1">
      <c r="A7" s="53"/>
      <c r="B7" s="377"/>
      <c r="C7" s="549"/>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75" customHeight="1">
      <c r="A8" s="53"/>
      <c r="B8" s="327" t="s">
        <v>324</v>
      </c>
      <c r="C8" s="549"/>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75" customHeight="1">
      <c r="A9" s="53"/>
      <c r="B9" s="377"/>
      <c r="C9" s="549"/>
      <c r="D9" s="314" t="s">
        <v>326</v>
      </c>
      <c r="E9" s="314"/>
      <c r="F9" s="380">
        <v>4000000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75" customHeight="1">
      <c r="A10" s="53"/>
      <c r="B10" s="53"/>
      <c r="C10" s="549"/>
      <c r="D10" s="53"/>
      <c r="E10" s="53"/>
      <c r="F10" s="380">
        <v>7500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75" customHeight="1">
      <c r="A11" s="53"/>
      <c r="B11" s="53"/>
      <c r="C11" s="549"/>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4" ht="12.75" customHeight="1">
      <c r="A12" s="53"/>
      <c r="B12" s="53"/>
      <c r="C12" s="549"/>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4" ht="12.75" customHeight="1">
      <c r="A13" s="53"/>
      <c r="B13" s="53"/>
      <c r="C13" s="549"/>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4" ht="12.75" customHeight="1">
      <c r="A14" s="53"/>
      <c r="B14" s="53"/>
      <c r="C14" s="549"/>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4" ht="12.75" customHeight="1">
      <c r="A15" s="53"/>
      <c r="B15" s="328" t="s">
        <v>246</v>
      </c>
      <c r="C15" s="389" t="str">
        <f t="shared" ref="C15:C28" si="0">D$6&amp;"."&amp;B15</f>
        <v>Large User.Monthly Service Charge</v>
      </c>
      <c r="D15" s="390" t="s">
        <v>335</v>
      </c>
      <c r="E15" s="328"/>
      <c r="F15" s="391">
        <f>IFERROR(VLOOKUP($C15,'Proposed Rates'!$B:$J,F$11,FALSE),0)</f>
        <v>14946.93</v>
      </c>
      <c r="G15" s="409">
        <f t="shared" ref="G15:G28" si="1">IF($D15="Monthly",1,IF($D15="per KW",$F$10,IF($D15="per kWh",$F$9,0)))</f>
        <v>1</v>
      </c>
      <c r="H15" s="394">
        <f t="shared" ref="H15:H28" si="2">G15*F15</f>
        <v>14946.93</v>
      </c>
      <c r="I15" s="138"/>
      <c r="J15" s="391">
        <f>IFERROR(VLOOKUP($C15,'Proposed Rates'!$B:$J,J$11,FALSE),0)</f>
        <v>14946.93</v>
      </c>
      <c r="K15" s="409">
        <f t="shared" ref="K15:K28" si="3">IF($D15="Monthly",1,IF($D15="per KW",$F$10,IF($D15="per kWh",$F$9,0)))</f>
        <v>1</v>
      </c>
      <c r="L15" s="394">
        <f t="shared" ref="L15:L28" si="4">K15*J15</f>
        <v>14946.93</v>
      </c>
      <c r="M15" s="138"/>
      <c r="N15" s="395">
        <f t="shared" ref="N15:N46" si="5">L15-H15</f>
        <v>0</v>
      </c>
      <c r="O15" s="396">
        <f t="shared" ref="O15:O46" si="6">IF((H15)=0,"",(N15/H15))</f>
        <v>0</v>
      </c>
      <c r="P15" s="53"/>
      <c r="Q15" s="391">
        <f>IFERROR(VLOOKUP($C15,'Proposed Rates'!$B:$J,Q$11,FALSE),0)</f>
        <v>14946.93</v>
      </c>
      <c r="R15" s="409">
        <f t="shared" ref="R15:R28" si="7">IF($D15="Monthly",1,IF($D15="per KW",$F$10,IF($D15="per kWh",$F$9,0)))</f>
        <v>1</v>
      </c>
      <c r="S15" s="394">
        <f t="shared" ref="S15:S28" si="8">R15*Q15</f>
        <v>14946.93</v>
      </c>
      <c r="T15" s="138"/>
      <c r="U15" s="395">
        <f t="shared" ref="U15:U46" si="9">S15-L15</f>
        <v>0</v>
      </c>
      <c r="V15" s="396">
        <f t="shared" ref="V15:V46" si="10">IF((L15)=0,"",(U15/L15))</f>
        <v>0</v>
      </c>
      <c r="W15" s="53"/>
      <c r="X15" s="391">
        <f>IFERROR(VLOOKUP($C15,'Proposed Rates'!$B:$J,X$11,FALSE),0)</f>
        <v>14946.93</v>
      </c>
      <c r="Y15" s="409">
        <f t="shared" ref="Y15:Y28" si="11">IF($D15="Monthly",1,IF($D15="per KW",$F$10,IF($D15="per kWh",$F$9,0)))</f>
        <v>1</v>
      </c>
      <c r="Z15" s="394">
        <f t="shared" ref="Z15:Z28" si="12">Y15*X15</f>
        <v>14946.93</v>
      </c>
      <c r="AA15" s="138"/>
      <c r="AB15" s="395">
        <f t="shared" ref="AB15:AB46" si="13">Z15-S15</f>
        <v>0</v>
      </c>
      <c r="AC15" s="396">
        <f t="shared" ref="AC15:AC46" si="14">IF((S15)=0,"",(AB15/S15))</f>
        <v>0</v>
      </c>
      <c r="AD15" s="53"/>
      <c r="AE15" s="391">
        <f>IFERROR(VLOOKUP($C15,'Proposed Rates'!$B:$J,AE$11,FALSE),0)</f>
        <v>14946.93</v>
      </c>
      <c r="AF15" s="409">
        <f t="shared" ref="AF15:AF28" si="15">IF($D15="Monthly",1,IF($D15="per KW",$F$10,IF($D15="per kWh",$F$9,0)))</f>
        <v>1</v>
      </c>
      <c r="AG15" s="394">
        <f t="shared" ref="AG15:AG28" si="16">AF15*AE15</f>
        <v>14946.93</v>
      </c>
      <c r="AH15" s="138"/>
      <c r="AI15" s="395">
        <f t="shared" ref="AI15:AI46" si="17">AG15-Z15</f>
        <v>0</v>
      </c>
      <c r="AJ15" s="396">
        <f t="shared" ref="AJ15:AJ46" si="18">IF((Z15)=0,"",(AI15/Z15))</f>
        <v>0</v>
      </c>
      <c r="AK15" s="53"/>
      <c r="AL15" s="391">
        <f>IFERROR(VLOOKUP($C15,'Proposed Rates'!$B:$J,AL$11,FALSE),0)</f>
        <v>14946.93</v>
      </c>
      <c r="AM15" s="409">
        <f t="shared" ref="AM15:AM28" si="19">IF($D15="Monthly",1,IF($D15="per KW",$F$10,IF($D15="per kWh",$F$9,0)))</f>
        <v>1</v>
      </c>
      <c r="AN15" s="394">
        <f t="shared" ref="AN15:AN28" si="20">AM15*AL15</f>
        <v>14946.93</v>
      </c>
      <c r="AO15" s="138"/>
      <c r="AP15" s="395">
        <f t="shared" ref="AP15:AP46" si="21">AN15-AG15</f>
        <v>0</v>
      </c>
      <c r="AQ15" s="396">
        <f t="shared" ref="AQ15:AQ46" si="22">IF((AG15)=0,"",(AP15/AG15))</f>
        <v>0</v>
      </c>
      <c r="AR15" s="397"/>
    </row>
    <row r="16" spans="1:44" ht="12.75" customHeight="1">
      <c r="A16" s="53"/>
      <c r="B16" s="328" t="s">
        <v>336</v>
      </c>
      <c r="C16" s="389" t="str">
        <f t="shared" si="0"/>
        <v>Large User.Smart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row>
    <row r="17" spans="1:44" ht="12.75" customHeight="1">
      <c r="A17" s="53"/>
      <c r="B17" s="398" t="str">
        <f>'Proposed Rates'!C115</f>
        <v>Rate Rider Calculation for Forgone Revenue - variable</v>
      </c>
      <c r="C17" s="389" t="str">
        <f t="shared" si="0"/>
        <v>Large User.Rate Rider Calculation for Forgone Revenue - variable</v>
      </c>
      <c r="D17" s="390" t="s">
        <v>406</v>
      </c>
      <c r="E17" s="328"/>
      <c r="F17" s="391">
        <f>IFERROR(VLOOKUP($C17,'Proposed Rates'!$B:$J,F$11,FALSE),0)</f>
        <v>0</v>
      </c>
      <c r="G17" s="409">
        <f t="shared" si="1"/>
        <v>7500</v>
      </c>
      <c r="H17" s="394">
        <f t="shared" si="2"/>
        <v>0</v>
      </c>
      <c r="I17" s="138"/>
      <c r="J17" s="391">
        <f>IFERROR(VLOOKUP($C17,'Proposed Rates'!$B:$J,J$11,FALSE),0)</f>
        <v>0.76329999999999998</v>
      </c>
      <c r="K17" s="409">
        <f t="shared" si="3"/>
        <v>7500</v>
      </c>
      <c r="L17" s="394">
        <f t="shared" si="4"/>
        <v>5724.75</v>
      </c>
      <c r="M17" s="138"/>
      <c r="N17" s="395">
        <f t="shared" si="5"/>
        <v>5724.75</v>
      </c>
      <c r="O17" s="396" t="str">
        <f t="shared" si="6"/>
        <v/>
      </c>
      <c r="P17" s="53"/>
      <c r="Q17" s="391">
        <f>IFERROR(VLOOKUP($C17,'Proposed Rates'!$B:$J,Q$11,FALSE),0)</f>
        <v>0.76329999999999998</v>
      </c>
      <c r="R17" s="409">
        <f t="shared" si="7"/>
        <v>7500</v>
      </c>
      <c r="S17" s="394">
        <f t="shared" si="8"/>
        <v>5724.75</v>
      </c>
      <c r="T17" s="138"/>
      <c r="U17" s="395">
        <f t="shared" si="9"/>
        <v>0</v>
      </c>
      <c r="V17" s="396">
        <f t="shared" si="10"/>
        <v>0</v>
      </c>
      <c r="W17" s="53"/>
      <c r="X17" s="391">
        <f>IFERROR(VLOOKUP($C17,'Proposed Rates'!$B:$J,X$11,FALSE),0)</f>
        <v>0</v>
      </c>
      <c r="Y17" s="409">
        <f t="shared" si="11"/>
        <v>7500</v>
      </c>
      <c r="Z17" s="394">
        <f t="shared" si="12"/>
        <v>0</v>
      </c>
      <c r="AA17" s="138"/>
      <c r="AB17" s="395">
        <f t="shared" si="13"/>
        <v>-5724.75</v>
      </c>
      <c r="AC17" s="396">
        <f t="shared" si="14"/>
        <v>-1</v>
      </c>
      <c r="AD17" s="53"/>
      <c r="AE17" s="391">
        <f>IFERROR(VLOOKUP($C17,'Proposed Rates'!$B:$J,AE$11,FALSE),0)</f>
        <v>0</v>
      </c>
      <c r="AF17" s="409">
        <f t="shared" si="15"/>
        <v>7500</v>
      </c>
      <c r="AG17" s="394">
        <f t="shared" si="16"/>
        <v>0</v>
      </c>
      <c r="AH17" s="138"/>
      <c r="AI17" s="395">
        <f t="shared" si="17"/>
        <v>0</v>
      </c>
      <c r="AJ17" s="396" t="str">
        <f t="shared" si="18"/>
        <v/>
      </c>
      <c r="AK17" s="53"/>
      <c r="AL17" s="391">
        <f>IFERROR(VLOOKUP($C17,'Proposed Rates'!$B:$J,AL$11,FALSE),0)</f>
        <v>0</v>
      </c>
      <c r="AM17" s="409">
        <f t="shared" si="19"/>
        <v>7500</v>
      </c>
      <c r="AN17" s="394">
        <f t="shared" si="20"/>
        <v>0</v>
      </c>
      <c r="AO17" s="138"/>
      <c r="AP17" s="395">
        <f t="shared" si="21"/>
        <v>0</v>
      </c>
      <c r="AQ17" s="396" t="str">
        <f t="shared" si="22"/>
        <v/>
      </c>
      <c r="AR17" s="397"/>
    </row>
    <row r="18" spans="1:44" ht="12.75" customHeight="1">
      <c r="A18" s="53"/>
      <c r="B18" s="398" t="str">
        <f>'Proposed Rates'!C128</f>
        <v>Rate Rider Calculation for Forgone Revenue - fixed</v>
      </c>
      <c r="C18" s="389" t="str">
        <f t="shared" si="0"/>
        <v>Large User.Rate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-44.07</v>
      </c>
      <c r="K18" s="409">
        <f t="shared" si="3"/>
        <v>1</v>
      </c>
      <c r="L18" s="394">
        <f t="shared" si="4"/>
        <v>-44.07</v>
      </c>
      <c r="M18" s="138"/>
      <c r="N18" s="395">
        <f t="shared" si="5"/>
        <v>-44.07</v>
      </c>
      <c r="O18" s="396" t="str">
        <f t="shared" si="6"/>
        <v/>
      </c>
      <c r="P18" s="53"/>
      <c r="Q18" s="391">
        <f>IFERROR(VLOOKUP($C18,'Proposed Rates'!$B:$J,Q$11,FALSE),0)</f>
        <v>-44.07</v>
      </c>
      <c r="R18" s="409">
        <f t="shared" si="7"/>
        <v>1</v>
      </c>
      <c r="S18" s="394">
        <f t="shared" si="8"/>
        <v>-44.07</v>
      </c>
      <c r="T18" s="138"/>
      <c r="U18" s="395">
        <f t="shared" si="9"/>
        <v>0</v>
      </c>
      <c r="V18" s="396">
        <f t="shared" si="10"/>
        <v>0</v>
      </c>
      <c r="W18" s="53"/>
      <c r="X18" s="391">
        <f>IFERROR(VLOOKUP($C18,'Proposed Rates'!$B:$J,X$11,FALSE),0)</f>
        <v>0</v>
      </c>
      <c r="Y18" s="409">
        <f t="shared" si="11"/>
        <v>1</v>
      </c>
      <c r="Z18" s="394">
        <f t="shared" si="12"/>
        <v>0</v>
      </c>
      <c r="AA18" s="138"/>
      <c r="AB18" s="395">
        <f t="shared" si="13"/>
        <v>44.07</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row>
    <row r="19" spans="1:44" ht="12.75" customHeight="1">
      <c r="A19" s="53"/>
      <c r="B19" s="328" t="s">
        <v>62</v>
      </c>
      <c r="C19" s="389" t="str">
        <f t="shared" si="0"/>
        <v>Large User.Distribution Volumetric Rate</v>
      </c>
      <c r="D19" s="390" t="s">
        <v>406</v>
      </c>
      <c r="E19" s="328"/>
      <c r="F19" s="408">
        <f>IFERROR(VLOOKUP($C19,'Proposed Rates'!$B:$J,F$11,FALSE),0)</f>
        <v>6.0316000000000001</v>
      </c>
      <c r="G19" s="409">
        <f t="shared" si="1"/>
        <v>7500</v>
      </c>
      <c r="H19" s="394">
        <f t="shared" si="2"/>
        <v>45237</v>
      </c>
      <c r="I19" s="138"/>
      <c r="J19" s="408">
        <f>IFERROR(VLOOKUP($C19,'Proposed Rates'!$B:$J,J$11,FALSE),0)</f>
        <v>7.9119000000000002</v>
      </c>
      <c r="K19" s="409">
        <f t="shared" si="3"/>
        <v>7500</v>
      </c>
      <c r="L19" s="394">
        <f t="shared" si="4"/>
        <v>59339.25</v>
      </c>
      <c r="M19" s="138"/>
      <c r="N19" s="395">
        <f t="shared" si="5"/>
        <v>14102.25</v>
      </c>
      <c r="O19" s="396">
        <f t="shared" si="6"/>
        <v>0.31174149479408447</v>
      </c>
      <c r="P19" s="53"/>
      <c r="Q19" s="408">
        <f>IFERROR(VLOOKUP($C19,'Proposed Rates'!$B:$J,Q$11,FALSE),0)</f>
        <v>8.4278999999999993</v>
      </c>
      <c r="R19" s="409">
        <f t="shared" si="7"/>
        <v>7500</v>
      </c>
      <c r="S19" s="394">
        <f t="shared" si="8"/>
        <v>63209.249999999993</v>
      </c>
      <c r="T19" s="138"/>
      <c r="U19" s="395">
        <f t="shared" si="9"/>
        <v>3869.9999999999927</v>
      </c>
      <c r="V19" s="396">
        <f t="shared" si="10"/>
        <v>6.5218215599287033E-2</v>
      </c>
      <c r="W19" s="53"/>
      <c r="X19" s="408">
        <f>IFERROR(VLOOKUP($C19,'Proposed Rates'!$B:$J,X$11,FALSE),0)</f>
        <v>9.1717999999999993</v>
      </c>
      <c r="Y19" s="409">
        <f t="shared" si="11"/>
        <v>7500</v>
      </c>
      <c r="Z19" s="394">
        <f t="shared" si="12"/>
        <v>68788.5</v>
      </c>
      <c r="AA19" s="138"/>
      <c r="AB19" s="395">
        <f t="shared" si="13"/>
        <v>5579.2500000000073</v>
      </c>
      <c r="AC19" s="396">
        <f t="shared" si="14"/>
        <v>8.8266353421374372E-2</v>
      </c>
      <c r="AD19" s="53"/>
      <c r="AE19" s="408">
        <f>IFERROR(VLOOKUP($C19,'Proposed Rates'!$B:$J,AE$11,FALSE),0)</f>
        <v>10.085699999999999</v>
      </c>
      <c r="AF19" s="409">
        <f t="shared" si="15"/>
        <v>7500</v>
      </c>
      <c r="AG19" s="394">
        <f t="shared" si="16"/>
        <v>75642.75</v>
      </c>
      <c r="AH19" s="138"/>
      <c r="AI19" s="395">
        <f t="shared" si="17"/>
        <v>6854.25</v>
      </c>
      <c r="AJ19" s="396">
        <f t="shared" si="18"/>
        <v>9.9642382084214665E-2</v>
      </c>
      <c r="AK19" s="53"/>
      <c r="AL19" s="408">
        <f>IFERROR(VLOOKUP($C19,'Proposed Rates'!$B:$J,AL$11,FALSE),0)</f>
        <v>10.8666</v>
      </c>
      <c r="AM19" s="409">
        <f t="shared" si="19"/>
        <v>7500</v>
      </c>
      <c r="AN19" s="394">
        <f t="shared" si="20"/>
        <v>81499.5</v>
      </c>
      <c r="AO19" s="138"/>
      <c r="AP19" s="395">
        <f t="shared" si="21"/>
        <v>5856.75</v>
      </c>
      <c r="AQ19" s="396">
        <f t="shared" si="22"/>
        <v>7.7426455278265263E-2</v>
      </c>
      <c r="AR19" s="397"/>
    </row>
    <row r="20" spans="1:44" ht="12.75" customHeight="1">
      <c r="A20" s="53"/>
      <c r="B20" s="328" t="s">
        <v>338</v>
      </c>
      <c r="C20" s="389" t="str">
        <f t="shared" si="0"/>
        <v>Large User.Smart Meter Disposition Rider</v>
      </c>
      <c r="D20" s="390" t="s">
        <v>337</v>
      </c>
      <c r="E20" s="328"/>
      <c r="F20" s="391">
        <f>IFERROR(VLOOKUP($C20,'Proposed Rates'!$B:$J,F$11,FALSE),0)</f>
        <v>0</v>
      </c>
      <c r="G20" s="409">
        <f t="shared" si="1"/>
        <v>4000000</v>
      </c>
      <c r="H20" s="394">
        <f t="shared" si="2"/>
        <v>0</v>
      </c>
      <c r="I20" s="138"/>
      <c r="J20" s="391">
        <f>IFERROR(VLOOKUP($C20,'Proposed Rates'!$B:$J,J$11,FALSE),0)</f>
        <v>0</v>
      </c>
      <c r="K20" s="409">
        <f t="shared" si="3"/>
        <v>4000000</v>
      </c>
      <c r="L20" s="394">
        <f t="shared" si="4"/>
        <v>0</v>
      </c>
      <c r="M20" s="138"/>
      <c r="N20" s="395">
        <f t="shared" si="5"/>
        <v>0</v>
      </c>
      <c r="O20" s="396" t="str">
        <f t="shared" si="6"/>
        <v/>
      </c>
      <c r="P20" s="53"/>
      <c r="Q20" s="391">
        <f>IFERROR(VLOOKUP($C20,'Proposed Rates'!$B:$J,Q$11,FALSE),0)</f>
        <v>0</v>
      </c>
      <c r="R20" s="409">
        <f t="shared" si="7"/>
        <v>4000000</v>
      </c>
      <c r="S20" s="394">
        <f t="shared" si="8"/>
        <v>0</v>
      </c>
      <c r="T20" s="138"/>
      <c r="U20" s="395">
        <f t="shared" si="9"/>
        <v>0</v>
      </c>
      <c r="V20" s="396" t="str">
        <f t="shared" si="10"/>
        <v/>
      </c>
      <c r="W20" s="53"/>
      <c r="X20" s="391">
        <f>IFERROR(VLOOKUP($C20,'Proposed Rates'!$B:$J,X$11,FALSE),0)</f>
        <v>0</v>
      </c>
      <c r="Y20" s="409">
        <f t="shared" si="11"/>
        <v>4000000</v>
      </c>
      <c r="Z20" s="394">
        <f t="shared" si="12"/>
        <v>0</v>
      </c>
      <c r="AA20" s="138"/>
      <c r="AB20" s="395">
        <f t="shared" si="13"/>
        <v>0</v>
      </c>
      <c r="AC20" s="396" t="str">
        <f t="shared" si="14"/>
        <v/>
      </c>
      <c r="AD20" s="53"/>
      <c r="AE20" s="391">
        <f>IFERROR(VLOOKUP($C20,'Proposed Rates'!$B:$J,AE$11,FALSE),0)</f>
        <v>0</v>
      </c>
      <c r="AF20" s="409">
        <f t="shared" si="15"/>
        <v>4000000</v>
      </c>
      <c r="AG20" s="394">
        <f t="shared" si="16"/>
        <v>0</v>
      </c>
      <c r="AH20" s="138"/>
      <c r="AI20" s="395">
        <f t="shared" si="17"/>
        <v>0</v>
      </c>
      <c r="AJ20" s="396" t="str">
        <f t="shared" si="18"/>
        <v/>
      </c>
      <c r="AK20" s="53"/>
      <c r="AL20" s="391">
        <f>IFERROR(VLOOKUP($C20,'Proposed Rates'!$B:$J,AL$11,FALSE),0)</f>
        <v>0</v>
      </c>
      <c r="AM20" s="409">
        <f t="shared" si="19"/>
        <v>4000000</v>
      </c>
      <c r="AN20" s="394">
        <f t="shared" si="20"/>
        <v>0</v>
      </c>
      <c r="AO20" s="138"/>
      <c r="AP20" s="395">
        <f t="shared" si="21"/>
        <v>0</v>
      </c>
      <c r="AQ20" s="396" t="str">
        <f t="shared" si="22"/>
        <v/>
      </c>
      <c r="AR20" s="397"/>
    </row>
    <row r="21" spans="1:44" ht="12.75" customHeight="1">
      <c r="A21" s="53"/>
      <c r="B21" s="328" t="s">
        <v>269</v>
      </c>
      <c r="C21" s="389" t="str">
        <f t="shared" si="0"/>
        <v>Large User.LRAM Rate Rider</v>
      </c>
      <c r="D21" s="390" t="s">
        <v>406</v>
      </c>
      <c r="E21" s="328"/>
      <c r="F21" s="408">
        <f>'Proposed Rates'!E81+'Proposed Rates'!E94</f>
        <v>0.2011</v>
      </c>
      <c r="G21" s="409">
        <f t="shared" si="1"/>
        <v>7500</v>
      </c>
      <c r="H21" s="394">
        <f t="shared" si="2"/>
        <v>1508.25</v>
      </c>
      <c r="I21" s="138"/>
      <c r="J21" s="408">
        <f>'Proposed Rates'!F81+'Proposed Rates'!F94</f>
        <v>-0.88629999999999998</v>
      </c>
      <c r="K21" s="409">
        <f t="shared" si="3"/>
        <v>7500</v>
      </c>
      <c r="L21" s="394">
        <f t="shared" si="4"/>
        <v>-6647.25</v>
      </c>
      <c r="M21" s="138"/>
      <c r="N21" s="395">
        <f t="shared" si="5"/>
        <v>-8155.5</v>
      </c>
      <c r="O21" s="396">
        <f t="shared" si="6"/>
        <v>-5.4072600696171058</v>
      </c>
      <c r="P21" s="53"/>
      <c r="Q21" s="408">
        <f>'Proposed Rates'!G81+'Proposed Rates'!G94</f>
        <v>0</v>
      </c>
      <c r="R21" s="409">
        <f t="shared" si="7"/>
        <v>7500</v>
      </c>
      <c r="S21" s="394">
        <f t="shared" si="8"/>
        <v>0</v>
      </c>
      <c r="T21" s="138"/>
      <c r="U21" s="395">
        <f t="shared" si="9"/>
        <v>6647.25</v>
      </c>
      <c r="V21" s="396">
        <f t="shared" si="10"/>
        <v>-1</v>
      </c>
      <c r="W21" s="53"/>
      <c r="X21" s="408">
        <f>IFERROR(VLOOKUP($C21,'Proposed Rates'!$B:$J,X$11,FALSE),0)</f>
        <v>0</v>
      </c>
      <c r="Y21" s="409">
        <f t="shared" si="11"/>
        <v>7500</v>
      </c>
      <c r="Z21" s="394">
        <f t="shared" si="12"/>
        <v>0</v>
      </c>
      <c r="AA21" s="138"/>
      <c r="AB21" s="395">
        <f t="shared" si="13"/>
        <v>0</v>
      </c>
      <c r="AC21" s="396" t="str">
        <f t="shared" si="14"/>
        <v/>
      </c>
      <c r="AD21" s="53"/>
      <c r="AE21" s="408">
        <f>IFERROR(VLOOKUP($C21,'Proposed Rates'!$B:$J,AE$11,FALSE),0)</f>
        <v>0</v>
      </c>
      <c r="AF21" s="409">
        <f t="shared" si="15"/>
        <v>7500</v>
      </c>
      <c r="AG21" s="394">
        <f t="shared" si="16"/>
        <v>0</v>
      </c>
      <c r="AH21" s="138"/>
      <c r="AI21" s="395">
        <f t="shared" si="17"/>
        <v>0</v>
      </c>
      <c r="AJ21" s="396" t="str">
        <f t="shared" si="18"/>
        <v/>
      </c>
      <c r="AK21" s="53"/>
      <c r="AL21" s="408">
        <f>IFERROR(VLOOKUP($C21,'Proposed Rates'!$B:$J,AL$11,FALSE),0)</f>
        <v>0</v>
      </c>
      <c r="AM21" s="409">
        <f t="shared" si="19"/>
        <v>7500</v>
      </c>
      <c r="AN21" s="394">
        <f t="shared" si="20"/>
        <v>0</v>
      </c>
      <c r="AO21" s="138"/>
      <c r="AP21" s="395">
        <f t="shared" si="21"/>
        <v>0</v>
      </c>
      <c r="AQ21" s="396" t="str">
        <f t="shared" si="22"/>
        <v/>
      </c>
      <c r="AR21" s="397"/>
    </row>
    <row r="22" spans="1:44" ht="12.75" customHeight="1">
      <c r="A22" s="53"/>
      <c r="B22" s="478" t="s">
        <v>265</v>
      </c>
      <c r="C22" s="389" t="str">
        <f t="shared" si="0"/>
        <v>Large User.Deferral/Variance Account Disposition Rate Rider Group 2</v>
      </c>
      <c r="D22" s="390" t="s">
        <v>406</v>
      </c>
      <c r="E22" s="328"/>
      <c r="F22" s="391">
        <f>IFERROR(VLOOKUP($C22,'Proposed Rates'!$B:$J,F$11,FALSE),0)</f>
        <v>0</v>
      </c>
      <c r="G22" s="409">
        <f t="shared" si="1"/>
        <v>7500</v>
      </c>
      <c r="H22" s="394">
        <f t="shared" si="2"/>
        <v>0</v>
      </c>
      <c r="I22" s="138"/>
      <c r="J22" s="391">
        <f>IFERROR(VLOOKUP($C22,'Proposed Rates'!$B:$J,J$11,FALSE),0)</f>
        <v>-0.30330000000000001</v>
      </c>
      <c r="K22" s="409">
        <f t="shared" si="3"/>
        <v>7500</v>
      </c>
      <c r="L22" s="394">
        <f t="shared" si="4"/>
        <v>-2274.75</v>
      </c>
      <c r="M22" s="138"/>
      <c r="N22" s="395">
        <f t="shared" si="5"/>
        <v>-2274.75</v>
      </c>
      <c r="O22" s="396" t="str">
        <f t="shared" si="6"/>
        <v/>
      </c>
      <c r="P22" s="53"/>
      <c r="Q22" s="391">
        <f>IFERROR(VLOOKUP($C22,'Proposed Rates'!$B:$J,Q$11,FALSE),0)</f>
        <v>0</v>
      </c>
      <c r="R22" s="409">
        <f t="shared" si="7"/>
        <v>7500</v>
      </c>
      <c r="S22" s="394">
        <f t="shared" si="8"/>
        <v>0</v>
      </c>
      <c r="T22" s="138"/>
      <c r="U22" s="395">
        <f t="shared" si="9"/>
        <v>2274.75</v>
      </c>
      <c r="V22" s="396">
        <f t="shared" si="10"/>
        <v>-1</v>
      </c>
      <c r="W22" s="53"/>
      <c r="X22" s="391">
        <f>IFERROR(VLOOKUP($C22,'Proposed Rates'!$B:$J,X$11,FALSE),0)</f>
        <v>0</v>
      </c>
      <c r="Y22" s="409">
        <f t="shared" si="11"/>
        <v>7500</v>
      </c>
      <c r="Z22" s="394">
        <f t="shared" si="12"/>
        <v>0</v>
      </c>
      <c r="AA22" s="138"/>
      <c r="AB22" s="395">
        <f t="shared" si="13"/>
        <v>0</v>
      </c>
      <c r="AC22" s="396" t="str">
        <f t="shared" si="14"/>
        <v/>
      </c>
      <c r="AD22" s="53"/>
      <c r="AE22" s="391">
        <f>IFERROR(VLOOKUP($C22,'Proposed Rates'!$B:$J,AE$11,FALSE),0)</f>
        <v>0</v>
      </c>
      <c r="AF22" s="409">
        <f t="shared" si="15"/>
        <v>7500</v>
      </c>
      <c r="AG22" s="394">
        <f t="shared" si="16"/>
        <v>0</v>
      </c>
      <c r="AH22" s="138"/>
      <c r="AI22" s="395">
        <f t="shared" si="17"/>
        <v>0</v>
      </c>
      <c r="AJ22" s="396" t="str">
        <f t="shared" si="18"/>
        <v/>
      </c>
      <c r="AK22" s="53"/>
      <c r="AL22" s="391">
        <f>IFERROR(VLOOKUP($C22,'Proposed Rates'!$B:$J,AL$11,FALSE),0)</f>
        <v>0</v>
      </c>
      <c r="AM22" s="409">
        <f t="shared" si="19"/>
        <v>7500</v>
      </c>
      <c r="AN22" s="394">
        <f t="shared" si="20"/>
        <v>0</v>
      </c>
      <c r="AO22" s="138"/>
      <c r="AP22" s="395">
        <f t="shared" si="21"/>
        <v>0</v>
      </c>
      <c r="AQ22" s="396" t="str">
        <f t="shared" si="22"/>
        <v/>
      </c>
      <c r="AR22" s="397"/>
    </row>
    <row r="23" spans="1:44" ht="12.75" customHeight="1">
      <c r="A23" s="53"/>
      <c r="B23" s="398"/>
      <c r="C23" s="389" t="str">
        <f t="shared" si="0"/>
        <v>Large User.</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row>
    <row r="24" spans="1:44" ht="12.75" customHeight="1">
      <c r="A24" s="53"/>
      <c r="B24" s="398"/>
      <c r="C24" s="389" t="str">
        <f t="shared" si="0"/>
        <v>Large User.</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row>
    <row r="25" spans="1:44" ht="12.75" customHeight="1">
      <c r="A25" s="53"/>
      <c r="B25" s="398"/>
      <c r="C25" s="389" t="str">
        <f t="shared" si="0"/>
        <v>Large User.</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row>
    <row r="26" spans="1:44" ht="12.75" customHeight="1">
      <c r="A26" s="53"/>
      <c r="B26" s="478"/>
      <c r="C26" s="389" t="str">
        <f t="shared" si="0"/>
        <v>Large User.</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row>
    <row r="27" spans="1:44" ht="12.75" customHeight="1">
      <c r="A27" s="53"/>
      <c r="B27" s="398"/>
      <c r="C27" s="389" t="str">
        <f t="shared" si="0"/>
        <v>Large User.</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row>
    <row r="28" spans="1:44" ht="12.75" customHeight="1">
      <c r="A28" s="53"/>
      <c r="B28" s="398"/>
      <c r="C28" s="389" t="str">
        <f t="shared" si="0"/>
        <v>Large User.</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row>
    <row r="29" spans="1:44" ht="12.75" customHeight="1">
      <c r="A29" s="314"/>
      <c r="B29" s="399" t="s">
        <v>339</v>
      </c>
      <c r="C29" s="551"/>
      <c r="D29" s="400"/>
      <c r="E29" s="400"/>
      <c r="F29" s="401"/>
      <c r="G29" s="494"/>
      <c r="H29" s="403">
        <f>SUM(H15:H28)</f>
        <v>61692.18</v>
      </c>
      <c r="I29" s="404"/>
      <c r="J29" s="401"/>
      <c r="K29" s="494"/>
      <c r="L29" s="403">
        <f>SUM(L15:L28)</f>
        <v>71044.86</v>
      </c>
      <c r="M29" s="404"/>
      <c r="N29" s="405">
        <f t="shared" si="5"/>
        <v>9352.68</v>
      </c>
      <c r="O29" s="406">
        <f t="shared" si="6"/>
        <v>0.15160235867819877</v>
      </c>
      <c r="P29" s="314"/>
      <c r="Q29" s="401"/>
      <c r="R29" s="494"/>
      <c r="S29" s="403">
        <f>SUM(S15:S28)</f>
        <v>83836.859999999986</v>
      </c>
      <c r="T29" s="404"/>
      <c r="U29" s="405">
        <f t="shared" si="9"/>
        <v>12791.999999999985</v>
      </c>
      <c r="V29" s="406">
        <f t="shared" si="10"/>
        <v>0.18005524959863367</v>
      </c>
      <c r="W29" s="314"/>
      <c r="X29" s="401"/>
      <c r="Y29" s="494"/>
      <c r="Z29" s="403">
        <f>SUM(Z15:Z28)</f>
        <v>83735.429999999993</v>
      </c>
      <c r="AA29" s="404"/>
      <c r="AB29" s="405">
        <f t="shared" si="13"/>
        <v>-101.42999999999302</v>
      </c>
      <c r="AC29" s="406">
        <f t="shared" si="14"/>
        <v>-1.2098497009548428E-3</v>
      </c>
      <c r="AD29" s="314"/>
      <c r="AE29" s="401"/>
      <c r="AF29" s="494"/>
      <c r="AG29" s="403">
        <f>SUM(AG15:AG28)</f>
        <v>90589.68</v>
      </c>
      <c r="AH29" s="404"/>
      <c r="AI29" s="405">
        <f t="shared" si="17"/>
        <v>6854.25</v>
      </c>
      <c r="AJ29" s="406">
        <f t="shared" si="18"/>
        <v>8.1856031550802344E-2</v>
      </c>
      <c r="AK29" s="314"/>
      <c r="AL29" s="401"/>
      <c r="AM29" s="494"/>
      <c r="AN29" s="403">
        <f>SUM(AN15:AN28)</f>
        <v>96446.43</v>
      </c>
      <c r="AO29" s="404"/>
      <c r="AP29" s="405">
        <f t="shared" si="21"/>
        <v>5856.75</v>
      </c>
      <c r="AQ29" s="406">
        <f t="shared" si="22"/>
        <v>6.4651404000985555E-2</v>
      </c>
      <c r="AR29" s="407"/>
    </row>
    <row r="30" spans="1:44" ht="12.75" customHeight="1">
      <c r="A30" s="53"/>
      <c r="B30" s="398" t="s">
        <v>262</v>
      </c>
      <c r="C30" s="389" t="str">
        <f t="shared" ref="C30:C38" si="23">D$6&amp;"."&amp;B30</f>
        <v>Large User.DVA Disposition Rate Rider Group 1 -2025</v>
      </c>
      <c r="D30" s="390" t="s">
        <v>406</v>
      </c>
      <c r="E30" s="328"/>
      <c r="F30" s="408">
        <f>IFERROR(VLOOKUP($C30,'Proposed Rates'!$B:$J,F$11,FALSE),0)</f>
        <v>6.3399999999999998E-2</v>
      </c>
      <c r="G30" s="409">
        <f t="shared" ref="G30:G36" si="24">IF($D30="Monthly",1,IF($D30="per KW",$F$10,IF($D30="per kWh",$F$9,0)))</f>
        <v>7500</v>
      </c>
      <c r="H30" s="394">
        <f t="shared" ref="H30:H38" si="25">G30*F30</f>
        <v>475.5</v>
      </c>
      <c r="I30" s="138"/>
      <c r="J30" s="408">
        <f>IFERROR(VLOOKUP($C30,'Proposed Rates'!$B:$J,J$11,FALSE),0)</f>
        <v>-0.4773</v>
      </c>
      <c r="K30" s="409">
        <f t="shared" ref="K30:K36" si="26">IF($D30="Monthly",1,IF($D30="per KW",$F$10,IF($D30="per kWh",$F$9,0)))</f>
        <v>7500</v>
      </c>
      <c r="L30" s="394">
        <f t="shared" ref="L30:L38" si="27">K30*J30</f>
        <v>-3579.75</v>
      </c>
      <c r="M30" s="138"/>
      <c r="N30" s="395">
        <f t="shared" si="5"/>
        <v>-4055.25</v>
      </c>
      <c r="O30" s="396">
        <f t="shared" si="6"/>
        <v>-8.5283911671924297</v>
      </c>
      <c r="P30" s="53"/>
      <c r="Q30" s="408">
        <f>IFERROR(VLOOKUP($C30,'Proposed Rates'!$B:$J,Q$11,FALSE),0)</f>
        <v>0</v>
      </c>
      <c r="R30" s="409">
        <f t="shared" ref="R30:R36" si="28">IF($D30="Monthly",1,IF($D30="per KW",$F$10,IF($D30="per kWh",$F$9,0)))</f>
        <v>7500</v>
      </c>
      <c r="S30" s="394">
        <f t="shared" ref="S30:S38" si="29">R30*Q30</f>
        <v>0</v>
      </c>
      <c r="T30" s="138"/>
      <c r="U30" s="395">
        <f t="shared" si="9"/>
        <v>3579.75</v>
      </c>
      <c r="V30" s="396">
        <f t="shared" si="10"/>
        <v>-1</v>
      </c>
      <c r="W30" s="53"/>
      <c r="X30" s="408">
        <f>IFERROR(VLOOKUP($C30,'Proposed Rates'!$B:$J,X$11,FALSE),0)</f>
        <v>0</v>
      </c>
      <c r="Y30" s="409">
        <f t="shared" ref="Y30:Y36" si="30">IF($D30="Monthly",1,IF($D30="per KW",$F$10,IF($D30="per kWh",$F$9,0)))</f>
        <v>7500</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7500</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7500</v>
      </c>
      <c r="AN30" s="394">
        <f t="shared" ref="AN30:AN38" si="35">AM30*AL30</f>
        <v>0</v>
      </c>
      <c r="AO30" s="138"/>
      <c r="AP30" s="395">
        <f t="shared" si="21"/>
        <v>0</v>
      </c>
      <c r="AQ30" s="396" t="str">
        <f t="shared" si="22"/>
        <v/>
      </c>
      <c r="AR30" s="397"/>
    </row>
    <row r="31" spans="1:44" ht="12.75" customHeight="1">
      <c r="A31" s="53"/>
      <c r="B31" s="478" t="s">
        <v>264</v>
      </c>
      <c r="C31" s="389" t="str">
        <f t="shared" si="23"/>
        <v>Large User.DVA Disposition Rate Rider Group 1 - 2024</v>
      </c>
      <c r="D31" s="390" t="s">
        <v>406</v>
      </c>
      <c r="E31" s="328"/>
      <c r="F31" s="391">
        <f>IFERROR(VLOOKUP($C31,'Proposed Rates'!$B:$J,F$11,FALSE),0)</f>
        <v>0</v>
      </c>
      <c r="G31" s="409">
        <f t="shared" si="24"/>
        <v>7500</v>
      </c>
      <c r="H31" s="394">
        <f t="shared" si="25"/>
        <v>0</v>
      </c>
      <c r="I31" s="138"/>
      <c r="J31" s="391">
        <f>IFERROR(VLOOKUP($C31,'Proposed Rates'!$B:$J,J$11,FALSE),0)</f>
        <v>0</v>
      </c>
      <c r="K31" s="409">
        <f t="shared" si="26"/>
        <v>7500</v>
      </c>
      <c r="L31" s="394">
        <f t="shared" si="27"/>
        <v>0</v>
      </c>
      <c r="M31" s="138"/>
      <c r="N31" s="395">
        <f t="shared" si="5"/>
        <v>0</v>
      </c>
      <c r="O31" s="396" t="str">
        <f t="shared" si="6"/>
        <v/>
      </c>
      <c r="P31" s="53"/>
      <c r="Q31" s="391">
        <f>IFERROR(VLOOKUP($C31,'Proposed Rates'!$B:$J,Q$11,FALSE),0)</f>
        <v>0</v>
      </c>
      <c r="R31" s="409">
        <f t="shared" si="28"/>
        <v>7500</v>
      </c>
      <c r="S31" s="394">
        <f t="shared" si="29"/>
        <v>0</v>
      </c>
      <c r="T31" s="138"/>
      <c r="U31" s="395">
        <f t="shared" si="9"/>
        <v>0</v>
      </c>
      <c r="V31" s="396" t="str">
        <f t="shared" si="10"/>
        <v/>
      </c>
      <c r="W31" s="53"/>
      <c r="X31" s="391">
        <f>IFERROR(VLOOKUP($C31,'Proposed Rates'!$B:$J,X$11,FALSE),0)</f>
        <v>0</v>
      </c>
      <c r="Y31" s="409">
        <f t="shared" si="30"/>
        <v>7500</v>
      </c>
      <c r="Z31" s="394">
        <f t="shared" si="31"/>
        <v>0</v>
      </c>
      <c r="AA31" s="138"/>
      <c r="AB31" s="395">
        <f t="shared" si="13"/>
        <v>0</v>
      </c>
      <c r="AC31" s="396" t="str">
        <f t="shared" si="14"/>
        <v/>
      </c>
      <c r="AD31" s="53"/>
      <c r="AE31" s="391">
        <f>IFERROR(VLOOKUP($C31,'Proposed Rates'!$B:$J,AE$11,FALSE),0)</f>
        <v>0</v>
      </c>
      <c r="AF31" s="409">
        <f t="shared" si="32"/>
        <v>7500</v>
      </c>
      <c r="AG31" s="394">
        <f t="shared" si="33"/>
        <v>0</v>
      </c>
      <c r="AH31" s="138"/>
      <c r="AI31" s="395">
        <f t="shared" si="17"/>
        <v>0</v>
      </c>
      <c r="AJ31" s="396" t="str">
        <f t="shared" si="18"/>
        <v/>
      </c>
      <c r="AK31" s="53"/>
      <c r="AL31" s="391">
        <f>IFERROR(VLOOKUP($C31,'Proposed Rates'!$B:$J,AL$11,FALSE),0)</f>
        <v>0</v>
      </c>
      <c r="AM31" s="409">
        <f t="shared" si="34"/>
        <v>7500</v>
      </c>
      <c r="AN31" s="394">
        <f t="shared" si="35"/>
        <v>0</v>
      </c>
      <c r="AO31" s="138"/>
      <c r="AP31" s="395">
        <f t="shared" si="21"/>
        <v>0</v>
      </c>
      <c r="AQ31" s="396" t="str">
        <f t="shared" si="22"/>
        <v/>
      </c>
      <c r="AR31" s="397"/>
    </row>
    <row r="32" spans="1:44" ht="12.75" customHeight="1">
      <c r="A32" s="53"/>
      <c r="B32" s="478" t="s">
        <v>272</v>
      </c>
      <c r="C32" s="389" t="str">
        <f t="shared" si="23"/>
        <v>Large User.CBR Class B Rate Riders</v>
      </c>
      <c r="D32" s="390" t="s">
        <v>337</v>
      </c>
      <c r="E32" s="328"/>
      <c r="F32" s="408">
        <f>IFERROR(VLOOKUP($C32,'Proposed Rates'!$B:$J,F$11,FALSE),0)</f>
        <v>2.0000000000000001E-4</v>
      </c>
      <c r="G32" s="409">
        <f t="shared" si="24"/>
        <v>4000000</v>
      </c>
      <c r="H32" s="394">
        <f t="shared" si="25"/>
        <v>800</v>
      </c>
      <c r="I32" s="479"/>
      <c r="J32" s="408">
        <f>IFERROR(VLOOKUP($C32,'Proposed Rates'!$B:$J,J$11,FALSE),0)</f>
        <v>8.9999999999999998E-4</v>
      </c>
      <c r="K32" s="409">
        <f t="shared" si="26"/>
        <v>4000000</v>
      </c>
      <c r="L32" s="394">
        <f t="shared" si="27"/>
        <v>3600</v>
      </c>
      <c r="M32" s="411"/>
      <c r="N32" s="395">
        <f t="shared" si="5"/>
        <v>2800</v>
      </c>
      <c r="O32" s="396">
        <f t="shared" si="6"/>
        <v>3.5</v>
      </c>
      <c r="P32" s="53"/>
      <c r="Q32" s="408">
        <f>IFERROR(VLOOKUP($C32,'Proposed Rates'!$B:$J,Q$11,FALSE),0)</f>
        <v>0</v>
      </c>
      <c r="R32" s="409">
        <f t="shared" si="28"/>
        <v>4000000</v>
      </c>
      <c r="S32" s="394">
        <f t="shared" si="29"/>
        <v>0</v>
      </c>
      <c r="T32" s="411"/>
      <c r="U32" s="395">
        <f t="shared" si="9"/>
        <v>-3600</v>
      </c>
      <c r="V32" s="396">
        <f t="shared" si="10"/>
        <v>-1</v>
      </c>
      <c r="W32" s="53"/>
      <c r="X32" s="408">
        <f>IFERROR(VLOOKUP($C32,'Proposed Rates'!$B:$J,X$11,FALSE),0)</f>
        <v>0</v>
      </c>
      <c r="Y32" s="409">
        <f t="shared" si="30"/>
        <v>4000000</v>
      </c>
      <c r="Z32" s="394">
        <f t="shared" si="31"/>
        <v>0</v>
      </c>
      <c r="AA32" s="138"/>
      <c r="AB32" s="395">
        <f t="shared" si="13"/>
        <v>0</v>
      </c>
      <c r="AC32" s="396" t="str">
        <f t="shared" si="14"/>
        <v/>
      </c>
      <c r="AD32" s="53"/>
      <c r="AE32" s="408">
        <f>IFERROR(VLOOKUP($C32,'Proposed Rates'!$B:$J,AE$11,FALSE),0)</f>
        <v>0</v>
      </c>
      <c r="AF32" s="409">
        <f t="shared" si="32"/>
        <v>4000000</v>
      </c>
      <c r="AG32" s="394">
        <f t="shared" si="33"/>
        <v>0</v>
      </c>
      <c r="AH32" s="138"/>
      <c r="AI32" s="395">
        <f t="shared" si="17"/>
        <v>0</v>
      </c>
      <c r="AJ32" s="396" t="str">
        <f t="shared" si="18"/>
        <v/>
      </c>
      <c r="AK32" s="53"/>
      <c r="AL32" s="408">
        <f>IFERROR(VLOOKUP($C32,'Proposed Rates'!$B:$J,AL$11,FALSE),0)</f>
        <v>0</v>
      </c>
      <c r="AM32" s="409">
        <f t="shared" si="34"/>
        <v>4000000</v>
      </c>
      <c r="AN32" s="394">
        <f t="shared" si="35"/>
        <v>0</v>
      </c>
      <c r="AO32" s="411"/>
      <c r="AP32" s="395">
        <f t="shared" si="21"/>
        <v>0</v>
      </c>
      <c r="AQ32" s="396" t="str">
        <f t="shared" si="22"/>
        <v/>
      </c>
      <c r="AR32" s="397"/>
    </row>
    <row r="33" spans="1:44" ht="12.75" customHeight="1">
      <c r="A33" s="53"/>
      <c r="B33" s="478" t="s">
        <v>279</v>
      </c>
      <c r="C33" s="389" t="str">
        <f t="shared" si="23"/>
        <v>Large User.GA Rate Riders</v>
      </c>
      <c r="D33" s="390" t="s">
        <v>337</v>
      </c>
      <c r="E33" s="328"/>
      <c r="F33" s="408">
        <f>IFERROR(VLOOKUP($C33,'Proposed Rates'!$B:$J,F$11,FALSE),0)</f>
        <v>3.8999999999999998E-3</v>
      </c>
      <c r="G33" s="409">
        <f t="shared" si="24"/>
        <v>4000000</v>
      </c>
      <c r="H33" s="394">
        <f t="shared" si="25"/>
        <v>15600</v>
      </c>
      <c r="I33" s="479"/>
      <c r="J33" s="408">
        <f>IFERROR(VLOOKUP($C33,'Proposed Rates'!$B:$J,J$11,FALSE),0)</f>
        <v>4.3E-3</v>
      </c>
      <c r="K33" s="409">
        <f t="shared" si="26"/>
        <v>4000000</v>
      </c>
      <c r="L33" s="394">
        <f t="shared" si="27"/>
        <v>17200</v>
      </c>
      <c r="M33" s="411"/>
      <c r="N33" s="395">
        <f t="shared" si="5"/>
        <v>1600</v>
      </c>
      <c r="O33" s="396">
        <f t="shared" si="6"/>
        <v>0.10256410256410256</v>
      </c>
      <c r="P33" s="53"/>
      <c r="Q33" s="408">
        <f>IFERROR(VLOOKUP($C33,'Proposed Rates'!$B:$J,Q$11,FALSE),0)</f>
        <v>4.3E-3</v>
      </c>
      <c r="R33" s="409">
        <f t="shared" si="28"/>
        <v>4000000</v>
      </c>
      <c r="S33" s="394">
        <f t="shared" si="29"/>
        <v>17200</v>
      </c>
      <c r="T33" s="411"/>
      <c r="U33" s="395">
        <f t="shared" si="9"/>
        <v>0</v>
      </c>
      <c r="V33" s="396">
        <f t="shared" si="10"/>
        <v>0</v>
      </c>
      <c r="W33" s="53"/>
      <c r="X33" s="408">
        <f>IFERROR(VLOOKUP($C33,'Proposed Rates'!$B:$J,X$11,FALSE),0)</f>
        <v>0</v>
      </c>
      <c r="Y33" s="409">
        <f t="shared" si="30"/>
        <v>4000000</v>
      </c>
      <c r="Z33" s="394">
        <f t="shared" si="31"/>
        <v>0</v>
      </c>
      <c r="AA33" s="411"/>
      <c r="AB33" s="395">
        <f t="shared" si="13"/>
        <v>-17200</v>
      </c>
      <c r="AC33" s="396">
        <f t="shared" si="14"/>
        <v>-1</v>
      </c>
      <c r="AD33" s="53"/>
      <c r="AE33" s="408">
        <f>IFERROR(VLOOKUP($C33,'Proposed Rates'!$B:$J,AE$11,FALSE),0)</f>
        <v>0</v>
      </c>
      <c r="AF33" s="409">
        <f t="shared" si="32"/>
        <v>4000000</v>
      </c>
      <c r="AG33" s="394">
        <f t="shared" si="33"/>
        <v>0</v>
      </c>
      <c r="AH33" s="411"/>
      <c r="AI33" s="395">
        <f t="shared" si="17"/>
        <v>0</v>
      </c>
      <c r="AJ33" s="396" t="str">
        <f t="shared" si="18"/>
        <v/>
      </c>
      <c r="AK33" s="53"/>
      <c r="AL33" s="408">
        <f>IFERROR(VLOOKUP($C33,'Proposed Rates'!$B:$J,AL$11,FALSE),0)</f>
        <v>0</v>
      </c>
      <c r="AM33" s="409">
        <f t="shared" si="34"/>
        <v>4000000</v>
      </c>
      <c r="AN33" s="394">
        <f t="shared" si="35"/>
        <v>0</v>
      </c>
      <c r="AO33" s="411"/>
      <c r="AP33" s="395">
        <f t="shared" si="21"/>
        <v>0</v>
      </c>
      <c r="AQ33" s="396" t="str">
        <f t="shared" si="22"/>
        <v/>
      </c>
      <c r="AR33" s="397"/>
    </row>
    <row r="34" spans="1:44" ht="12.75" customHeight="1">
      <c r="A34" s="53"/>
      <c r="B34" s="478" t="s">
        <v>282</v>
      </c>
      <c r="C34" s="389" t="str">
        <f t="shared" si="23"/>
        <v>Large User.Total Deferral/Variance Account Rate RidersYr2</v>
      </c>
      <c r="D34" s="390" t="s">
        <v>406</v>
      </c>
      <c r="E34" s="328"/>
      <c r="F34" s="391">
        <f>IFERROR(VLOOKUP($C34,'Proposed Rates'!$B:$J,F$11,FALSE),0)</f>
        <v>0</v>
      </c>
      <c r="G34" s="409">
        <f t="shared" si="24"/>
        <v>7500</v>
      </c>
      <c r="H34" s="394">
        <f t="shared" si="25"/>
        <v>0</v>
      </c>
      <c r="I34" s="479"/>
      <c r="J34" s="391">
        <f>IFERROR(VLOOKUP($C34,'Proposed Rates'!$B:$J,J$11,FALSE),0)</f>
        <v>0</v>
      </c>
      <c r="K34" s="409">
        <f t="shared" si="26"/>
        <v>7500</v>
      </c>
      <c r="L34" s="394">
        <f t="shared" si="27"/>
        <v>0</v>
      </c>
      <c r="M34" s="411"/>
      <c r="N34" s="395">
        <f t="shared" si="5"/>
        <v>0</v>
      </c>
      <c r="O34" s="396" t="str">
        <f t="shared" si="6"/>
        <v/>
      </c>
      <c r="P34" s="53"/>
      <c r="Q34" s="391">
        <f>IFERROR(VLOOKUP($C34,'Proposed Rates'!$B:$J,Q$11,FALSE),0)</f>
        <v>0</v>
      </c>
      <c r="R34" s="409">
        <f t="shared" si="28"/>
        <v>7500</v>
      </c>
      <c r="S34" s="394">
        <f t="shared" si="29"/>
        <v>0</v>
      </c>
      <c r="T34" s="411"/>
      <c r="U34" s="395">
        <f t="shared" si="9"/>
        <v>0</v>
      </c>
      <c r="V34" s="396" t="str">
        <f t="shared" si="10"/>
        <v/>
      </c>
      <c r="W34" s="53"/>
      <c r="X34" s="391">
        <f>IFERROR(VLOOKUP($C34,'Proposed Rates'!$B:$J,X$11,FALSE),0)</f>
        <v>0</v>
      </c>
      <c r="Y34" s="409">
        <f t="shared" si="30"/>
        <v>7500</v>
      </c>
      <c r="Z34" s="394">
        <f t="shared" si="31"/>
        <v>0</v>
      </c>
      <c r="AA34" s="411"/>
      <c r="AB34" s="395">
        <f t="shared" si="13"/>
        <v>0</v>
      </c>
      <c r="AC34" s="396" t="str">
        <f t="shared" si="14"/>
        <v/>
      </c>
      <c r="AD34" s="53"/>
      <c r="AE34" s="391">
        <f>IFERROR(VLOOKUP($C34,'Proposed Rates'!$B:$J,AE$11,FALSE),0)</f>
        <v>0</v>
      </c>
      <c r="AF34" s="409">
        <f t="shared" si="32"/>
        <v>7500</v>
      </c>
      <c r="AG34" s="394">
        <f t="shared" si="33"/>
        <v>0</v>
      </c>
      <c r="AH34" s="411"/>
      <c r="AI34" s="395">
        <f t="shared" si="17"/>
        <v>0</v>
      </c>
      <c r="AJ34" s="396" t="str">
        <f t="shared" si="18"/>
        <v/>
      </c>
      <c r="AK34" s="53"/>
      <c r="AL34" s="391">
        <f>IFERROR(VLOOKUP($C34,'Proposed Rates'!$B:$J,AL$11,FALSE),0)</f>
        <v>0</v>
      </c>
      <c r="AM34" s="409">
        <f t="shared" si="34"/>
        <v>7500</v>
      </c>
      <c r="AN34" s="394">
        <f t="shared" si="35"/>
        <v>0</v>
      </c>
      <c r="AO34" s="411"/>
      <c r="AP34" s="395">
        <f t="shared" si="21"/>
        <v>0</v>
      </c>
      <c r="AQ34" s="396" t="str">
        <f t="shared" si="22"/>
        <v/>
      </c>
      <c r="AR34" s="397"/>
    </row>
    <row r="35" spans="1:44" ht="12.75" customHeight="1">
      <c r="A35" s="53"/>
      <c r="B35" s="478" t="s">
        <v>284</v>
      </c>
      <c r="C35" s="389" t="str">
        <f t="shared" si="23"/>
        <v>Large User.Total Deferral/Variance Account Rate Riders</v>
      </c>
      <c r="D35" s="390" t="s">
        <v>406</v>
      </c>
      <c r="E35" s="328"/>
      <c r="F35" s="391">
        <f>IFERROR(VLOOKUP($C35,'Proposed Rates'!$B:$J,F$11,FALSE),0)</f>
        <v>0</v>
      </c>
      <c r="G35" s="409">
        <f t="shared" si="24"/>
        <v>7500</v>
      </c>
      <c r="H35" s="394">
        <f t="shared" si="25"/>
        <v>0</v>
      </c>
      <c r="I35" s="138"/>
      <c r="J35" s="391">
        <f>IFERROR(VLOOKUP($C35,'Proposed Rates'!$B:$J,J$11,FALSE),0)</f>
        <v>0</v>
      </c>
      <c r="K35" s="409">
        <f t="shared" si="26"/>
        <v>7500</v>
      </c>
      <c r="L35" s="394">
        <f t="shared" si="27"/>
        <v>0</v>
      </c>
      <c r="M35" s="138"/>
      <c r="N35" s="395">
        <f t="shared" si="5"/>
        <v>0</v>
      </c>
      <c r="O35" s="396" t="str">
        <f t="shared" si="6"/>
        <v/>
      </c>
      <c r="P35" s="53"/>
      <c r="Q35" s="391">
        <f>IFERROR(VLOOKUP($C35,'Proposed Rates'!$B:$J,Q$11,FALSE),0)</f>
        <v>0</v>
      </c>
      <c r="R35" s="409">
        <f t="shared" si="28"/>
        <v>7500</v>
      </c>
      <c r="S35" s="394">
        <f t="shared" si="29"/>
        <v>0</v>
      </c>
      <c r="T35" s="138"/>
      <c r="U35" s="395">
        <f t="shared" si="9"/>
        <v>0</v>
      </c>
      <c r="V35" s="396" t="str">
        <f t="shared" si="10"/>
        <v/>
      </c>
      <c r="W35" s="53"/>
      <c r="X35" s="391">
        <f>IFERROR(VLOOKUP($C35,'Proposed Rates'!$B:$J,X$11,FALSE),0)</f>
        <v>0</v>
      </c>
      <c r="Y35" s="409">
        <f t="shared" si="30"/>
        <v>7500</v>
      </c>
      <c r="Z35" s="394">
        <f t="shared" si="31"/>
        <v>0</v>
      </c>
      <c r="AA35" s="138"/>
      <c r="AB35" s="395">
        <f t="shared" si="13"/>
        <v>0</v>
      </c>
      <c r="AC35" s="396" t="str">
        <f t="shared" si="14"/>
        <v/>
      </c>
      <c r="AD35" s="53"/>
      <c r="AE35" s="391">
        <f>IFERROR(VLOOKUP($C35,'Proposed Rates'!$B:$J,AE$11,FALSE),0)</f>
        <v>0</v>
      </c>
      <c r="AF35" s="409">
        <f t="shared" si="32"/>
        <v>7500</v>
      </c>
      <c r="AG35" s="394">
        <f t="shared" si="33"/>
        <v>0</v>
      </c>
      <c r="AH35" s="138"/>
      <c r="AI35" s="395">
        <f t="shared" si="17"/>
        <v>0</v>
      </c>
      <c r="AJ35" s="396" t="str">
        <f t="shared" si="18"/>
        <v/>
      </c>
      <c r="AK35" s="53"/>
      <c r="AL35" s="391">
        <f>IFERROR(VLOOKUP($C35,'Proposed Rates'!$B:$J,AL$11,FALSE),0)</f>
        <v>0</v>
      </c>
      <c r="AM35" s="409">
        <f t="shared" si="34"/>
        <v>7500</v>
      </c>
      <c r="AN35" s="394">
        <f t="shared" si="35"/>
        <v>0</v>
      </c>
      <c r="AO35" s="138"/>
      <c r="AP35" s="395">
        <f t="shared" si="21"/>
        <v>0</v>
      </c>
      <c r="AQ35" s="396" t="str">
        <f t="shared" si="22"/>
        <v/>
      </c>
      <c r="AR35" s="397"/>
    </row>
    <row r="36" spans="1:44" ht="12.75" customHeight="1">
      <c r="A36" s="53"/>
      <c r="B36" s="328" t="s">
        <v>300</v>
      </c>
      <c r="C36" s="389" t="str">
        <f t="shared" si="23"/>
        <v>Large User.Low Voltage Service Charge</v>
      </c>
      <c r="D36" s="390" t="s">
        <v>406</v>
      </c>
      <c r="E36" s="328"/>
      <c r="F36" s="412">
        <f>IFERROR(VLOOKUP($C36,'Proposed Rates'!$B:$J,F$11,FALSE),0)</f>
        <v>2.4819999999999998E-2</v>
      </c>
      <c r="G36" s="409">
        <f t="shared" si="24"/>
        <v>7500</v>
      </c>
      <c r="H36" s="394">
        <f t="shared" si="25"/>
        <v>186.14999999999998</v>
      </c>
      <c r="I36" s="138"/>
      <c r="J36" s="412">
        <f>IFERROR(VLOOKUP($C36,'Proposed Rates'!$B:$J,J$11,FALSE),0)</f>
        <v>2.716E-2</v>
      </c>
      <c r="K36" s="409">
        <f t="shared" si="26"/>
        <v>7500</v>
      </c>
      <c r="L36" s="394">
        <f t="shared" si="27"/>
        <v>203.7</v>
      </c>
      <c r="M36" s="138"/>
      <c r="N36" s="395">
        <f t="shared" si="5"/>
        <v>17.550000000000011</v>
      </c>
      <c r="O36" s="396">
        <f t="shared" si="6"/>
        <v>9.4278807413376381E-2</v>
      </c>
      <c r="P36" s="53"/>
      <c r="Q36" s="412">
        <f>IFERROR(VLOOKUP($C36,'Proposed Rates'!$B:$J,Q$11,FALSE),0)</f>
        <v>2.7869999999999999E-2</v>
      </c>
      <c r="R36" s="409">
        <f t="shared" si="28"/>
        <v>7500</v>
      </c>
      <c r="S36" s="394">
        <f t="shared" si="29"/>
        <v>209.02500000000001</v>
      </c>
      <c r="T36" s="138"/>
      <c r="U36" s="395">
        <f t="shared" si="9"/>
        <v>5.3250000000000171</v>
      </c>
      <c r="V36" s="396">
        <f t="shared" si="10"/>
        <v>2.6141384388807153E-2</v>
      </c>
      <c r="W36" s="53"/>
      <c r="X36" s="412">
        <f>IFERROR(VLOOKUP($C36,'Proposed Rates'!$B:$J,X$11,FALSE),0)</f>
        <v>2.8209999999999999E-2</v>
      </c>
      <c r="Y36" s="409">
        <f t="shared" si="30"/>
        <v>7500</v>
      </c>
      <c r="Z36" s="394">
        <f t="shared" si="31"/>
        <v>211.57499999999999</v>
      </c>
      <c r="AA36" s="138"/>
      <c r="AB36" s="395">
        <f t="shared" si="13"/>
        <v>2.5499999999999829</v>
      </c>
      <c r="AC36" s="396">
        <f t="shared" si="14"/>
        <v>1.219949766774301E-2</v>
      </c>
      <c r="AD36" s="53"/>
      <c r="AE36" s="412">
        <f>IFERROR(VLOOKUP($C36,'Proposed Rates'!$B:$J,AE$11,FALSE),0)</f>
        <v>2.8660000000000001E-2</v>
      </c>
      <c r="AF36" s="409">
        <f t="shared" si="32"/>
        <v>7500</v>
      </c>
      <c r="AG36" s="394">
        <f t="shared" si="33"/>
        <v>214.95000000000002</v>
      </c>
      <c r="AH36" s="138"/>
      <c r="AI36" s="395">
        <f t="shared" si="17"/>
        <v>3.3750000000000284</v>
      </c>
      <c r="AJ36" s="396">
        <f t="shared" si="18"/>
        <v>1.5951790145338669E-2</v>
      </c>
      <c r="AK36" s="53"/>
      <c r="AL36" s="412">
        <f>IFERROR(VLOOKUP($C36,'Proposed Rates'!$B:$J,AL$11,FALSE),0)</f>
        <v>2.9170000000000001E-2</v>
      </c>
      <c r="AM36" s="409">
        <f t="shared" si="34"/>
        <v>7500</v>
      </c>
      <c r="AN36" s="394">
        <f t="shared" si="35"/>
        <v>218.77500000000001</v>
      </c>
      <c r="AO36" s="138"/>
      <c r="AP36" s="395">
        <f t="shared" si="21"/>
        <v>3.8249999999999886</v>
      </c>
      <c r="AQ36" s="396">
        <f t="shared" si="22"/>
        <v>1.7794836008373987E-2</v>
      </c>
      <c r="AR36" s="397"/>
    </row>
    <row r="37" spans="1:44" ht="12.75" customHeight="1">
      <c r="A37" s="53"/>
      <c r="B37" s="328" t="s">
        <v>341</v>
      </c>
      <c r="C37" s="389" t="str">
        <f t="shared" si="23"/>
        <v>Large User.Line Losses on Cost of Power</v>
      </c>
      <c r="D37" s="390" t="s">
        <v>337</v>
      </c>
      <c r="E37" s="328"/>
      <c r="F37" s="552"/>
      <c r="G37" s="501">
        <f>$F$9*(1+F$65)-$F$9</f>
        <v>20400.000000000466</v>
      </c>
      <c r="H37" s="394">
        <f t="shared" si="25"/>
        <v>0</v>
      </c>
      <c r="I37" s="138"/>
      <c r="J37" s="552"/>
      <c r="K37" s="501">
        <f>$F$9*(1+J$65)-$F$9</f>
        <v>19199.999999999534</v>
      </c>
      <c r="L37" s="394">
        <f t="shared" si="27"/>
        <v>0</v>
      </c>
      <c r="M37" s="138"/>
      <c r="N37" s="395">
        <f t="shared" si="5"/>
        <v>0</v>
      </c>
      <c r="O37" s="396" t="str">
        <f t="shared" si="6"/>
        <v/>
      </c>
      <c r="P37" s="53"/>
      <c r="Q37" s="552"/>
      <c r="R37" s="501">
        <f>$F$9*(1+Q$65)-$F$9</f>
        <v>19199.999999999534</v>
      </c>
      <c r="S37" s="394">
        <f t="shared" si="29"/>
        <v>0</v>
      </c>
      <c r="T37" s="138"/>
      <c r="U37" s="395">
        <f t="shared" si="9"/>
        <v>0</v>
      </c>
      <c r="V37" s="396" t="str">
        <f t="shared" si="10"/>
        <v/>
      </c>
      <c r="W37" s="53"/>
      <c r="X37" s="552"/>
      <c r="Y37" s="501">
        <f>$F$9*(1+X$65)-$F$9</f>
        <v>19199.999999999534</v>
      </c>
      <c r="Z37" s="394">
        <f t="shared" si="31"/>
        <v>0</v>
      </c>
      <c r="AA37" s="138"/>
      <c r="AB37" s="395">
        <f t="shared" si="13"/>
        <v>0</v>
      </c>
      <c r="AC37" s="396" t="str">
        <f t="shared" si="14"/>
        <v/>
      </c>
      <c r="AD37" s="53"/>
      <c r="AE37" s="552"/>
      <c r="AF37" s="501">
        <f>$F$9*(1+AE$65)-$F$9</f>
        <v>19199.999999999534</v>
      </c>
      <c r="AG37" s="394">
        <f t="shared" si="33"/>
        <v>0</v>
      </c>
      <c r="AH37" s="138"/>
      <c r="AI37" s="395">
        <f t="shared" si="17"/>
        <v>0</v>
      </c>
      <c r="AJ37" s="396" t="str">
        <f t="shared" si="18"/>
        <v/>
      </c>
      <c r="AK37" s="53"/>
      <c r="AL37" s="552"/>
      <c r="AM37" s="501">
        <f>$F$9*(1+AL$65)-$F$9</f>
        <v>19199.999999999534</v>
      </c>
      <c r="AN37" s="394">
        <f t="shared" si="35"/>
        <v>0</v>
      </c>
      <c r="AO37" s="138"/>
      <c r="AP37" s="395">
        <f t="shared" si="21"/>
        <v>0</v>
      </c>
      <c r="AQ37" s="396" t="str">
        <f t="shared" si="22"/>
        <v/>
      </c>
      <c r="AR37" s="397"/>
    </row>
    <row r="38" spans="1:44" ht="12.75" customHeight="1">
      <c r="A38" s="53"/>
      <c r="B38" s="328" t="s">
        <v>302</v>
      </c>
      <c r="C38" s="389" t="str">
        <f t="shared" si="23"/>
        <v>Large User.Smart Meter Entity Charge</v>
      </c>
      <c r="D38" s="390" t="s">
        <v>335</v>
      </c>
      <c r="E38" s="328"/>
      <c r="F38" s="391">
        <f>IFERROR(VLOOKUP($C38,'Proposed Rates'!$B:$J,F$11,FALSE),0)</f>
        <v>0</v>
      </c>
      <c r="G38" s="409">
        <f>IF($D38="Monthly",1,IF($D38="per KW",$F$10,IF($D38="per kWh",$F$9,0)))</f>
        <v>1</v>
      </c>
      <c r="H38" s="394">
        <f t="shared" si="25"/>
        <v>0</v>
      </c>
      <c r="I38" s="138"/>
      <c r="J38" s="391">
        <f>IFERROR(VLOOKUP($C38,'Proposed Rates'!$B:$J,J$11,FALSE),0)</f>
        <v>0</v>
      </c>
      <c r="K38" s="409">
        <f>IF($D38="Monthly",1,IF($D38="per KW",$F$10,IF($D38="per kWh",$F$9,0)))</f>
        <v>1</v>
      </c>
      <c r="L38" s="394">
        <f t="shared" si="27"/>
        <v>0</v>
      </c>
      <c r="M38" s="138"/>
      <c r="N38" s="395">
        <f t="shared" si="5"/>
        <v>0</v>
      </c>
      <c r="O38" s="396" t="str">
        <f t="shared" si="6"/>
        <v/>
      </c>
      <c r="P38" s="53"/>
      <c r="Q38" s="391">
        <f>IFERROR(VLOOKUP($C38,'Proposed Rates'!$B:$J,Q$11,FALSE),0)</f>
        <v>0</v>
      </c>
      <c r="R38" s="409">
        <f>IF($D38="Monthly",1,IF($D38="per KW",$F$10,IF($D38="per kWh",$F$9,0)))</f>
        <v>1</v>
      </c>
      <c r="S38" s="394">
        <f t="shared" si="29"/>
        <v>0</v>
      </c>
      <c r="T38" s="138"/>
      <c r="U38" s="395">
        <f t="shared" si="9"/>
        <v>0</v>
      </c>
      <c r="V38" s="396" t="str">
        <f t="shared" si="10"/>
        <v/>
      </c>
      <c r="W38" s="53"/>
      <c r="X38" s="391">
        <f>IFERROR(VLOOKUP($C38,'Proposed Rates'!$B:$J,X$11,FALSE),0)</f>
        <v>0</v>
      </c>
      <c r="Y38" s="409">
        <f>IF($D38="Monthly",1,IF($D38="per KW",$F$10,IF($D38="per kWh",$F$9,0)))</f>
        <v>1</v>
      </c>
      <c r="Z38" s="394">
        <f t="shared" si="31"/>
        <v>0</v>
      </c>
      <c r="AA38" s="138"/>
      <c r="AB38" s="395">
        <f t="shared" si="13"/>
        <v>0</v>
      </c>
      <c r="AC38" s="396" t="str">
        <f t="shared" si="14"/>
        <v/>
      </c>
      <c r="AD38" s="53"/>
      <c r="AE38" s="391">
        <f>IFERROR(VLOOKUP($C38,'Proposed Rates'!$B:$J,AE$11,FALSE),0)</f>
        <v>0</v>
      </c>
      <c r="AF38" s="409">
        <f>IF($D38="Monthly",1,IF($D38="per KW",$F$10,IF($D38="per kWh",$F$9,0)))</f>
        <v>1</v>
      </c>
      <c r="AG38" s="394">
        <f t="shared" si="33"/>
        <v>0</v>
      </c>
      <c r="AH38" s="138"/>
      <c r="AI38" s="395">
        <f t="shared" si="17"/>
        <v>0</v>
      </c>
      <c r="AJ38" s="396" t="str">
        <f t="shared" si="18"/>
        <v/>
      </c>
      <c r="AK38" s="53"/>
      <c r="AL38" s="391">
        <f>IFERROR(VLOOKUP($C38,'Proposed Rates'!$B:$J,AL$11,FALSE),0)</f>
        <v>0</v>
      </c>
      <c r="AM38" s="409">
        <f>IF($D38="Monthly",1,IF($D38="per KW",$F$10,IF($D38="per kWh",$F$9,0)))</f>
        <v>1</v>
      </c>
      <c r="AN38" s="394">
        <f t="shared" si="35"/>
        <v>0</v>
      </c>
      <c r="AO38" s="138"/>
      <c r="AP38" s="395">
        <f t="shared" si="21"/>
        <v>0</v>
      </c>
      <c r="AQ38" s="396" t="str">
        <f t="shared" si="22"/>
        <v/>
      </c>
      <c r="AR38" s="397"/>
    </row>
    <row r="39" spans="1:44" ht="12.75" customHeight="1">
      <c r="A39" s="53"/>
      <c r="B39" s="480" t="s">
        <v>342</v>
      </c>
      <c r="C39" s="553"/>
      <c r="D39" s="416"/>
      <c r="E39" s="416"/>
      <c r="F39" s="417"/>
      <c r="G39" s="495"/>
      <c r="H39" s="403">
        <f>SUM(H30:H38)+H29</f>
        <v>78753.83</v>
      </c>
      <c r="I39" s="419"/>
      <c r="J39" s="417"/>
      <c r="K39" s="495"/>
      <c r="L39" s="403">
        <f>SUM(L30:L38)+L29</f>
        <v>88468.81</v>
      </c>
      <c r="M39" s="419"/>
      <c r="N39" s="405">
        <f t="shared" si="5"/>
        <v>9714.9799999999959</v>
      </c>
      <c r="O39" s="406">
        <f t="shared" si="6"/>
        <v>0.12335882585012051</v>
      </c>
      <c r="P39" s="53"/>
      <c r="Q39" s="417"/>
      <c r="R39" s="495"/>
      <c r="S39" s="403">
        <f>SUM(S30:S38)+S29</f>
        <v>101245.88499999998</v>
      </c>
      <c r="T39" s="419"/>
      <c r="U39" s="405">
        <f t="shared" si="9"/>
        <v>12777.074999999983</v>
      </c>
      <c r="V39" s="406">
        <f t="shared" si="10"/>
        <v>0.14442462829555391</v>
      </c>
      <c r="W39" s="53"/>
      <c r="X39" s="417"/>
      <c r="Y39" s="495"/>
      <c r="Z39" s="403">
        <f>SUM(Z30:Z38)+Z29</f>
        <v>83947.00499999999</v>
      </c>
      <c r="AA39" s="419"/>
      <c r="AB39" s="405">
        <f t="shared" si="13"/>
        <v>-17298.87999999999</v>
      </c>
      <c r="AC39" s="406">
        <f t="shared" si="14"/>
        <v>-0.17086007989361734</v>
      </c>
      <c r="AD39" s="53"/>
      <c r="AE39" s="417"/>
      <c r="AF39" s="495"/>
      <c r="AG39" s="403">
        <f>SUM(AG30:AG38)+AG29</f>
        <v>90804.62999999999</v>
      </c>
      <c r="AH39" s="419"/>
      <c r="AI39" s="405">
        <f t="shared" si="17"/>
        <v>6857.625</v>
      </c>
      <c r="AJ39" s="406">
        <f t="shared" si="18"/>
        <v>8.1689930450764753E-2</v>
      </c>
      <c r="AK39" s="53"/>
      <c r="AL39" s="417"/>
      <c r="AM39" s="495"/>
      <c r="AN39" s="403">
        <f>SUM(AN30:AN38)+AN29</f>
        <v>96665.204999999987</v>
      </c>
      <c r="AO39" s="419"/>
      <c r="AP39" s="405">
        <f t="shared" si="21"/>
        <v>5860.5749999999971</v>
      </c>
      <c r="AQ39" s="406">
        <f t="shared" si="22"/>
        <v>6.4540486536864894E-2</v>
      </c>
      <c r="AR39" s="407"/>
    </row>
    <row r="40" spans="1:44" ht="12.75" customHeight="1">
      <c r="A40" s="53"/>
      <c r="B40" s="138" t="s">
        <v>285</v>
      </c>
      <c r="C40" s="389" t="str">
        <f t="shared" ref="C40:C41" si="36">D$6&amp;"."&amp;B40</f>
        <v>Large User.RTSR - Network</v>
      </c>
      <c r="D40" s="420" t="s">
        <v>406</v>
      </c>
      <c r="E40" s="138"/>
      <c r="F40" s="408">
        <f>IFERROR(VLOOKUP($C40,'Proposed Rates'!$B:$J,F$11,FALSE),0)</f>
        <v>5.5801999999999996</v>
      </c>
      <c r="G40" s="409">
        <f t="shared" ref="G40:G41" si="37">IF($D40="Monthly",1,IF($D40="per KW",$F$10,IF($D40="per kWh",$F$9,0)))</f>
        <v>7500</v>
      </c>
      <c r="H40" s="394">
        <f t="shared" ref="H40:H41" si="38">G40*F40</f>
        <v>41851.5</v>
      </c>
      <c r="I40" s="138"/>
      <c r="J40" s="408">
        <f>IFERROR(VLOOKUP($C40,'Proposed Rates'!$B:$J,J$11,FALSE),0)</f>
        <v>5.3339999999999996</v>
      </c>
      <c r="K40" s="409">
        <f t="shared" ref="K40:K41" si="39">IF($D40="Monthly",1,IF($D40="per KW",$F$10,IF($D40="per kWh",$F$9,0)))</f>
        <v>7500</v>
      </c>
      <c r="L40" s="394">
        <f t="shared" ref="L40:L41" si="40">K40*J40</f>
        <v>40005</v>
      </c>
      <c r="M40" s="138"/>
      <c r="N40" s="395">
        <f t="shared" si="5"/>
        <v>-1846.5</v>
      </c>
      <c r="O40" s="396">
        <f t="shared" si="6"/>
        <v>-4.412028242715315E-2</v>
      </c>
      <c r="P40" s="53"/>
      <c r="Q40" s="408">
        <f>IFERROR(VLOOKUP($C40,'Proposed Rates'!$B:$J,Q$11,FALSE),0)</f>
        <v>5.3339999999999996</v>
      </c>
      <c r="R40" s="409">
        <f t="shared" ref="R40:R41" si="41">IF($D40="Monthly",1,IF($D40="per KW",$F$10,IF($D40="per kWh",$F$9,0)))</f>
        <v>7500</v>
      </c>
      <c r="S40" s="394">
        <f t="shared" ref="S40:S41" si="42">R40*Q40</f>
        <v>40005</v>
      </c>
      <c r="T40" s="138"/>
      <c r="U40" s="395">
        <f t="shared" si="9"/>
        <v>0</v>
      </c>
      <c r="V40" s="396">
        <f t="shared" si="10"/>
        <v>0</v>
      </c>
      <c r="W40" s="53"/>
      <c r="X40" s="408">
        <f>IFERROR(VLOOKUP($C40,'Proposed Rates'!$B:$J,X$11,FALSE),0)</f>
        <v>5.3339999999999996</v>
      </c>
      <c r="Y40" s="409">
        <f t="shared" ref="Y40:Y41" si="43">IF($D40="Monthly",1,IF($D40="per KW",$F$10,IF($D40="per kWh",$F$9,0)))</f>
        <v>7500</v>
      </c>
      <c r="Z40" s="394">
        <f t="shared" ref="Z40:Z41" si="44">Y40*X40</f>
        <v>40005</v>
      </c>
      <c r="AA40" s="138"/>
      <c r="AB40" s="395">
        <f t="shared" si="13"/>
        <v>0</v>
      </c>
      <c r="AC40" s="396">
        <f t="shared" si="14"/>
        <v>0</v>
      </c>
      <c r="AD40" s="53"/>
      <c r="AE40" s="408">
        <f>IFERROR(VLOOKUP($C40,'Proposed Rates'!$B:$J,AE$11,FALSE),0)</f>
        <v>5.3339999999999996</v>
      </c>
      <c r="AF40" s="409">
        <f t="shared" ref="AF40:AF41" si="45">IF($D40="Monthly",1,IF($D40="per KW",$F$10,IF($D40="per kWh",$F$9,0)))</f>
        <v>7500</v>
      </c>
      <c r="AG40" s="394">
        <f t="shared" ref="AG40:AG41" si="46">AF40*AE40</f>
        <v>40005</v>
      </c>
      <c r="AH40" s="138"/>
      <c r="AI40" s="395">
        <f t="shared" si="17"/>
        <v>0</v>
      </c>
      <c r="AJ40" s="396">
        <f t="shared" si="18"/>
        <v>0</v>
      </c>
      <c r="AK40" s="53"/>
      <c r="AL40" s="408">
        <f>IFERROR(VLOOKUP($C40,'Proposed Rates'!$B:$J,AL$11,FALSE),0)</f>
        <v>5.3339999999999996</v>
      </c>
      <c r="AM40" s="409">
        <f t="shared" ref="AM40:AM41" si="47">IF($D40="Monthly",1,IF($D40="per KW",$F$10,IF($D40="per kWh",$F$9,0)))</f>
        <v>7500</v>
      </c>
      <c r="AN40" s="394">
        <f t="shared" ref="AN40:AN41" si="48">AM40*AL40</f>
        <v>40005</v>
      </c>
      <c r="AO40" s="138"/>
      <c r="AP40" s="395">
        <f t="shared" si="21"/>
        <v>0</v>
      </c>
      <c r="AQ40" s="396">
        <f t="shared" si="22"/>
        <v>0</v>
      </c>
      <c r="AR40" s="397"/>
    </row>
    <row r="41" spans="1:44" ht="12.75" customHeight="1">
      <c r="A41" s="53"/>
      <c r="B41" s="481" t="s">
        <v>288</v>
      </c>
      <c r="C41" s="389" t="str">
        <f t="shared" si="36"/>
        <v>Large User.RTSR - Line and Transformation Connection</v>
      </c>
      <c r="D41" s="420" t="s">
        <v>406</v>
      </c>
      <c r="E41" s="138"/>
      <c r="F41" s="408">
        <f>IFERROR(VLOOKUP($C41,'Proposed Rates'!$B:$J,F$11,FALSE),0)</f>
        <v>3.3923999999999999</v>
      </c>
      <c r="G41" s="409">
        <f t="shared" si="37"/>
        <v>7500</v>
      </c>
      <c r="H41" s="394">
        <f t="shared" si="38"/>
        <v>25443</v>
      </c>
      <c r="I41" s="138"/>
      <c r="J41" s="408">
        <f>IFERROR(VLOOKUP($C41,'Proposed Rates'!$B:$J,J$11,FALSE),0)</f>
        <v>3.0192999999999999</v>
      </c>
      <c r="K41" s="409">
        <f t="shared" si="39"/>
        <v>7500</v>
      </c>
      <c r="L41" s="394">
        <f t="shared" si="40"/>
        <v>22644.75</v>
      </c>
      <c r="M41" s="138"/>
      <c r="N41" s="395">
        <f t="shared" si="5"/>
        <v>-2798.25</v>
      </c>
      <c r="O41" s="396">
        <f t="shared" si="6"/>
        <v>-0.10998113430020044</v>
      </c>
      <c r="P41" s="53"/>
      <c r="Q41" s="408">
        <f>IFERROR(VLOOKUP($C41,'Proposed Rates'!$B:$J,Q$11,FALSE),0)</f>
        <v>3.0192999999999999</v>
      </c>
      <c r="R41" s="409">
        <f t="shared" si="41"/>
        <v>7500</v>
      </c>
      <c r="S41" s="394">
        <f t="shared" si="42"/>
        <v>22644.75</v>
      </c>
      <c r="T41" s="138"/>
      <c r="U41" s="395">
        <f t="shared" si="9"/>
        <v>0</v>
      </c>
      <c r="V41" s="396">
        <f t="shared" si="10"/>
        <v>0</v>
      </c>
      <c r="W41" s="53"/>
      <c r="X41" s="408">
        <f>IFERROR(VLOOKUP($C41,'Proposed Rates'!$B:$J,X$11,FALSE),0)</f>
        <v>3.0192999999999999</v>
      </c>
      <c r="Y41" s="409">
        <f t="shared" si="43"/>
        <v>7500</v>
      </c>
      <c r="Z41" s="394">
        <f t="shared" si="44"/>
        <v>22644.75</v>
      </c>
      <c r="AA41" s="138"/>
      <c r="AB41" s="395">
        <f t="shared" si="13"/>
        <v>0</v>
      </c>
      <c r="AC41" s="396">
        <f t="shared" si="14"/>
        <v>0</v>
      </c>
      <c r="AD41" s="53"/>
      <c r="AE41" s="408">
        <f>IFERROR(VLOOKUP($C41,'Proposed Rates'!$B:$J,AE$11,FALSE),0)</f>
        <v>3.0192999999999999</v>
      </c>
      <c r="AF41" s="409">
        <f t="shared" si="45"/>
        <v>7500</v>
      </c>
      <c r="AG41" s="394">
        <f t="shared" si="46"/>
        <v>22644.75</v>
      </c>
      <c r="AH41" s="138"/>
      <c r="AI41" s="395">
        <f t="shared" si="17"/>
        <v>0</v>
      </c>
      <c r="AJ41" s="396">
        <f t="shared" si="18"/>
        <v>0</v>
      </c>
      <c r="AK41" s="53"/>
      <c r="AL41" s="408">
        <f>IFERROR(VLOOKUP($C41,'Proposed Rates'!$B:$J,AL$11,FALSE),0)</f>
        <v>3.0192999999999999</v>
      </c>
      <c r="AM41" s="409">
        <f t="shared" si="47"/>
        <v>7500</v>
      </c>
      <c r="AN41" s="394">
        <f t="shared" si="48"/>
        <v>22644.75</v>
      </c>
      <c r="AO41" s="138"/>
      <c r="AP41" s="395">
        <f t="shared" si="21"/>
        <v>0</v>
      </c>
      <c r="AQ41" s="396">
        <f t="shared" si="22"/>
        <v>0</v>
      </c>
      <c r="AR41" s="397"/>
    </row>
    <row r="42" spans="1:44" ht="12.75" customHeight="1">
      <c r="A42" s="53"/>
      <c r="B42" s="480" t="s">
        <v>343</v>
      </c>
      <c r="C42" s="554"/>
      <c r="D42" s="421"/>
      <c r="E42" s="421"/>
      <c r="F42" s="422"/>
      <c r="G42" s="495"/>
      <c r="H42" s="403">
        <f>SUM(H39:H41)</f>
        <v>146048.33000000002</v>
      </c>
      <c r="I42" s="404"/>
      <c r="J42" s="422"/>
      <c r="K42" s="495"/>
      <c r="L42" s="403">
        <f>SUM(L39:L41)</f>
        <v>151118.56</v>
      </c>
      <c r="M42" s="404"/>
      <c r="N42" s="405">
        <f t="shared" si="5"/>
        <v>5070.2299999999814</v>
      </c>
      <c r="O42" s="406">
        <f t="shared" si="6"/>
        <v>3.4716110755939361E-2</v>
      </c>
      <c r="P42" s="53"/>
      <c r="Q42" s="422"/>
      <c r="R42" s="495"/>
      <c r="S42" s="403">
        <f>SUM(S39:S41)</f>
        <v>163895.63499999998</v>
      </c>
      <c r="T42" s="404"/>
      <c r="U42" s="405">
        <f t="shared" si="9"/>
        <v>12777.074999999983</v>
      </c>
      <c r="V42" s="406">
        <f t="shared" si="10"/>
        <v>8.4550004976225182E-2</v>
      </c>
      <c r="W42" s="53"/>
      <c r="X42" s="422"/>
      <c r="Y42" s="495"/>
      <c r="Z42" s="403">
        <f>SUM(Z39:Z41)</f>
        <v>146596.755</v>
      </c>
      <c r="AA42" s="404"/>
      <c r="AB42" s="405">
        <f t="shared" si="13"/>
        <v>-17298.879999999976</v>
      </c>
      <c r="AC42" s="406">
        <f t="shared" si="14"/>
        <v>-0.10554814348777487</v>
      </c>
      <c r="AD42" s="53"/>
      <c r="AE42" s="422"/>
      <c r="AF42" s="495"/>
      <c r="AG42" s="403">
        <f>SUM(AG39:AG41)</f>
        <v>153454.38</v>
      </c>
      <c r="AH42" s="404"/>
      <c r="AI42" s="405">
        <f t="shared" si="17"/>
        <v>6857.625</v>
      </c>
      <c r="AJ42" s="406">
        <f t="shared" si="18"/>
        <v>4.6778832178106536E-2</v>
      </c>
      <c r="AK42" s="53"/>
      <c r="AL42" s="422"/>
      <c r="AM42" s="495"/>
      <c r="AN42" s="403">
        <f>SUM(AN39:AN41)</f>
        <v>159314.95499999999</v>
      </c>
      <c r="AO42" s="404"/>
      <c r="AP42" s="405">
        <f t="shared" si="21"/>
        <v>5860.5749999999825</v>
      </c>
      <c r="AQ42" s="406">
        <f t="shared" si="22"/>
        <v>3.8190992006875153E-2</v>
      </c>
      <c r="AR42" s="407"/>
    </row>
    <row r="43" spans="1:44" ht="12.75" customHeight="1">
      <c r="A43" s="53"/>
      <c r="B43" s="482" t="s">
        <v>289</v>
      </c>
      <c r="C43" s="389" t="str">
        <f t="shared" ref="C43:C45" si="49">D$6&amp;"."&amp;B43</f>
        <v>Large User.Wholesale Market Service Charge (WMSC)</v>
      </c>
      <c r="D43" s="390" t="s">
        <v>337</v>
      </c>
      <c r="E43" s="328"/>
      <c r="F43" s="408">
        <f>IFERROR(VLOOKUP($C43,'Proposed Rates'!$B:$J,F$11,FALSE),0)</f>
        <v>4.4999999999999997E-3</v>
      </c>
      <c r="G43" s="413">
        <f>$F$9+G$37</f>
        <v>4020400.0000000005</v>
      </c>
      <c r="H43" s="394">
        <f t="shared" ref="H43:H46" si="50">G43*F43</f>
        <v>18091.8</v>
      </c>
      <c r="I43" s="138"/>
      <c r="J43" s="408">
        <f>IFERROR(VLOOKUP($C43,'Proposed Rates'!$B:$J,J$11,FALSE),0)</f>
        <v>4.7000000000000002E-3</v>
      </c>
      <c r="K43" s="413">
        <f>$F$9+K$37</f>
        <v>4019199.9999999995</v>
      </c>
      <c r="L43" s="394">
        <f t="shared" ref="L43:L46" si="51">K43*J43</f>
        <v>18890.239999999998</v>
      </c>
      <c r="M43" s="138"/>
      <c r="N43" s="395">
        <f t="shared" si="5"/>
        <v>798.43999999999869</v>
      </c>
      <c r="O43" s="396">
        <f t="shared" si="6"/>
        <v>4.4132701002664122E-2</v>
      </c>
      <c r="P43" s="53"/>
      <c r="Q43" s="408">
        <f>IFERROR(VLOOKUP($C43,'Proposed Rates'!$B:$J,Q$11,FALSE),0)</f>
        <v>4.7000000000000002E-3</v>
      </c>
      <c r="R43" s="413">
        <f>$F$9+R$37</f>
        <v>4019199.9999999995</v>
      </c>
      <c r="S43" s="394">
        <f t="shared" ref="S43:S46" si="52">R43*Q43</f>
        <v>18890.239999999998</v>
      </c>
      <c r="T43" s="138"/>
      <c r="U43" s="395">
        <f t="shared" si="9"/>
        <v>0</v>
      </c>
      <c r="V43" s="396">
        <f t="shared" si="10"/>
        <v>0</v>
      </c>
      <c r="W43" s="53"/>
      <c r="X43" s="408">
        <f>IFERROR(VLOOKUP($C43,'Proposed Rates'!$B:$J,X$11,FALSE),0)</f>
        <v>4.7000000000000002E-3</v>
      </c>
      <c r="Y43" s="413">
        <f>$F$9+Y$37</f>
        <v>4019199.9999999995</v>
      </c>
      <c r="Z43" s="394">
        <f t="shared" ref="Z43:Z46" si="53">Y43*X43</f>
        <v>18890.239999999998</v>
      </c>
      <c r="AA43" s="138"/>
      <c r="AB43" s="395">
        <f t="shared" si="13"/>
        <v>0</v>
      </c>
      <c r="AC43" s="396">
        <f t="shared" si="14"/>
        <v>0</v>
      </c>
      <c r="AD43" s="53"/>
      <c r="AE43" s="408">
        <f>IFERROR(VLOOKUP($C43,'Proposed Rates'!$B:$J,AE$11,FALSE),0)</f>
        <v>4.7000000000000002E-3</v>
      </c>
      <c r="AF43" s="413">
        <f>$F$9+AF$37</f>
        <v>4019199.9999999995</v>
      </c>
      <c r="AG43" s="394">
        <f t="shared" ref="AG43:AG46" si="54">AF43*AE43</f>
        <v>18890.239999999998</v>
      </c>
      <c r="AH43" s="138"/>
      <c r="AI43" s="395">
        <f t="shared" si="17"/>
        <v>0</v>
      </c>
      <c r="AJ43" s="396">
        <f t="shared" si="18"/>
        <v>0</v>
      </c>
      <c r="AK43" s="53"/>
      <c r="AL43" s="408">
        <f>IFERROR(VLOOKUP($C43,'Proposed Rates'!$B:$J,AL$11,FALSE),0)</f>
        <v>4.7000000000000002E-3</v>
      </c>
      <c r="AM43" s="413">
        <f>$F$9+AM$37</f>
        <v>4019199.9999999995</v>
      </c>
      <c r="AN43" s="394">
        <f t="shared" ref="AN43:AN46" si="55">AM43*AL43</f>
        <v>18890.239999999998</v>
      </c>
      <c r="AO43" s="138"/>
      <c r="AP43" s="395">
        <f t="shared" si="21"/>
        <v>0</v>
      </c>
      <c r="AQ43" s="396">
        <f t="shared" si="22"/>
        <v>0</v>
      </c>
      <c r="AR43" s="397"/>
    </row>
    <row r="44" spans="1:44" ht="12.75" customHeight="1">
      <c r="A44" s="53"/>
      <c r="B44" s="482" t="s">
        <v>290</v>
      </c>
      <c r="C44" s="389" t="str">
        <f t="shared" si="49"/>
        <v>Large User.Rural and Remote Rate Protection (RRRP)</v>
      </c>
      <c r="D44" s="390" t="s">
        <v>337</v>
      </c>
      <c r="E44" s="328"/>
      <c r="F44" s="408">
        <f>IFERROR(VLOOKUP($C44,'Proposed Rates'!$B:$J,F$11,FALSE),0)</f>
        <v>1.5E-3</v>
      </c>
      <c r="G44" s="413">
        <f>G43</f>
        <v>4020400.0000000005</v>
      </c>
      <c r="H44" s="394">
        <f t="shared" si="50"/>
        <v>6030.6000000000013</v>
      </c>
      <c r="I44" s="138"/>
      <c r="J44" s="408">
        <f>IFERROR(VLOOKUP($C44,'Proposed Rates'!$B:$J,J$11,FALSE),0)</f>
        <v>5.9999999999999995E-4</v>
      </c>
      <c r="K44" s="413">
        <f>K43</f>
        <v>4019199.9999999995</v>
      </c>
      <c r="L44" s="394">
        <f t="shared" si="51"/>
        <v>2411.5199999999995</v>
      </c>
      <c r="M44" s="138"/>
      <c r="N44" s="395">
        <f t="shared" si="5"/>
        <v>-3619.0800000000017</v>
      </c>
      <c r="O44" s="396">
        <f t="shared" si="6"/>
        <v>-0.60011939110536283</v>
      </c>
      <c r="P44" s="53"/>
      <c r="Q44" s="408">
        <f>IFERROR(VLOOKUP($C44,'Proposed Rates'!$B:$J,Q$11,FALSE),0)</f>
        <v>5.9999999999999995E-4</v>
      </c>
      <c r="R44" s="413">
        <f>R43</f>
        <v>4019199.9999999995</v>
      </c>
      <c r="S44" s="394">
        <f t="shared" si="52"/>
        <v>2411.5199999999995</v>
      </c>
      <c r="T44" s="138"/>
      <c r="U44" s="395">
        <f t="shared" si="9"/>
        <v>0</v>
      </c>
      <c r="V44" s="396">
        <f t="shared" si="10"/>
        <v>0</v>
      </c>
      <c r="W44" s="53"/>
      <c r="X44" s="408">
        <f>IFERROR(VLOOKUP($C44,'Proposed Rates'!$B:$J,X$11,FALSE),0)</f>
        <v>5.9999999999999995E-4</v>
      </c>
      <c r="Y44" s="413">
        <f>Y43</f>
        <v>4019199.9999999995</v>
      </c>
      <c r="Z44" s="394">
        <f t="shared" si="53"/>
        <v>2411.5199999999995</v>
      </c>
      <c r="AA44" s="138"/>
      <c r="AB44" s="395">
        <f t="shared" si="13"/>
        <v>0</v>
      </c>
      <c r="AC44" s="396">
        <f t="shared" si="14"/>
        <v>0</v>
      </c>
      <c r="AD44" s="53"/>
      <c r="AE44" s="408">
        <f>IFERROR(VLOOKUP($C44,'Proposed Rates'!$B:$J,AE$11,FALSE),0)</f>
        <v>5.9999999999999995E-4</v>
      </c>
      <c r="AF44" s="413">
        <f>AF43</f>
        <v>4019199.9999999995</v>
      </c>
      <c r="AG44" s="394">
        <f t="shared" si="54"/>
        <v>2411.5199999999995</v>
      </c>
      <c r="AH44" s="138"/>
      <c r="AI44" s="395">
        <f t="shared" si="17"/>
        <v>0</v>
      </c>
      <c r="AJ44" s="396">
        <f t="shared" si="18"/>
        <v>0</v>
      </c>
      <c r="AK44" s="53"/>
      <c r="AL44" s="408">
        <f>IFERROR(VLOOKUP($C44,'Proposed Rates'!$B:$J,AL$11,FALSE),0)</f>
        <v>5.9999999999999995E-4</v>
      </c>
      <c r="AM44" s="413">
        <f>AM43</f>
        <v>4019199.9999999995</v>
      </c>
      <c r="AN44" s="394">
        <f t="shared" si="55"/>
        <v>2411.5199999999995</v>
      </c>
      <c r="AO44" s="138"/>
      <c r="AP44" s="395">
        <f t="shared" si="21"/>
        <v>0</v>
      </c>
      <c r="AQ44" s="396">
        <f t="shared" si="22"/>
        <v>0</v>
      </c>
      <c r="AR44" s="397"/>
    </row>
    <row r="45" spans="1:44" ht="12.75" customHeight="1">
      <c r="A45" s="53"/>
      <c r="B45" s="328" t="s">
        <v>291</v>
      </c>
      <c r="C45" s="389" t="str">
        <f t="shared" si="49"/>
        <v>Large User.Standard Supply Service Charge</v>
      </c>
      <c r="D45" s="390" t="s">
        <v>335</v>
      </c>
      <c r="E45" s="328"/>
      <c r="F45" s="391">
        <f>IFERROR(VLOOKUP($C45,'Proposed Rates'!$B:$J,F$11,FALSE),0)</f>
        <v>0.25</v>
      </c>
      <c r="G45" s="409">
        <f>IF($D45="Monthly",1,IF($D45="per KW",$F$10,IF($D45="per kWh",$F$9,0)))</f>
        <v>1</v>
      </c>
      <c r="H45" s="394">
        <f t="shared" si="50"/>
        <v>0.25</v>
      </c>
      <c r="I45" s="138"/>
      <c r="J45" s="391">
        <f>IFERROR(VLOOKUP($C45,'Proposed Rates'!$B:$J,J$11,FALSE),0)</f>
        <v>0.25</v>
      </c>
      <c r="K45" s="409">
        <f>IF($D45="Monthly",1,IF($D45="per KW",$F$10,IF($D45="per kWh",$F$9,0)))</f>
        <v>1</v>
      </c>
      <c r="L45" s="394">
        <f t="shared" si="51"/>
        <v>0.25</v>
      </c>
      <c r="M45" s="138"/>
      <c r="N45" s="395">
        <f t="shared" si="5"/>
        <v>0</v>
      </c>
      <c r="O45" s="396">
        <f t="shared" si="6"/>
        <v>0</v>
      </c>
      <c r="P45" s="53"/>
      <c r="Q45" s="391">
        <f>IFERROR(VLOOKUP($C45,'Proposed Rates'!$B:$J,Q$11,FALSE),0)</f>
        <v>0.25</v>
      </c>
      <c r="R45" s="409">
        <f>IF($D45="Monthly",1,IF($D45="per KW",$F$10,IF($D45="per kWh",$F$9,0)))</f>
        <v>1</v>
      </c>
      <c r="S45" s="394">
        <f t="shared" si="52"/>
        <v>0.25</v>
      </c>
      <c r="T45" s="138"/>
      <c r="U45" s="395">
        <f t="shared" si="9"/>
        <v>0</v>
      </c>
      <c r="V45" s="396">
        <f t="shared" si="10"/>
        <v>0</v>
      </c>
      <c r="W45" s="53"/>
      <c r="X45" s="391">
        <f>IFERROR(VLOOKUP($C45,'Proposed Rates'!$B:$J,X$11,FALSE),0)</f>
        <v>0.25</v>
      </c>
      <c r="Y45" s="409">
        <f>IF($D45="Monthly",1,IF($D45="per KW",$F$10,IF($D45="per kWh",$F$9,0)))</f>
        <v>1</v>
      </c>
      <c r="Z45" s="394">
        <f t="shared" si="53"/>
        <v>0.25</v>
      </c>
      <c r="AA45" s="138"/>
      <c r="AB45" s="395">
        <f t="shared" si="13"/>
        <v>0</v>
      </c>
      <c r="AC45" s="396">
        <f t="shared" si="14"/>
        <v>0</v>
      </c>
      <c r="AD45" s="53"/>
      <c r="AE45" s="391">
        <f>IFERROR(VLOOKUP($C45,'Proposed Rates'!$B:$J,AE$11,FALSE),0)</f>
        <v>0.25</v>
      </c>
      <c r="AF45" s="409">
        <f>IF($D45="Monthly",1,IF($D45="per KW",$F$10,IF($D45="per kWh",$F$9,0)))</f>
        <v>1</v>
      </c>
      <c r="AG45" s="394">
        <f t="shared" si="54"/>
        <v>0.25</v>
      </c>
      <c r="AH45" s="138"/>
      <c r="AI45" s="395">
        <f t="shared" si="17"/>
        <v>0</v>
      </c>
      <c r="AJ45" s="396">
        <f t="shared" si="18"/>
        <v>0</v>
      </c>
      <c r="AK45" s="53"/>
      <c r="AL45" s="391">
        <f>IFERROR(VLOOKUP($C45,'Proposed Rates'!$B:$J,AL$11,FALSE),0)</f>
        <v>0.25</v>
      </c>
      <c r="AM45" s="409">
        <f>IF($D45="Monthly",1,IF($D45="per KW",$F$10,IF($D45="per kWh",$F$9,0)))</f>
        <v>1</v>
      </c>
      <c r="AN45" s="394">
        <f t="shared" si="55"/>
        <v>0.25</v>
      </c>
      <c r="AO45" s="138"/>
      <c r="AP45" s="395">
        <f t="shared" si="21"/>
        <v>0</v>
      </c>
      <c r="AQ45" s="396">
        <f t="shared" si="22"/>
        <v>0</v>
      </c>
      <c r="AR45" s="397"/>
    </row>
    <row r="46" spans="1:44" ht="12.75" customHeight="1">
      <c r="A46" s="53"/>
      <c r="B46" s="328" t="s">
        <v>298</v>
      </c>
      <c r="C46" s="389" t="str">
        <f>B46</f>
        <v>Average IESO Wholesale Market Price</v>
      </c>
      <c r="D46" s="390" t="s">
        <v>337</v>
      </c>
      <c r="E46" s="328"/>
      <c r="F46" s="408">
        <f>IFERROR(VLOOKUP($C46,'Proposed Rates'!$B:$J,F$11,FALSE),0)</f>
        <v>0.10453</v>
      </c>
      <c r="G46" s="413">
        <f>G43</f>
        <v>4020400.0000000005</v>
      </c>
      <c r="H46" s="394">
        <f t="shared" si="50"/>
        <v>420252.41200000007</v>
      </c>
      <c r="I46" s="138"/>
      <c r="J46" s="408">
        <f>IFERROR(VLOOKUP($C46,'Proposed Rates'!$B:$J,J$11,FALSE),0)</f>
        <v>0.10453</v>
      </c>
      <c r="K46" s="413">
        <f>K43</f>
        <v>4019199.9999999995</v>
      </c>
      <c r="L46" s="394">
        <f t="shared" si="51"/>
        <v>420126.97599999997</v>
      </c>
      <c r="M46" s="138"/>
      <c r="N46" s="395">
        <f t="shared" si="5"/>
        <v>-125.43600000010338</v>
      </c>
      <c r="O46" s="396">
        <f t="shared" si="6"/>
        <v>-2.9847776340687212E-4</v>
      </c>
      <c r="P46" s="53"/>
      <c r="Q46" s="408">
        <f>IFERROR(VLOOKUP($C46,'Proposed Rates'!$B:$J,Q$11,FALSE),0)</f>
        <v>0.10453</v>
      </c>
      <c r="R46" s="413">
        <f>R43</f>
        <v>4019199.9999999995</v>
      </c>
      <c r="S46" s="394">
        <f t="shared" si="52"/>
        <v>420126.97599999997</v>
      </c>
      <c r="T46" s="138"/>
      <c r="U46" s="395">
        <f t="shared" si="9"/>
        <v>0</v>
      </c>
      <c r="V46" s="396">
        <f t="shared" si="10"/>
        <v>0</v>
      </c>
      <c r="W46" s="53"/>
      <c r="X46" s="408">
        <f>IFERROR(VLOOKUP($C46,'Proposed Rates'!$B:$J,X$11,FALSE),0)</f>
        <v>0.10453</v>
      </c>
      <c r="Y46" s="413">
        <f>Y43</f>
        <v>4019199.9999999995</v>
      </c>
      <c r="Z46" s="394">
        <f t="shared" si="53"/>
        <v>420126.97599999997</v>
      </c>
      <c r="AA46" s="138"/>
      <c r="AB46" s="395">
        <f t="shared" si="13"/>
        <v>0</v>
      </c>
      <c r="AC46" s="396">
        <f t="shared" si="14"/>
        <v>0</v>
      </c>
      <c r="AD46" s="53"/>
      <c r="AE46" s="408">
        <f>IFERROR(VLOOKUP($C46,'Proposed Rates'!$B:$J,AE$11,FALSE),0)</f>
        <v>0.10453</v>
      </c>
      <c r="AF46" s="413">
        <f>AF43</f>
        <v>4019199.9999999995</v>
      </c>
      <c r="AG46" s="394">
        <f t="shared" si="54"/>
        <v>420126.97599999997</v>
      </c>
      <c r="AH46" s="138"/>
      <c r="AI46" s="395">
        <f t="shared" si="17"/>
        <v>0</v>
      </c>
      <c r="AJ46" s="396">
        <f t="shared" si="18"/>
        <v>0</v>
      </c>
      <c r="AK46" s="53"/>
      <c r="AL46" s="408">
        <f>IFERROR(VLOOKUP($C46,'Proposed Rates'!$B:$J,AL$11,FALSE),0)</f>
        <v>0.10453</v>
      </c>
      <c r="AM46" s="413">
        <f>AM43</f>
        <v>4019199.9999999995</v>
      </c>
      <c r="AN46" s="394">
        <f t="shared" si="55"/>
        <v>420126.97599999997</v>
      </c>
      <c r="AO46" s="138"/>
      <c r="AP46" s="395">
        <f t="shared" si="21"/>
        <v>0</v>
      </c>
      <c r="AQ46" s="396">
        <f t="shared" si="22"/>
        <v>0</v>
      </c>
      <c r="AR46" s="397"/>
    </row>
    <row r="47" spans="1:44" ht="7.5" customHeight="1">
      <c r="A47" s="53"/>
      <c r="B47" s="328"/>
      <c r="C47" s="389" t="str">
        <f t="shared" ref="C47:C50" si="56">D$6&amp;"."&amp;B47</f>
        <v>Large User.</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row>
    <row r="48" spans="1:44" ht="7.5" customHeight="1">
      <c r="A48" s="53"/>
      <c r="B48" s="53"/>
      <c r="C48" s="389" t="str">
        <f t="shared" si="56"/>
        <v>Large User.</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row>
    <row r="49" spans="1:44" ht="7.5" customHeight="1">
      <c r="A49" s="53"/>
      <c r="B49" s="328"/>
      <c r="C49" s="389" t="str">
        <f t="shared" si="56"/>
        <v>Large User.</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row>
    <row r="50" spans="1:44" ht="7.5" customHeight="1">
      <c r="A50" s="53"/>
      <c r="B50" s="328"/>
      <c r="C50" s="389" t="str">
        <f t="shared" si="56"/>
        <v>Large User.</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row>
    <row r="51" spans="1:44" ht="8.25" customHeight="1">
      <c r="A51" s="53"/>
      <c r="B51" s="428"/>
      <c r="C51" s="555"/>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row>
    <row r="52" spans="1:44" ht="12.75" customHeight="1">
      <c r="A52" s="53"/>
      <c r="B52" s="438" t="s">
        <v>344</v>
      </c>
      <c r="C52" s="556"/>
      <c r="D52" s="328"/>
      <c r="E52" s="328"/>
      <c r="F52" s="439"/>
      <c r="G52" s="483"/>
      <c r="H52" s="441">
        <f>SUM(H43:H48,H42)</f>
        <v>590423.39200000011</v>
      </c>
      <c r="I52" s="476"/>
      <c r="J52" s="440"/>
      <c r="K52" s="440"/>
      <c r="L52" s="441">
        <f>SUM(L43:L48,L42)</f>
        <v>592547.54599999997</v>
      </c>
      <c r="M52" s="443"/>
      <c r="N52" s="442">
        <f t="shared" ref="N52:N56" si="57">L52-H52</f>
        <v>2124.153999999864</v>
      </c>
      <c r="O52" s="444">
        <f t="shared" ref="O52:O56" si="58">IF((H52)=0,"",(N52/H52))</f>
        <v>3.5976792735201513E-3</v>
      </c>
      <c r="P52" s="53"/>
      <c r="Q52" s="440"/>
      <c r="R52" s="440"/>
      <c r="S52" s="441">
        <f>SUM(S43:S48,S42)</f>
        <v>605324.62099999993</v>
      </c>
      <c r="T52" s="443"/>
      <c r="U52" s="442">
        <f t="shared" ref="U52:U56" si="59">S52-L52</f>
        <v>12777.074999999953</v>
      </c>
      <c r="V52" s="444">
        <f t="shared" ref="V52:V56" si="60">IF((L52)=0,"",(U52/L52))</f>
        <v>2.1562953194645337E-2</v>
      </c>
      <c r="W52" s="53"/>
      <c r="X52" s="440"/>
      <c r="Y52" s="440"/>
      <c r="Z52" s="441">
        <f>SUM(Z43:Z48,Z42)</f>
        <v>588025.74099999992</v>
      </c>
      <c r="AA52" s="443"/>
      <c r="AB52" s="442">
        <f t="shared" ref="AB52:AB56" si="61">Z52-S52</f>
        <v>-17298.880000000005</v>
      </c>
      <c r="AC52" s="444">
        <f t="shared" ref="AC52:AC56" si="62">IF((S52)=0,"",(AB52/S52))</f>
        <v>-2.8577856244178787E-2</v>
      </c>
      <c r="AD52" s="53"/>
      <c r="AE52" s="440"/>
      <c r="AF52" s="440"/>
      <c r="AG52" s="441">
        <f>SUM(AG43:AG48,AG42)</f>
        <v>594883.36599999992</v>
      </c>
      <c r="AH52" s="443"/>
      <c r="AI52" s="442">
        <f t="shared" ref="AI52:AI56" si="63">AG52-Z52</f>
        <v>6857.625</v>
      </c>
      <c r="AJ52" s="444">
        <f t="shared" ref="AJ52:AJ56" si="64">IF((Z52)=0,"",(AI52/Z52))</f>
        <v>1.1662117016064439E-2</v>
      </c>
      <c r="AK52" s="53"/>
      <c r="AL52" s="440"/>
      <c r="AM52" s="440"/>
      <c r="AN52" s="441">
        <f>SUM(AN43:AN48,AN42)</f>
        <v>600743.94099999999</v>
      </c>
      <c r="AO52" s="443"/>
      <c r="AP52" s="442">
        <f t="shared" ref="AP52:AP56" si="65">AN52-AG52</f>
        <v>5860.5750000000698</v>
      </c>
      <c r="AQ52" s="444">
        <f t="shared" ref="AQ52:AQ56" si="66">IF((AG52)=0,"",(AP52/AG52))</f>
        <v>9.8516370350151469E-3</v>
      </c>
      <c r="AR52" s="445"/>
    </row>
    <row r="53" spans="1:44" ht="12.75" customHeight="1">
      <c r="A53" s="53"/>
      <c r="B53" s="446" t="s">
        <v>345</v>
      </c>
      <c r="C53" s="556"/>
      <c r="D53" s="328"/>
      <c r="E53" s="328"/>
      <c r="F53" s="439">
        <v>0.13</v>
      </c>
      <c r="G53" s="138"/>
      <c r="H53" s="484">
        <f>H52*F53</f>
        <v>76755.040960000013</v>
      </c>
      <c r="I53" s="411"/>
      <c r="J53" s="447">
        <v>0.13</v>
      </c>
      <c r="K53" s="411"/>
      <c r="L53" s="394">
        <f>L52*J53</f>
        <v>77031.180980000005</v>
      </c>
      <c r="M53" s="138"/>
      <c r="N53" s="395">
        <f t="shared" si="57"/>
        <v>276.14001999999164</v>
      </c>
      <c r="O53" s="396">
        <f t="shared" si="58"/>
        <v>3.5976792735202727E-3</v>
      </c>
      <c r="P53" s="53"/>
      <c r="Q53" s="447">
        <v>0.13</v>
      </c>
      <c r="R53" s="411"/>
      <c r="S53" s="394">
        <f>S52*Q53</f>
        <v>78692.200729999997</v>
      </c>
      <c r="T53" s="138"/>
      <c r="U53" s="395">
        <f t="shared" si="59"/>
        <v>1661.0197499999922</v>
      </c>
      <c r="V53" s="396">
        <f t="shared" si="60"/>
        <v>2.156295319464531E-2</v>
      </c>
      <c r="W53" s="53"/>
      <c r="X53" s="447">
        <v>0.13</v>
      </c>
      <c r="Y53" s="411"/>
      <c r="Z53" s="394">
        <f>Z52*X53</f>
        <v>76443.346329999986</v>
      </c>
      <c r="AA53" s="138"/>
      <c r="AB53" s="395">
        <f t="shared" si="61"/>
        <v>-2248.8544000000111</v>
      </c>
      <c r="AC53" s="396">
        <f t="shared" si="62"/>
        <v>-2.8577856244178915E-2</v>
      </c>
      <c r="AD53" s="53"/>
      <c r="AE53" s="447">
        <v>0.13</v>
      </c>
      <c r="AF53" s="411"/>
      <c r="AG53" s="394">
        <f>AG52*AE53</f>
        <v>77334.837579999992</v>
      </c>
      <c r="AH53" s="138"/>
      <c r="AI53" s="395">
        <f t="shared" si="63"/>
        <v>891.4912500000064</v>
      </c>
      <c r="AJ53" s="396">
        <f t="shared" si="64"/>
        <v>1.1662117016064524E-2</v>
      </c>
      <c r="AK53" s="53"/>
      <c r="AL53" s="447">
        <v>0.13</v>
      </c>
      <c r="AM53" s="411"/>
      <c r="AN53" s="394">
        <f>AN52*AL53</f>
        <v>78096.712329999995</v>
      </c>
      <c r="AO53" s="138"/>
      <c r="AP53" s="395">
        <f t="shared" si="65"/>
        <v>761.87475000000268</v>
      </c>
      <c r="AQ53" s="396">
        <f t="shared" si="66"/>
        <v>9.8516370350150637E-3</v>
      </c>
      <c r="AR53" s="397"/>
    </row>
    <row r="54" spans="1:44" ht="12.75" customHeight="1">
      <c r="A54" s="53"/>
      <c r="B54" s="485" t="s">
        <v>434</v>
      </c>
      <c r="C54" s="556"/>
      <c r="D54" s="328"/>
      <c r="E54" s="328"/>
      <c r="F54" s="449"/>
      <c r="G54" s="138"/>
      <c r="H54" s="484">
        <f>H52+H53</f>
        <v>667178.43296000012</v>
      </c>
      <c r="I54" s="411"/>
      <c r="J54" s="411"/>
      <c r="K54" s="411"/>
      <c r="L54" s="394">
        <f>L52+L53</f>
        <v>669578.72698000004</v>
      </c>
      <c r="M54" s="138"/>
      <c r="N54" s="395">
        <f t="shared" si="57"/>
        <v>2400.2940199999139</v>
      </c>
      <c r="O54" s="396">
        <f t="shared" si="58"/>
        <v>3.5976792735202528E-3</v>
      </c>
      <c r="P54" s="53"/>
      <c r="Q54" s="411"/>
      <c r="R54" s="411"/>
      <c r="S54" s="394">
        <f>S52+S53</f>
        <v>684016.82172999997</v>
      </c>
      <c r="T54" s="138"/>
      <c r="U54" s="395">
        <f t="shared" si="59"/>
        <v>14438.094749999931</v>
      </c>
      <c r="V54" s="396">
        <f t="shared" si="60"/>
        <v>2.156295319464531E-2</v>
      </c>
      <c r="W54" s="53"/>
      <c r="X54" s="411"/>
      <c r="Y54" s="411"/>
      <c r="Z54" s="394">
        <f>Z52+Z53</f>
        <v>664469.08732999989</v>
      </c>
      <c r="AA54" s="138"/>
      <c r="AB54" s="395">
        <f t="shared" si="61"/>
        <v>-19547.734400000074</v>
      </c>
      <c r="AC54" s="396">
        <f t="shared" si="62"/>
        <v>-2.8577856244178884E-2</v>
      </c>
      <c r="AD54" s="53"/>
      <c r="AE54" s="411"/>
      <c r="AF54" s="411"/>
      <c r="AG54" s="394">
        <f>AG52+AG53</f>
        <v>672218.20357999997</v>
      </c>
      <c r="AH54" s="138"/>
      <c r="AI54" s="395">
        <f t="shared" si="63"/>
        <v>7749.1162500000792</v>
      </c>
      <c r="AJ54" s="396">
        <f t="shared" si="64"/>
        <v>1.1662117016064559E-2</v>
      </c>
      <c r="AK54" s="53"/>
      <c r="AL54" s="411"/>
      <c r="AM54" s="411"/>
      <c r="AN54" s="394">
        <f>AN52+AN53</f>
        <v>678840.65333</v>
      </c>
      <c r="AO54" s="138"/>
      <c r="AP54" s="395">
        <f t="shared" si="65"/>
        <v>6622.4497500000289</v>
      </c>
      <c r="AQ54" s="396">
        <f t="shared" si="66"/>
        <v>9.8516370350150723E-3</v>
      </c>
      <c r="AR54" s="397"/>
    </row>
    <row r="55" spans="1:44" ht="15.75" customHeight="1">
      <c r="A55" s="53"/>
      <c r="B55" s="626" t="s">
        <v>304</v>
      </c>
      <c r="C55" s="616"/>
      <c r="D55" s="616"/>
      <c r="E55" s="328"/>
      <c r="F55" s="449"/>
      <c r="G55" s="138"/>
      <c r="H55" s="486">
        <f>F55*H52</f>
        <v>0</v>
      </c>
      <c r="I55" s="411"/>
      <c r="J55" s="411"/>
      <c r="K55" s="411"/>
      <c r="L55" s="506">
        <f>J55*L52</f>
        <v>0</v>
      </c>
      <c r="M55" s="138"/>
      <c r="N55" s="451">
        <f t="shared" si="57"/>
        <v>0</v>
      </c>
      <c r="O55" s="453" t="str">
        <f t="shared" si="58"/>
        <v/>
      </c>
      <c r="P55" s="53"/>
      <c r="Q55" s="411"/>
      <c r="R55" s="411"/>
      <c r="S55" s="506">
        <f>Q55*S52</f>
        <v>0</v>
      </c>
      <c r="T55" s="138"/>
      <c r="U55" s="451">
        <f t="shared" si="59"/>
        <v>0</v>
      </c>
      <c r="V55" s="453" t="str">
        <f t="shared" si="60"/>
        <v/>
      </c>
      <c r="W55" s="53"/>
      <c r="X55" s="411"/>
      <c r="Y55" s="411"/>
      <c r="Z55" s="506">
        <f>X55*Z52</f>
        <v>0</v>
      </c>
      <c r="AA55" s="138"/>
      <c r="AB55" s="451">
        <f t="shared" si="61"/>
        <v>0</v>
      </c>
      <c r="AC55" s="453" t="str">
        <f t="shared" si="62"/>
        <v/>
      </c>
      <c r="AD55" s="53"/>
      <c r="AE55" s="411"/>
      <c r="AF55" s="411"/>
      <c r="AG55" s="506">
        <f>AE55*AG52</f>
        <v>0</v>
      </c>
      <c r="AH55" s="138"/>
      <c r="AI55" s="451">
        <f t="shared" si="63"/>
        <v>0</v>
      </c>
      <c r="AJ55" s="453" t="str">
        <f t="shared" si="64"/>
        <v/>
      </c>
      <c r="AK55" s="53"/>
      <c r="AL55" s="411"/>
      <c r="AM55" s="411"/>
      <c r="AN55" s="506">
        <f>AL55*AN52</f>
        <v>0</v>
      </c>
      <c r="AO55" s="138"/>
      <c r="AP55" s="451">
        <f t="shared" si="65"/>
        <v>0</v>
      </c>
      <c r="AQ55" s="453" t="str">
        <f t="shared" si="66"/>
        <v/>
      </c>
      <c r="AR55" s="454"/>
    </row>
    <row r="56" spans="1:44" ht="13.5" customHeight="1">
      <c r="A56" s="53"/>
      <c r="B56" s="627" t="s">
        <v>347</v>
      </c>
      <c r="C56" s="608"/>
      <c r="D56" s="600"/>
      <c r="E56" s="455"/>
      <c r="F56" s="456"/>
      <c r="G56" s="487"/>
      <c r="H56" s="488">
        <f>H54-H55</f>
        <v>667178.43296000012</v>
      </c>
      <c r="I56" s="457"/>
      <c r="J56" s="457"/>
      <c r="K56" s="457"/>
      <c r="L56" s="458">
        <f>L54-L55</f>
        <v>669578.72698000004</v>
      </c>
      <c r="M56" s="459"/>
      <c r="N56" s="460">
        <f t="shared" si="57"/>
        <v>2400.2940199999139</v>
      </c>
      <c r="O56" s="461">
        <f t="shared" si="58"/>
        <v>3.5976792735202528E-3</v>
      </c>
      <c r="P56" s="53"/>
      <c r="Q56" s="457"/>
      <c r="R56" s="457"/>
      <c r="S56" s="458">
        <f>S54-S55</f>
        <v>684016.82172999997</v>
      </c>
      <c r="T56" s="459"/>
      <c r="U56" s="460">
        <f t="shared" si="59"/>
        <v>14438.094749999931</v>
      </c>
      <c r="V56" s="461">
        <f t="shared" si="60"/>
        <v>2.156295319464531E-2</v>
      </c>
      <c r="W56" s="53"/>
      <c r="X56" s="457"/>
      <c r="Y56" s="457"/>
      <c r="Z56" s="458">
        <f>Z54-Z55</f>
        <v>664469.08732999989</v>
      </c>
      <c r="AA56" s="459"/>
      <c r="AB56" s="460">
        <f t="shared" si="61"/>
        <v>-19547.734400000074</v>
      </c>
      <c r="AC56" s="461">
        <f t="shared" si="62"/>
        <v>-2.8577856244178884E-2</v>
      </c>
      <c r="AD56" s="53"/>
      <c r="AE56" s="457"/>
      <c r="AF56" s="457"/>
      <c r="AG56" s="458">
        <f>AG54-AG55</f>
        <v>672218.20357999997</v>
      </c>
      <c r="AH56" s="459"/>
      <c r="AI56" s="460">
        <f t="shared" si="63"/>
        <v>7749.1162500000792</v>
      </c>
      <c r="AJ56" s="461">
        <f t="shared" si="64"/>
        <v>1.1662117016064559E-2</v>
      </c>
      <c r="AK56" s="53"/>
      <c r="AL56" s="457"/>
      <c r="AM56" s="457"/>
      <c r="AN56" s="458">
        <f>AN54-AN55</f>
        <v>678840.65333</v>
      </c>
      <c r="AO56" s="459"/>
      <c r="AP56" s="460">
        <f t="shared" si="65"/>
        <v>6622.4497500000289</v>
      </c>
      <c r="AQ56" s="461">
        <f t="shared" si="66"/>
        <v>9.8516370350150723E-3</v>
      </c>
      <c r="AR56" s="462"/>
    </row>
    <row r="57" spans="1:44" ht="8.25" customHeight="1">
      <c r="A57" s="53"/>
      <c r="B57" s="428"/>
      <c r="C57" s="555"/>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row>
    <row r="58" spans="1:44" ht="12.75" customHeight="1">
      <c r="A58" s="507"/>
      <c r="B58" s="508" t="s">
        <v>348</v>
      </c>
      <c r="C58" s="557"/>
      <c r="D58" s="509"/>
      <c r="E58" s="509"/>
      <c r="F58" s="510"/>
      <c r="G58" s="511"/>
      <c r="H58" s="512">
        <f>SUM(H49:H50,H42,H43:H45)</f>
        <v>170170.98</v>
      </c>
      <c r="I58" s="513"/>
      <c r="J58" s="514"/>
      <c r="K58" s="514"/>
      <c r="L58" s="512">
        <f>SUM(L49:L50,L42,L43:L45)</f>
        <v>172420.56999999998</v>
      </c>
      <c r="M58" s="515"/>
      <c r="N58" s="516">
        <f t="shared" ref="N58:N62" si="67">L58-H58</f>
        <v>2249.5899999999674</v>
      </c>
      <c r="O58" s="517">
        <f t="shared" ref="O58:O62" si="68">IF((H58)=0,"",(N58/H58))</f>
        <v>1.3219586559353229E-2</v>
      </c>
      <c r="P58" s="507"/>
      <c r="Q58" s="514"/>
      <c r="R58" s="514"/>
      <c r="S58" s="512">
        <f>SUM(S49:S50,S42,S43:S45)</f>
        <v>185197.64499999996</v>
      </c>
      <c r="T58" s="515"/>
      <c r="U58" s="516">
        <f t="shared" ref="U58:U62" si="69">S58-L58</f>
        <v>12777.074999999983</v>
      </c>
      <c r="V58" s="517">
        <f t="shared" ref="V58:V62" si="70">IF((L58)=0,"",(U58/L58))</f>
        <v>7.4104122263370223E-2</v>
      </c>
      <c r="W58" s="507"/>
      <c r="X58" s="514"/>
      <c r="Y58" s="514"/>
      <c r="Z58" s="512">
        <f>SUM(Z49:Z50,Z42,Z43:Z45)</f>
        <v>167898.76499999998</v>
      </c>
      <c r="AA58" s="515"/>
      <c r="AB58" s="516">
        <f t="shared" ref="AB58:AB62" si="71">Z58-S58</f>
        <v>-17298.879999999976</v>
      </c>
      <c r="AC58" s="517">
        <f t="shared" ref="AC58:AC62" si="72">IF((S58)=0,"",(AB58/S58))</f>
        <v>-9.3407667251924176E-2</v>
      </c>
      <c r="AD58" s="507"/>
      <c r="AE58" s="514"/>
      <c r="AF58" s="514"/>
      <c r="AG58" s="512">
        <f>SUM(AG49:AG50,AG42,AG43:AG45)</f>
        <v>174756.38999999998</v>
      </c>
      <c r="AH58" s="515"/>
      <c r="AI58" s="516">
        <f t="shared" ref="AI58:AI62" si="73">AG58-Z58</f>
        <v>6857.625</v>
      </c>
      <c r="AJ58" s="517">
        <f t="shared" ref="AJ58:AJ62" si="74">IF((Z58)=0,"",(AI58/Z58))</f>
        <v>4.0843808469943184E-2</v>
      </c>
      <c r="AK58" s="507"/>
      <c r="AL58" s="514"/>
      <c r="AM58" s="514"/>
      <c r="AN58" s="512">
        <f>SUM(AN49:AN50,AN42,AN43:AN45)</f>
        <v>180616.96499999997</v>
      </c>
      <c r="AO58" s="515"/>
      <c r="AP58" s="516">
        <f t="shared" ref="AP58:AP62" si="75">AN58-AG58</f>
        <v>5860.5749999999825</v>
      </c>
      <c r="AQ58" s="517">
        <f t="shared" ref="AQ58:AQ62" si="76">IF((AG58)=0,"",(AP58/AG58))</f>
        <v>3.3535683587879006E-2</v>
      </c>
      <c r="AR58" s="518"/>
    </row>
    <row r="59" spans="1:44" ht="12.75" customHeight="1">
      <c r="A59" s="507"/>
      <c r="B59" s="519" t="s">
        <v>345</v>
      </c>
      <c r="C59" s="557"/>
      <c r="D59" s="509"/>
      <c r="E59" s="509"/>
      <c r="F59" s="510">
        <v>0.13</v>
      </c>
      <c r="G59" s="511"/>
      <c r="H59" s="520">
        <f>H58*F59</f>
        <v>22122.227400000003</v>
      </c>
      <c r="I59" s="521"/>
      <c r="J59" s="510">
        <v>0.13</v>
      </c>
      <c r="K59" s="522"/>
      <c r="L59" s="523">
        <f>L58*J59</f>
        <v>22414.674099999997</v>
      </c>
      <c r="M59" s="524"/>
      <c r="N59" s="525">
        <f t="shared" si="67"/>
        <v>292.44669999999314</v>
      </c>
      <c r="O59" s="526">
        <f t="shared" si="68"/>
        <v>1.3219586559353111E-2</v>
      </c>
      <c r="P59" s="507"/>
      <c r="Q59" s="510">
        <v>0.13</v>
      </c>
      <c r="R59" s="522"/>
      <c r="S59" s="523">
        <f>S58*Q59</f>
        <v>24075.693849999996</v>
      </c>
      <c r="T59" s="524"/>
      <c r="U59" s="525">
        <f t="shared" si="69"/>
        <v>1661.0197499999995</v>
      </c>
      <c r="V59" s="526">
        <f t="shared" si="70"/>
        <v>7.4104122263370306E-2</v>
      </c>
      <c r="W59" s="507"/>
      <c r="X59" s="510">
        <v>0.13</v>
      </c>
      <c r="Y59" s="522"/>
      <c r="Z59" s="523">
        <f>Z58*X59</f>
        <v>21826.839449999999</v>
      </c>
      <c r="AA59" s="524"/>
      <c r="AB59" s="525">
        <f t="shared" si="71"/>
        <v>-2248.8543999999965</v>
      </c>
      <c r="AC59" s="526">
        <f t="shared" si="72"/>
        <v>-9.3407667251924162E-2</v>
      </c>
      <c r="AD59" s="507"/>
      <c r="AE59" s="510">
        <v>0.13</v>
      </c>
      <c r="AF59" s="522"/>
      <c r="AG59" s="523">
        <f>AG58*AE59</f>
        <v>22718.330699999999</v>
      </c>
      <c r="AH59" s="524"/>
      <c r="AI59" s="525">
        <f t="shared" si="73"/>
        <v>891.49124999999913</v>
      </c>
      <c r="AJ59" s="526">
        <f t="shared" si="74"/>
        <v>4.0843808469943142E-2</v>
      </c>
      <c r="AK59" s="507"/>
      <c r="AL59" s="510">
        <v>0.13</v>
      </c>
      <c r="AM59" s="522"/>
      <c r="AN59" s="523">
        <f>AN58*AL59</f>
        <v>23480.205449999998</v>
      </c>
      <c r="AO59" s="524"/>
      <c r="AP59" s="525">
        <f t="shared" si="75"/>
        <v>761.87474999999904</v>
      </c>
      <c r="AQ59" s="526">
        <f t="shared" si="76"/>
        <v>3.3535683587879062E-2</v>
      </c>
      <c r="AR59" s="527"/>
    </row>
    <row r="60" spans="1:44" ht="12.75" customHeight="1">
      <c r="A60" s="507"/>
      <c r="B60" s="548" t="s">
        <v>435</v>
      </c>
      <c r="C60" s="557"/>
      <c r="D60" s="509"/>
      <c r="E60" s="509"/>
      <c r="F60" s="529"/>
      <c r="G60" s="524"/>
      <c r="H60" s="520">
        <f>H58+H59</f>
        <v>192293.20740000001</v>
      </c>
      <c r="I60" s="521"/>
      <c r="J60" s="521"/>
      <c r="K60" s="521"/>
      <c r="L60" s="523">
        <f>L58+L59</f>
        <v>194835.24409999998</v>
      </c>
      <c r="M60" s="524"/>
      <c r="N60" s="525">
        <f t="shared" si="67"/>
        <v>2542.0366999999678</v>
      </c>
      <c r="O60" s="526">
        <f t="shared" si="68"/>
        <v>1.3219586559353253E-2</v>
      </c>
      <c r="P60" s="507"/>
      <c r="Q60" s="521"/>
      <c r="R60" s="521"/>
      <c r="S60" s="523">
        <f>S58+S59</f>
        <v>209273.33884999994</v>
      </c>
      <c r="T60" s="524"/>
      <c r="U60" s="525">
        <f t="shared" si="69"/>
        <v>14438.09474999996</v>
      </c>
      <c r="V60" s="526">
        <f t="shared" si="70"/>
        <v>7.4104122263370112E-2</v>
      </c>
      <c r="W60" s="507"/>
      <c r="X60" s="521"/>
      <c r="Y60" s="521"/>
      <c r="Z60" s="523">
        <f>Z58+Z59</f>
        <v>189725.60444999998</v>
      </c>
      <c r="AA60" s="524"/>
      <c r="AB60" s="525">
        <f t="shared" si="71"/>
        <v>-19547.734399999958</v>
      </c>
      <c r="AC60" s="526">
        <f t="shared" si="72"/>
        <v>-9.3407667251924106E-2</v>
      </c>
      <c r="AD60" s="507"/>
      <c r="AE60" s="521"/>
      <c r="AF60" s="521"/>
      <c r="AG60" s="523">
        <f>AG58+AG59</f>
        <v>197474.72069999998</v>
      </c>
      <c r="AH60" s="524"/>
      <c r="AI60" s="525">
        <f t="shared" si="73"/>
        <v>7749.1162499999919</v>
      </c>
      <c r="AJ60" s="526">
        <f t="shared" si="74"/>
        <v>4.0843808469943142E-2</v>
      </c>
      <c r="AK60" s="507"/>
      <c r="AL60" s="521"/>
      <c r="AM60" s="521"/>
      <c r="AN60" s="523">
        <f>AN58+AN59</f>
        <v>204097.17044999998</v>
      </c>
      <c r="AO60" s="524"/>
      <c r="AP60" s="525">
        <f t="shared" si="75"/>
        <v>6622.4497499999998</v>
      </c>
      <c r="AQ60" s="526">
        <f t="shared" si="76"/>
        <v>3.353568358787911E-2</v>
      </c>
      <c r="AR60" s="527"/>
    </row>
    <row r="61" spans="1:44" ht="15.75" customHeight="1">
      <c r="A61" s="507"/>
      <c r="B61" s="636" t="s">
        <v>304</v>
      </c>
      <c r="C61" s="616"/>
      <c r="D61" s="616"/>
      <c r="E61" s="509"/>
      <c r="F61" s="529"/>
      <c r="G61" s="524"/>
      <c r="H61" s="530">
        <f>F61*H58</f>
        <v>0</v>
      </c>
      <c r="I61" s="521"/>
      <c r="J61" s="521"/>
      <c r="K61" s="521"/>
      <c r="L61" s="531">
        <f>J61*L58</f>
        <v>0</v>
      </c>
      <c r="M61" s="524"/>
      <c r="N61" s="532">
        <f t="shared" si="67"/>
        <v>0</v>
      </c>
      <c r="O61" s="533" t="str">
        <f t="shared" si="68"/>
        <v/>
      </c>
      <c r="P61" s="507"/>
      <c r="Q61" s="521"/>
      <c r="R61" s="521"/>
      <c r="S61" s="531">
        <f>Q61*S58</f>
        <v>0</v>
      </c>
      <c r="T61" s="524"/>
      <c r="U61" s="532">
        <f t="shared" si="69"/>
        <v>0</v>
      </c>
      <c r="V61" s="533" t="str">
        <f t="shared" si="70"/>
        <v/>
      </c>
      <c r="W61" s="507"/>
      <c r="X61" s="521"/>
      <c r="Y61" s="521"/>
      <c r="Z61" s="531">
        <f>X61*Z58</f>
        <v>0</v>
      </c>
      <c r="AA61" s="524"/>
      <c r="AB61" s="532">
        <f t="shared" si="71"/>
        <v>0</v>
      </c>
      <c r="AC61" s="533" t="str">
        <f t="shared" si="72"/>
        <v/>
      </c>
      <c r="AD61" s="507"/>
      <c r="AE61" s="521"/>
      <c r="AF61" s="521"/>
      <c r="AG61" s="531">
        <f>AE61*AG58</f>
        <v>0</v>
      </c>
      <c r="AH61" s="524"/>
      <c r="AI61" s="532">
        <f t="shared" si="73"/>
        <v>0</v>
      </c>
      <c r="AJ61" s="533" t="str">
        <f t="shared" si="74"/>
        <v/>
      </c>
      <c r="AK61" s="507"/>
      <c r="AL61" s="521"/>
      <c r="AM61" s="521"/>
      <c r="AN61" s="531">
        <f>AL61*AN58</f>
        <v>0</v>
      </c>
      <c r="AO61" s="524"/>
      <c r="AP61" s="532">
        <f t="shared" si="75"/>
        <v>0</v>
      </c>
      <c r="AQ61" s="533" t="str">
        <f t="shared" si="76"/>
        <v/>
      </c>
      <c r="AR61" s="534"/>
    </row>
    <row r="62" spans="1:44" ht="13.5" customHeight="1">
      <c r="A62" s="507"/>
      <c r="B62" s="637" t="s">
        <v>350</v>
      </c>
      <c r="C62" s="608"/>
      <c r="D62" s="600"/>
      <c r="E62" s="535"/>
      <c r="F62" s="536"/>
      <c r="G62" s="537"/>
      <c r="H62" s="538">
        <f>H60-H61</f>
        <v>192293.20740000001</v>
      </c>
      <c r="I62" s="539"/>
      <c r="J62" s="539"/>
      <c r="K62" s="539"/>
      <c r="L62" s="540">
        <f>L60-L61</f>
        <v>194835.24409999998</v>
      </c>
      <c r="M62" s="541"/>
      <c r="N62" s="542">
        <f t="shared" si="67"/>
        <v>2542.0366999999678</v>
      </c>
      <c r="O62" s="543">
        <f t="shared" si="68"/>
        <v>1.3219586559353253E-2</v>
      </c>
      <c r="P62" s="507"/>
      <c r="Q62" s="539"/>
      <c r="R62" s="539"/>
      <c r="S62" s="540">
        <f>S60-S61</f>
        <v>209273.33884999994</v>
      </c>
      <c r="T62" s="541"/>
      <c r="U62" s="542">
        <f t="shared" si="69"/>
        <v>14438.09474999996</v>
      </c>
      <c r="V62" s="543">
        <f t="shared" si="70"/>
        <v>7.4104122263370112E-2</v>
      </c>
      <c r="W62" s="507"/>
      <c r="X62" s="539"/>
      <c r="Y62" s="539"/>
      <c r="Z62" s="540">
        <f>Z60-Z61</f>
        <v>189725.60444999998</v>
      </c>
      <c r="AA62" s="541"/>
      <c r="AB62" s="542">
        <f t="shared" si="71"/>
        <v>-19547.734399999958</v>
      </c>
      <c r="AC62" s="543">
        <f t="shared" si="72"/>
        <v>-9.3407667251924106E-2</v>
      </c>
      <c r="AD62" s="507"/>
      <c r="AE62" s="539"/>
      <c r="AF62" s="539"/>
      <c r="AG62" s="540">
        <f>AG60-AG61</f>
        <v>197474.72069999998</v>
      </c>
      <c r="AH62" s="541"/>
      <c r="AI62" s="542">
        <f t="shared" si="73"/>
        <v>7749.1162499999919</v>
      </c>
      <c r="AJ62" s="543">
        <f t="shared" si="74"/>
        <v>4.0843808469943142E-2</v>
      </c>
      <c r="AK62" s="507"/>
      <c r="AL62" s="539"/>
      <c r="AM62" s="539"/>
      <c r="AN62" s="540">
        <f>AN60-AN61</f>
        <v>204097.17044999998</v>
      </c>
      <c r="AO62" s="541"/>
      <c r="AP62" s="542">
        <f t="shared" si="75"/>
        <v>6622.4497499999998</v>
      </c>
      <c r="AQ62" s="543">
        <f t="shared" si="76"/>
        <v>3.353568358787911E-2</v>
      </c>
      <c r="AR62" s="544"/>
    </row>
    <row r="63" spans="1:44" ht="8.25" customHeight="1">
      <c r="A63" s="53"/>
      <c r="B63" s="428"/>
      <c r="C63" s="555"/>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row>
    <row r="64" spans="1:44" ht="12.75" customHeight="1">
      <c r="A64" s="53"/>
      <c r="B64" s="53"/>
      <c r="C64" s="549"/>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4" t="s">
        <v>351</v>
      </c>
      <c r="C65" s="549"/>
      <c r="D65" s="53"/>
      <c r="E65" s="53"/>
      <c r="F65" s="472">
        <f>'Proposed Rates'!$E$310</f>
        <v>5.1000000000000004E-3</v>
      </c>
      <c r="G65" s="53"/>
      <c r="H65" s="53"/>
      <c r="I65" s="53"/>
      <c r="J65" s="472">
        <f>'Proposed Rates'!$F$310</f>
        <v>4.7999999999999996E-3</v>
      </c>
      <c r="K65" s="53"/>
      <c r="L65" s="53"/>
      <c r="M65" s="53"/>
      <c r="N65" s="53"/>
      <c r="O65" s="53"/>
      <c r="P65" s="53"/>
      <c r="Q65" s="472">
        <f>'Proposed Rates'!$G$310</f>
        <v>4.7999999999999996E-3</v>
      </c>
      <c r="R65" s="53"/>
      <c r="S65" s="53"/>
      <c r="T65" s="53"/>
      <c r="U65" s="53"/>
      <c r="V65" s="53"/>
      <c r="W65" s="53"/>
      <c r="X65" s="472">
        <f>'Proposed Rates'!$H$310</f>
        <v>4.7999999999999996E-3</v>
      </c>
      <c r="Y65" s="53"/>
      <c r="Z65" s="53"/>
      <c r="AA65" s="53"/>
      <c r="AB65" s="53"/>
      <c r="AC65" s="53"/>
      <c r="AD65" s="53"/>
      <c r="AE65" s="472">
        <f>'Proposed Rates'!$I$310</f>
        <v>4.7999999999999996E-3</v>
      </c>
      <c r="AF65" s="53"/>
      <c r="AG65" s="53"/>
      <c r="AH65" s="53"/>
      <c r="AI65" s="53"/>
      <c r="AJ65" s="53"/>
      <c r="AK65" s="53"/>
      <c r="AL65" s="472">
        <f>'Proposed Rates'!$J$310</f>
        <v>4.7999999999999996E-3</v>
      </c>
      <c r="AM65" s="53"/>
      <c r="AN65" s="53"/>
      <c r="AO65" s="53"/>
      <c r="AP65" s="53"/>
      <c r="AQ65" s="53"/>
      <c r="AR65" s="53"/>
    </row>
    <row r="66" spans="1:44" ht="12.75" customHeight="1">
      <c r="A66" s="53"/>
      <c r="B66" s="53"/>
      <c r="C66" s="549"/>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3" t="s">
        <v>436</v>
      </c>
      <c r="B67" s="53"/>
      <c r="C67" s="549"/>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49"/>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49"/>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49"/>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49"/>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49"/>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49"/>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49"/>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49"/>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49"/>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49"/>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49"/>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49"/>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49"/>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4"/>
      <c r="B81" s="53" t="s">
        <v>362</v>
      </c>
      <c r="C81" s="549"/>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49"/>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49"/>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49"/>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49"/>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49"/>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49"/>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49"/>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49"/>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49"/>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49"/>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49"/>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49"/>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49"/>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49"/>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49"/>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49"/>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49"/>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49"/>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49"/>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49"/>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49"/>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49"/>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49"/>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49"/>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49"/>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49"/>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49"/>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49"/>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49"/>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49"/>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49"/>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49"/>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49"/>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49"/>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49"/>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49"/>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49"/>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49"/>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49"/>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49"/>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49"/>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49"/>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49"/>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49"/>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49"/>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49"/>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49"/>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49"/>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49"/>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49"/>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49"/>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49"/>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49"/>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49"/>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49"/>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49"/>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49"/>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49"/>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49"/>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49"/>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49"/>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49"/>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49"/>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49"/>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49"/>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49"/>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49"/>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49"/>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49"/>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49"/>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49"/>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49"/>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49"/>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49"/>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49"/>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49"/>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49"/>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49"/>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49"/>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49"/>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49"/>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49"/>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49"/>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49"/>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49"/>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49"/>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49"/>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49"/>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49"/>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49"/>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49"/>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49"/>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49"/>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49"/>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49"/>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49"/>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49"/>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49"/>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49"/>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49"/>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49"/>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49"/>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49"/>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49"/>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49"/>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49"/>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49"/>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49"/>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49"/>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49"/>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49"/>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9"/>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9"/>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9"/>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9"/>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9"/>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9"/>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9"/>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9"/>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9"/>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9"/>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9"/>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9"/>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9"/>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9"/>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9"/>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9"/>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9"/>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9"/>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9"/>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9"/>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9"/>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9"/>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9"/>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9"/>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9"/>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9"/>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9"/>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9"/>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9"/>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9"/>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9"/>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9"/>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9"/>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9"/>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9"/>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9"/>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9"/>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9"/>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9"/>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9"/>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9"/>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9"/>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9"/>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9"/>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9"/>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9"/>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9"/>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9"/>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9"/>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9"/>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9"/>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9"/>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9"/>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9"/>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9"/>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9"/>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9"/>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9"/>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9"/>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9"/>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9"/>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9"/>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9"/>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9"/>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9"/>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9"/>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9"/>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9"/>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9"/>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9"/>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9"/>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9"/>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9"/>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9"/>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9"/>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9"/>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9"/>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9"/>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9"/>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9"/>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9"/>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9"/>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9"/>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9"/>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9"/>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9"/>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9"/>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9"/>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9"/>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9"/>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9"/>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2100-000000000000}">
      <formula1>"TOU,non-TOU"</formula1>
    </dataValidation>
    <dataValidation type="list" allowBlank="1" showErrorMessage="1" sqref="E15:E28 E30:E38 E40:E41 E43:E51 E57 E63" xr:uid="{00000000-0002-0000-2100-000001000000}">
      <formula1>#REF!</formula1>
    </dataValidation>
    <dataValidation type="list" allowBlank="1" showInputMessage="1" showErrorMessage="1" prompt="Select Charge Unit - monthly, per kWh, per kW" sqref="D15:D28 D30:D38 D40:D41 D43:D51 D57 D63" xr:uid="{00000000-0002-0000-2100-000002000000}">
      <formula1>"Monthly,per kWh,per kW"</formula1>
    </dataValidation>
  </dataValidations>
  <pageMargins left="0.74803149606299213" right="0.74803149606299213" top="0.98425196850393704" bottom="0.98425196850393704" header="0" footer="0"/>
  <pageSetup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3.42578125" customWidth="1"/>
    <col min="4" max="4" width="11.42578125" customWidth="1"/>
    <col min="5" max="5" width="1.42578125" customWidth="1"/>
    <col min="6" max="6" width="13.140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28515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 customWidth="1"/>
    <col min="36" max="36" width="10" customWidth="1"/>
    <col min="37" max="37" width="0.7109375" customWidth="1"/>
    <col min="38" max="38" width="12.28515625" customWidth="1"/>
    <col min="39" max="39" width="11" customWidth="1"/>
    <col min="40" max="40" width="13" customWidth="1"/>
    <col min="41" max="41" width="1.28515625" customWidth="1"/>
    <col min="42" max="42" width="11" customWidth="1"/>
    <col min="43" max="43" width="10" customWidth="1"/>
    <col min="44" max="44" width="1.28515625" customWidth="1"/>
  </cols>
  <sheetData>
    <row r="1" spans="1:44" ht="7.5" customHeight="1">
      <c r="A1" s="53"/>
      <c r="B1" s="53"/>
      <c r="C1" s="549"/>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4" ht="18.75" customHeight="1">
      <c r="A2" s="53"/>
      <c r="B2" s="53"/>
      <c r="C2" s="550"/>
      <c r="D2" s="373"/>
      <c r="E2" s="373"/>
      <c r="F2" s="373" t="s">
        <v>320</v>
      </c>
      <c r="G2" s="373"/>
      <c r="H2" s="373"/>
      <c r="I2" s="373"/>
      <c r="J2" s="373"/>
      <c r="K2" s="373"/>
      <c r="L2" s="373"/>
      <c r="M2" s="373"/>
      <c r="N2" s="373"/>
      <c r="O2" s="373"/>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4" ht="18.75" customHeight="1">
      <c r="A3" s="53"/>
      <c r="B3" s="53"/>
      <c r="C3" s="550"/>
      <c r="D3" s="373"/>
      <c r="E3" s="373"/>
      <c r="F3" s="373" t="s">
        <v>322</v>
      </c>
      <c r="G3" s="373"/>
      <c r="H3" s="373"/>
      <c r="I3" s="373"/>
      <c r="J3" s="373"/>
      <c r="K3" s="373"/>
      <c r="L3" s="373"/>
      <c r="M3" s="373"/>
      <c r="N3" s="373"/>
      <c r="O3" s="373"/>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7.5" customHeight="1">
      <c r="A4" s="53"/>
      <c r="B4" s="53"/>
      <c r="C4" s="549"/>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7.5" customHeight="1">
      <c r="A5" s="53"/>
      <c r="B5" s="53"/>
      <c r="C5" s="549"/>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75" customHeight="1">
      <c r="A6" s="53"/>
      <c r="B6" s="327" t="s">
        <v>323</v>
      </c>
      <c r="C6" s="549"/>
      <c r="D6" s="375" t="s">
        <v>251</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7.5" customHeight="1">
      <c r="A7" s="53"/>
      <c r="B7" s="377"/>
      <c r="C7" s="549"/>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75" customHeight="1">
      <c r="A8" s="53"/>
      <c r="B8" s="327" t="s">
        <v>324</v>
      </c>
      <c r="C8" s="549"/>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75" customHeight="1">
      <c r="A9" s="53"/>
      <c r="B9" s="377"/>
      <c r="C9" s="549"/>
      <c r="D9" s="314" t="s">
        <v>326</v>
      </c>
      <c r="E9" s="314"/>
      <c r="F9" s="380">
        <v>4290127</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75" customHeight="1">
      <c r="A10" s="53"/>
      <c r="B10" s="53"/>
      <c r="C10" s="549"/>
      <c r="D10" s="53"/>
      <c r="E10" s="53"/>
      <c r="F10" s="380">
        <v>7900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75" customHeight="1">
      <c r="A11" s="53"/>
      <c r="B11" s="53"/>
      <c r="C11" s="549"/>
      <c r="D11" s="3"/>
      <c r="E11" s="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4" ht="12.75" customHeight="1">
      <c r="A12" s="53"/>
      <c r="B12" s="53"/>
      <c r="C12" s="549"/>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4" ht="12.75" customHeight="1">
      <c r="A13" s="53"/>
      <c r="B13" s="53"/>
      <c r="C13" s="549"/>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4" ht="12.75" customHeight="1">
      <c r="A14" s="53"/>
      <c r="B14" s="53"/>
      <c r="C14" s="549"/>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4" ht="12.75" customHeight="1">
      <c r="A15" s="53"/>
      <c r="B15" s="328" t="s">
        <v>246</v>
      </c>
      <c r="C15" s="389" t="str">
        <f t="shared" ref="C15:C28" si="0">D$6&amp;"."&amp;B15</f>
        <v>Large User.Monthly Service Charge</v>
      </c>
      <c r="D15" s="390" t="s">
        <v>335</v>
      </c>
      <c r="E15" s="328"/>
      <c r="F15" s="391">
        <f>IFERROR(VLOOKUP($C15,'Proposed Rates'!$B:$J,F$11,FALSE),0)</f>
        <v>14946.93</v>
      </c>
      <c r="G15" s="409">
        <f t="shared" ref="G15:G28" si="1">IF($D15="Monthly",1,IF($D15="per KW",$F$10,IF($D15="per kWh",$F$9,0)))</f>
        <v>1</v>
      </c>
      <c r="H15" s="394">
        <f t="shared" ref="H15:H28" si="2">G15*F15</f>
        <v>14946.93</v>
      </c>
      <c r="I15" s="138"/>
      <c r="J15" s="391">
        <f>IFERROR(VLOOKUP($C15,'Proposed Rates'!$B:$J,J$11,FALSE),0)</f>
        <v>14946.93</v>
      </c>
      <c r="K15" s="409">
        <f t="shared" ref="K15:K28" si="3">IF($D15="Monthly",1,IF($D15="per KW",$F$10,IF($D15="per kWh",$F$9,0)))</f>
        <v>1</v>
      </c>
      <c r="L15" s="394">
        <f t="shared" ref="L15:L28" si="4">K15*J15</f>
        <v>14946.93</v>
      </c>
      <c r="M15" s="138"/>
      <c r="N15" s="395">
        <f t="shared" ref="N15:N46" si="5">L15-H15</f>
        <v>0</v>
      </c>
      <c r="O15" s="396">
        <f t="shared" ref="O15:O46" si="6">IF((H15)=0,"",(N15/H15))</f>
        <v>0</v>
      </c>
      <c r="P15" s="53"/>
      <c r="Q15" s="391">
        <f>IFERROR(VLOOKUP($C15,'Proposed Rates'!$B:$J,Q$11,FALSE),0)</f>
        <v>14946.93</v>
      </c>
      <c r="R15" s="409">
        <f t="shared" ref="R15:R28" si="7">IF($D15="Monthly",1,IF($D15="per KW",$F$10,IF($D15="per kWh",$F$9,0)))</f>
        <v>1</v>
      </c>
      <c r="S15" s="394">
        <f t="shared" ref="S15:S28" si="8">R15*Q15</f>
        <v>14946.93</v>
      </c>
      <c r="T15" s="138"/>
      <c r="U15" s="395">
        <f t="shared" ref="U15:U46" si="9">S15-L15</f>
        <v>0</v>
      </c>
      <c r="V15" s="396">
        <f t="shared" ref="V15:V46" si="10">IF((L15)=0,"",(U15/L15))</f>
        <v>0</v>
      </c>
      <c r="W15" s="53"/>
      <c r="X15" s="391">
        <f>IFERROR(VLOOKUP($C15,'Proposed Rates'!$B:$J,X$11,FALSE),0)</f>
        <v>14946.93</v>
      </c>
      <c r="Y15" s="409">
        <f t="shared" ref="Y15:Y28" si="11">IF($D15="Monthly",1,IF($D15="per KW",$F$10,IF($D15="per kWh",$F$9,0)))</f>
        <v>1</v>
      </c>
      <c r="Z15" s="394">
        <f t="shared" ref="Z15:Z28" si="12">Y15*X15</f>
        <v>14946.93</v>
      </c>
      <c r="AA15" s="138"/>
      <c r="AB15" s="395">
        <f t="shared" ref="AB15:AB46" si="13">Z15-S15</f>
        <v>0</v>
      </c>
      <c r="AC15" s="396">
        <f t="shared" ref="AC15:AC46" si="14">IF((S15)=0,"",(AB15/S15))</f>
        <v>0</v>
      </c>
      <c r="AD15" s="53"/>
      <c r="AE15" s="391">
        <f>IFERROR(VLOOKUP($C15,'Proposed Rates'!$B:$J,AE$11,FALSE),0)</f>
        <v>14946.93</v>
      </c>
      <c r="AF15" s="409">
        <f t="shared" ref="AF15:AF28" si="15">IF($D15="Monthly",1,IF($D15="per KW",$F$10,IF($D15="per kWh",$F$9,0)))</f>
        <v>1</v>
      </c>
      <c r="AG15" s="394">
        <f t="shared" ref="AG15:AG28" si="16">AF15*AE15</f>
        <v>14946.93</v>
      </c>
      <c r="AH15" s="138"/>
      <c r="AI15" s="395">
        <f t="shared" ref="AI15:AI46" si="17">AG15-Z15</f>
        <v>0</v>
      </c>
      <c r="AJ15" s="396">
        <f t="shared" ref="AJ15:AJ46" si="18">IF((Z15)=0,"",(AI15/Z15))</f>
        <v>0</v>
      </c>
      <c r="AK15" s="53"/>
      <c r="AL15" s="391">
        <f>IFERROR(VLOOKUP($C15,'Proposed Rates'!$B:$J,AL$11,FALSE),0)</f>
        <v>14946.93</v>
      </c>
      <c r="AM15" s="409">
        <f t="shared" ref="AM15:AM28" si="19">IF($D15="Monthly",1,IF($D15="per KW",$F$10,IF($D15="per kWh",$F$9,0)))</f>
        <v>1</v>
      </c>
      <c r="AN15" s="394">
        <f t="shared" ref="AN15:AN28" si="20">AM15*AL15</f>
        <v>14946.93</v>
      </c>
      <c r="AO15" s="138"/>
      <c r="AP15" s="395">
        <f t="shared" ref="AP15:AP46" si="21">AN15-AG15</f>
        <v>0</v>
      </c>
      <c r="AQ15" s="396">
        <f t="shared" ref="AQ15:AQ46" si="22">IF((AG15)=0,"",(AP15/AG15))</f>
        <v>0</v>
      </c>
      <c r="AR15" s="397"/>
    </row>
    <row r="16" spans="1:44" ht="12.75" customHeight="1">
      <c r="A16" s="53"/>
      <c r="B16" s="328" t="s">
        <v>336</v>
      </c>
      <c r="C16" s="389" t="str">
        <f t="shared" si="0"/>
        <v>Large User.Smart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row>
    <row r="17" spans="1:44" ht="12.75" customHeight="1">
      <c r="A17" s="53"/>
      <c r="B17" s="398" t="str">
        <f>'Proposed Rates'!C115</f>
        <v>Rate Rider Calculation for Forgone Revenue - variable</v>
      </c>
      <c r="C17" s="389" t="str">
        <f t="shared" si="0"/>
        <v>Large User.Rate Rider Calculation for Forgone Revenue - variable</v>
      </c>
      <c r="D17" s="390" t="s">
        <v>406</v>
      </c>
      <c r="E17" s="328"/>
      <c r="F17" s="391">
        <f>IFERROR(VLOOKUP($C17,'Proposed Rates'!$B:$J,F$11,FALSE),0)</f>
        <v>0</v>
      </c>
      <c r="G17" s="409">
        <f t="shared" si="1"/>
        <v>7900</v>
      </c>
      <c r="H17" s="394">
        <f t="shared" si="2"/>
        <v>0</v>
      </c>
      <c r="I17" s="138"/>
      <c r="J17" s="391">
        <f>IFERROR(VLOOKUP($C17,'Proposed Rates'!$B:$J,J$11,FALSE),0)</f>
        <v>0.76329999999999998</v>
      </c>
      <c r="K17" s="409">
        <f t="shared" si="3"/>
        <v>7900</v>
      </c>
      <c r="L17" s="394">
        <f t="shared" si="4"/>
        <v>6030.07</v>
      </c>
      <c r="M17" s="138"/>
      <c r="N17" s="395">
        <f t="shared" si="5"/>
        <v>6030.07</v>
      </c>
      <c r="O17" s="396" t="str">
        <f t="shared" si="6"/>
        <v/>
      </c>
      <c r="P17" s="53"/>
      <c r="Q17" s="391">
        <f>IFERROR(VLOOKUP($C17,'Proposed Rates'!$B:$J,Q$11,FALSE),0)</f>
        <v>0.76329999999999998</v>
      </c>
      <c r="R17" s="409">
        <f t="shared" si="7"/>
        <v>7900</v>
      </c>
      <c r="S17" s="394">
        <f t="shared" si="8"/>
        <v>6030.07</v>
      </c>
      <c r="T17" s="138"/>
      <c r="U17" s="395">
        <f t="shared" si="9"/>
        <v>0</v>
      </c>
      <c r="V17" s="396">
        <f t="shared" si="10"/>
        <v>0</v>
      </c>
      <c r="W17" s="53"/>
      <c r="X17" s="391">
        <f>IFERROR(VLOOKUP($C17,'Proposed Rates'!$B:$J,X$11,FALSE),0)</f>
        <v>0</v>
      </c>
      <c r="Y17" s="409">
        <f t="shared" si="11"/>
        <v>7900</v>
      </c>
      <c r="Z17" s="394">
        <f t="shared" si="12"/>
        <v>0</v>
      </c>
      <c r="AA17" s="138"/>
      <c r="AB17" s="395">
        <f t="shared" si="13"/>
        <v>-6030.07</v>
      </c>
      <c r="AC17" s="396">
        <f t="shared" si="14"/>
        <v>-1</v>
      </c>
      <c r="AD17" s="53"/>
      <c r="AE17" s="391">
        <f>IFERROR(VLOOKUP($C17,'Proposed Rates'!$B:$J,AE$11,FALSE),0)</f>
        <v>0</v>
      </c>
      <c r="AF17" s="409">
        <f t="shared" si="15"/>
        <v>7900</v>
      </c>
      <c r="AG17" s="394">
        <f t="shared" si="16"/>
        <v>0</v>
      </c>
      <c r="AH17" s="138"/>
      <c r="AI17" s="395">
        <f t="shared" si="17"/>
        <v>0</v>
      </c>
      <c r="AJ17" s="396" t="str">
        <f t="shared" si="18"/>
        <v/>
      </c>
      <c r="AK17" s="53"/>
      <c r="AL17" s="391">
        <f>IFERROR(VLOOKUP($C17,'Proposed Rates'!$B:$J,AL$11,FALSE),0)</f>
        <v>0</v>
      </c>
      <c r="AM17" s="409">
        <f t="shared" si="19"/>
        <v>7900</v>
      </c>
      <c r="AN17" s="394">
        <f t="shared" si="20"/>
        <v>0</v>
      </c>
      <c r="AO17" s="138"/>
      <c r="AP17" s="395">
        <f t="shared" si="21"/>
        <v>0</v>
      </c>
      <c r="AQ17" s="396" t="str">
        <f t="shared" si="22"/>
        <v/>
      </c>
      <c r="AR17" s="397"/>
    </row>
    <row r="18" spans="1:44" ht="12.75" customHeight="1">
      <c r="A18" s="53"/>
      <c r="B18" s="398" t="str">
        <f>'Proposed Rates'!C128</f>
        <v>Rate Rider Calculation for Forgone Revenue - fixed</v>
      </c>
      <c r="C18" s="389" t="str">
        <f t="shared" si="0"/>
        <v>Large User.Rate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-44.07</v>
      </c>
      <c r="K18" s="409">
        <f t="shared" si="3"/>
        <v>1</v>
      </c>
      <c r="L18" s="394">
        <f t="shared" si="4"/>
        <v>-44.07</v>
      </c>
      <c r="M18" s="138"/>
      <c r="N18" s="395">
        <f t="shared" si="5"/>
        <v>-44.07</v>
      </c>
      <c r="O18" s="396" t="str">
        <f t="shared" si="6"/>
        <v/>
      </c>
      <c r="P18" s="53"/>
      <c r="Q18" s="391">
        <f>IFERROR(VLOOKUP($C18,'Proposed Rates'!$B:$J,Q$11,FALSE),0)</f>
        <v>-44.07</v>
      </c>
      <c r="R18" s="409">
        <f t="shared" si="7"/>
        <v>1</v>
      </c>
      <c r="S18" s="394">
        <f t="shared" si="8"/>
        <v>-44.07</v>
      </c>
      <c r="T18" s="138"/>
      <c r="U18" s="395">
        <f t="shared" si="9"/>
        <v>0</v>
      </c>
      <c r="V18" s="396">
        <f t="shared" si="10"/>
        <v>0</v>
      </c>
      <c r="W18" s="53"/>
      <c r="X18" s="391">
        <f>IFERROR(VLOOKUP($C18,'Proposed Rates'!$B:$J,X$11,FALSE),0)</f>
        <v>0</v>
      </c>
      <c r="Y18" s="409">
        <f t="shared" si="11"/>
        <v>1</v>
      </c>
      <c r="Z18" s="394">
        <f t="shared" si="12"/>
        <v>0</v>
      </c>
      <c r="AA18" s="138"/>
      <c r="AB18" s="395">
        <f t="shared" si="13"/>
        <v>44.07</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row>
    <row r="19" spans="1:44" ht="12.75" customHeight="1">
      <c r="A19" s="53"/>
      <c r="B19" s="328" t="s">
        <v>62</v>
      </c>
      <c r="C19" s="389" t="str">
        <f t="shared" si="0"/>
        <v>Large User.Distribution Volumetric Rate</v>
      </c>
      <c r="D19" s="390" t="s">
        <v>406</v>
      </c>
      <c r="E19" s="328"/>
      <c r="F19" s="408">
        <f>IFERROR(VLOOKUP($C19,'Proposed Rates'!$B:$J,F$11,FALSE),0)</f>
        <v>6.0316000000000001</v>
      </c>
      <c r="G19" s="409">
        <f t="shared" si="1"/>
        <v>7900</v>
      </c>
      <c r="H19" s="394">
        <f t="shared" si="2"/>
        <v>47649.64</v>
      </c>
      <c r="I19" s="138"/>
      <c r="J19" s="408">
        <f>IFERROR(VLOOKUP($C19,'Proposed Rates'!$B:$J,J$11,FALSE),0)</f>
        <v>7.9119000000000002</v>
      </c>
      <c r="K19" s="409">
        <f t="shared" si="3"/>
        <v>7900</v>
      </c>
      <c r="L19" s="394">
        <f t="shared" si="4"/>
        <v>62504.01</v>
      </c>
      <c r="M19" s="138"/>
      <c r="N19" s="395">
        <f t="shared" si="5"/>
        <v>14854.370000000003</v>
      </c>
      <c r="O19" s="396">
        <f t="shared" si="6"/>
        <v>0.31174149479408453</v>
      </c>
      <c r="P19" s="53"/>
      <c r="Q19" s="408">
        <f>IFERROR(VLOOKUP($C19,'Proposed Rates'!$B:$J,Q$11,FALSE),0)</f>
        <v>8.4278999999999993</v>
      </c>
      <c r="R19" s="409">
        <f t="shared" si="7"/>
        <v>7900</v>
      </c>
      <c r="S19" s="394">
        <f t="shared" si="8"/>
        <v>66580.409999999989</v>
      </c>
      <c r="T19" s="138"/>
      <c r="U19" s="395">
        <f t="shared" si="9"/>
        <v>4076.3999999999869</v>
      </c>
      <c r="V19" s="396">
        <f t="shared" si="10"/>
        <v>6.5218215599286936E-2</v>
      </c>
      <c r="W19" s="53"/>
      <c r="X19" s="408">
        <f>IFERROR(VLOOKUP($C19,'Proposed Rates'!$B:$J,X$11,FALSE),0)</f>
        <v>9.1717999999999993</v>
      </c>
      <c r="Y19" s="409">
        <f t="shared" si="11"/>
        <v>7900</v>
      </c>
      <c r="Z19" s="394">
        <f t="shared" si="12"/>
        <v>72457.22</v>
      </c>
      <c r="AA19" s="138"/>
      <c r="AB19" s="395">
        <f t="shared" si="13"/>
        <v>5876.8100000000122</v>
      </c>
      <c r="AC19" s="396">
        <f t="shared" si="14"/>
        <v>8.8266353421374441E-2</v>
      </c>
      <c r="AD19" s="53"/>
      <c r="AE19" s="408">
        <f>IFERROR(VLOOKUP($C19,'Proposed Rates'!$B:$J,AE$11,FALSE),0)</f>
        <v>10.085699999999999</v>
      </c>
      <c r="AF19" s="409">
        <f t="shared" si="15"/>
        <v>7900</v>
      </c>
      <c r="AG19" s="394">
        <f t="shared" si="16"/>
        <v>79677.03</v>
      </c>
      <c r="AH19" s="138"/>
      <c r="AI19" s="395">
        <f t="shared" si="17"/>
        <v>7219.8099999999977</v>
      </c>
      <c r="AJ19" s="396">
        <f t="shared" si="18"/>
        <v>9.9642382084214623E-2</v>
      </c>
      <c r="AK19" s="53"/>
      <c r="AL19" s="408">
        <f>IFERROR(VLOOKUP($C19,'Proposed Rates'!$B:$J,AL$11,FALSE),0)</f>
        <v>10.8666</v>
      </c>
      <c r="AM19" s="409">
        <f t="shared" si="19"/>
        <v>7900</v>
      </c>
      <c r="AN19" s="394">
        <f t="shared" si="20"/>
        <v>85846.14</v>
      </c>
      <c r="AO19" s="138"/>
      <c r="AP19" s="395">
        <f t="shared" si="21"/>
        <v>6169.1100000000006</v>
      </c>
      <c r="AQ19" s="396">
        <f t="shared" si="22"/>
        <v>7.7426455278265277E-2</v>
      </c>
      <c r="AR19" s="397"/>
    </row>
    <row r="20" spans="1:44" ht="12.75" customHeight="1">
      <c r="A20" s="53"/>
      <c r="B20" s="328" t="s">
        <v>338</v>
      </c>
      <c r="C20" s="389" t="str">
        <f t="shared" si="0"/>
        <v>Large User.Smart Meter Disposition Rider</v>
      </c>
      <c r="D20" s="390" t="s">
        <v>337</v>
      </c>
      <c r="E20" s="328"/>
      <c r="F20" s="391">
        <f>IFERROR(VLOOKUP($C20,'Proposed Rates'!$B:$J,F$11,FALSE),0)</f>
        <v>0</v>
      </c>
      <c r="G20" s="409">
        <f t="shared" si="1"/>
        <v>4290127</v>
      </c>
      <c r="H20" s="394">
        <f t="shared" si="2"/>
        <v>0</v>
      </c>
      <c r="I20" s="138"/>
      <c r="J20" s="391">
        <f>IFERROR(VLOOKUP($C20,'Proposed Rates'!$B:$J,J$11,FALSE),0)</f>
        <v>0</v>
      </c>
      <c r="K20" s="409">
        <f t="shared" si="3"/>
        <v>4290127</v>
      </c>
      <c r="L20" s="394">
        <f t="shared" si="4"/>
        <v>0</v>
      </c>
      <c r="M20" s="138"/>
      <c r="N20" s="395">
        <f t="shared" si="5"/>
        <v>0</v>
      </c>
      <c r="O20" s="396" t="str">
        <f t="shared" si="6"/>
        <v/>
      </c>
      <c r="P20" s="53"/>
      <c r="Q20" s="391">
        <f>IFERROR(VLOOKUP($C20,'Proposed Rates'!$B:$J,Q$11,FALSE),0)</f>
        <v>0</v>
      </c>
      <c r="R20" s="409">
        <f t="shared" si="7"/>
        <v>4290127</v>
      </c>
      <c r="S20" s="394">
        <f t="shared" si="8"/>
        <v>0</v>
      </c>
      <c r="T20" s="138"/>
      <c r="U20" s="395">
        <f t="shared" si="9"/>
        <v>0</v>
      </c>
      <c r="V20" s="396" t="str">
        <f t="shared" si="10"/>
        <v/>
      </c>
      <c r="W20" s="53"/>
      <c r="X20" s="391">
        <f>IFERROR(VLOOKUP($C20,'Proposed Rates'!$B:$J,X$11,FALSE),0)</f>
        <v>0</v>
      </c>
      <c r="Y20" s="409">
        <f t="shared" si="11"/>
        <v>4290127</v>
      </c>
      <c r="Z20" s="394">
        <f t="shared" si="12"/>
        <v>0</v>
      </c>
      <c r="AA20" s="138"/>
      <c r="AB20" s="395">
        <f t="shared" si="13"/>
        <v>0</v>
      </c>
      <c r="AC20" s="396" t="str">
        <f t="shared" si="14"/>
        <v/>
      </c>
      <c r="AD20" s="53"/>
      <c r="AE20" s="391">
        <f>IFERROR(VLOOKUP($C20,'Proposed Rates'!$B:$J,AE$11,FALSE),0)</f>
        <v>0</v>
      </c>
      <c r="AF20" s="409">
        <f t="shared" si="15"/>
        <v>4290127</v>
      </c>
      <c r="AG20" s="394">
        <f t="shared" si="16"/>
        <v>0</v>
      </c>
      <c r="AH20" s="138"/>
      <c r="AI20" s="395">
        <f t="shared" si="17"/>
        <v>0</v>
      </c>
      <c r="AJ20" s="396" t="str">
        <f t="shared" si="18"/>
        <v/>
      </c>
      <c r="AK20" s="53"/>
      <c r="AL20" s="391">
        <f>IFERROR(VLOOKUP($C20,'Proposed Rates'!$B:$J,AL$11,FALSE),0)</f>
        <v>0</v>
      </c>
      <c r="AM20" s="409">
        <f t="shared" si="19"/>
        <v>4290127</v>
      </c>
      <c r="AN20" s="394">
        <f t="shared" si="20"/>
        <v>0</v>
      </c>
      <c r="AO20" s="138"/>
      <c r="AP20" s="395">
        <f t="shared" si="21"/>
        <v>0</v>
      </c>
      <c r="AQ20" s="396" t="str">
        <f t="shared" si="22"/>
        <v/>
      </c>
      <c r="AR20" s="397"/>
    </row>
    <row r="21" spans="1:44" ht="12.75" customHeight="1">
      <c r="A21" s="53"/>
      <c r="B21" s="328" t="s">
        <v>269</v>
      </c>
      <c r="C21" s="389" t="str">
        <f t="shared" si="0"/>
        <v>Large User.LRAM Rate Rider</v>
      </c>
      <c r="D21" s="390" t="s">
        <v>406</v>
      </c>
      <c r="E21" s="328"/>
      <c r="F21" s="408">
        <f>'Proposed Rates'!E81+'Proposed Rates'!E94</f>
        <v>0.2011</v>
      </c>
      <c r="G21" s="409">
        <f t="shared" si="1"/>
        <v>7900</v>
      </c>
      <c r="H21" s="394">
        <f t="shared" si="2"/>
        <v>1588.69</v>
      </c>
      <c r="I21" s="138"/>
      <c r="J21" s="408">
        <f>'Proposed Rates'!F81+'Proposed Rates'!F94</f>
        <v>-0.88629999999999998</v>
      </c>
      <c r="K21" s="409">
        <f t="shared" si="3"/>
        <v>7900</v>
      </c>
      <c r="L21" s="394">
        <f t="shared" si="4"/>
        <v>-7001.7699999999995</v>
      </c>
      <c r="M21" s="138"/>
      <c r="N21" s="395">
        <f t="shared" si="5"/>
        <v>-8590.4599999999991</v>
      </c>
      <c r="O21" s="396">
        <f t="shared" si="6"/>
        <v>-5.4072600696171049</v>
      </c>
      <c r="P21" s="53"/>
      <c r="Q21" s="408">
        <f>'Proposed Rates'!G81+'Proposed Rates'!G94</f>
        <v>0</v>
      </c>
      <c r="R21" s="409">
        <f t="shared" si="7"/>
        <v>7900</v>
      </c>
      <c r="S21" s="394">
        <f t="shared" si="8"/>
        <v>0</v>
      </c>
      <c r="T21" s="138"/>
      <c r="U21" s="395">
        <f t="shared" si="9"/>
        <v>7001.7699999999995</v>
      </c>
      <c r="V21" s="396">
        <f t="shared" si="10"/>
        <v>-1</v>
      </c>
      <c r="W21" s="53"/>
      <c r="X21" s="408">
        <f>IFERROR(VLOOKUP($C21,'Proposed Rates'!$B:$J,X$11,FALSE),0)</f>
        <v>0</v>
      </c>
      <c r="Y21" s="409">
        <f t="shared" si="11"/>
        <v>7900</v>
      </c>
      <c r="Z21" s="394">
        <f t="shared" si="12"/>
        <v>0</v>
      </c>
      <c r="AA21" s="138"/>
      <c r="AB21" s="395">
        <f t="shared" si="13"/>
        <v>0</v>
      </c>
      <c r="AC21" s="396" t="str">
        <f t="shared" si="14"/>
        <v/>
      </c>
      <c r="AD21" s="53"/>
      <c r="AE21" s="408">
        <f>IFERROR(VLOOKUP($C21,'Proposed Rates'!$B:$J,AE$11,FALSE),0)</f>
        <v>0</v>
      </c>
      <c r="AF21" s="409">
        <f t="shared" si="15"/>
        <v>7900</v>
      </c>
      <c r="AG21" s="394">
        <f t="shared" si="16"/>
        <v>0</v>
      </c>
      <c r="AH21" s="138"/>
      <c r="AI21" s="395">
        <f t="shared" si="17"/>
        <v>0</v>
      </c>
      <c r="AJ21" s="396" t="str">
        <f t="shared" si="18"/>
        <v/>
      </c>
      <c r="AK21" s="53"/>
      <c r="AL21" s="408">
        <f>IFERROR(VLOOKUP($C21,'Proposed Rates'!$B:$J,AL$11,FALSE),0)</f>
        <v>0</v>
      </c>
      <c r="AM21" s="409">
        <f t="shared" si="19"/>
        <v>7900</v>
      </c>
      <c r="AN21" s="394">
        <f t="shared" si="20"/>
        <v>0</v>
      </c>
      <c r="AO21" s="138"/>
      <c r="AP21" s="395">
        <f t="shared" si="21"/>
        <v>0</v>
      </c>
      <c r="AQ21" s="396" t="str">
        <f t="shared" si="22"/>
        <v/>
      </c>
      <c r="AR21" s="397"/>
    </row>
    <row r="22" spans="1:44" ht="12.75" customHeight="1">
      <c r="A22" s="53"/>
      <c r="B22" s="478" t="s">
        <v>265</v>
      </c>
      <c r="C22" s="389" t="str">
        <f t="shared" si="0"/>
        <v>Large User.Deferral/Variance Account Disposition Rate Rider Group 2</v>
      </c>
      <c r="D22" s="390" t="s">
        <v>406</v>
      </c>
      <c r="E22" s="328"/>
      <c r="F22" s="391">
        <f>IFERROR(VLOOKUP($C22,'Proposed Rates'!$B:$J,F$11,FALSE),0)</f>
        <v>0</v>
      </c>
      <c r="G22" s="409">
        <f t="shared" si="1"/>
        <v>7900</v>
      </c>
      <c r="H22" s="394">
        <f t="shared" si="2"/>
        <v>0</v>
      </c>
      <c r="I22" s="138"/>
      <c r="J22" s="391">
        <f>IFERROR(VLOOKUP($C22,'Proposed Rates'!$B:$J,J$11,FALSE),0)</f>
        <v>-0.30330000000000001</v>
      </c>
      <c r="K22" s="409">
        <f t="shared" si="3"/>
        <v>7900</v>
      </c>
      <c r="L22" s="394">
        <f t="shared" si="4"/>
        <v>-2396.0700000000002</v>
      </c>
      <c r="M22" s="138"/>
      <c r="N22" s="395">
        <f t="shared" si="5"/>
        <v>-2396.0700000000002</v>
      </c>
      <c r="O22" s="396" t="str">
        <f t="shared" si="6"/>
        <v/>
      </c>
      <c r="P22" s="53"/>
      <c r="Q22" s="391">
        <f>IFERROR(VLOOKUP($C22,'Proposed Rates'!$B:$J,Q$11,FALSE),0)</f>
        <v>0</v>
      </c>
      <c r="R22" s="409">
        <f t="shared" si="7"/>
        <v>7900</v>
      </c>
      <c r="S22" s="394">
        <f t="shared" si="8"/>
        <v>0</v>
      </c>
      <c r="T22" s="138"/>
      <c r="U22" s="395">
        <f t="shared" si="9"/>
        <v>2396.0700000000002</v>
      </c>
      <c r="V22" s="396">
        <f t="shared" si="10"/>
        <v>-1</v>
      </c>
      <c r="W22" s="53"/>
      <c r="X22" s="391">
        <f>IFERROR(VLOOKUP($C22,'Proposed Rates'!$B:$J,X$11,FALSE),0)</f>
        <v>0</v>
      </c>
      <c r="Y22" s="409">
        <f t="shared" si="11"/>
        <v>7900</v>
      </c>
      <c r="Z22" s="394">
        <f t="shared" si="12"/>
        <v>0</v>
      </c>
      <c r="AA22" s="138"/>
      <c r="AB22" s="395">
        <f t="shared" si="13"/>
        <v>0</v>
      </c>
      <c r="AC22" s="396" t="str">
        <f t="shared" si="14"/>
        <v/>
      </c>
      <c r="AD22" s="53"/>
      <c r="AE22" s="391">
        <f>IFERROR(VLOOKUP($C22,'Proposed Rates'!$B:$J,AE$11,FALSE),0)</f>
        <v>0</v>
      </c>
      <c r="AF22" s="409">
        <f t="shared" si="15"/>
        <v>7900</v>
      </c>
      <c r="AG22" s="394">
        <f t="shared" si="16"/>
        <v>0</v>
      </c>
      <c r="AH22" s="138"/>
      <c r="AI22" s="395">
        <f t="shared" si="17"/>
        <v>0</v>
      </c>
      <c r="AJ22" s="396" t="str">
        <f t="shared" si="18"/>
        <v/>
      </c>
      <c r="AK22" s="53"/>
      <c r="AL22" s="391">
        <f>IFERROR(VLOOKUP($C22,'Proposed Rates'!$B:$J,AL$11,FALSE),0)</f>
        <v>0</v>
      </c>
      <c r="AM22" s="409">
        <f t="shared" si="19"/>
        <v>7900</v>
      </c>
      <c r="AN22" s="394">
        <f t="shared" si="20"/>
        <v>0</v>
      </c>
      <c r="AO22" s="138"/>
      <c r="AP22" s="395">
        <f t="shared" si="21"/>
        <v>0</v>
      </c>
      <c r="AQ22" s="396" t="str">
        <f t="shared" si="22"/>
        <v/>
      </c>
      <c r="AR22" s="397"/>
    </row>
    <row r="23" spans="1:44" ht="12.75" customHeight="1">
      <c r="A23" s="53"/>
      <c r="B23" s="398"/>
      <c r="C23" s="389" t="str">
        <f t="shared" si="0"/>
        <v>Large User.</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row>
    <row r="24" spans="1:44" ht="12.75" customHeight="1">
      <c r="A24" s="53"/>
      <c r="B24" s="398"/>
      <c r="C24" s="389" t="str">
        <f t="shared" si="0"/>
        <v>Large User.</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row>
    <row r="25" spans="1:44" ht="12.75" customHeight="1">
      <c r="A25" s="53"/>
      <c r="B25" s="398"/>
      <c r="C25" s="389" t="str">
        <f t="shared" si="0"/>
        <v>Large User.</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row>
    <row r="26" spans="1:44" ht="12.75" customHeight="1">
      <c r="A26" s="53"/>
      <c r="B26" s="478"/>
      <c r="C26" s="389" t="str">
        <f t="shared" si="0"/>
        <v>Large User.</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row>
    <row r="27" spans="1:44" ht="12.75" customHeight="1">
      <c r="A27" s="53"/>
      <c r="B27" s="398"/>
      <c r="C27" s="389" t="str">
        <f t="shared" si="0"/>
        <v>Large User.</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row>
    <row r="28" spans="1:44" ht="12.75" customHeight="1">
      <c r="A28" s="53"/>
      <c r="B28" s="398"/>
      <c r="C28" s="389" t="str">
        <f t="shared" si="0"/>
        <v>Large User.</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row>
    <row r="29" spans="1:44" ht="12.75" customHeight="1">
      <c r="A29" s="314"/>
      <c r="B29" s="399" t="s">
        <v>339</v>
      </c>
      <c r="C29" s="551"/>
      <c r="D29" s="400"/>
      <c r="E29" s="400"/>
      <c r="F29" s="401"/>
      <c r="G29" s="494"/>
      <c r="H29" s="403">
        <f>SUM(H15:H28)</f>
        <v>64185.26</v>
      </c>
      <c r="I29" s="404"/>
      <c r="J29" s="401"/>
      <c r="K29" s="494"/>
      <c r="L29" s="403">
        <f>SUM(L15:L28)</f>
        <v>74039.099999999991</v>
      </c>
      <c r="M29" s="404"/>
      <c r="N29" s="405">
        <f t="shared" si="5"/>
        <v>9853.8399999999892</v>
      </c>
      <c r="O29" s="406">
        <f t="shared" si="6"/>
        <v>0.1535218522134208</v>
      </c>
      <c r="P29" s="314"/>
      <c r="Q29" s="401"/>
      <c r="R29" s="494"/>
      <c r="S29" s="403">
        <f>SUM(S15:S28)</f>
        <v>87513.34</v>
      </c>
      <c r="T29" s="404"/>
      <c r="U29" s="405">
        <f t="shared" si="9"/>
        <v>13474.240000000005</v>
      </c>
      <c r="V29" s="406">
        <f t="shared" si="10"/>
        <v>0.18198816571244122</v>
      </c>
      <c r="W29" s="314"/>
      <c r="X29" s="401"/>
      <c r="Y29" s="494"/>
      <c r="Z29" s="403">
        <f>SUM(Z15:Z28)</f>
        <v>87404.15</v>
      </c>
      <c r="AA29" s="404"/>
      <c r="AB29" s="405">
        <f t="shared" si="13"/>
        <v>-109.19000000000233</v>
      </c>
      <c r="AC29" s="406">
        <f t="shared" si="14"/>
        <v>-1.2476954941955402E-3</v>
      </c>
      <c r="AD29" s="314"/>
      <c r="AE29" s="401"/>
      <c r="AF29" s="494"/>
      <c r="AG29" s="403">
        <f>SUM(AG15:AG28)</f>
        <v>94623.959999999992</v>
      </c>
      <c r="AH29" s="404"/>
      <c r="AI29" s="405">
        <f t="shared" si="17"/>
        <v>7219.8099999999977</v>
      </c>
      <c r="AJ29" s="406">
        <f t="shared" si="18"/>
        <v>8.2602599533317334E-2</v>
      </c>
      <c r="AK29" s="314"/>
      <c r="AL29" s="401"/>
      <c r="AM29" s="494"/>
      <c r="AN29" s="403">
        <f>SUM(AN15:AN28)</f>
        <v>100793.07</v>
      </c>
      <c r="AO29" s="404"/>
      <c r="AP29" s="405">
        <f t="shared" si="21"/>
        <v>6169.1100000000151</v>
      </c>
      <c r="AQ29" s="406">
        <f t="shared" si="22"/>
        <v>6.519606661991334E-2</v>
      </c>
      <c r="AR29" s="407"/>
    </row>
    <row r="30" spans="1:44" ht="12.75" customHeight="1">
      <c r="A30" s="53"/>
      <c r="B30" s="398" t="s">
        <v>262</v>
      </c>
      <c r="C30" s="389" t="str">
        <f t="shared" ref="C30:C38" si="23">D$6&amp;"."&amp;B30</f>
        <v>Large User.DVA Disposition Rate Rider Group 1 -2025</v>
      </c>
      <c r="D30" s="390" t="s">
        <v>406</v>
      </c>
      <c r="E30" s="328"/>
      <c r="F30" s="408">
        <f>IFERROR(VLOOKUP($C30,'Proposed Rates'!$B:$J,F$11,FALSE),0)</f>
        <v>6.3399999999999998E-2</v>
      </c>
      <c r="G30" s="409">
        <f t="shared" ref="G30:G36" si="24">IF($D30="Monthly",1,IF($D30="per KW",$F$10,IF($D30="per kWh",$F$9,0)))</f>
        <v>7900</v>
      </c>
      <c r="H30" s="394">
        <f t="shared" ref="H30:H38" si="25">G30*F30</f>
        <v>500.85999999999996</v>
      </c>
      <c r="I30" s="138"/>
      <c r="J30" s="408">
        <f>IFERROR(VLOOKUP($C30,'Proposed Rates'!$B:$J,J$11,FALSE),0)</f>
        <v>-0.4773</v>
      </c>
      <c r="K30" s="409">
        <f t="shared" ref="K30:K36" si="26">IF($D30="Monthly",1,IF($D30="per KW",$F$10,IF($D30="per kWh",$F$9,0)))</f>
        <v>7900</v>
      </c>
      <c r="L30" s="394">
        <f t="shared" ref="L30:L38" si="27">K30*J30</f>
        <v>-3770.67</v>
      </c>
      <c r="M30" s="138"/>
      <c r="N30" s="395">
        <f t="shared" si="5"/>
        <v>-4271.53</v>
      </c>
      <c r="O30" s="396">
        <f t="shared" si="6"/>
        <v>-8.5283911671924297</v>
      </c>
      <c r="P30" s="53"/>
      <c r="Q30" s="408">
        <f>IFERROR(VLOOKUP($C30,'Proposed Rates'!$B:$J,Q$11,FALSE),0)</f>
        <v>0</v>
      </c>
      <c r="R30" s="409">
        <f t="shared" ref="R30:R36" si="28">IF($D30="Monthly",1,IF($D30="per KW",$F$10,IF($D30="per kWh",$F$9,0)))</f>
        <v>7900</v>
      </c>
      <c r="S30" s="394">
        <f t="shared" ref="S30:S38" si="29">R30*Q30</f>
        <v>0</v>
      </c>
      <c r="T30" s="138"/>
      <c r="U30" s="395">
        <f t="shared" si="9"/>
        <v>3770.67</v>
      </c>
      <c r="V30" s="396">
        <f t="shared" si="10"/>
        <v>-1</v>
      </c>
      <c r="W30" s="53"/>
      <c r="X30" s="408">
        <f>IFERROR(VLOOKUP($C30,'Proposed Rates'!$B:$J,X$11,FALSE),0)</f>
        <v>0</v>
      </c>
      <c r="Y30" s="409">
        <f t="shared" ref="Y30:Y36" si="30">IF($D30="Monthly",1,IF($D30="per KW",$F$10,IF($D30="per kWh",$F$9,0)))</f>
        <v>7900</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7900</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7900</v>
      </c>
      <c r="AN30" s="394">
        <f t="shared" ref="AN30:AN38" si="35">AM30*AL30</f>
        <v>0</v>
      </c>
      <c r="AO30" s="138"/>
      <c r="AP30" s="395">
        <f t="shared" si="21"/>
        <v>0</v>
      </c>
      <c r="AQ30" s="396" t="str">
        <f t="shared" si="22"/>
        <v/>
      </c>
      <c r="AR30" s="397"/>
    </row>
    <row r="31" spans="1:44" ht="12.75" customHeight="1">
      <c r="A31" s="53"/>
      <c r="B31" s="478" t="s">
        <v>264</v>
      </c>
      <c r="C31" s="389" t="str">
        <f t="shared" si="23"/>
        <v>Large User.DVA Disposition Rate Rider Group 1 - 2024</v>
      </c>
      <c r="D31" s="390" t="s">
        <v>406</v>
      </c>
      <c r="E31" s="328"/>
      <c r="F31" s="391">
        <f>IFERROR(VLOOKUP($C31,'Proposed Rates'!$B:$J,F$11,FALSE),0)</f>
        <v>0</v>
      </c>
      <c r="G31" s="409">
        <f t="shared" si="24"/>
        <v>7900</v>
      </c>
      <c r="H31" s="394">
        <f t="shared" si="25"/>
        <v>0</v>
      </c>
      <c r="I31" s="138"/>
      <c r="J31" s="391">
        <f>IFERROR(VLOOKUP($C31,'Proposed Rates'!$B:$J,J$11,FALSE),0)</f>
        <v>0</v>
      </c>
      <c r="K31" s="409">
        <f t="shared" si="26"/>
        <v>7900</v>
      </c>
      <c r="L31" s="394">
        <f t="shared" si="27"/>
        <v>0</v>
      </c>
      <c r="M31" s="138"/>
      <c r="N31" s="395">
        <f t="shared" si="5"/>
        <v>0</v>
      </c>
      <c r="O31" s="396" t="str">
        <f t="shared" si="6"/>
        <v/>
      </c>
      <c r="P31" s="53"/>
      <c r="Q31" s="391">
        <f>IFERROR(VLOOKUP($C31,'Proposed Rates'!$B:$J,Q$11,FALSE),0)</f>
        <v>0</v>
      </c>
      <c r="R31" s="409">
        <f t="shared" si="28"/>
        <v>7900</v>
      </c>
      <c r="S31" s="394">
        <f t="shared" si="29"/>
        <v>0</v>
      </c>
      <c r="T31" s="138"/>
      <c r="U31" s="395">
        <f t="shared" si="9"/>
        <v>0</v>
      </c>
      <c r="V31" s="396" t="str">
        <f t="shared" si="10"/>
        <v/>
      </c>
      <c r="W31" s="53"/>
      <c r="X31" s="391">
        <f>IFERROR(VLOOKUP($C31,'Proposed Rates'!$B:$J,X$11,FALSE),0)</f>
        <v>0</v>
      </c>
      <c r="Y31" s="409">
        <f t="shared" si="30"/>
        <v>7900</v>
      </c>
      <c r="Z31" s="394">
        <f t="shared" si="31"/>
        <v>0</v>
      </c>
      <c r="AA31" s="138"/>
      <c r="AB31" s="395">
        <f t="shared" si="13"/>
        <v>0</v>
      </c>
      <c r="AC31" s="396" t="str">
        <f t="shared" si="14"/>
        <v/>
      </c>
      <c r="AD31" s="53"/>
      <c r="AE31" s="391">
        <f>IFERROR(VLOOKUP($C31,'Proposed Rates'!$B:$J,AE$11,FALSE),0)</f>
        <v>0</v>
      </c>
      <c r="AF31" s="409">
        <f t="shared" si="32"/>
        <v>7900</v>
      </c>
      <c r="AG31" s="394">
        <f t="shared" si="33"/>
        <v>0</v>
      </c>
      <c r="AH31" s="138"/>
      <c r="AI31" s="395">
        <f t="shared" si="17"/>
        <v>0</v>
      </c>
      <c r="AJ31" s="396" t="str">
        <f t="shared" si="18"/>
        <v/>
      </c>
      <c r="AK31" s="53"/>
      <c r="AL31" s="391">
        <f>IFERROR(VLOOKUP($C31,'Proposed Rates'!$B:$J,AL$11,FALSE),0)</f>
        <v>0</v>
      </c>
      <c r="AM31" s="409">
        <f t="shared" si="34"/>
        <v>7900</v>
      </c>
      <c r="AN31" s="394">
        <f t="shared" si="35"/>
        <v>0</v>
      </c>
      <c r="AO31" s="138"/>
      <c r="AP31" s="395">
        <f t="shared" si="21"/>
        <v>0</v>
      </c>
      <c r="AQ31" s="396" t="str">
        <f t="shared" si="22"/>
        <v/>
      </c>
      <c r="AR31" s="397"/>
    </row>
    <row r="32" spans="1:44" ht="12.75" customHeight="1">
      <c r="A32" s="53"/>
      <c r="B32" s="478" t="s">
        <v>272</v>
      </c>
      <c r="C32" s="389" t="str">
        <f t="shared" si="23"/>
        <v>Large User.CBR Class B Rate Riders</v>
      </c>
      <c r="D32" s="390" t="s">
        <v>337</v>
      </c>
      <c r="E32" s="328"/>
      <c r="F32" s="408">
        <f>IFERROR(VLOOKUP($C32,'Proposed Rates'!$B:$J,F$11,FALSE),0)</f>
        <v>2.0000000000000001E-4</v>
      </c>
      <c r="G32" s="409">
        <f t="shared" si="24"/>
        <v>4290127</v>
      </c>
      <c r="H32" s="394">
        <f t="shared" si="25"/>
        <v>858.02539999999999</v>
      </c>
      <c r="I32" s="479"/>
      <c r="J32" s="408">
        <f>IFERROR(VLOOKUP($C32,'Proposed Rates'!$B:$J,J$11,FALSE),0)</f>
        <v>8.9999999999999998E-4</v>
      </c>
      <c r="K32" s="409">
        <f t="shared" si="26"/>
        <v>4290127</v>
      </c>
      <c r="L32" s="394">
        <f t="shared" si="27"/>
        <v>3861.1142999999997</v>
      </c>
      <c r="M32" s="411"/>
      <c r="N32" s="395">
        <f t="shared" si="5"/>
        <v>3003.0888999999997</v>
      </c>
      <c r="O32" s="396">
        <f t="shared" si="6"/>
        <v>3.4999999999999996</v>
      </c>
      <c r="P32" s="53"/>
      <c r="Q32" s="408">
        <f>IFERROR(VLOOKUP($C32,'Proposed Rates'!$B:$J,Q$11,FALSE),0)</f>
        <v>0</v>
      </c>
      <c r="R32" s="409">
        <f t="shared" si="28"/>
        <v>4290127</v>
      </c>
      <c r="S32" s="394">
        <f t="shared" si="29"/>
        <v>0</v>
      </c>
      <c r="T32" s="411"/>
      <c r="U32" s="395">
        <f t="shared" si="9"/>
        <v>-3861.1142999999997</v>
      </c>
      <c r="V32" s="396">
        <f t="shared" si="10"/>
        <v>-1</v>
      </c>
      <c r="W32" s="53"/>
      <c r="X32" s="408">
        <f>IFERROR(VLOOKUP($C32,'Proposed Rates'!$B:$J,X$11,FALSE),0)</f>
        <v>0</v>
      </c>
      <c r="Y32" s="409">
        <f t="shared" si="30"/>
        <v>4290127</v>
      </c>
      <c r="Z32" s="394">
        <f t="shared" si="31"/>
        <v>0</v>
      </c>
      <c r="AA32" s="138"/>
      <c r="AB32" s="395">
        <f t="shared" si="13"/>
        <v>0</v>
      </c>
      <c r="AC32" s="396" t="str">
        <f t="shared" si="14"/>
        <v/>
      </c>
      <c r="AD32" s="53"/>
      <c r="AE32" s="408">
        <f>IFERROR(VLOOKUP($C32,'Proposed Rates'!$B:$J,AE$11,FALSE),0)</f>
        <v>0</v>
      </c>
      <c r="AF32" s="409">
        <f t="shared" si="32"/>
        <v>4290127</v>
      </c>
      <c r="AG32" s="394">
        <f t="shared" si="33"/>
        <v>0</v>
      </c>
      <c r="AH32" s="138"/>
      <c r="AI32" s="395">
        <f t="shared" si="17"/>
        <v>0</v>
      </c>
      <c r="AJ32" s="396" t="str">
        <f t="shared" si="18"/>
        <v/>
      </c>
      <c r="AK32" s="53"/>
      <c r="AL32" s="408">
        <f>IFERROR(VLOOKUP($C32,'Proposed Rates'!$B:$J,AL$11,FALSE),0)</f>
        <v>0</v>
      </c>
      <c r="AM32" s="409">
        <f t="shared" si="34"/>
        <v>4290127</v>
      </c>
      <c r="AN32" s="394">
        <f t="shared" si="35"/>
        <v>0</v>
      </c>
      <c r="AO32" s="411"/>
      <c r="AP32" s="395">
        <f t="shared" si="21"/>
        <v>0</v>
      </c>
      <c r="AQ32" s="396" t="str">
        <f t="shared" si="22"/>
        <v/>
      </c>
      <c r="AR32" s="397"/>
    </row>
    <row r="33" spans="1:44" ht="12.75" customHeight="1">
      <c r="A33" s="53"/>
      <c r="B33" s="478" t="s">
        <v>279</v>
      </c>
      <c r="C33" s="389" t="str">
        <f t="shared" si="23"/>
        <v>Large User.GA Rate Riders</v>
      </c>
      <c r="D33" s="390" t="s">
        <v>337</v>
      </c>
      <c r="E33" s="328"/>
      <c r="F33" s="408">
        <f>IFERROR(VLOOKUP($C33,'Proposed Rates'!$B:$J,F$11,FALSE),0)</f>
        <v>3.8999999999999998E-3</v>
      </c>
      <c r="G33" s="409">
        <f t="shared" si="24"/>
        <v>4290127</v>
      </c>
      <c r="H33" s="394">
        <f t="shared" si="25"/>
        <v>16731.495299999999</v>
      </c>
      <c r="I33" s="479"/>
      <c r="J33" s="408">
        <f>IFERROR(VLOOKUP($C33,'Proposed Rates'!$B:$J,J$11,FALSE),0)</f>
        <v>4.3E-3</v>
      </c>
      <c r="K33" s="409">
        <f t="shared" si="26"/>
        <v>4290127</v>
      </c>
      <c r="L33" s="394">
        <f t="shared" si="27"/>
        <v>18447.5461</v>
      </c>
      <c r="M33" s="411"/>
      <c r="N33" s="395">
        <f t="shared" si="5"/>
        <v>1716.0508000000009</v>
      </c>
      <c r="O33" s="396">
        <f t="shared" si="6"/>
        <v>0.10256410256410263</v>
      </c>
      <c r="P33" s="53"/>
      <c r="Q33" s="408">
        <f>IFERROR(VLOOKUP($C33,'Proposed Rates'!$B:$J,Q$11,FALSE),0)</f>
        <v>4.3E-3</v>
      </c>
      <c r="R33" s="409">
        <f t="shared" si="28"/>
        <v>4290127</v>
      </c>
      <c r="S33" s="394">
        <f t="shared" si="29"/>
        <v>18447.5461</v>
      </c>
      <c r="T33" s="411"/>
      <c r="U33" s="395">
        <f t="shared" si="9"/>
        <v>0</v>
      </c>
      <c r="V33" s="396">
        <f t="shared" si="10"/>
        <v>0</v>
      </c>
      <c r="W33" s="53"/>
      <c r="X33" s="408">
        <f>IFERROR(VLOOKUP($C33,'Proposed Rates'!$B:$J,X$11,FALSE),0)</f>
        <v>0</v>
      </c>
      <c r="Y33" s="409">
        <f t="shared" si="30"/>
        <v>4290127</v>
      </c>
      <c r="Z33" s="394">
        <f t="shared" si="31"/>
        <v>0</v>
      </c>
      <c r="AA33" s="411"/>
      <c r="AB33" s="395">
        <f t="shared" si="13"/>
        <v>-18447.5461</v>
      </c>
      <c r="AC33" s="396">
        <f t="shared" si="14"/>
        <v>-1</v>
      </c>
      <c r="AD33" s="53"/>
      <c r="AE33" s="408">
        <f>IFERROR(VLOOKUP($C33,'Proposed Rates'!$B:$J,AE$11,FALSE),0)</f>
        <v>0</v>
      </c>
      <c r="AF33" s="409">
        <f t="shared" si="32"/>
        <v>4290127</v>
      </c>
      <c r="AG33" s="394">
        <f t="shared" si="33"/>
        <v>0</v>
      </c>
      <c r="AH33" s="411"/>
      <c r="AI33" s="395">
        <f t="shared" si="17"/>
        <v>0</v>
      </c>
      <c r="AJ33" s="396" t="str">
        <f t="shared" si="18"/>
        <v/>
      </c>
      <c r="AK33" s="53"/>
      <c r="AL33" s="408">
        <f>IFERROR(VLOOKUP($C33,'Proposed Rates'!$B:$J,AL$11,FALSE),0)</f>
        <v>0</v>
      </c>
      <c r="AM33" s="409">
        <f t="shared" si="34"/>
        <v>4290127</v>
      </c>
      <c r="AN33" s="394">
        <f t="shared" si="35"/>
        <v>0</v>
      </c>
      <c r="AO33" s="411"/>
      <c r="AP33" s="395">
        <f t="shared" si="21"/>
        <v>0</v>
      </c>
      <c r="AQ33" s="396" t="str">
        <f t="shared" si="22"/>
        <v/>
      </c>
      <c r="AR33" s="397"/>
    </row>
    <row r="34" spans="1:44" ht="12.75" customHeight="1">
      <c r="A34" s="53"/>
      <c r="B34" s="478" t="s">
        <v>282</v>
      </c>
      <c r="C34" s="389" t="str">
        <f t="shared" si="23"/>
        <v>Large User.Total Deferral/Variance Account Rate RidersYr2</v>
      </c>
      <c r="D34" s="390" t="s">
        <v>406</v>
      </c>
      <c r="E34" s="328"/>
      <c r="F34" s="391">
        <f>IFERROR(VLOOKUP($C34,'Proposed Rates'!$B:$J,F$11,FALSE),0)</f>
        <v>0</v>
      </c>
      <c r="G34" s="409">
        <f t="shared" si="24"/>
        <v>7900</v>
      </c>
      <c r="H34" s="394">
        <f t="shared" si="25"/>
        <v>0</v>
      </c>
      <c r="I34" s="479"/>
      <c r="J34" s="391">
        <f>IFERROR(VLOOKUP($C34,'Proposed Rates'!$B:$J,J$11,FALSE),0)</f>
        <v>0</v>
      </c>
      <c r="K34" s="409">
        <f t="shared" si="26"/>
        <v>7900</v>
      </c>
      <c r="L34" s="394">
        <f t="shared" si="27"/>
        <v>0</v>
      </c>
      <c r="M34" s="411"/>
      <c r="N34" s="395">
        <f t="shared" si="5"/>
        <v>0</v>
      </c>
      <c r="O34" s="396" t="str">
        <f t="shared" si="6"/>
        <v/>
      </c>
      <c r="P34" s="53"/>
      <c r="Q34" s="391">
        <f>IFERROR(VLOOKUP($C34,'Proposed Rates'!$B:$J,Q$11,FALSE),0)</f>
        <v>0</v>
      </c>
      <c r="R34" s="409">
        <f t="shared" si="28"/>
        <v>7900</v>
      </c>
      <c r="S34" s="394">
        <f t="shared" si="29"/>
        <v>0</v>
      </c>
      <c r="T34" s="411"/>
      <c r="U34" s="395">
        <f t="shared" si="9"/>
        <v>0</v>
      </c>
      <c r="V34" s="396" t="str">
        <f t="shared" si="10"/>
        <v/>
      </c>
      <c r="W34" s="53"/>
      <c r="X34" s="391">
        <f>IFERROR(VLOOKUP($C34,'Proposed Rates'!$B:$J,X$11,FALSE),0)</f>
        <v>0</v>
      </c>
      <c r="Y34" s="409">
        <f t="shared" si="30"/>
        <v>7900</v>
      </c>
      <c r="Z34" s="394">
        <f t="shared" si="31"/>
        <v>0</v>
      </c>
      <c r="AA34" s="411"/>
      <c r="AB34" s="395">
        <f t="shared" si="13"/>
        <v>0</v>
      </c>
      <c r="AC34" s="396" t="str">
        <f t="shared" si="14"/>
        <v/>
      </c>
      <c r="AD34" s="53"/>
      <c r="AE34" s="391">
        <f>IFERROR(VLOOKUP($C34,'Proposed Rates'!$B:$J,AE$11,FALSE),0)</f>
        <v>0</v>
      </c>
      <c r="AF34" s="409">
        <f t="shared" si="32"/>
        <v>7900</v>
      </c>
      <c r="AG34" s="394">
        <f t="shared" si="33"/>
        <v>0</v>
      </c>
      <c r="AH34" s="411"/>
      <c r="AI34" s="395">
        <f t="shared" si="17"/>
        <v>0</v>
      </c>
      <c r="AJ34" s="396" t="str">
        <f t="shared" si="18"/>
        <v/>
      </c>
      <c r="AK34" s="53"/>
      <c r="AL34" s="391">
        <f>IFERROR(VLOOKUP($C34,'Proposed Rates'!$B:$J,AL$11,FALSE),0)</f>
        <v>0</v>
      </c>
      <c r="AM34" s="409">
        <f t="shared" si="34"/>
        <v>7900</v>
      </c>
      <c r="AN34" s="394">
        <f t="shared" si="35"/>
        <v>0</v>
      </c>
      <c r="AO34" s="411"/>
      <c r="AP34" s="395">
        <f t="shared" si="21"/>
        <v>0</v>
      </c>
      <c r="AQ34" s="396" t="str">
        <f t="shared" si="22"/>
        <v/>
      </c>
      <c r="AR34" s="397"/>
    </row>
    <row r="35" spans="1:44" ht="12.75" customHeight="1">
      <c r="A35" s="53"/>
      <c r="B35" s="478" t="s">
        <v>284</v>
      </c>
      <c r="C35" s="389" t="str">
        <f t="shared" si="23"/>
        <v>Large User.Total Deferral/Variance Account Rate Riders</v>
      </c>
      <c r="D35" s="390" t="s">
        <v>406</v>
      </c>
      <c r="E35" s="328"/>
      <c r="F35" s="391">
        <f>IFERROR(VLOOKUP($C35,'Proposed Rates'!$B:$J,F$11,FALSE),0)</f>
        <v>0</v>
      </c>
      <c r="G35" s="409">
        <f t="shared" si="24"/>
        <v>7900</v>
      </c>
      <c r="H35" s="394">
        <f t="shared" si="25"/>
        <v>0</v>
      </c>
      <c r="I35" s="138"/>
      <c r="J35" s="391">
        <f>IFERROR(VLOOKUP($C35,'Proposed Rates'!$B:$J,J$11,FALSE),0)</f>
        <v>0</v>
      </c>
      <c r="K35" s="409">
        <f t="shared" si="26"/>
        <v>7900</v>
      </c>
      <c r="L35" s="394">
        <f t="shared" si="27"/>
        <v>0</v>
      </c>
      <c r="M35" s="138"/>
      <c r="N35" s="395">
        <f t="shared" si="5"/>
        <v>0</v>
      </c>
      <c r="O35" s="396" t="str">
        <f t="shared" si="6"/>
        <v/>
      </c>
      <c r="P35" s="53"/>
      <c r="Q35" s="391">
        <f>IFERROR(VLOOKUP($C35,'Proposed Rates'!$B:$J,Q$11,FALSE),0)</f>
        <v>0</v>
      </c>
      <c r="R35" s="409">
        <f t="shared" si="28"/>
        <v>7900</v>
      </c>
      <c r="S35" s="394">
        <f t="shared" si="29"/>
        <v>0</v>
      </c>
      <c r="T35" s="138"/>
      <c r="U35" s="395">
        <f t="shared" si="9"/>
        <v>0</v>
      </c>
      <c r="V35" s="396" t="str">
        <f t="shared" si="10"/>
        <v/>
      </c>
      <c r="W35" s="53"/>
      <c r="X35" s="391">
        <f>IFERROR(VLOOKUP($C35,'Proposed Rates'!$B:$J,X$11,FALSE),0)</f>
        <v>0</v>
      </c>
      <c r="Y35" s="409">
        <f t="shared" si="30"/>
        <v>7900</v>
      </c>
      <c r="Z35" s="394">
        <f t="shared" si="31"/>
        <v>0</v>
      </c>
      <c r="AA35" s="138"/>
      <c r="AB35" s="395">
        <f t="shared" si="13"/>
        <v>0</v>
      </c>
      <c r="AC35" s="396" t="str">
        <f t="shared" si="14"/>
        <v/>
      </c>
      <c r="AD35" s="53"/>
      <c r="AE35" s="391">
        <f>IFERROR(VLOOKUP($C35,'Proposed Rates'!$B:$J,AE$11,FALSE),0)</f>
        <v>0</v>
      </c>
      <c r="AF35" s="409">
        <f t="shared" si="32"/>
        <v>7900</v>
      </c>
      <c r="AG35" s="394">
        <f t="shared" si="33"/>
        <v>0</v>
      </c>
      <c r="AH35" s="138"/>
      <c r="AI35" s="395">
        <f t="shared" si="17"/>
        <v>0</v>
      </c>
      <c r="AJ35" s="396" t="str">
        <f t="shared" si="18"/>
        <v/>
      </c>
      <c r="AK35" s="53"/>
      <c r="AL35" s="391">
        <f>IFERROR(VLOOKUP($C35,'Proposed Rates'!$B:$J,AL$11,FALSE),0)</f>
        <v>0</v>
      </c>
      <c r="AM35" s="409">
        <f t="shared" si="34"/>
        <v>7900</v>
      </c>
      <c r="AN35" s="394">
        <f t="shared" si="35"/>
        <v>0</v>
      </c>
      <c r="AO35" s="138"/>
      <c r="AP35" s="395">
        <f t="shared" si="21"/>
        <v>0</v>
      </c>
      <c r="AQ35" s="396" t="str">
        <f t="shared" si="22"/>
        <v/>
      </c>
      <c r="AR35" s="397"/>
    </row>
    <row r="36" spans="1:44" ht="12.75" customHeight="1">
      <c r="A36" s="53"/>
      <c r="B36" s="328" t="s">
        <v>300</v>
      </c>
      <c r="C36" s="389" t="str">
        <f t="shared" si="23"/>
        <v>Large User.Low Voltage Service Charge</v>
      </c>
      <c r="D36" s="390" t="s">
        <v>406</v>
      </c>
      <c r="E36" s="328"/>
      <c r="F36" s="412">
        <f>IFERROR(VLOOKUP($C36,'Proposed Rates'!$B:$J,F$11,FALSE),0)</f>
        <v>2.4819999999999998E-2</v>
      </c>
      <c r="G36" s="409">
        <f t="shared" si="24"/>
        <v>7900</v>
      </c>
      <c r="H36" s="394">
        <f t="shared" si="25"/>
        <v>196.07799999999997</v>
      </c>
      <c r="I36" s="138"/>
      <c r="J36" s="412">
        <f>IFERROR(VLOOKUP($C36,'Proposed Rates'!$B:$J,J$11,FALSE),0)</f>
        <v>2.716E-2</v>
      </c>
      <c r="K36" s="409">
        <f t="shared" si="26"/>
        <v>7900</v>
      </c>
      <c r="L36" s="394">
        <f t="shared" si="27"/>
        <v>214.56399999999999</v>
      </c>
      <c r="M36" s="138"/>
      <c r="N36" s="395">
        <f t="shared" si="5"/>
        <v>18.486000000000018</v>
      </c>
      <c r="O36" s="396">
        <f t="shared" si="6"/>
        <v>9.4278807413376409E-2</v>
      </c>
      <c r="P36" s="53"/>
      <c r="Q36" s="412">
        <f>IFERROR(VLOOKUP($C36,'Proposed Rates'!$B:$J,Q$11,FALSE),0)</f>
        <v>2.7869999999999999E-2</v>
      </c>
      <c r="R36" s="409">
        <f t="shared" si="28"/>
        <v>7900</v>
      </c>
      <c r="S36" s="394">
        <f t="shared" si="29"/>
        <v>220.173</v>
      </c>
      <c r="T36" s="138"/>
      <c r="U36" s="395">
        <f t="shared" si="9"/>
        <v>5.6090000000000089</v>
      </c>
      <c r="V36" s="396">
        <f t="shared" si="10"/>
        <v>2.6141384388807112E-2</v>
      </c>
      <c r="W36" s="53"/>
      <c r="X36" s="412">
        <f>IFERROR(VLOOKUP($C36,'Proposed Rates'!$B:$J,X$11,FALSE),0)</f>
        <v>2.8209999999999999E-2</v>
      </c>
      <c r="Y36" s="409">
        <f t="shared" si="30"/>
        <v>7900</v>
      </c>
      <c r="Z36" s="394">
        <f t="shared" si="31"/>
        <v>222.85899999999998</v>
      </c>
      <c r="AA36" s="138"/>
      <c r="AB36" s="395">
        <f t="shared" si="13"/>
        <v>2.6859999999999786</v>
      </c>
      <c r="AC36" s="396">
        <f t="shared" si="14"/>
        <v>1.2199497667742996E-2</v>
      </c>
      <c r="AD36" s="53"/>
      <c r="AE36" s="412">
        <f>IFERROR(VLOOKUP($C36,'Proposed Rates'!$B:$J,AE$11,FALSE),0)</f>
        <v>2.8660000000000001E-2</v>
      </c>
      <c r="AF36" s="409">
        <f t="shared" si="32"/>
        <v>7900</v>
      </c>
      <c r="AG36" s="394">
        <f t="shared" si="33"/>
        <v>226.41400000000002</v>
      </c>
      <c r="AH36" s="138"/>
      <c r="AI36" s="395">
        <f t="shared" si="17"/>
        <v>3.5550000000000352</v>
      </c>
      <c r="AJ36" s="396">
        <f t="shared" si="18"/>
        <v>1.5951790145338693E-2</v>
      </c>
      <c r="AK36" s="53"/>
      <c r="AL36" s="412">
        <f>IFERROR(VLOOKUP($C36,'Proposed Rates'!$B:$J,AL$11,FALSE),0)</f>
        <v>2.9170000000000001E-2</v>
      </c>
      <c r="AM36" s="409">
        <f t="shared" si="34"/>
        <v>7900</v>
      </c>
      <c r="AN36" s="394">
        <f t="shared" si="35"/>
        <v>230.44300000000001</v>
      </c>
      <c r="AO36" s="138"/>
      <c r="AP36" s="395">
        <f t="shared" si="21"/>
        <v>4.0289999999999964</v>
      </c>
      <c r="AQ36" s="396">
        <f t="shared" si="22"/>
        <v>1.7794836008374022E-2</v>
      </c>
      <c r="AR36" s="397"/>
    </row>
    <row r="37" spans="1:44" ht="12.75" customHeight="1">
      <c r="A37" s="53"/>
      <c r="B37" s="328" t="s">
        <v>341</v>
      </c>
      <c r="C37" s="389" t="str">
        <f t="shared" si="23"/>
        <v>Large User.Line Losses on Cost of Power</v>
      </c>
      <c r="D37" s="390" t="s">
        <v>337</v>
      </c>
      <c r="E37" s="328"/>
      <c r="F37" s="552"/>
      <c r="G37" s="501">
        <f>$F$9*(1+F$65)-$F$9</f>
        <v>21879.647700000554</v>
      </c>
      <c r="H37" s="394">
        <f t="shared" si="25"/>
        <v>0</v>
      </c>
      <c r="I37" s="138"/>
      <c r="J37" s="552"/>
      <c r="K37" s="501">
        <f>$F$9*(1+J$65)-$F$9</f>
        <v>20592.609600000083</v>
      </c>
      <c r="L37" s="394">
        <f t="shared" si="27"/>
        <v>0</v>
      </c>
      <c r="M37" s="138"/>
      <c r="N37" s="395">
        <f t="shared" si="5"/>
        <v>0</v>
      </c>
      <c r="O37" s="396" t="str">
        <f t="shared" si="6"/>
        <v/>
      </c>
      <c r="P37" s="53"/>
      <c r="Q37" s="552"/>
      <c r="R37" s="501">
        <f>$F$9*(1+Q$65)-$F$9</f>
        <v>20592.609600000083</v>
      </c>
      <c r="S37" s="394">
        <f t="shared" si="29"/>
        <v>0</v>
      </c>
      <c r="T37" s="138"/>
      <c r="U37" s="395">
        <f t="shared" si="9"/>
        <v>0</v>
      </c>
      <c r="V37" s="396" t="str">
        <f t="shared" si="10"/>
        <v/>
      </c>
      <c r="W37" s="53"/>
      <c r="X37" s="552"/>
      <c r="Y37" s="501">
        <f>$F$9*(1+X$65)-$F$9</f>
        <v>20592.609600000083</v>
      </c>
      <c r="Z37" s="394">
        <f t="shared" si="31"/>
        <v>0</v>
      </c>
      <c r="AA37" s="138"/>
      <c r="AB37" s="395">
        <f t="shared" si="13"/>
        <v>0</v>
      </c>
      <c r="AC37" s="396" t="str">
        <f t="shared" si="14"/>
        <v/>
      </c>
      <c r="AD37" s="53"/>
      <c r="AE37" s="552"/>
      <c r="AF37" s="501">
        <f>$F$9*(1+AE$65)-$F$9</f>
        <v>20592.609600000083</v>
      </c>
      <c r="AG37" s="394">
        <f t="shared" si="33"/>
        <v>0</v>
      </c>
      <c r="AH37" s="138"/>
      <c r="AI37" s="395">
        <f t="shared" si="17"/>
        <v>0</v>
      </c>
      <c r="AJ37" s="396" t="str">
        <f t="shared" si="18"/>
        <v/>
      </c>
      <c r="AK37" s="53"/>
      <c r="AL37" s="552"/>
      <c r="AM37" s="501">
        <f>$F$9*(1+AL$65)-$F$9</f>
        <v>20592.609600000083</v>
      </c>
      <c r="AN37" s="394">
        <f t="shared" si="35"/>
        <v>0</v>
      </c>
      <c r="AO37" s="138"/>
      <c r="AP37" s="395">
        <f t="shared" si="21"/>
        <v>0</v>
      </c>
      <c r="AQ37" s="396" t="str">
        <f t="shared" si="22"/>
        <v/>
      </c>
      <c r="AR37" s="397"/>
    </row>
    <row r="38" spans="1:44" ht="12.75" customHeight="1">
      <c r="A38" s="53"/>
      <c r="B38" s="328" t="s">
        <v>302</v>
      </c>
      <c r="C38" s="389" t="str">
        <f t="shared" si="23"/>
        <v>Large User.Smart Meter Entity Charge</v>
      </c>
      <c r="D38" s="390" t="s">
        <v>335</v>
      </c>
      <c r="E38" s="328"/>
      <c r="F38" s="391">
        <f>IFERROR(VLOOKUP($C38,'Proposed Rates'!$B:$J,F$11,FALSE),0)</f>
        <v>0</v>
      </c>
      <c r="G38" s="409">
        <f>IF($D38="Monthly",1,IF($D38="per KW",$F$10,IF($D38="per kWh",$F$9,0)))</f>
        <v>1</v>
      </c>
      <c r="H38" s="394">
        <f t="shared" si="25"/>
        <v>0</v>
      </c>
      <c r="I38" s="138"/>
      <c r="J38" s="391">
        <f>IFERROR(VLOOKUP($C38,'Proposed Rates'!$B:$J,J$11,FALSE),0)</f>
        <v>0</v>
      </c>
      <c r="K38" s="409">
        <f>IF($D38="Monthly",1,IF($D38="per KW",$F$10,IF($D38="per kWh",$F$9,0)))</f>
        <v>1</v>
      </c>
      <c r="L38" s="394">
        <f t="shared" si="27"/>
        <v>0</v>
      </c>
      <c r="M38" s="138"/>
      <c r="N38" s="395">
        <f t="shared" si="5"/>
        <v>0</v>
      </c>
      <c r="O38" s="396" t="str">
        <f t="shared" si="6"/>
        <v/>
      </c>
      <c r="P38" s="53"/>
      <c r="Q38" s="391">
        <f>IFERROR(VLOOKUP($C38,'Proposed Rates'!$B:$J,Q$11,FALSE),0)</f>
        <v>0</v>
      </c>
      <c r="R38" s="409">
        <f>IF($D38="Monthly",1,IF($D38="per KW",$F$10,IF($D38="per kWh",$F$9,0)))</f>
        <v>1</v>
      </c>
      <c r="S38" s="394">
        <f t="shared" si="29"/>
        <v>0</v>
      </c>
      <c r="T38" s="138"/>
      <c r="U38" s="395">
        <f t="shared" si="9"/>
        <v>0</v>
      </c>
      <c r="V38" s="396" t="str">
        <f t="shared" si="10"/>
        <v/>
      </c>
      <c r="W38" s="53"/>
      <c r="X38" s="391">
        <f>IFERROR(VLOOKUP($C38,'Proposed Rates'!$B:$J,X$11,FALSE),0)</f>
        <v>0</v>
      </c>
      <c r="Y38" s="409">
        <f>IF($D38="Monthly",1,IF($D38="per KW",$F$10,IF($D38="per kWh",$F$9,0)))</f>
        <v>1</v>
      </c>
      <c r="Z38" s="394">
        <f t="shared" si="31"/>
        <v>0</v>
      </c>
      <c r="AA38" s="138"/>
      <c r="AB38" s="395">
        <f t="shared" si="13"/>
        <v>0</v>
      </c>
      <c r="AC38" s="396" t="str">
        <f t="shared" si="14"/>
        <v/>
      </c>
      <c r="AD38" s="53"/>
      <c r="AE38" s="391">
        <f>IFERROR(VLOOKUP($C38,'Proposed Rates'!$B:$J,AE$11,FALSE),0)</f>
        <v>0</v>
      </c>
      <c r="AF38" s="409">
        <f>IF($D38="Monthly",1,IF($D38="per KW",$F$10,IF($D38="per kWh",$F$9,0)))</f>
        <v>1</v>
      </c>
      <c r="AG38" s="394">
        <f t="shared" si="33"/>
        <v>0</v>
      </c>
      <c r="AH38" s="138"/>
      <c r="AI38" s="395">
        <f t="shared" si="17"/>
        <v>0</v>
      </c>
      <c r="AJ38" s="396" t="str">
        <f t="shared" si="18"/>
        <v/>
      </c>
      <c r="AK38" s="53"/>
      <c r="AL38" s="391">
        <f>IFERROR(VLOOKUP($C38,'Proposed Rates'!$B:$J,AL$11,FALSE),0)</f>
        <v>0</v>
      </c>
      <c r="AM38" s="409">
        <f>IF($D38="Monthly",1,IF($D38="per KW",$F$10,IF($D38="per kWh",$F$9,0)))</f>
        <v>1</v>
      </c>
      <c r="AN38" s="394">
        <f t="shared" si="35"/>
        <v>0</v>
      </c>
      <c r="AO38" s="138"/>
      <c r="AP38" s="395">
        <f t="shared" si="21"/>
        <v>0</v>
      </c>
      <c r="AQ38" s="396" t="str">
        <f t="shared" si="22"/>
        <v/>
      </c>
      <c r="AR38" s="397"/>
    </row>
    <row r="39" spans="1:44" ht="12.75" customHeight="1">
      <c r="A39" s="53"/>
      <c r="B39" s="480" t="s">
        <v>342</v>
      </c>
      <c r="C39" s="553"/>
      <c r="D39" s="416"/>
      <c r="E39" s="416"/>
      <c r="F39" s="417"/>
      <c r="G39" s="495"/>
      <c r="H39" s="403">
        <f>SUM(H30:H38)+H29</f>
        <v>82471.718699999998</v>
      </c>
      <c r="I39" s="419"/>
      <c r="J39" s="417"/>
      <c r="K39" s="495"/>
      <c r="L39" s="403">
        <f>SUM(L30:L38)+L29</f>
        <v>92791.654399999985</v>
      </c>
      <c r="M39" s="419"/>
      <c r="N39" s="405">
        <f t="shared" si="5"/>
        <v>10319.935699999987</v>
      </c>
      <c r="O39" s="406">
        <f t="shared" si="6"/>
        <v>0.12513302575322693</v>
      </c>
      <c r="P39" s="53"/>
      <c r="Q39" s="417"/>
      <c r="R39" s="495"/>
      <c r="S39" s="403">
        <f>SUM(S30:S38)+S29</f>
        <v>106181.0591</v>
      </c>
      <c r="T39" s="419"/>
      <c r="U39" s="405">
        <f t="shared" si="9"/>
        <v>13389.404700000014</v>
      </c>
      <c r="V39" s="406">
        <f t="shared" si="10"/>
        <v>0.1442953548632927</v>
      </c>
      <c r="W39" s="53"/>
      <c r="X39" s="417"/>
      <c r="Y39" s="495"/>
      <c r="Z39" s="403">
        <f>SUM(Z30:Z38)+Z29</f>
        <v>87627.008999999991</v>
      </c>
      <c r="AA39" s="419"/>
      <c r="AB39" s="405">
        <f t="shared" si="13"/>
        <v>-18554.050100000008</v>
      </c>
      <c r="AC39" s="406">
        <f t="shared" si="14"/>
        <v>-0.17473973472543755</v>
      </c>
      <c r="AD39" s="53"/>
      <c r="AE39" s="417"/>
      <c r="AF39" s="495"/>
      <c r="AG39" s="403">
        <f>SUM(AG30:AG38)+AG29</f>
        <v>94850.373999999996</v>
      </c>
      <c r="AH39" s="419"/>
      <c r="AI39" s="405">
        <f t="shared" si="17"/>
        <v>7223.3650000000052</v>
      </c>
      <c r="AJ39" s="406">
        <f t="shared" si="18"/>
        <v>8.2433088638230317E-2</v>
      </c>
      <c r="AK39" s="53"/>
      <c r="AL39" s="417"/>
      <c r="AM39" s="495"/>
      <c r="AN39" s="403">
        <f>SUM(AN30:AN38)+AN29</f>
        <v>101023.51300000001</v>
      </c>
      <c r="AO39" s="419"/>
      <c r="AP39" s="405">
        <f t="shared" si="21"/>
        <v>6173.1390000000101</v>
      </c>
      <c r="AQ39" s="406">
        <f t="shared" si="22"/>
        <v>6.5082916805367694E-2</v>
      </c>
      <c r="AR39" s="407"/>
    </row>
    <row r="40" spans="1:44" ht="12.75" customHeight="1">
      <c r="A40" s="53"/>
      <c r="B40" s="138" t="s">
        <v>285</v>
      </c>
      <c r="C40" s="389" t="str">
        <f t="shared" ref="C40:C41" si="36">D$6&amp;"."&amp;B40</f>
        <v>Large User.RTSR - Network</v>
      </c>
      <c r="D40" s="420" t="s">
        <v>406</v>
      </c>
      <c r="E40" s="138"/>
      <c r="F40" s="408">
        <f>IFERROR(VLOOKUP($C40,'Proposed Rates'!$B:$J,F$11,FALSE),0)</f>
        <v>5.5801999999999996</v>
      </c>
      <c r="G40" s="409">
        <f t="shared" ref="G40:G41" si="37">IF($D40="Monthly",1,IF($D40="per KW",$F$10,IF($D40="per kWh",$F$9,0)))</f>
        <v>7900</v>
      </c>
      <c r="H40" s="394">
        <f t="shared" ref="H40:H41" si="38">G40*F40</f>
        <v>44083.579999999994</v>
      </c>
      <c r="I40" s="138"/>
      <c r="J40" s="408">
        <f>IFERROR(VLOOKUP($C40,'Proposed Rates'!$B:$J,J$11,FALSE),0)</f>
        <v>5.3339999999999996</v>
      </c>
      <c r="K40" s="409">
        <f t="shared" ref="K40:K41" si="39">IF($D40="Monthly",1,IF($D40="per KW",$F$10,IF($D40="per kWh",$F$9,0)))</f>
        <v>7900</v>
      </c>
      <c r="L40" s="394">
        <f t="shared" ref="L40:L41" si="40">K40*J40</f>
        <v>42138.6</v>
      </c>
      <c r="M40" s="138"/>
      <c r="N40" s="395">
        <f t="shared" si="5"/>
        <v>-1944.9799999999959</v>
      </c>
      <c r="O40" s="396">
        <f t="shared" si="6"/>
        <v>-4.412028242715306E-2</v>
      </c>
      <c r="P40" s="53"/>
      <c r="Q40" s="408">
        <f>IFERROR(VLOOKUP($C40,'Proposed Rates'!$B:$J,Q$11,FALSE),0)</f>
        <v>5.3339999999999996</v>
      </c>
      <c r="R40" s="409">
        <f t="shared" ref="R40:R41" si="41">IF($D40="Monthly",1,IF($D40="per KW",$F$10,IF($D40="per kWh",$F$9,0)))</f>
        <v>7900</v>
      </c>
      <c r="S40" s="394">
        <f t="shared" ref="S40:S41" si="42">R40*Q40</f>
        <v>42138.6</v>
      </c>
      <c r="T40" s="138"/>
      <c r="U40" s="395">
        <f t="shared" si="9"/>
        <v>0</v>
      </c>
      <c r="V40" s="396">
        <f t="shared" si="10"/>
        <v>0</v>
      </c>
      <c r="W40" s="53"/>
      <c r="X40" s="408">
        <f>IFERROR(VLOOKUP($C40,'Proposed Rates'!$B:$J,X$11,FALSE),0)</f>
        <v>5.3339999999999996</v>
      </c>
      <c r="Y40" s="409">
        <f t="shared" ref="Y40:Y41" si="43">IF($D40="Monthly",1,IF($D40="per KW",$F$10,IF($D40="per kWh",$F$9,0)))</f>
        <v>7900</v>
      </c>
      <c r="Z40" s="394">
        <f t="shared" ref="Z40:Z41" si="44">Y40*X40</f>
        <v>42138.6</v>
      </c>
      <c r="AA40" s="138"/>
      <c r="AB40" s="395">
        <f t="shared" si="13"/>
        <v>0</v>
      </c>
      <c r="AC40" s="396">
        <f t="shared" si="14"/>
        <v>0</v>
      </c>
      <c r="AD40" s="53"/>
      <c r="AE40" s="408">
        <f>IFERROR(VLOOKUP($C40,'Proposed Rates'!$B:$J,AE$11,FALSE),0)</f>
        <v>5.3339999999999996</v>
      </c>
      <c r="AF40" s="409">
        <f t="shared" ref="AF40:AF41" si="45">IF($D40="Monthly",1,IF($D40="per KW",$F$10,IF($D40="per kWh",$F$9,0)))</f>
        <v>7900</v>
      </c>
      <c r="AG40" s="394">
        <f t="shared" ref="AG40:AG41" si="46">AF40*AE40</f>
        <v>42138.6</v>
      </c>
      <c r="AH40" s="138"/>
      <c r="AI40" s="395">
        <f t="shared" si="17"/>
        <v>0</v>
      </c>
      <c r="AJ40" s="396">
        <f t="shared" si="18"/>
        <v>0</v>
      </c>
      <c r="AK40" s="53"/>
      <c r="AL40" s="408">
        <f>IFERROR(VLOOKUP($C40,'Proposed Rates'!$B:$J,AL$11,FALSE),0)</f>
        <v>5.3339999999999996</v>
      </c>
      <c r="AM40" s="409">
        <f t="shared" ref="AM40:AM41" si="47">IF($D40="Monthly",1,IF($D40="per KW",$F$10,IF($D40="per kWh",$F$9,0)))</f>
        <v>7900</v>
      </c>
      <c r="AN40" s="394">
        <f t="shared" ref="AN40:AN41" si="48">AM40*AL40</f>
        <v>42138.6</v>
      </c>
      <c r="AO40" s="138"/>
      <c r="AP40" s="395">
        <f t="shared" si="21"/>
        <v>0</v>
      </c>
      <c r="AQ40" s="396">
        <f t="shared" si="22"/>
        <v>0</v>
      </c>
      <c r="AR40" s="397"/>
    </row>
    <row r="41" spans="1:44" ht="12.75" customHeight="1">
      <c r="A41" s="53"/>
      <c r="B41" s="481" t="s">
        <v>288</v>
      </c>
      <c r="C41" s="389" t="str">
        <f t="shared" si="36"/>
        <v>Large User.RTSR - Line and Transformation Connection</v>
      </c>
      <c r="D41" s="420" t="s">
        <v>406</v>
      </c>
      <c r="E41" s="138"/>
      <c r="F41" s="408">
        <f>IFERROR(VLOOKUP($C41,'Proposed Rates'!$B:$J,F$11,FALSE),0)</f>
        <v>3.3923999999999999</v>
      </c>
      <c r="G41" s="409">
        <f t="shared" si="37"/>
        <v>7900</v>
      </c>
      <c r="H41" s="394">
        <f t="shared" si="38"/>
        <v>26799.96</v>
      </c>
      <c r="I41" s="138"/>
      <c r="J41" s="408">
        <f>IFERROR(VLOOKUP($C41,'Proposed Rates'!$B:$J,J$11,FALSE),0)</f>
        <v>3.0192999999999999</v>
      </c>
      <c r="K41" s="409">
        <f t="shared" si="39"/>
        <v>7900</v>
      </c>
      <c r="L41" s="394">
        <f t="shared" si="40"/>
        <v>23852.469999999998</v>
      </c>
      <c r="M41" s="138"/>
      <c r="N41" s="395">
        <f t="shared" si="5"/>
        <v>-2947.4900000000016</v>
      </c>
      <c r="O41" s="396">
        <f t="shared" si="6"/>
        <v>-0.10998113430020051</v>
      </c>
      <c r="P41" s="53"/>
      <c r="Q41" s="408">
        <f>IFERROR(VLOOKUP($C41,'Proposed Rates'!$B:$J,Q$11,FALSE),0)</f>
        <v>3.0192999999999999</v>
      </c>
      <c r="R41" s="409">
        <f t="shared" si="41"/>
        <v>7900</v>
      </c>
      <c r="S41" s="394">
        <f t="shared" si="42"/>
        <v>23852.469999999998</v>
      </c>
      <c r="T41" s="138"/>
      <c r="U41" s="395">
        <f t="shared" si="9"/>
        <v>0</v>
      </c>
      <c r="V41" s="396">
        <f t="shared" si="10"/>
        <v>0</v>
      </c>
      <c r="W41" s="53"/>
      <c r="X41" s="408">
        <f>IFERROR(VLOOKUP($C41,'Proposed Rates'!$B:$J,X$11,FALSE),0)</f>
        <v>3.0192999999999999</v>
      </c>
      <c r="Y41" s="409">
        <f t="shared" si="43"/>
        <v>7900</v>
      </c>
      <c r="Z41" s="394">
        <f t="shared" si="44"/>
        <v>23852.469999999998</v>
      </c>
      <c r="AA41" s="138"/>
      <c r="AB41" s="395">
        <f t="shared" si="13"/>
        <v>0</v>
      </c>
      <c r="AC41" s="396">
        <f t="shared" si="14"/>
        <v>0</v>
      </c>
      <c r="AD41" s="53"/>
      <c r="AE41" s="408">
        <f>IFERROR(VLOOKUP($C41,'Proposed Rates'!$B:$J,AE$11,FALSE),0)</f>
        <v>3.0192999999999999</v>
      </c>
      <c r="AF41" s="409">
        <f t="shared" si="45"/>
        <v>7900</v>
      </c>
      <c r="AG41" s="394">
        <f t="shared" si="46"/>
        <v>23852.469999999998</v>
      </c>
      <c r="AH41" s="138"/>
      <c r="AI41" s="395">
        <f t="shared" si="17"/>
        <v>0</v>
      </c>
      <c r="AJ41" s="396">
        <f t="shared" si="18"/>
        <v>0</v>
      </c>
      <c r="AK41" s="53"/>
      <c r="AL41" s="408">
        <f>IFERROR(VLOOKUP($C41,'Proposed Rates'!$B:$J,AL$11,FALSE),0)</f>
        <v>3.0192999999999999</v>
      </c>
      <c r="AM41" s="409">
        <f t="shared" si="47"/>
        <v>7900</v>
      </c>
      <c r="AN41" s="394">
        <f t="shared" si="48"/>
        <v>23852.469999999998</v>
      </c>
      <c r="AO41" s="138"/>
      <c r="AP41" s="395">
        <f t="shared" si="21"/>
        <v>0</v>
      </c>
      <c r="AQ41" s="396">
        <f t="shared" si="22"/>
        <v>0</v>
      </c>
      <c r="AR41" s="397"/>
    </row>
    <row r="42" spans="1:44" ht="12.75" customHeight="1">
      <c r="A42" s="53"/>
      <c r="B42" s="480" t="s">
        <v>343</v>
      </c>
      <c r="C42" s="554"/>
      <c r="D42" s="421"/>
      <c r="E42" s="421"/>
      <c r="F42" s="422"/>
      <c r="G42" s="495"/>
      <c r="H42" s="403">
        <f>SUM(H39:H41)</f>
        <v>153355.25869999998</v>
      </c>
      <c r="I42" s="404"/>
      <c r="J42" s="422"/>
      <c r="K42" s="495"/>
      <c r="L42" s="403">
        <f>SUM(L39:L41)</f>
        <v>158782.72439999998</v>
      </c>
      <c r="M42" s="404"/>
      <c r="N42" s="405">
        <f t="shared" si="5"/>
        <v>5427.4657000000007</v>
      </c>
      <c r="O42" s="406">
        <f t="shared" si="6"/>
        <v>3.5391454756810381E-2</v>
      </c>
      <c r="P42" s="53"/>
      <c r="Q42" s="422"/>
      <c r="R42" s="495"/>
      <c r="S42" s="403">
        <f>SUM(S39:S41)</f>
        <v>172172.12909999999</v>
      </c>
      <c r="T42" s="404"/>
      <c r="U42" s="405">
        <f t="shared" si="9"/>
        <v>13389.404700000014</v>
      </c>
      <c r="V42" s="406">
        <f t="shared" si="10"/>
        <v>8.432532412197366E-2</v>
      </c>
      <c r="W42" s="53"/>
      <c r="X42" s="422"/>
      <c r="Y42" s="495"/>
      <c r="Z42" s="403">
        <f>SUM(Z39:Z41)</f>
        <v>153618.079</v>
      </c>
      <c r="AA42" s="404"/>
      <c r="AB42" s="405">
        <f t="shared" si="13"/>
        <v>-18554.050099999993</v>
      </c>
      <c r="AC42" s="406">
        <f t="shared" si="14"/>
        <v>-0.1077645388773902</v>
      </c>
      <c r="AD42" s="53"/>
      <c r="AE42" s="422"/>
      <c r="AF42" s="495"/>
      <c r="AG42" s="403">
        <f>SUM(AG39:AG41)</f>
        <v>160841.44399999999</v>
      </c>
      <c r="AH42" s="404"/>
      <c r="AI42" s="405">
        <f t="shared" si="17"/>
        <v>7223.3649999999907</v>
      </c>
      <c r="AJ42" s="406">
        <f t="shared" si="18"/>
        <v>4.7021581359574162E-2</v>
      </c>
      <c r="AK42" s="53"/>
      <c r="AL42" s="422"/>
      <c r="AM42" s="495"/>
      <c r="AN42" s="403">
        <f>SUM(AN39:AN41)</f>
        <v>167014.58300000001</v>
      </c>
      <c r="AO42" s="404"/>
      <c r="AP42" s="405">
        <f t="shared" si="21"/>
        <v>6173.1390000000247</v>
      </c>
      <c r="AQ42" s="406">
        <f t="shared" si="22"/>
        <v>3.8380275919432959E-2</v>
      </c>
      <c r="AR42" s="407"/>
    </row>
    <row r="43" spans="1:44" ht="12.75" customHeight="1">
      <c r="A43" s="53"/>
      <c r="B43" s="482" t="s">
        <v>289</v>
      </c>
      <c r="C43" s="389" t="str">
        <f t="shared" ref="C43:C45" si="49">D$6&amp;"."&amp;B43</f>
        <v>Large User.Wholesale Market Service Charge (WMSC)</v>
      </c>
      <c r="D43" s="390" t="s">
        <v>337</v>
      </c>
      <c r="E43" s="328"/>
      <c r="F43" s="408">
        <f>IFERROR(VLOOKUP($C43,'Proposed Rates'!$B:$J,F$11,FALSE),0)</f>
        <v>4.4999999999999997E-3</v>
      </c>
      <c r="G43" s="413">
        <f>$F$9+G$37</f>
        <v>4312006.6477000006</v>
      </c>
      <c r="H43" s="394">
        <f t="shared" ref="H43:H46" si="50">G43*F43</f>
        <v>19404.02991465</v>
      </c>
      <c r="I43" s="138"/>
      <c r="J43" s="408">
        <f>IFERROR(VLOOKUP($C43,'Proposed Rates'!$B:$J,J$11,FALSE),0)</f>
        <v>4.7000000000000002E-3</v>
      </c>
      <c r="K43" s="413">
        <f>$F$9+K$37</f>
        <v>4310719.6096000001</v>
      </c>
      <c r="L43" s="394">
        <f t="shared" ref="L43:L46" si="51">K43*J43</f>
        <v>20260.382165120001</v>
      </c>
      <c r="M43" s="138"/>
      <c r="N43" s="395">
        <f t="shared" si="5"/>
        <v>856.35225047000131</v>
      </c>
      <c r="O43" s="396">
        <f t="shared" si="6"/>
        <v>4.4132701002664254E-2</v>
      </c>
      <c r="P43" s="53"/>
      <c r="Q43" s="408">
        <f>IFERROR(VLOOKUP($C43,'Proposed Rates'!$B:$J,Q$11,FALSE),0)</f>
        <v>4.7000000000000002E-3</v>
      </c>
      <c r="R43" s="413">
        <f>$F$9+R$37</f>
        <v>4310719.6096000001</v>
      </c>
      <c r="S43" s="394">
        <f t="shared" ref="S43:S46" si="52">R43*Q43</f>
        <v>20260.382165120001</v>
      </c>
      <c r="T43" s="138"/>
      <c r="U43" s="395">
        <f t="shared" si="9"/>
        <v>0</v>
      </c>
      <c r="V43" s="396">
        <f t="shared" si="10"/>
        <v>0</v>
      </c>
      <c r="W43" s="53"/>
      <c r="X43" s="408">
        <f>IFERROR(VLOOKUP($C43,'Proposed Rates'!$B:$J,X$11,FALSE),0)</f>
        <v>4.7000000000000002E-3</v>
      </c>
      <c r="Y43" s="413">
        <f>$F$9+Y$37</f>
        <v>4310719.6096000001</v>
      </c>
      <c r="Z43" s="394">
        <f t="shared" ref="Z43:Z46" si="53">Y43*X43</f>
        <v>20260.382165120001</v>
      </c>
      <c r="AA43" s="138"/>
      <c r="AB43" s="395">
        <f t="shared" si="13"/>
        <v>0</v>
      </c>
      <c r="AC43" s="396">
        <f t="shared" si="14"/>
        <v>0</v>
      </c>
      <c r="AD43" s="53"/>
      <c r="AE43" s="408">
        <f>IFERROR(VLOOKUP($C43,'Proposed Rates'!$B:$J,AE$11,FALSE),0)</f>
        <v>4.7000000000000002E-3</v>
      </c>
      <c r="AF43" s="413">
        <f>$F$9+AF$37</f>
        <v>4310719.6096000001</v>
      </c>
      <c r="AG43" s="394">
        <f t="shared" ref="AG43:AG46" si="54">AF43*AE43</f>
        <v>20260.382165120001</v>
      </c>
      <c r="AH43" s="138"/>
      <c r="AI43" s="395">
        <f t="shared" si="17"/>
        <v>0</v>
      </c>
      <c r="AJ43" s="396">
        <f t="shared" si="18"/>
        <v>0</v>
      </c>
      <c r="AK43" s="53"/>
      <c r="AL43" s="408">
        <f>IFERROR(VLOOKUP($C43,'Proposed Rates'!$B:$J,AL$11,FALSE),0)</f>
        <v>4.7000000000000002E-3</v>
      </c>
      <c r="AM43" s="413">
        <f>$F$9+AM$37</f>
        <v>4310719.6096000001</v>
      </c>
      <c r="AN43" s="394">
        <f t="shared" ref="AN43:AN46" si="55">AM43*AL43</f>
        <v>20260.382165120001</v>
      </c>
      <c r="AO43" s="138"/>
      <c r="AP43" s="395">
        <f t="shared" si="21"/>
        <v>0</v>
      </c>
      <c r="AQ43" s="396">
        <f t="shared" si="22"/>
        <v>0</v>
      </c>
      <c r="AR43" s="397"/>
    </row>
    <row r="44" spans="1:44" ht="12.75" customHeight="1">
      <c r="A44" s="53"/>
      <c r="B44" s="482" t="s">
        <v>290</v>
      </c>
      <c r="C44" s="389" t="str">
        <f t="shared" si="49"/>
        <v>Large User.Rural and Remote Rate Protection (RRRP)</v>
      </c>
      <c r="D44" s="390" t="s">
        <v>337</v>
      </c>
      <c r="E44" s="328"/>
      <c r="F44" s="408">
        <f>IFERROR(VLOOKUP($C44,'Proposed Rates'!$B:$J,F$11,FALSE),0)</f>
        <v>1.5E-3</v>
      </c>
      <c r="G44" s="413">
        <f>G43</f>
        <v>4312006.6477000006</v>
      </c>
      <c r="H44" s="394">
        <f t="shared" si="50"/>
        <v>6468.009971550001</v>
      </c>
      <c r="I44" s="138"/>
      <c r="J44" s="408">
        <f>IFERROR(VLOOKUP($C44,'Proposed Rates'!$B:$J,J$11,FALSE),0)</f>
        <v>5.9999999999999995E-4</v>
      </c>
      <c r="K44" s="413">
        <f>K43</f>
        <v>4310719.6096000001</v>
      </c>
      <c r="L44" s="394">
        <f t="shared" si="51"/>
        <v>2586.43176576</v>
      </c>
      <c r="M44" s="138"/>
      <c r="N44" s="395">
        <f t="shared" si="5"/>
        <v>-3881.578205790001</v>
      </c>
      <c r="O44" s="396">
        <f t="shared" si="6"/>
        <v>-0.60011939110536272</v>
      </c>
      <c r="P44" s="53"/>
      <c r="Q44" s="408">
        <f>IFERROR(VLOOKUP($C44,'Proposed Rates'!$B:$J,Q$11,FALSE),0)</f>
        <v>5.9999999999999995E-4</v>
      </c>
      <c r="R44" s="413">
        <f>R43</f>
        <v>4310719.6096000001</v>
      </c>
      <c r="S44" s="394">
        <f t="shared" si="52"/>
        <v>2586.43176576</v>
      </c>
      <c r="T44" s="138"/>
      <c r="U44" s="395">
        <f t="shared" si="9"/>
        <v>0</v>
      </c>
      <c r="V44" s="396">
        <f t="shared" si="10"/>
        <v>0</v>
      </c>
      <c r="W44" s="53"/>
      <c r="X44" s="408">
        <f>IFERROR(VLOOKUP($C44,'Proposed Rates'!$B:$J,X$11,FALSE),0)</f>
        <v>5.9999999999999995E-4</v>
      </c>
      <c r="Y44" s="413">
        <f>Y43</f>
        <v>4310719.6096000001</v>
      </c>
      <c r="Z44" s="394">
        <f t="shared" si="53"/>
        <v>2586.43176576</v>
      </c>
      <c r="AA44" s="138"/>
      <c r="AB44" s="395">
        <f t="shared" si="13"/>
        <v>0</v>
      </c>
      <c r="AC44" s="396">
        <f t="shared" si="14"/>
        <v>0</v>
      </c>
      <c r="AD44" s="53"/>
      <c r="AE44" s="408">
        <f>IFERROR(VLOOKUP($C44,'Proposed Rates'!$B:$J,AE$11,FALSE),0)</f>
        <v>5.9999999999999995E-4</v>
      </c>
      <c r="AF44" s="413">
        <f>AF43</f>
        <v>4310719.6096000001</v>
      </c>
      <c r="AG44" s="394">
        <f t="shared" si="54"/>
        <v>2586.43176576</v>
      </c>
      <c r="AH44" s="138"/>
      <c r="AI44" s="395">
        <f t="shared" si="17"/>
        <v>0</v>
      </c>
      <c r="AJ44" s="396">
        <f t="shared" si="18"/>
        <v>0</v>
      </c>
      <c r="AK44" s="53"/>
      <c r="AL44" s="408">
        <f>IFERROR(VLOOKUP($C44,'Proposed Rates'!$B:$J,AL$11,FALSE),0)</f>
        <v>5.9999999999999995E-4</v>
      </c>
      <c r="AM44" s="413">
        <f>AM43</f>
        <v>4310719.6096000001</v>
      </c>
      <c r="AN44" s="394">
        <f t="shared" si="55"/>
        <v>2586.43176576</v>
      </c>
      <c r="AO44" s="138"/>
      <c r="AP44" s="395">
        <f t="shared" si="21"/>
        <v>0</v>
      </c>
      <c r="AQ44" s="396">
        <f t="shared" si="22"/>
        <v>0</v>
      </c>
      <c r="AR44" s="397"/>
    </row>
    <row r="45" spans="1:44" ht="12.75" customHeight="1">
      <c r="A45" s="53"/>
      <c r="B45" s="328" t="s">
        <v>291</v>
      </c>
      <c r="C45" s="389" t="str">
        <f t="shared" si="49"/>
        <v>Large User.Standard Supply Service Charge</v>
      </c>
      <c r="D45" s="390" t="s">
        <v>335</v>
      </c>
      <c r="E45" s="328"/>
      <c r="F45" s="391">
        <f>IFERROR(VLOOKUP($C45,'Proposed Rates'!$B:$J,F$11,FALSE),0)</f>
        <v>0.25</v>
      </c>
      <c r="G45" s="409">
        <f>IF($D45="Monthly",1,IF($D45="per KW",$F$10,IF($D45="per kWh",$F$9,0)))</f>
        <v>1</v>
      </c>
      <c r="H45" s="394">
        <f t="shared" si="50"/>
        <v>0.25</v>
      </c>
      <c r="I45" s="138"/>
      <c r="J45" s="391">
        <f>IFERROR(VLOOKUP($C45,'Proposed Rates'!$B:$J,J$11,FALSE),0)</f>
        <v>0.25</v>
      </c>
      <c r="K45" s="409">
        <f>IF($D45="Monthly",1,IF($D45="per KW",$F$10,IF($D45="per kWh",$F$9,0)))</f>
        <v>1</v>
      </c>
      <c r="L45" s="394">
        <f t="shared" si="51"/>
        <v>0.25</v>
      </c>
      <c r="M45" s="138"/>
      <c r="N45" s="395">
        <f t="shared" si="5"/>
        <v>0</v>
      </c>
      <c r="O45" s="396">
        <f t="shared" si="6"/>
        <v>0</v>
      </c>
      <c r="P45" s="53"/>
      <c r="Q45" s="391">
        <f>IFERROR(VLOOKUP($C45,'Proposed Rates'!$B:$J,Q$11,FALSE),0)</f>
        <v>0.25</v>
      </c>
      <c r="R45" s="409">
        <f>IF($D45="Monthly",1,IF($D45="per KW",$F$10,IF($D45="per kWh",$F$9,0)))</f>
        <v>1</v>
      </c>
      <c r="S45" s="394">
        <f t="shared" si="52"/>
        <v>0.25</v>
      </c>
      <c r="T45" s="138"/>
      <c r="U45" s="395">
        <f t="shared" si="9"/>
        <v>0</v>
      </c>
      <c r="V45" s="396">
        <f t="shared" si="10"/>
        <v>0</v>
      </c>
      <c r="W45" s="53"/>
      <c r="X45" s="391">
        <f>IFERROR(VLOOKUP($C45,'Proposed Rates'!$B:$J,X$11,FALSE),0)</f>
        <v>0.25</v>
      </c>
      <c r="Y45" s="409">
        <f>IF($D45="Monthly",1,IF($D45="per KW",$F$10,IF($D45="per kWh",$F$9,0)))</f>
        <v>1</v>
      </c>
      <c r="Z45" s="394">
        <f t="shared" si="53"/>
        <v>0.25</v>
      </c>
      <c r="AA45" s="138"/>
      <c r="AB45" s="395">
        <f t="shared" si="13"/>
        <v>0</v>
      </c>
      <c r="AC45" s="396">
        <f t="shared" si="14"/>
        <v>0</v>
      </c>
      <c r="AD45" s="53"/>
      <c r="AE45" s="391">
        <f>IFERROR(VLOOKUP($C45,'Proposed Rates'!$B:$J,AE$11,FALSE),0)</f>
        <v>0.25</v>
      </c>
      <c r="AF45" s="409">
        <f>IF($D45="Monthly",1,IF($D45="per KW",$F$10,IF($D45="per kWh",$F$9,0)))</f>
        <v>1</v>
      </c>
      <c r="AG45" s="394">
        <f t="shared" si="54"/>
        <v>0.25</v>
      </c>
      <c r="AH45" s="138"/>
      <c r="AI45" s="395">
        <f t="shared" si="17"/>
        <v>0</v>
      </c>
      <c r="AJ45" s="396">
        <f t="shared" si="18"/>
        <v>0</v>
      </c>
      <c r="AK45" s="53"/>
      <c r="AL45" s="391">
        <f>IFERROR(VLOOKUP($C45,'Proposed Rates'!$B:$J,AL$11,FALSE),0)</f>
        <v>0.25</v>
      </c>
      <c r="AM45" s="409">
        <f>IF($D45="Monthly",1,IF($D45="per KW",$F$10,IF($D45="per kWh",$F$9,0)))</f>
        <v>1</v>
      </c>
      <c r="AN45" s="394">
        <f t="shared" si="55"/>
        <v>0.25</v>
      </c>
      <c r="AO45" s="138"/>
      <c r="AP45" s="395">
        <f t="shared" si="21"/>
        <v>0</v>
      </c>
      <c r="AQ45" s="396">
        <f t="shared" si="22"/>
        <v>0</v>
      </c>
      <c r="AR45" s="397"/>
    </row>
    <row r="46" spans="1:44" ht="12.75" customHeight="1">
      <c r="A46" s="53"/>
      <c r="B46" s="328" t="s">
        <v>298</v>
      </c>
      <c r="C46" s="389" t="str">
        <f>B46</f>
        <v>Average IESO Wholesale Market Price</v>
      </c>
      <c r="D46" s="390" t="s">
        <v>337</v>
      </c>
      <c r="E46" s="328"/>
      <c r="F46" s="408">
        <f>IFERROR(VLOOKUP($C46,'Proposed Rates'!$B:$J,F$11,FALSE),0)</f>
        <v>0.10453</v>
      </c>
      <c r="G46" s="413">
        <f>G43</f>
        <v>4312006.6477000006</v>
      </c>
      <c r="H46" s="394">
        <f t="shared" si="50"/>
        <v>450734.05488408107</v>
      </c>
      <c r="I46" s="138"/>
      <c r="J46" s="408">
        <f>IFERROR(VLOOKUP($C46,'Proposed Rates'!$B:$J,J$11,FALSE),0)</f>
        <v>0.10453</v>
      </c>
      <c r="K46" s="413">
        <f>K43</f>
        <v>4310719.6096000001</v>
      </c>
      <c r="L46" s="394">
        <f t="shared" si="51"/>
        <v>450599.520791488</v>
      </c>
      <c r="M46" s="138"/>
      <c r="N46" s="395">
        <f t="shared" si="5"/>
        <v>-134.534092593065</v>
      </c>
      <c r="O46" s="396">
        <f t="shared" si="6"/>
        <v>-2.9847776340677037E-4</v>
      </c>
      <c r="P46" s="53"/>
      <c r="Q46" s="408">
        <f>IFERROR(VLOOKUP($C46,'Proposed Rates'!$B:$J,Q$11,FALSE),0)</f>
        <v>0.10453</v>
      </c>
      <c r="R46" s="413">
        <f>R43</f>
        <v>4310719.6096000001</v>
      </c>
      <c r="S46" s="394">
        <f t="shared" si="52"/>
        <v>450599.520791488</v>
      </c>
      <c r="T46" s="138"/>
      <c r="U46" s="395">
        <f t="shared" si="9"/>
        <v>0</v>
      </c>
      <c r="V46" s="396">
        <f t="shared" si="10"/>
        <v>0</v>
      </c>
      <c r="W46" s="53"/>
      <c r="X46" s="408">
        <f>IFERROR(VLOOKUP($C46,'Proposed Rates'!$B:$J,X$11,FALSE),0)</f>
        <v>0.10453</v>
      </c>
      <c r="Y46" s="413">
        <f>Y43</f>
        <v>4310719.6096000001</v>
      </c>
      <c r="Z46" s="394">
        <f t="shared" si="53"/>
        <v>450599.520791488</v>
      </c>
      <c r="AA46" s="138"/>
      <c r="AB46" s="395">
        <f t="shared" si="13"/>
        <v>0</v>
      </c>
      <c r="AC46" s="396">
        <f t="shared" si="14"/>
        <v>0</v>
      </c>
      <c r="AD46" s="53"/>
      <c r="AE46" s="408">
        <f>IFERROR(VLOOKUP($C46,'Proposed Rates'!$B:$J,AE$11,FALSE),0)</f>
        <v>0.10453</v>
      </c>
      <c r="AF46" s="413">
        <f>AF43</f>
        <v>4310719.6096000001</v>
      </c>
      <c r="AG46" s="394">
        <f t="shared" si="54"/>
        <v>450599.520791488</v>
      </c>
      <c r="AH46" s="138"/>
      <c r="AI46" s="395">
        <f t="shared" si="17"/>
        <v>0</v>
      </c>
      <c r="AJ46" s="396">
        <f t="shared" si="18"/>
        <v>0</v>
      </c>
      <c r="AK46" s="53"/>
      <c r="AL46" s="408">
        <f>IFERROR(VLOOKUP($C46,'Proposed Rates'!$B:$J,AL$11,FALSE),0)</f>
        <v>0.10453</v>
      </c>
      <c r="AM46" s="413">
        <f>AM43</f>
        <v>4310719.6096000001</v>
      </c>
      <c r="AN46" s="394">
        <f t="shared" si="55"/>
        <v>450599.520791488</v>
      </c>
      <c r="AO46" s="138"/>
      <c r="AP46" s="395">
        <f t="shared" si="21"/>
        <v>0</v>
      </c>
      <c r="AQ46" s="396">
        <f t="shared" si="22"/>
        <v>0</v>
      </c>
      <c r="AR46" s="397"/>
    </row>
    <row r="47" spans="1:44" ht="7.5" customHeight="1">
      <c r="A47" s="53"/>
      <c r="B47" s="328"/>
      <c r="C47" s="389" t="str">
        <f t="shared" ref="C47:C50" si="56">D$6&amp;"."&amp;B47</f>
        <v>Large User.</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row>
    <row r="48" spans="1:44" ht="7.5" customHeight="1">
      <c r="A48" s="53"/>
      <c r="B48" s="53"/>
      <c r="C48" s="389" t="str">
        <f t="shared" si="56"/>
        <v>Large User.</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row>
    <row r="49" spans="1:44" ht="7.5" customHeight="1">
      <c r="A49" s="53"/>
      <c r="B49" s="328"/>
      <c r="C49" s="389" t="str">
        <f t="shared" si="56"/>
        <v>Large User.</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row>
    <row r="50" spans="1:44" ht="7.5" customHeight="1">
      <c r="A50" s="53"/>
      <c r="B50" s="328"/>
      <c r="C50" s="389" t="str">
        <f t="shared" si="56"/>
        <v>Large User.</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row>
    <row r="51" spans="1:44" ht="8.25" customHeight="1">
      <c r="A51" s="53"/>
      <c r="B51" s="428"/>
      <c r="C51" s="555"/>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row>
    <row r="52" spans="1:44" ht="12.75" customHeight="1">
      <c r="A52" s="53"/>
      <c r="B52" s="438" t="s">
        <v>344</v>
      </c>
      <c r="C52" s="556"/>
      <c r="D52" s="328"/>
      <c r="E52" s="328"/>
      <c r="F52" s="439"/>
      <c r="G52" s="483"/>
      <c r="H52" s="441">
        <f>SUM(H43:H48,H42)</f>
        <v>629961.603470281</v>
      </c>
      <c r="I52" s="476"/>
      <c r="J52" s="440"/>
      <c r="K52" s="440"/>
      <c r="L52" s="441">
        <f>SUM(L43:L48,L42)</f>
        <v>632229.30912236799</v>
      </c>
      <c r="M52" s="443"/>
      <c r="N52" s="442">
        <f t="shared" ref="N52:N56" si="57">L52-H52</f>
        <v>2267.7056520869955</v>
      </c>
      <c r="O52" s="444">
        <f t="shared" ref="O52:O56" si="58">IF((H52)=0,"",(N52/H52))</f>
        <v>3.5997521747275453E-3</v>
      </c>
      <c r="P52" s="53"/>
      <c r="Q52" s="440"/>
      <c r="R52" s="440"/>
      <c r="S52" s="441">
        <f>SUM(S43:S48,S42)</f>
        <v>645618.71382236795</v>
      </c>
      <c r="T52" s="443"/>
      <c r="U52" s="442">
        <f t="shared" ref="U52:U56" si="59">S52-L52</f>
        <v>13389.404699999955</v>
      </c>
      <c r="V52" s="444">
        <f t="shared" ref="V52:V56" si="60">IF((L52)=0,"",(U52/L52))</f>
        <v>2.117808286772804E-2</v>
      </c>
      <c r="W52" s="53"/>
      <c r="X52" s="440"/>
      <c r="Y52" s="440"/>
      <c r="Z52" s="441">
        <f>SUM(Z43:Z48,Z42)</f>
        <v>627064.66372236796</v>
      </c>
      <c r="AA52" s="443"/>
      <c r="AB52" s="442">
        <f t="shared" ref="AB52:AB56" si="61">Z52-S52</f>
        <v>-18554.050099999993</v>
      </c>
      <c r="AC52" s="444">
        <f t="shared" ref="AC52:AC56" si="62">IF((S52)=0,"",(AB52/S52))</f>
        <v>-2.8738401943387368E-2</v>
      </c>
      <c r="AD52" s="53"/>
      <c r="AE52" s="440"/>
      <c r="AF52" s="440"/>
      <c r="AG52" s="441">
        <f>SUM(AG43:AG48,AG42)</f>
        <v>634288.02872236795</v>
      </c>
      <c r="AH52" s="443"/>
      <c r="AI52" s="442">
        <f t="shared" ref="AI52:AI56" si="63">AG52-Z52</f>
        <v>7223.3649999999907</v>
      </c>
      <c r="AJ52" s="444">
        <f t="shared" ref="AJ52:AJ56" si="64">IF((Z52)=0,"",(AI52/Z52))</f>
        <v>1.1519330330497025E-2</v>
      </c>
      <c r="AK52" s="53"/>
      <c r="AL52" s="440"/>
      <c r="AM52" s="440"/>
      <c r="AN52" s="441">
        <f>SUM(AN43:AN48,AN42)</f>
        <v>640461.16772236803</v>
      </c>
      <c r="AO52" s="443"/>
      <c r="AP52" s="442">
        <f t="shared" ref="AP52:AP56" si="65">AN52-AG52</f>
        <v>6173.1390000000829</v>
      </c>
      <c r="AQ52" s="444">
        <f t="shared" ref="AQ52:AQ56" si="66">IF((AG52)=0,"",(AP52/AG52))</f>
        <v>9.7323908389608076E-3</v>
      </c>
      <c r="AR52" s="445"/>
    </row>
    <row r="53" spans="1:44" ht="12.75" customHeight="1">
      <c r="A53" s="53"/>
      <c r="B53" s="446" t="s">
        <v>345</v>
      </c>
      <c r="C53" s="556"/>
      <c r="D53" s="328"/>
      <c r="E53" s="328"/>
      <c r="F53" s="439">
        <v>0.13</v>
      </c>
      <c r="G53" s="138"/>
      <c r="H53" s="484">
        <f>H52*F53</f>
        <v>81895.008451136528</v>
      </c>
      <c r="I53" s="411"/>
      <c r="J53" s="447">
        <v>0.13</v>
      </c>
      <c r="K53" s="411"/>
      <c r="L53" s="394">
        <f>L52*J53</f>
        <v>82189.810185907845</v>
      </c>
      <c r="M53" s="138"/>
      <c r="N53" s="395">
        <f t="shared" si="57"/>
        <v>294.80173477131757</v>
      </c>
      <c r="O53" s="396">
        <f t="shared" si="58"/>
        <v>3.599752174727645E-3</v>
      </c>
      <c r="P53" s="53"/>
      <c r="Q53" s="447">
        <v>0.13</v>
      </c>
      <c r="R53" s="411"/>
      <c r="S53" s="394">
        <f>S52*Q53</f>
        <v>83930.432796907829</v>
      </c>
      <c r="T53" s="138"/>
      <c r="U53" s="395">
        <f t="shared" si="59"/>
        <v>1740.6226109999843</v>
      </c>
      <c r="V53" s="396">
        <f t="shared" si="60"/>
        <v>2.1178082867727915E-2</v>
      </c>
      <c r="W53" s="53"/>
      <c r="X53" s="447">
        <v>0.13</v>
      </c>
      <c r="Y53" s="411"/>
      <c r="Z53" s="394">
        <f>Z52*X53</f>
        <v>81518.40628390784</v>
      </c>
      <c r="AA53" s="138"/>
      <c r="AB53" s="395">
        <f t="shared" si="61"/>
        <v>-2412.0265129999898</v>
      </c>
      <c r="AC53" s="396">
        <f t="shared" si="62"/>
        <v>-2.8738401943387261E-2</v>
      </c>
      <c r="AD53" s="53"/>
      <c r="AE53" s="447">
        <v>0.13</v>
      </c>
      <c r="AF53" s="411"/>
      <c r="AG53" s="394">
        <f>AG52*AE53</f>
        <v>82457.443733907843</v>
      </c>
      <c r="AH53" s="138"/>
      <c r="AI53" s="395">
        <f t="shared" si="63"/>
        <v>939.03745000000345</v>
      </c>
      <c r="AJ53" s="396">
        <f t="shared" si="64"/>
        <v>1.1519330330497081E-2</v>
      </c>
      <c r="AK53" s="53"/>
      <c r="AL53" s="447">
        <v>0.13</v>
      </c>
      <c r="AM53" s="411"/>
      <c r="AN53" s="394">
        <f>AN52*AL53</f>
        <v>83259.951803907854</v>
      </c>
      <c r="AO53" s="138"/>
      <c r="AP53" s="395">
        <f t="shared" si="65"/>
        <v>802.50807000001078</v>
      </c>
      <c r="AQ53" s="396">
        <f t="shared" si="66"/>
        <v>9.7323908389608058E-3</v>
      </c>
      <c r="AR53" s="397"/>
    </row>
    <row r="54" spans="1:44" ht="12.75" customHeight="1">
      <c r="A54" s="53"/>
      <c r="B54" s="485" t="s">
        <v>437</v>
      </c>
      <c r="C54" s="556"/>
      <c r="D54" s="328"/>
      <c r="E54" s="328"/>
      <c r="F54" s="449"/>
      <c r="G54" s="138"/>
      <c r="H54" s="484">
        <f>H52+H53</f>
        <v>711856.61192141753</v>
      </c>
      <c r="I54" s="411"/>
      <c r="J54" s="411"/>
      <c r="K54" s="411"/>
      <c r="L54" s="394">
        <f>L52+L53</f>
        <v>714419.11930827587</v>
      </c>
      <c r="M54" s="138"/>
      <c r="N54" s="395">
        <f t="shared" si="57"/>
        <v>2562.5073868583422</v>
      </c>
      <c r="O54" s="396">
        <f t="shared" si="58"/>
        <v>3.5997521747275977E-3</v>
      </c>
      <c r="P54" s="53"/>
      <c r="Q54" s="411"/>
      <c r="R54" s="411"/>
      <c r="S54" s="394">
        <f>S52+S53</f>
        <v>729549.14661927579</v>
      </c>
      <c r="T54" s="138"/>
      <c r="U54" s="395">
        <f t="shared" si="59"/>
        <v>15130.027310999925</v>
      </c>
      <c r="V54" s="396">
        <f t="shared" si="60"/>
        <v>2.1178082867728001E-2</v>
      </c>
      <c r="W54" s="53"/>
      <c r="X54" s="411"/>
      <c r="Y54" s="411"/>
      <c r="Z54" s="394">
        <f>Z52+Z53</f>
        <v>708583.07000627578</v>
      </c>
      <c r="AA54" s="138"/>
      <c r="AB54" s="395">
        <f t="shared" si="61"/>
        <v>-20966.076613000012</v>
      </c>
      <c r="AC54" s="396">
        <f t="shared" si="62"/>
        <v>-2.8738401943387396E-2</v>
      </c>
      <c r="AD54" s="53"/>
      <c r="AE54" s="411"/>
      <c r="AF54" s="411"/>
      <c r="AG54" s="394">
        <f>AG52+AG53</f>
        <v>716745.47245627583</v>
      </c>
      <c r="AH54" s="138"/>
      <c r="AI54" s="395">
        <f t="shared" si="63"/>
        <v>8162.4024500000523</v>
      </c>
      <c r="AJ54" s="396">
        <f t="shared" si="64"/>
        <v>1.1519330330497114E-2</v>
      </c>
      <c r="AK54" s="53"/>
      <c r="AL54" s="411"/>
      <c r="AM54" s="411"/>
      <c r="AN54" s="394">
        <f>AN52+AN53</f>
        <v>723721.1195262759</v>
      </c>
      <c r="AO54" s="138"/>
      <c r="AP54" s="395">
        <f t="shared" si="65"/>
        <v>6975.6470700000646</v>
      </c>
      <c r="AQ54" s="396">
        <f t="shared" si="66"/>
        <v>9.7323908389607659E-3</v>
      </c>
      <c r="AR54" s="397"/>
    </row>
    <row r="55" spans="1:44" ht="15.75" customHeight="1">
      <c r="A55" s="53"/>
      <c r="B55" s="626" t="s">
        <v>304</v>
      </c>
      <c r="C55" s="616"/>
      <c r="D55" s="616"/>
      <c r="E55" s="328"/>
      <c r="F55" s="449"/>
      <c r="G55" s="138"/>
      <c r="H55" s="486">
        <f>F55*H52</f>
        <v>0</v>
      </c>
      <c r="I55" s="411"/>
      <c r="J55" s="411"/>
      <c r="K55" s="411"/>
      <c r="L55" s="506">
        <f>J55*L52</f>
        <v>0</v>
      </c>
      <c r="M55" s="138"/>
      <c r="N55" s="451">
        <f t="shared" si="57"/>
        <v>0</v>
      </c>
      <c r="O55" s="453" t="str">
        <f t="shared" si="58"/>
        <v/>
      </c>
      <c r="P55" s="53"/>
      <c r="Q55" s="411"/>
      <c r="R55" s="411"/>
      <c r="S55" s="506">
        <f>Q55*S52</f>
        <v>0</v>
      </c>
      <c r="T55" s="138"/>
      <c r="U55" s="451">
        <f t="shared" si="59"/>
        <v>0</v>
      </c>
      <c r="V55" s="453" t="str">
        <f t="shared" si="60"/>
        <v/>
      </c>
      <c r="W55" s="53"/>
      <c r="X55" s="411"/>
      <c r="Y55" s="411"/>
      <c r="Z55" s="506">
        <f>X55*Z52</f>
        <v>0</v>
      </c>
      <c r="AA55" s="138"/>
      <c r="AB55" s="451">
        <f t="shared" si="61"/>
        <v>0</v>
      </c>
      <c r="AC55" s="453" t="str">
        <f t="shared" si="62"/>
        <v/>
      </c>
      <c r="AD55" s="53"/>
      <c r="AE55" s="411"/>
      <c r="AF55" s="411"/>
      <c r="AG55" s="506">
        <f>AE55*AG52</f>
        <v>0</v>
      </c>
      <c r="AH55" s="138"/>
      <c r="AI55" s="451">
        <f t="shared" si="63"/>
        <v>0</v>
      </c>
      <c r="AJ55" s="453" t="str">
        <f t="shared" si="64"/>
        <v/>
      </c>
      <c r="AK55" s="53"/>
      <c r="AL55" s="411"/>
      <c r="AM55" s="411"/>
      <c r="AN55" s="506">
        <f>AL55*AN52</f>
        <v>0</v>
      </c>
      <c r="AO55" s="138"/>
      <c r="AP55" s="451">
        <f t="shared" si="65"/>
        <v>0</v>
      </c>
      <c r="AQ55" s="453" t="str">
        <f t="shared" si="66"/>
        <v/>
      </c>
      <c r="AR55" s="454"/>
    </row>
    <row r="56" spans="1:44" ht="13.5" customHeight="1">
      <c r="A56" s="53"/>
      <c r="B56" s="627" t="s">
        <v>347</v>
      </c>
      <c r="C56" s="608"/>
      <c r="D56" s="600"/>
      <c r="E56" s="455"/>
      <c r="F56" s="456"/>
      <c r="G56" s="487"/>
      <c r="H56" s="488">
        <f>H54-H55</f>
        <v>711856.61192141753</v>
      </c>
      <c r="I56" s="457"/>
      <c r="J56" s="457"/>
      <c r="K56" s="457"/>
      <c r="L56" s="458">
        <f>L54-L55</f>
        <v>714419.11930827587</v>
      </c>
      <c r="M56" s="459"/>
      <c r="N56" s="460">
        <f t="shared" si="57"/>
        <v>2562.5073868583422</v>
      </c>
      <c r="O56" s="461">
        <f t="shared" si="58"/>
        <v>3.5997521747275977E-3</v>
      </c>
      <c r="P56" s="53"/>
      <c r="Q56" s="457"/>
      <c r="R56" s="457"/>
      <c r="S56" s="458">
        <f>S54-S55</f>
        <v>729549.14661927579</v>
      </c>
      <c r="T56" s="459"/>
      <c r="U56" s="460">
        <f t="shared" si="59"/>
        <v>15130.027310999925</v>
      </c>
      <c r="V56" s="461">
        <f t="shared" si="60"/>
        <v>2.1178082867728001E-2</v>
      </c>
      <c r="W56" s="53"/>
      <c r="X56" s="457"/>
      <c r="Y56" s="457"/>
      <c r="Z56" s="458">
        <f>Z54-Z55</f>
        <v>708583.07000627578</v>
      </c>
      <c r="AA56" s="459"/>
      <c r="AB56" s="460">
        <f t="shared" si="61"/>
        <v>-20966.076613000012</v>
      </c>
      <c r="AC56" s="461">
        <f t="shared" si="62"/>
        <v>-2.8738401943387396E-2</v>
      </c>
      <c r="AD56" s="53"/>
      <c r="AE56" s="457"/>
      <c r="AF56" s="457"/>
      <c r="AG56" s="458">
        <f>AG54-AG55</f>
        <v>716745.47245627583</v>
      </c>
      <c r="AH56" s="459"/>
      <c r="AI56" s="460">
        <f t="shared" si="63"/>
        <v>8162.4024500000523</v>
      </c>
      <c r="AJ56" s="461">
        <f t="shared" si="64"/>
        <v>1.1519330330497114E-2</v>
      </c>
      <c r="AK56" s="53"/>
      <c r="AL56" s="457"/>
      <c r="AM56" s="457"/>
      <c r="AN56" s="458">
        <f>AN54-AN55</f>
        <v>723721.1195262759</v>
      </c>
      <c r="AO56" s="459"/>
      <c r="AP56" s="460">
        <f t="shared" si="65"/>
        <v>6975.6470700000646</v>
      </c>
      <c r="AQ56" s="461">
        <f t="shared" si="66"/>
        <v>9.7323908389607659E-3</v>
      </c>
      <c r="AR56" s="462"/>
    </row>
    <row r="57" spans="1:44" ht="8.25" customHeight="1">
      <c r="A57" s="53"/>
      <c r="B57" s="428"/>
      <c r="C57" s="555"/>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row>
    <row r="58" spans="1:44" ht="12.75" customHeight="1">
      <c r="A58" s="507"/>
      <c r="B58" s="508" t="s">
        <v>348</v>
      </c>
      <c r="C58" s="557"/>
      <c r="D58" s="509"/>
      <c r="E58" s="509"/>
      <c r="F58" s="510"/>
      <c r="G58" s="511"/>
      <c r="H58" s="512">
        <f>SUM(H49:H50,H42,H43:H45)</f>
        <v>179227.54858619996</v>
      </c>
      <c r="I58" s="513"/>
      <c r="J58" s="514"/>
      <c r="K58" s="514"/>
      <c r="L58" s="512">
        <f>SUM(L49:L50,L42,L43:L45)</f>
        <v>181629.78833087999</v>
      </c>
      <c r="M58" s="515"/>
      <c r="N58" s="516">
        <f t="shared" ref="N58:N62" si="67">L58-H58</f>
        <v>2402.2397446800314</v>
      </c>
      <c r="O58" s="517">
        <f t="shared" ref="O58:O62" si="68">IF((H58)=0,"",(N58/H58))</f>
        <v>1.3403295216776722E-2</v>
      </c>
      <c r="P58" s="507"/>
      <c r="Q58" s="514"/>
      <c r="R58" s="514"/>
      <c r="S58" s="512">
        <f>SUM(S49:S50,S42,S43:S45)</f>
        <v>195019.19303088001</v>
      </c>
      <c r="T58" s="515"/>
      <c r="U58" s="516">
        <f t="shared" ref="U58:U62" si="69">S58-L58</f>
        <v>13389.404700000014</v>
      </c>
      <c r="V58" s="517">
        <f t="shared" ref="V58:V62" si="70">IF((L58)=0,"",(U58/L58))</f>
        <v>7.3718109914923016E-2</v>
      </c>
      <c r="W58" s="507"/>
      <c r="X58" s="514"/>
      <c r="Y58" s="514"/>
      <c r="Z58" s="512">
        <f>SUM(Z49:Z50,Z42,Z43:Z45)</f>
        <v>176465.14293088001</v>
      </c>
      <c r="AA58" s="515"/>
      <c r="AB58" s="516">
        <f t="shared" ref="AB58:AB62" si="71">Z58-S58</f>
        <v>-18554.050099999993</v>
      </c>
      <c r="AC58" s="517">
        <f t="shared" ref="AC58:AC62" si="72">IF((S58)=0,"",(AB58/S58))</f>
        <v>-9.513961067956056E-2</v>
      </c>
      <c r="AD58" s="507"/>
      <c r="AE58" s="514"/>
      <c r="AF58" s="514"/>
      <c r="AG58" s="512">
        <f>SUM(AG49:AG50,AG42,AG43:AG45)</f>
        <v>183688.50793088001</v>
      </c>
      <c r="AH58" s="515"/>
      <c r="AI58" s="516">
        <f t="shared" ref="AI58:AI62" si="73">AG58-Z58</f>
        <v>7223.3649999999907</v>
      </c>
      <c r="AJ58" s="517">
        <f t="shared" ref="AJ58:AJ62" si="74">IF((Z58)=0,"",(AI58/Z58))</f>
        <v>4.0933664745503452E-2</v>
      </c>
      <c r="AK58" s="507"/>
      <c r="AL58" s="514"/>
      <c r="AM58" s="514"/>
      <c r="AN58" s="512">
        <f>SUM(AN49:AN50,AN42,AN43:AN45)</f>
        <v>189861.64693088003</v>
      </c>
      <c r="AO58" s="515"/>
      <c r="AP58" s="516">
        <f t="shared" ref="AP58:AP62" si="75">AN58-AG58</f>
        <v>6173.1390000000247</v>
      </c>
      <c r="AQ58" s="517">
        <f t="shared" ref="AQ58:AQ62" si="76">IF((AG58)=0,"",(AP58/AG58))</f>
        <v>3.3606560745340207E-2</v>
      </c>
      <c r="AR58" s="518"/>
    </row>
    <row r="59" spans="1:44" ht="12.75" customHeight="1">
      <c r="A59" s="507"/>
      <c r="B59" s="519" t="s">
        <v>345</v>
      </c>
      <c r="C59" s="557"/>
      <c r="D59" s="509"/>
      <c r="E59" s="509"/>
      <c r="F59" s="510">
        <v>0.13</v>
      </c>
      <c r="G59" s="511"/>
      <c r="H59" s="520">
        <f>H58*F59</f>
        <v>23299.581316205997</v>
      </c>
      <c r="I59" s="521"/>
      <c r="J59" s="510">
        <v>0.13</v>
      </c>
      <c r="K59" s="522"/>
      <c r="L59" s="523">
        <f>L58*J59</f>
        <v>23611.872483014398</v>
      </c>
      <c r="M59" s="524"/>
      <c r="N59" s="525">
        <f t="shared" si="67"/>
        <v>312.29116680840161</v>
      </c>
      <c r="O59" s="526">
        <f t="shared" si="68"/>
        <v>1.3403295216776615E-2</v>
      </c>
      <c r="P59" s="507"/>
      <c r="Q59" s="510">
        <v>0.13</v>
      </c>
      <c r="R59" s="522"/>
      <c r="S59" s="523">
        <f>S58*Q59</f>
        <v>25352.495094014401</v>
      </c>
      <c r="T59" s="524"/>
      <c r="U59" s="525">
        <f t="shared" si="69"/>
        <v>1740.6226110000025</v>
      </c>
      <c r="V59" s="526">
        <f t="shared" si="70"/>
        <v>7.3718109914923058E-2</v>
      </c>
      <c r="W59" s="507"/>
      <c r="X59" s="510">
        <v>0.13</v>
      </c>
      <c r="Y59" s="522"/>
      <c r="Z59" s="523">
        <f>Z58*X59</f>
        <v>22940.468581014404</v>
      </c>
      <c r="AA59" s="524"/>
      <c r="AB59" s="525">
        <f t="shared" si="71"/>
        <v>-2412.0265129999971</v>
      </c>
      <c r="AC59" s="526">
        <f t="shared" si="72"/>
        <v>-9.5139610679560477E-2</v>
      </c>
      <c r="AD59" s="507"/>
      <c r="AE59" s="510">
        <v>0.13</v>
      </c>
      <c r="AF59" s="522"/>
      <c r="AG59" s="523">
        <f>AG58*AE59</f>
        <v>23879.5060310144</v>
      </c>
      <c r="AH59" s="524"/>
      <c r="AI59" s="525">
        <f t="shared" si="73"/>
        <v>939.03744999999617</v>
      </c>
      <c r="AJ59" s="526">
        <f t="shared" si="74"/>
        <v>4.0933664745503334E-2</v>
      </c>
      <c r="AK59" s="507"/>
      <c r="AL59" s="510">
        <v>0.13</v>
      </c>
      <c r="AM59" s="522"/>
      <c r="AN59" s="523">
        <f>AN58*AL59</f>
        <v>24682.014101014403</v>
      </c>
      <c r="AO59" s="524"/>
      <c r="AP59" s="525">
        <f t="shared" si="75"/>
        <v>802.5080700000035</v>
      </c>
      <c r="AQ59" s="526">
        <f t="shared" si="76"/>
        <v>3.3606560745340214E-2</v>
      </c>
      <c r="AR59" s="527"/>
    </row>
    <row r="60" spans="1:44" ht="12.75" customHeight="1">
      <c r="A60" s="507"/>
      <c r="B60" s="548" t="s">
        <v>438</v>
      </c>
      <c r="C60" s="557"/>
      <c r="D60" s="509"/>
      <c r="E60" s="509"/>
      <c r="F60" s="529"/>
      <c r="G60" s="524"/>
      <c r="H60" s="520">
        <f>H58+H59</f>
        <v>202527.12990240596</v>
      </c>
      <c r="I60" s="521"/>
      <c r="J60" s="521"/>
      <c r="K60" s="521"/>
      <c r="L60" s="523">
        <f>L58+L59</f>
        <v>205241.66081389438</v>
      </c>
      <c r="M60" s="524"/>
      <c r="N60" s="525">
        <f t="shared" si="67"/>
        <v>2714.5309114884294</v>
      </c>
      <c r="O60" s="526">
        <f t="shared" si="68"/>
        <v>1.3403295216776691E-2</v>
      </c>
      <c r="P60" s="507"/>
      <c r="Q60" s="521"/>
      <c r="R60" s="521"/>
      <c r="S60" s="523">
        <f>S58+S59</f>
        <v>220371.6881248944</v>
      </c>
      <c r="T60" s="524"/>
      <c r="U60" s="525">
        <f t="shared" si="69"/>
        <v>15130.027311000013</v>
      </c>
      <c r="V60" s="526">
        <f t="shared" si="70"/>
        <v>7.3718109914923002E-2</v>
      </c>
      <c r="W60" s="507"/>
      <c r="X60" s="521"/>
      <c r="Y60" s="521"/>
      <c r="Z60" s="523">
        <f>Z58+Z59</f>
        <v>199405.61151189441</v>
      </c>
      <c r="AA60" s="524"/>
      <c r="AB60" s="525">
        <f t="shared" si="71"/>
        <v>-20966.076612999983</v>
      </c>
      <c r="AC60" s="526">
        <f t="shared" si="72"/>
        <v>-9.5139610679560518E-2</v>
      </c>
      <c r="AD60" s="507"/>
      <c r="AE60" s="521"/>
      <c r="AF60" s="521"/>
      <c r="AG60" s="523">
        <f>AG58+AG59</f>
        <v>207568.01396189441</v>
      </c>
      <c r="AH60" s="524"/>
      <c r="AI60" s="525">
        <f t="shared" si="73"/>
        <v>8162.4024499999941</v>
      </c>
      <c r="AJ60" s="526">
        <f t="shared" si="74"/>
        <v>4.0933664745503473E-2</v>
      </c>
      <c r="AK60" s="507"/>
      <c r="AL60" s="521"/>
      <c r="AM60" s="521"/>
      <c r="AN60" s="523">
        <f>AN58+AN59</f>
        <v>214543.66103189444</v>
      </c>
      <c r="AO60" s="524"/>
      <c r="AP60" s="525">
        <f t="shared" si="75"/>
        <v>6975.6470700000355</v>
      </c>
      <c r="AQ60" s="526">
        <f t="shared" si="76"/>
        <v>3.3606560745340242E-2</v>
      </c>
      <c r="AR60" s="527"/>
    </row>
    <row r="61" spans="1:44" ht="15.75" customHeight="1">
      <c r="A61" s="507"/>
      <c r="B61" s="636" t="s">
        <v>304</v>
      </c>
      <c r="C61" s="616"/>
      <c r="D61" s="616"/>
      <c r="E61" s="509"/>
      <c r="F61" s="529"/>
      <c r="G61" s="524"/>
      <c r="H61" s="530">
        <f>F61*H58</f>
        <v>0</v>
      </c>
      <c r="I61" s="521"/>
      <c r="J61" s="521"/>
      <c r="K61" s="521"/>
      <c r="L61" s="531">
        <f>J61*L58</f>
        <v>0</v>
      </c>
      <c r="M61" s="524"/>
      <c r="N61" s="532">
        <f t="shared" si="67"/>
        <v>0</v>
      </c>
      <c r="O61" s="533" t="str">
        <f t="shared" si="68"/>
        <v/>
      </c>
      <c r="P61" s="507"/>
      <c r="Q61" s="521"/>
      <c r="R61" s="521"/>
      <c r="S61" s="531">
        <f>Q61*S58</f>
        <v>0</v>
      </c>
      <c r="T61" s="524"/>
      <c r="U61" s="532">
        <f t="shared" si="69"/>
        <v>0</v>
      </c>
      <c r="V61" s="533" t="str">
        <f t="shared" si="70"/>
        <v/>
      </c>
      <c r="W61" s="507"/>
      <c r="X61" s="521"/>
      <c r="Y61" s="521"/>
      <c r="Z61" s="531">
        <f>X61*Z58</f>
        <v>0</v>
      </c>
      <c r="AA61" s="524"/>
      <c r="AB61" s="532">
        <f t="shared" si="71"/>
        <v>0</v>
      </c>
      <c r="AC61" s="533" t="str">
        <f t="shared" si="72"/>
        <v/>
      </c>
      <c r="AD61" s="507"/>
      <c r="AE61" s="521"/>
      <c r="AF61" s="521"/>
      <c r="AG61" s="531">
        <f>AE61*AG58</f>
        <v>0</v>
      </c>
      <c r="AH61" s="524"/>
      <c r="AI61" s="532">
        <f t="shared" si="73"/>
        <v>0</v>
      </c>
      <c r="AJ61" s="533" t="str">
        <f t="shared" si="74"/>
        <v/>
      </c>
      <c r="AK61" s="507"/>
      <c r="AL61" s="521"/>
      <c r="AM61" s="521"/>
      <c r="AN61" s="531">
        <f>AL61*AN58</f>
        <v>0</v>
      </c>
      <c r="AO61" s="524"/>
      <c r="AP61" s="532">
        <f t="shared" si="75"/>
        <v>0</v>
      </c>
      <c r="AQ61" s="533" t="str">
        <f t="shared" si="76"/>
        <v/>
      </c>
      <c r="AR61" s="534"/>
    </row>
    <row r="62" spans="1:44" ht="13.5" customHeight="1">
      <c r="A62" s="507"/>
      <c r="B62" s="637" t="s">
        <v>350</v>
      </c>
      <c r="C62" s="608"/>
      <c r="D62" s="600"/>
      <c r="E62" s="535"/>
      <c r="F62" s="536"/>
      <c r="G62" s="537"/>
      <c r="H62" s="538">
        <f>H60-H61</f>
        <v>202527.12990240596</v>
      </c>
      <c r="I62" s="539"/>
      <c r="J62" s="539"/>
      <c r="K62" s="539"/>
      <c r="L62" s="540">
        <f>L60-L61</f>
        <v>205241.66081389438</v>
      </c>
      <c r="M62" s="541"/>
      <c r="N62" s="542">
        <f t="shared" si="67"/>
        <v>2714.5309114884294</v>
      </c>
      <c r="O62" s="543">
        <f t="shared" si="68"/>
        <v>1.3403295216776691E-2</v>
      </c>
      <c r="P62" s="507"/>
      <c r="Q62" s="539"/>
      <c r="R62" s="539"/>
      <c r="S62" s="540">
        <f>S60-S61</f>
        <v>220371.6881248944</v>
      </c>
      <c r="T62" s="541"/>
      <c r="U62" s="542">
        <f t="shared" si="69"/>
        <v>15130.027311000013</v>
      </c>
      <c r="V62" s="543">
        <f t="shared" si="70"/>
        <v>7.3718109914923002E-2</v>
      </c>
      <c r="W62" s="507"/>
      <c r="X62" s="539"/>
      <c r="Y62" s="539"/>
      <c r="Z62" s="540">
        <f>Z60-Z61</f>
        <v>199405.61151189441</v>
      </c>
      <c r="AA62" s="541"/>
      <c r="AB62" s="542">
        <f t="shared" si="71"/>
        <v>-20966.076612999983</v>
      </c>
      <c r="AC62" s="543">
        <f t="shared" si="72"/>
        <v>-9.5139610679560518E-2</v>
      </c>
      <c r="AD62" s="507"/>
      <c r="AE62" s="539"/>
      <c r="AF62" s="539"/>
      <c r="AG62" s="540">
        <f>AG60-AG61</f>
        <v>207568.01396189441</v>
      </c>
      <c r="AH62" s="541"/>
      <c r="AI62" s="542">
        <f t="shared" si="73"/>
        <v>8162.4024499999941</v>
      </c>
      <c r="AJ62" s="543">
        <f t="shared" si="74"/>
        <v>4.0933664745503473E-2</v>
      </c>
      <c r="AK62" s="507"/>
      <c r="AL62" s="539"/>
      <c r="AM62" s="539"/>
      <c r="AN62" s="540">
        <f>AN60-AN61</f>
        <v>214543.66103189444</v>
      </c>
      <c r="AO62" s="541"/>
      <c r="AP62" s="542">
        <f t="shared" si="75"/>
        <v>6975.6470700000355</v>
      </c>
      <c r="AQ62" s="543">
        <f t="shared" si="76"/>
        <v>3.3606560745340242E-2</v>
      </c>
      <c r="AR62" s="544"/>
    </row>
    <row r="63" spans="1:44" ht="8.25" customHeight="1">
      <c r="A63" s="53"/>
      <c r="B63" s="428"/>
      <c r="C63" s="555"/>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row>
    <row r="64" spans="1:44" ht="12.75" customHeight="1">
      <c r="A64" s="53"/>
      <c r="B64" s="53"/>
      <c r="C64" s="549"/>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4" t="s">
        <v>351</v>
      </c>
      <c r="C65" s="549"/>
      <c r="D65" s="53"/>
      <c r="E65" s="53"/>
      <c r="F65" s="472">
        <f>'Proposed Rates'!$E$310</f>
        <v>5.1000000000000004E-3</v>
      </c>
      <c r="G65" s="53"/>
      <c r="H65" s="53"/>
      <c r="I65" s="53"/>
      <c r="J65" s="472">
        <f>'Proposed Rates'!$F$310</f>
        <v>4.7999999999999996E-3</v>
      </c>
      <c r="K65" s="53"/>
      <c r="L65" s="53"/>
      <c r="M65" s="53"/>
      <c r="N65" s="53"/>
      <c r="O65" s="53"/>
      <c r="P65" s="53"/>
      <c r="Q65" s="472">
        <f>'Proposed Rates'!$G$310</f>
        <v>4.7999999999999996E-3</v>
      </c>
      <c r="R65" s="53"/>
      <c r="S65" s="53"/>
      <c r="T65" s="53"/>
      <c r="U65" s="53"/>
      <c r="V65" s="53"/>
      <c r="W65" s="53"/>
      <c r="X65" s="472">
        <f>'Proposed Rates'!$H$310</f>
        <v>4.7999999999999996E-3</v>
      </c>
      <c r="Y65" s="53"/>
      <c r="Z65" s="53"/>
      <c r="AA65" s="53"/>
      <c r="AB65" s="53"/>
      <c r="AC65" s="53"/>
      <c r="AD65" s="53"/>
      <c r="AE65" s="472">
        <f>'Proposed Rates'!$I$310</f>
        <v>4.7999999999999996E-3</v>
      </c>
      <c r="AF65" s="53"/>
      <c r="AG65" s="53"/>
      <c r="AH65" s="53"/>
      <c r="AI65" s="53"/>
      <c r="AJ65" s="53"/>
      <c r="AK65" s="53"/>
      <c r="AL65" s="472">
        <f>'Proposed Rates'!$J$310</f>
        <v>4.7999999999999996E-3</v>
      </c>
      <c r="AM65" s="53"/>
      <c r="AN65" s="53"/>
      <c r="AO65" s="53"/>
      <c r="AP65" s="53"/>
      <c r="AQ65" s="53"/>
      <c r="AR65" s="53"/>
    </row>
    <row r="66" spans="1:44" ht="12.75" customHeight="1">
      <c r="A66" s="53"/>
      <c r="B66" s="53"/>
      <c r="C66" s="549"/>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3" t="s">
        <v>439</v>
      </c>
      <c r="B67" s="53"/>
      <c r="C67" s="549"/>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49"/>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49"/>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49"/>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49"/>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49"/>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49"/>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49"/>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49"/>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49"/>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49"/>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49"/>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49"/>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49"/>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4"/>
      <c r="B81" s="53" t="s">
        <v>362</v>
      </c>
      <c r="C81" s="549"/>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49"/>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49"/>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49"/>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49"/>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49"/>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49"/>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49"/>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49"/>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49"/>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49"/>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49"/>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49"/>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49"/>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49"/>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49"/>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49"/>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49"/>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49"/>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49"/>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49"/>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49"/>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49"/>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49"/>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49"/>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49"/>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49"/>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49"/>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49"/>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49"/>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49"/>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49"/>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49"/>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49"/>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49"/>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49"/>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49"/>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49"/>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49"/>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49"/>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49"/>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49"/>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49"/>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49"/>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49"/>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49"/>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49"/>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49"/>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49"/>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49"/>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49"/>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49"/>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49"/>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49"/>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49"/>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49"/>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49"/>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49"/>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49"/>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49"/>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49"/>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49"/>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49"/>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49"/>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49"/>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49"/>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49"/>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49"/>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49"/>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49"/>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49"/>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49"/>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49"/>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49"/>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49"/>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49"/>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49"/>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49"/>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49"/>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49"/>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49"/>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49"/>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49"/>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49"/>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49"/>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49"/>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49"/>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49"/>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49"/>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49"/>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49"/>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49"/>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49"/>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49"/>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49"/>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49"/>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49"/>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49"/>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49"/>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49"/>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49"/>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49"/>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49"/>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49"/>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49"/>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49"/>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49"/>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49"/>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49"/>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49"/>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49"/>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49"/>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3"/>
    </row>
    <row r="193" spans="1:44" ht="12.75" customHeight="1">
      <c r="A193" s="53"/>
      <c r="B193" s="53"/>
      <c r="C193" s="549"/>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3"/>
    </row>
    <row r="194" spans="1:44" ht="12.75" customHeight="1">
      <c r="A194" s="53"/>
      <c r="B194" s="53"/>
      <c r="C194" s="549"/>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c r="AR194" s="3"/>
    </row>
    <row r="195" spans="1:44" ht="12.75" customHeight="1">
      <c r="A195" s="53"/>
      <c r="B195" s="53"/>
      <c r="C195" s="549"/>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3"/>
    </row>
    <row r="196" spans="1:44" ht="12.75" customHeight="1">
      <c r="A196" s="53"/>
      <c r="B196" s="53"/>
      <c r="C196" s="549"/>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3"/>
    </row>
    <row r="197" spans="1:44" ht="12.75" customHeight="1">
      <c r="A197" s="53"/>
      <c r="B197" s="53"/>
      <c r="C197" s="549"/>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c r="AR197" s="3"/>
    </row>
    <row r="198" spans="1:44" ht="12.75" customHeight="1">
      <c r="A198" s="53"/>
      <c r="B198" s="53"/>
      <c r="C198" s="549"/>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c r="AR198" s="3"/>
    </row>
    <row r="199" spans="1:44" ht="12.75" customHeight="1">
      <c r="A199" s="53"/>
      <c r="B199" s="53"/>
      <c r="C199" s="549"/>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c r="AR199" s="3"/>
    </row>
    <row r="200" spans="1:44" ht="12.75" customHeight="1">
      <c r="A200" s="53"/>
      <c r="B200" s="53"/>
      <c r="C200" s="549"/>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c r="AR200" s="3"/>
    </row>
    <row r="201" spans="1:44" ht="12.75" customHeight="1">
      <c r="A201" s="53"/>
      <c r="B201" s="53"/>
      <c r="C201" s="549"/>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c r="AR201" s="3"/>
    </row>
    <row r="202" spans="1:44" ht="12.75" customHeight="1">
      <c r="A202" s="53"/>
      <c r="B202" s="53"/>
      <c r="C202" s="549"/>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3"/>
    </row>
    <row r="203" spans="1:44" ht="12.75" customHeight="1">
      <c r="A203" s="53"/>
      <c r="B203" s="53"/>
      <c r="C203" s="549"/>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c r="AR203" s="3"/>
    </row>
    <row r="204" spans="1:44" ht="12.75" customHeight="1">
      <c r="A204" s="53"/>
      <c r="B204" s="53"/>
      <c r="C204" s="549"/>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c r="AR204" s="3"/>
    </row>
    <row r="205" spans="1:44" ht="12.75" customHeight="1">
      <c r="A205" s="53"/>
      <c r="B205" s="53"/>
      <c r="C205" s="549"/>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c r="AR205" s="3"/>
    </row>
    <row r="206" spans="1:44" ht="12.75" customHeight="1">
      <c r="A206" s="53"/>
      <c r="B206" s="53"/>
      <c r="C206" s="549"/>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c r="AR206" s="3"/>
    </row>
    <row r="207" spans="1:44" ht="12.75" customHeight="1">
      <c r="A207" s="53"/>
      <c r="B207" s="53"/>
      <c r="C207" s="549"/>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c r="AR207" s="3"/>
    </row>
    <row r="208" spans="1:44" ht="12.75" customHeight="1">
      <c r="A208" s="53"/>
      <c r="B208" s="53"/>
      <c r="C208" s="549"/>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c r="AR208" s="3"/>
    </row>
    <row r="209" spans="1:44" ht="12.75" customHeight="1">
      <c r="A209" s="53"/>
      <c r="B209" s="53"/>
      <c r="C209" s="549"/>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c r="AR209" s="3"/>
    </row>
    <row r="210" spans="1:44" ht="12.75" customHeight="1">
      <c r="A210" s="53"/>
      <c r="B210" s="53"/>
      <c r="C210" s="549"/>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c r="AR210" s="3"/>
    </row>
    <row r="211" spans="1:44" ht="12.75" customHeight="1">
      <c r="A211" s="53"/>
      <c r="B211" s="53"/>
      <c r="C211" s="549"/>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c r="AR211" s="3"/>
    </row>
    <row r="212" spans="1:44" ht="12.75" customHeight="1">
      <c r="A212" s="53"/>
      <c r="B212" s="53"/>
      <c r="C212" s="549"/>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c r="AR212" s="3"/>
    </row>
    <row r="213" spans="1:44" ht="12.75" customHeight="1">
      <c r="A213" s="53"/>
      <c r="B213" s="53"/>
      <c r="C213" s="549"/>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c r="AR213" s="3"/>
    </row>
    <row r="214" spans="1:44" ht="12.75" customHeight="1">
      <c r="A214" s="53"/>
      <c r="B214" s="53"/>
      <c r="C214" s="549"/>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c r="AR214" s="3"/>
    </row>
    <row r="215" spans="1:44" ht="12.75" customHeight="1">
      <c r="A215" s="53"/>
      <c r="B215" s="53"/>
      <c r="C215" s="549"/>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c r="AR215" s="3"/>
    </row>
    <row r="216" spans="1:44" ht="12.75" customHeight="1">
      <c r="A216" s="53"/>
      <c r="B216" s="53"/>
      <c r="C216" s="549"/>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c r="AR216" s="3"/>
    </row>
    <row r="217" spans="1:44" ht="12.75" customHeight="1">
      <c r="A217" s="53"/>
      <c r="B217" s="53"/>
      <c r="C217" s="549"/>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c r="AR217" s="3"/>
    </row>
    <row r="218" spans="1:44" ht="12.75" customHeight="1">
      <c r="A218" s="53"/>
      <c r="B218" s="53"/>
      <c r="C218" s="549"/>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3"/>
    </row>
    <row r="219" spans="1:44" ht="12.75" customHeight="1">
      <c r="A219" s="53"/>
      <c r="B219" s="53"/>
      <c r="C219" s="549"/>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c r="AR219" s="3"/>
    </row>
    <row r="220" spans="1:44" ht="12.75" customHeight="1">
      <c r="A220" s="53"/>
      <c r="B220" s="53"/>
      <c r="C220" s="549"/>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3"/>
    </row>
    <row r="221" spans="1:44" ht="12.75" customHeight="1">
      <c r="A221" s="53"/>
      <c r="B221" s="53"/>
      <c r="C221" s="549"/>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c r="AR221" s="3"/>
    </row>
    <row r="222" spans="1:44" ht="12.75" customHeight="1">
      <c r="A222" s="53"/>
      <c r="B222" s="53"/>
      <c r="C222" s="549"/>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c r="AR222" s="3"/>
    </row>
    <row r="223" spans="1:44" ht="12.75" customHeight="1">
      <c r="A223" s="53"/>
      <c r="B223" s="53"/>
      <c r="C223" s="549"/>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c r="AR223" s="3"/>
    </row>
    <row r="224" spans="1:44" ht="12.75" customHeight="1">
      <c r="A224" s="53"/>
      <c r="B224" s="53"/>
      <c r="C224" s="549"/>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c r="AR224" s="3"/>
    </row>
    <row r="225" spans="1:44" ht="12.75" customHeight="1">
      <c r="A225" s="53"/>
      <c r="B225" s="53"/>
      <c r="C225" s="549"/>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c r="AR225" s="3"/>
    </row>
    <row r="226" spans="1:44" ht="12.75" customHeight="1">
      <c r="A226" s="53"/>
      <c r="B226" s="53"/>
      <c r="C226" s="549"/>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3"/>
    </row>
    <row r="227" spans="1:44" ht="12.75" customHeight="1">
      <c r="A227" s="53"/>
      <c r="B227" s="53"/>
      <c r="C227" s="549"/>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c r="AR227" s="3"/>
    </row>
    <row r="228" spans="1:44" ht="12.75" customHeight="1">
      <c r="A228" s="53"/>
      <c r="B228" s="53"/>
      <c r="C228" s="549"/>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c r="AR228" s="3"/>
    </row>
    <row r="229" spans="1:44" ht="12.75" customHeight="1">
      <c r="A229" s="53"/>
      <c r="B229" s="53"/>
      <c r="C229" s="549"/>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c r="AR229" s="3"/>
    </row>
    <row r="230" spans="1:44" ht="12.75" customHeight="1">
      <c r="A230" s="53"/>
      <c r="B230" s="53"/>
      <c r="C230" s="549"/>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c r="AR230" s="3"/>
    </row>
    <row r="231" spans="1:44" ht="12.75" customHeight="1">
      <c r="A231" s="53"/>
      <c r="B231" s="53"/>
      <c r="C231" s="549"/>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c r="AR231" s="3"/>
    </row>
    <row r="232" spans="1:44" ht="12.75" customHeight="1">
      <c r="A232" s="53"/>
      <c r="B232" s="53"/>
      <c r="C232" s="549"/>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c r="AR232" s="3"/>
    </row>
    <row r="233" spans="1:44" ht="12.75" customHeight="1">
      <c r="A233" s="53"/>
      <c r="B233" s="53"/>
      <c r="C233" s="549"/>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c r="AR233" s="3"/>
    </row>
    <row r="234" spans="1:44" ht="12.75" customHeight="1">
      <c r="A234" s="53"/>
      <c r="B234" s="53"/>
      <c r="C234" s="549"/>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3"/>
    </row>
    <row r="235" spans="1:44" ht="12.75" customHeight="1">
      <c r="A235" s="53"/>
      <c r="B235" s="53"/>
      <c r="C235" s="549"/>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c r="AR235" s="3"/>
    </row>
    <row r="236" spans="1:44" ht="12.75" customHeight="1">
      <c r="A236" s="53"/>
      <c r="B236" s="53"/>
      <c r="C236" s="549"/>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c r="AR236" s="3"/>
    </row>
    <row r="237" spans="1:44" ht="12.75" customHeight="1">
      <c r="A237" s="53"/>
      <c r="B237" s="53"/>
      <c r="C237" s="549"/>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3"/>
    </row>
    <row r="238" spans="1:44" ht="12.75" customHeight="1">
      <c r="A238" s="53"/>
      <c r="B238" s="53"/>
      <c r="C238" s="549"/>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c r="AR238" s="3"/>
    </row>
    <row r="239" spans="1:44" ht="12.75" customHeight="1">
      <c r="A239" s="53"/>
      <c r="B239" s="53"/>
      <c r="C239" s="549"/>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c r="AR239" s="3"/>
    </row>
    <row r="240" spans="1:44" ht="12.75" customHeight="1">
      <c r="A240" s="53"/>
      <c r="B240" s="53"/>
      <c r="C240" s="549"/>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c r="AR240" s="3"/>
    </row>
    <row r="241" spans="1:44" ht="12.75" customHeight="1">
      <c r="A241" s="53"/>
      <c r="B241" s="53"/>
      <c r="C241" s="549"/>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c r="AR241" s="3"/>
    </row>
    <row r="242" spans="1:44" ht="12.75" customHeight="1">
      <c r="A242" s="53"/>
      <c r="B242" s="53"/>
      <c r="C242" s="549"/>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c r="AR242" s="3"/>
    </row>
    <row r="243" spans="1:44" ht="12.75" customHeight="1">
      <c r="A243" s="53"/>
      <c r="B243" s="53"/>
      <c r="C243" s="549"/>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3"/>
    </row>
    <row r="244" spans="1:44" ht="12.75" customHeight="1">
      <c r="A244" s="53"/>
      <c r="B244" s="53"/>
      <c r="C244" s="549"/>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3"/>
    </row>
    <row r="245" spans="1:44" ht="12.75" customHeight="1">
      <c r="A245" s="53"/>
      <c r="B245" s="53"/>
      <c r="C245" s="549"/>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3"/>
    </row>
    <row r="246" spans="1:44" ht="12.75" customHeight="1">
      <c r="A246" s="53"/>
      <c r="B246" s="53"/>
      <c r="C246" s="549"/>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c r="AR246" s="3"/>
    </row>
    <row r="247" spans="1:44" ht="12.75" customHeight="1">
      <c r="A247" s="53"/>
      <c r="B247" s="53"/>
      <c r="C247" s="549"/>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3"/>
    </row>
    <row r="248" spans="1:44" ht="12.75" customHeight="1">
      <c r="A248" s="53"/>
      <c r="B248" s="53"/>
      <c r="C248" s="549"/>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c r="AR248" s="3"/>
    </row>
    <row r="249" spans="1:44" ht="12.75" customHeight="1">
      <c r="A249" s="53"/>
      <c r="B249" s="53"/>
      <c r="C249" s="549"/>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c r="AR249" s="3"/>
    </row>
    <row r="250" spans="1:44" ht="12.75" customHeight="1">
      <c r="A250" s="53"/>
      <c r="B250" s="53"/>
      <c r="C250" s="549"/>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c r="AR250" s="3"/>
    </row>
    <row r="251" spans="1:44" ht="12.75" customHeight="1">
      <c r="A251" s="53"/>
      <c r="B251" s="53"/>
      <c r="C251" s="549"/>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c r="AR251" s="3"/>
    </row>
    <row r="252" spans="1:44" ht="12.75" customHeight="1">
      <c r="A252" s="53"/>
      <c r="B252" s="53"/>
      <c r="C252" s="549"/>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c r="AR252" s="3"/>
    </row>
    <row r="253" spans="1:44" ht="12.75" customHeight="1">
      <c r="A253" s="53"/>
      <c r="B253" s="53"/>
      <c r="C253" s="549"/>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c r="AR253" s="3"/>
    </row>
    <row r="254" spans="1:44" ht="12.75" customHeight="1">
      <c r="A254" s="53"/>
      <c r="B254" s="53"/>
      <c r="C254" s="549"/>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c r="AR254" s="3"/>
    </row>
    <row r="255" spans="1:44" ht="12.75" customHeight="1">
      <c r="A255" s="53"/>
      <c r="B255" s="53"/>
      <c r="C255" s="549"/>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c r="AR255" s="3"/>
    </row>
    <row r="256" spans="1:44" ht="12.75" customHeight="1">
      <c r="A256" s="53"/>
      <c r="B256" s="53"/>
      <c r="C256" s="549"/>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c r="AR256" s="3"/>
    </row>
    <row r="257" spans="1:44" ht="12.75" customHeight="1">
      <c r="A257" s="53"/>
      <c r="B257" s="53"/>
      <c r="C257" s="549"/>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c r="AR257" s="3"/>
    </row>
    <row r="258" spans="1:44" ht="12.75" customHeight="1">
      <c r="A258" s="53"/>
      <c r="B258" s="53"/>
      <c r="C258" s="549"/>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c r="AR258" s="3"/>
    </row>
    <row r="259" spans="1:44" ht="12.75" customHeight="1">
      <c r="A259" s="53"/>
      <c r="B259" s="53"/>
      <c r="C259" s="549"/>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c r="AR259" s="3"/>
    </row>
    <row r="260" spans="1:44" ht="12.75" customHeight="1">
      <c r="A260" s="53"/>
      <c r="B260" s="53"/>
      <c r="C260" s="549"/>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c r="AR260" s="3"/>
    </row>
    <row r="261" spans="1:44" ht="12.75" customHeight="1">
      <c r="A261" s="53"/>
      <c r="B261" s="53"/>
      <c r="C261" s="549"/>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c r="AR261" s="3"/>
    </row>
    <row r="262" spans="1:44" ht="12.75" customHeight="1">
      <c r="A262" s="53"/>
      <c r="B262" s="53"/>
      <c r="C262" s="549"/>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c r="AR262" s="3"/>
    </row>
    <row r="263" spans="1:44" ht="12.75" customHeight="1">
      <c r="A263" s="53"/>
      <c r="B263" s="53"/>
      <c r="C263" s="549"/>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3"/>
    </row>
    <row r="264" spans="1:44" ht="12.75" customHeight="1">
      <c r="A264" s="53"/>
      <c r="B264" s="53"/>
      <c r="C264" s="549"/>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c r="AR264" s="3"/>
    </row>
    <row r="265" spans="1:44" ht="12.75" customHeight="1">
      <c r="A265" s="53"/>
      <c r="B265" s="53"/>
      <c r="C265" s="549"/>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c r="AR265" s="3"/>
    </row>
    <row r="266" spans="1:44" ht="12.75" customHeight="1">
      <c r="A266" s="53"/>
      <c r="B266" s="53"/>
      <c r="C266" s="549"/>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3"/>
    </row>
    <row r="267" spans="1:44" ht="12.75" customHeight="1">
      <c r="A267" s="53"/>
      <c r="B267" s="53"/>
      <c r="C267" s="549"/>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c r="AR267" s="3"/>
    </row>
    <row r="268" spans="1:44" ht="12.75" customHeight="1">
      <c r="A268" s="53"/>
      <c r="B268" s="53"/>
      <c r="C268" s="549"/>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c r="AR268" s="3"/>
    </row>
    <row r="269" spans="1:44" ht="12.75" customHeight="1">
      <c r="A269" s="53"/>
      <c r="B269" s="53"/>
      <c r="C269" s="549"/>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3"/>
    </row>
    <row r="270" spans="1:44" ht="12.75" customHeight="1">
      <c r="A270" s="53"/>
      <c r="B270" s="53"/>
      <c r="C270" s="549"/>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c r="AR270" s="3"/>
    </row>
    <row r="271" spans="1:44" ht="12.75" customHeight="1">
      <c r="A271" s="53"/>
      <c r="B271" s="53"/>
      <c r="C271" s="549"/>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c r="AR271" s="3"/>
    </row>
    <row r="272" spans="1:44" ht="12.75" customHeight="1">
      <c r="A272" s="53"/>
      <c r="B272" s="53"/>
      <c r="C272" s="549"/>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c r="AR272" s="3"/>
    </row>
    <row r="273" spans="1:44" ht="12.75" customHeight="1">
      <c r="A273" s="53"/>
      <c r="B273" s="53"/>
      <c r="C273" s="549"/>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c r="AR273" s="3"/>
    </row>
    <row r="274" spans="1:44" ht="12.75" customHeight="1">
      <c r="A274" s="53"/>
      <c r="B274" s="53"/>
      <c r="C274" s="549"/>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c r="AR274" s="3"/>
    </row>
    <row r="275" spans="1:44" ht="12.75" customHeight="1">
      <c r="A275" s="53"/>
      <c r="B275" s="53"/>
      <c r="C275" s="549"/>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c r="AR275" s="3"/>
    </row>
    <row r="276" spans="1:44" ht="12.75" customHeight="1">
      <c r="A276" s="53"/>
      <c r="B276" s="53"/>
      <c r="C276" s="549"/>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c r="AR276" s="3"/>
    </row>
    <row r="277" spans="1:44" ht="12.75" customHeight="1">
      <c r="A277" s="53"/>
      <c r="B277" s="53"/>
      <c r="C277" s="549"/>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c r="AR277" s="3"/>
    </row>
    <row r="278" spans="1:44" ht="12.75" customHeight="1">
      <c r="A278" s="53"/>
      <c r="B278" s="53"/>
      <c r="C278" s="549"/>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c r="AR278" s="3"/>
    </row>
    <row r="279" spans="1:44" ht="12.75" customHeight="1">
      <c r="A279" s="53"/>
      <c r="B279" s="53"/>
      <c r="C279" s="549"/>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c r="AR279" s="3"/>
    </row>
    <row r="280" spans="1:44" ht="12.75" customHeight="1">
      <c r="A280" s="53"/>
      <c r="B280" s="53"/>
      <c r="C280" s="549"/>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c r="AR280" s="3"/>
    </row>
    <row r="281" spans="1:44" ht="12.75" customHeight="1">
      <c r="A281" s="53"/>
      <c r="B281" s="53"/>
      <c r="C281" s="549"/>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c r="AR281" s="3"/>
    </row>
    <row r="282" spans="1:44" ht="12.75" customHeight="1">
      <c r="A282" s="53"/>
      <c r="B282" s="53"/>
      <c r="C282" s="549"/>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c r="AR282" s="3"/>
    </row>
    <row r="283" spans="1:44" ht="12.75" customHeight="1">
      <c r="A283" s="53"/>
      <c r="B283" s="53"/>
      <c r="C283" s="549"/>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c r="AR283" s="3"/>
    </row>
    <row r="284" spans="1:4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row>
    <row r="285" spans="1:44"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row>
    <row r="286" spans="1:44"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row>
    <row r="287" spans="1:44"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row>
    <row r="288" spans="1:44"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row>
    <row r="289" spans="1:44"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row>
    <row r="290" spans="1:44"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row>
    <row r="291" spans="1:44"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row>
    <row r="292" spans="1:44"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row>
    <row r="293" spans="1:44"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row>
    <row r="294" spans="1:4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row>
    <row r="295" spans="1:44"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row>
    <row r="296" spans="1:44"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row>
    <row r="297" spans="1:44"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row>
    <row r="298" spans="1:44"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row>
    <row r="299" spans="1:44"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row>
    <row r="300" spans="1:44"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row>
    <row r="301" spans="1:44"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row>
    <row r="302" spans="1:44"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row>
    <row r="303" spans="1:44"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row>
    <row r="304" spans="1:4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row>
    <row r="305" spans="1:44"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row>
    <row r="306" spans="1:44"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row>
    <row r="307" spans="1:44"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row>
    <row r="308" spans="1:44"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row>
    <row r="309" spans="1:44"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row>
    <row r="310" spans="1:44"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row>
    <row r="311" spans="1:44"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row>
    <row r="312" spans="1:44"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row>
    <row r="313" spans="1:44"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row>
    <row r="314" spans="1:4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row>
    <row r="315" spans="1:44"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row>
    <row r="316" spans="1:44"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row>
    <row r="317" spans="1:44"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row>
    <row r="318" spans="1:44"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row>
    <row r="319" spans="1:44"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row>
    <row r="320" spans="1:44"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row>
    <row r="321" spans="1:44"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row>
    <row r="322" spans="1:44"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row>
    <row r="323" spans="1:44"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row>
    <row r="324" spans="1:4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row>
    <row r="325" spans="1:44"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row>
    <row r="326" spans="1:44"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row>
    <row r="327" spans="1:44"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row>
    <row r="328" spans="1:44"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row>
    <row r="329" spans="1:44"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row>
    <row r="330" spans="1:44"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row>
    <row r="331" spans="1:44"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row>
    <row r="332" spans="1:44"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row>
    <row r="333" spans="1:44"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row>
    <row r="334" spans="1:4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row>
    <row r="335" spans="1:44"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row>
    <row r="336" spans="1:44"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row>
    <row r="337" spans="1:44"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row>
    <row r="338" spans="1:44"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row>
    <row r="339" spans="1:44"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row>
    <row r="340" spans="1:44"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row>
    <row r="341" spans="1:44"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row>
    <row r="342" spans="1:44"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row>
    <row r="343" spans="1:44"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row>
    <row r="344" spans="1: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row>
    <row r="345" spans="1:44"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row>
    <row r="346" spans="1:44"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row>
    <row r="347" spans="1:44"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row>
    <row r="348" spans="1:44"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row>
    <row r="349" spans="1:44"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row>
    <row r="350" spans="1:44"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row>
    <row r="351" spans="1:44"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row>
    <row r="352" spans="1:44"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row>
    <row r="353" spans="1:44"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row>
    <row r="354" spans="1:4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row>
    <row r="355" spans="1:44"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row>
    <row r="356" spans="1:44"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row>
    <row r="357" spans="1:44"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row>
    <row r="358" spans="1:44"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row>
    <row r="359" spans="1:44"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row>
    <row r="360" spans="1:44"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row>
    <row r="361" spans="1:44"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row>
    <row r="362" spans="1:44"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row>
    <row r="363" spans="1:44"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row>
    <row r="364" spans="1:4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row>
    <row r="365" spans="1:44"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row>
    <row r="366" spans="1:44"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row>
    <row r="367" spans="1:44"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row>
    <row r="368" spans="1:44"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row>
    <row r="369" spans="1:44"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row>
    <row r="370" spans="1:44"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row>
    <row r="371" spans="1:44"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row>
    <row r="372" spans="1:44"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row>
    <row r="373" spans="1:44"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row>
    <row r="374" spans="1:4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row>
    <row r="375" spans="1:44"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row>
    <row r="376" spans="1:44"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row>
    <row r="377" spans="1:44"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row>
    <row r="378" spans="1:44"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row>
    <row r="379" spans="1:44"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row>
    <row r="380" spans="1:44"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row>
    <row r="381" spans="1:44"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row>
    <row r="382" spans="1:44"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row>
    <row r="383" spans="1:44"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row>
    <row r="384" spans="1:4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row>
    <row r="385" spans="1:44"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row>
    <row r="386" spans="1:44"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row>
    <row r="387" spans="1:44"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row>
    <row r="388" spans="1:44"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row>
    <row r="389" spans="1:44"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row>
    <row r="390" spans="1:44"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row>
    <row r="391" spans="1:44"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row>
    <row r="392" spans="1:44"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row>
    <row r="393" spans="1:44"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row>
    <row r="394" spans="1:4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row>
    <row r="395" spans="1:44"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row>
    <row r="396" spans="1:44"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row>
    <row r="397" spans="1:44"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row>
    <row r="398" spans="1:44"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row>
    <row r="399" spans="1:44"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row>
    <row r="400" spans="1:44"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row>
    <row r="401" spans="1:44"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row>
    <row r="402" spans="1:44"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row>
    <row r="403" spans="1:44"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row>
    <row r="404" spans="1:4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row>
    <row r="405" spans="1:44"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row>
    <row r="406" spans="1:44"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row>
    <row r="407" spans="1:44"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row>
    <row r="408" spans="1:44"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row>
    <row r="409" spans="1:44"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row>
    <row r="410" spans="1:44"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row>
    <row r="411" spans="1:44"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row>
    <row r="412" spans="1:44"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row>
    <row r="413" spans="1:44"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row>
    <row r="414" spans="1:4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row>
    <row r="415" spans="1:44"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row>
    <row r="416" spans="1:44"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row>
    <row r="417" spans="1:44"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row>
    <row r="418" spans="1:44"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row>
    <row r="419" spans="1:44"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row>
    <row r="420" spans="1:44"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row>
    <row r="421" spans="1:44"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row>
    <row r="422" spans="1:44"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row>
    <row r="423" spans="1:44"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row>
    <row r="424" spans="1:4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row>
    <row r="425" spans="1:44"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row>
    <row r="426" spans="1:44"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row>
    <row r="427" spans="1:44"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row>
    <row r="428" spans="1:44"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row>
    <row r="429" spans="1:44"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row>
    <row r="430" spans="1:44"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row>
    <row r="431" spans="1:44"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row>
    <row r="432" spans="1:44"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row>
    <row r="433" spans="1:44"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row>
    <row r="434" spans="1:4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row>
    <row r="435" spans="1:44"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row>
    <row r="436" spans="1:44"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row>
    <row r="437" spans="1:44"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row>
    <row r="438" spans="1:44"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row>
    <row r="439" spans="1:44"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row>
    <row r="440" spans="1:44"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row>
    <row r="441" spans="1:44"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row>
    <row r="442" spans="1:44"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row>
    <row r="443" spans="1:44"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row>
    <row r="444" spans="1: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row>
    <row r="445" spans="1:44"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row>
    <row r="446" spans="1:44"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row>
    <row r="447" spans="1:44"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row>
    <row r="448" spans="1:44"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row>
    <row r="449" spans="1:44"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row>
    <row r="450" spans="1:44"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row>
    <row r="451" spans="1:44"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row>
    <row r="452" spans="1:44"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row>
    <row r="453" spans="1:44"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row>
    <row r="454" spans="1:4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row>
    <row r="455" spans="1:44"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row>
    <row r="456" spans="1:44"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row>
    <row r="457" spans="1:44"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row>
    <row r="458" spans="1:44"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row>
    <row r="459" spans="1:44"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row>
    <row r="460" spans="1:44"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row>
    <row r="461" spans="1:44"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row>
    <row r="462" spans="1:44"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row>
    <row r="463" spans="1:44"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row>
    <row r="464" spans="1:4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row>
    <row r="465" spans="1:44"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row>
    <row r="466" spans="1:44"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row>
    <row r="467" spans="1:44"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row>
    <row r="468" spans="1:44"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row>
    <row r="469" spans="1:44"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row>
    <row r="470" spans="1:44"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row>
    <row r="471" spans="1:44"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row>
    <row r="472" spans="1:44"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row>
    <row r="473" spans="1:44"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row>
    <row r="474" spans="1:4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row>
    <row r="475" spans="1:44"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row>
    <row r="476" spans="1:44"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row>
    <row r="477" spans="1:44"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row>
    <row r="478" spans="1:44"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row>
    <row r="479" spans="1:44"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row>
    <row r="480" spans="1:44"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row>
    <row r="481" spans="1:44"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row>
    <row r="482" spans="1:44"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row>
    <row r="483" spans="1:44"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row>
    <row r="484" spans="1:4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row>
    <row r="485" spans="1:44"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row>
    <row r="486" spans="1:44"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row>
    <row r="487" spans="1:44"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row>
    <row r="488" spans="1:44"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row>
    <row r="489" spans="1:44"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row>
    <row r="490" spans="1:44"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row>
    <row r="491" spans="1:44"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row>
    <row r="492" spans="1:44"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row>
    <row r="493" spans="1:44"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row>
    <row r="494" spans="1:4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row>
    <row r="495" spans="1:44"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row>
    <row r="496" spans="1:44"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row>
    <row r="497" spans="1:44"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row>
    <row r="498" spans="1:44"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row>
    <row r="499" spans="1:44"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row>
    <row r="500" spans="1:44"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row>
    <row r="501" spans="1:44"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row>
    <row r="502" spans="1:44"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row>
    <row r="503" spans="1:44"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row>
    <row r="504" spans="1:4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row>
    <row r="505" spans="1:44"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row>
    <row r="506" spans="1:44"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row>
    <row r="507" spans="1:44"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row>
    <row r="508" spans="1:44"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row>
    <row r="509" spans="1:44"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row>
    <row r="510" spans="1:44"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row>
    <row r="511" spans="1:44"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row>
    <row r="512" spans="1:44"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row>
    <row r="513" spans="1:44"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row>
    <row r="514" spans="1:4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row>
    <row r="515" spans="1:44"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row>
    <row r="516" spans="1:44"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row>
    <row r="517" spans="1:44"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row>
    <row r="518" spans="1:44"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row>
    <row r="519" spans="1:44"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row>
    <row r="520" spans="1:44"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row>
    <row r="521" spans="1:44"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row>
    <row r="522" spans="1:44"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row>
    <row r="523" spans="1:44"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row>
    <row r="524" spans="1:4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row>
    <row r="525" spans="1:44"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row>
    <row r="526" spans="1:44"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row>
    <row r="527" spans="1:44"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row>
    <row r="528" spans="1:44"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row>
    <row r="529" spans="1:44"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row>
    <row r="530" spans="1:44"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row>
    <row r="531" spans="1:44"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row>
    <row r="532" spans="1:44"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row>
    <row r="533" spans="1:44"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row>
    <row r="534" spans="1:4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row>
    <row r="535" spans="1:44"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row>
    <row r="536" spans="1:44"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row>
    <row r="537" spans="1:44"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row>
    <row r="538" spans="1:44"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row>
    <row r="539" spans="1:44"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row>
    <row r="540" spans="1:44"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row>
    <row r="541" spans="1:44"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row>
    <row r="542" spans="1:44"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row>
    <row r="543" spans="1:44"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row>
    <row r="544" spans="1: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row>
    <row r="545" spans="1:44"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row>
    <row r="546" spans="1:44"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row>
    <row r="547" spans="1:44"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row>
    <row r="548" spans="1:44"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row>
    <row r="549" spans="1:44"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row>
    <row r="550" spans="1:44"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row>
    <row r="551" spans="1:44"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row>
    <row r="552" spans="1:44"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row>
    <row r="553" spans="1:44"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row>
    <row r="554" spans="1:4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row>
    <row r="555" spans="1:44"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row>
    <row r="556" spans="1:44"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row>
    <row r="557" spans="1:44"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row>
    <row r="558" spans="1:44"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row>
    <row r="559" spans="1:44"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row>
    <row r="560" spans="1:44"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row>
    <row r="561" spans="1:44"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row>
    <row r="562" spans="1:44"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row>
    <row r="563" spans="1:44"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row>
    <row r="564" spans="1:4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row>
    <row r="565" spans="1:44"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row>
    <row r="566" spans="1:44"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row>
    <row r="567" spans="1:44"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row>
    <row r="568" spans="1:44"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row>
    <row r="569" spans="1:44"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row>
    <row r="570" spans="1:44"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row>
    <row r="571" spans="1:44"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row>
    <row r="572" spans="1:44"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row>
    <row r="573" spans="1:44"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row>
    <row r="574" spans="1:4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row>
    <row r="575" spans="1:44"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row>
    <row r="576" spans="1:44"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row>
    <row r="577" spans="1:44"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row>
    <row r="578" spans="1:44"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row>
    <row r="579" spans="1:44"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row>
    <row r="580" spans="1:44"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row>
    <row r="581" spans="1:44"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row>
    <row r="582" spans="1:44"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row>
    <row r="583" spans="1:44"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row>
    <row r="584" spans="1:4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row>
    <row r="585" spans="1:44"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row>
    <row r="586" spans="1:44"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row>
    <row r="587" spans="1:44"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row>
    <row r="588" spans="1:44"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row>
    <row r="589" spans="1:44"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row>
    <row r="590" spans="1:44"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row>
    <row r="591" spans="1:44"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row>
    <row r="592" spans="1:44"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row>
    <row r="593" spans="1:44"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row>
    <row r="594" spans="1:4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row>
    <row r="595" spans="1:44"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row>
    <row r="596" spans="1:44"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row>
    <row r="597" spans="1:44"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row>
    <row r="598" spans="1:44"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row>
    <row r="599" spans="1:44"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row>
    <row r="600" spans="1:44"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row>
    <row r="601" spans="1:44"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row>
    <row r="602" spans="1:44"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row>
    <row r="603" spans="1:44"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row>
    <row r="604" spans="1:4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row>
    <row r="605" spans="1:44"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row>
    <row r="606" spans="1:44"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row>
    <row r="607" spans="1:44"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row>
    <row r="608" spans="1:44"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row>
    <row r="609" spans="1:44"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row>
    <row r="610" spans="1:44"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row>
    <row r="611" spans="1:44"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row>
    <row r="612" spans="1:44"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row>
    <row r="613" spans="1:44"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row>
    <row r="614" spans="1:4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row>
    <row r="615" spans="1:44"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row>
    <row r="616" spans="1:44"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row>
    <row r="617" spans="1:44"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row>
    <row r="618" spans="1:44"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row>
    <row r="619" spans="1:44"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row>
    <row r="620" spans="1:44"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row>
    <row r="621" spans="1:44"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row>
    <row r="622" spans="1:44"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row>
    <row r="623" spans="1:44"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row>
    <row r="624" spans="1:4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row>
    <row r="625" spans="1:44"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row>
    <row r="626" spans="1:44"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row>
    <row r="627" spans="1:44"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row>
    <row r="628" spans="1:44"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row>
    <row r="629" spans="1:44"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row>
    <row r="630" spans="1:44"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row>
    <row r="631" spans="1:44"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row>
    <row r="632" spans="1:44"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row>
    <row r="633" spans="1:44"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row>
    <row r="634" spans="1:4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row>
    <row r="635" spans="1:44"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row>
    <row r="636" spans="1:44"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row>
    <row r="637" spans="1:44"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row>
    <row r="638" spans="1:44"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row>
    <row r="639" spans="1:44"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row>
    <row r="640" spans="1:44"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row>
    <row r="641" spans="1:44"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row>
    <row r="642" spans="1:44"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row>
    <row r="643" spans="1:44"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row>
    <row r="644" spans="1: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row>
    <row r="645" spans="1:44"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row>
    <row r="646" spans="1:44"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row>
    <row r="647" spans="1:44"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row>
    <row r="648" spans="1:44"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row>
    <row r="649" spans="1:44"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row>
    <row r="650" spans="1:44"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row>
    <row r="651" spans="1:44"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row>
    <row r="652" spans="1:44"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row>
    <row r="653" spans="1:44"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row>
    <row r="654" spans="1:4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row>
    <row r="655" spans="1:44"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row>
    <row r="656" spans="1:44"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row>
    <row r="657" spans="1:44"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row>
    <row r="658" spans="1:44"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row>
    <row r="659" spans="1:44"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row>
    <row r="660" spans="1:44"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row>
    <row r="661" spans="1:44"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row>
    <row r="662" spans="1:44"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row>
    <row r="663" spans="1:44"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row>
    <row r="664" spans="1:4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row>
    <row r="665" spans="1:44"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row>
    <row r="666" spans="1:44"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row>
    <row r="667" spans="1:44"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row>
    <row r="668" spans="1:44"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row>
    <row r="669" spans="1:44"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row>
    <row r="670" spans="1:44"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row>
    <row r="671" spans="1:44"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row>
    <row r="672" spans="1:44"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row>
    <row r="673" spans="1:44"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row>
    <row r="674" spans="1:4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row>
    <row r="675" spans="1:44"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row>
    <row r="676" spans="1:44"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row>
    <row r="677" spans="1:44"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row>
    <row r="678" spans="1:44"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row>
    <row r="679" spans="1:44"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row>
    <row r="680" spans="1:44"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row>
    <row r="681" spans="1:44"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row>
    <row r="682" spans="1:44"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row>
    <row r="683" spans="1:44"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row>
    <row r="684" spans="1:4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row>
    <row r="685" spans="1:44"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row>
    <row r="686" spans="1:44"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row>
    <row r="687" spans="1:44"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row>
    <row r="688" spans="1:44"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row>
    <row r="689" spans="1:44"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row>
    <row r="690" spans="1:44"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row>
    <row r="691" spans="1:44"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row>
    <row r="692" spans="1:44"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row>
    <row r="693" spans="1:44"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row>
    <row r="694" spans="1:4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row>
    <row r="695" spans="1:44"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row>
    <row r="696" spans="1:44"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row>
    <row r="697" spans="1:44"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row>
    <row r="698" spans="1:44"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row>
    <row r="699" spans="1:44"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row>
    <row r="700" spans="1:44"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row>
    <row r="701" spans="1:44"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row>
    <row r="702" spans="1:44"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row>
    <row r="703" spans="1:44"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row>
    <row r="704" spans="1:4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row>
    <row r="705" spans="1:44"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row>
    <row r="706" spans="1:44"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row>
    <row r="707" spans="1:44"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row>
    <row r="708" spans="1:44"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row>
    <row r="709" spans="1:44"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row>
    <row r="710" spans="1:44"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row>
    <row r="711" spans="1:44"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row>
    <row r="712" spans="1:44"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row>
    <row r="713" spans="1:44"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row>
    <row r="714" spans="1:4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row>
    <row r="715" spans="1:44"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row>
    <row r="716" spans="1:44"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row>
    <row r="717" spans="1:44"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row>
    <row r="718" spans="1:44"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row>
    <row r="719" spans="1:44"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row>
    <row r="720" spans="1:44"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row>
    <row r="721" spans="1:44"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row>
    <row r="722" spans="1:44"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row>
    <row r="723" spans="1:44"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row>
    <row r="724" spans="1:4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row>
    <row r="725" spans="1:44"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row>
    <row r="726" spans="1:44"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row>
    <row r="727" spans="1:44"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row>
    <row r="728" spans="1:44"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row>
    <row r="729" spans="1:44"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row>
    <row r="730" spans="1:44"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row>
    <row r="731" spans="1:44"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row>
    <row r="732" spans="1:44"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row>
    <row r="733" spans="1:44"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row>
    <row r="734" spans="1:4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row>
    <row r="735" spans="1:44"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row>
    <row r="736" spans="1:44"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row>
    <row r="737" spans="1:44"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row>
    <row r="738" spans="1:44"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row>
    <row r="739" spans="1:44"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row>
    <row r="740" spans="1:44"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row>
    <row r="741" spans="1:44"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row>
    <row r="742" spans="1:44"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row>
    <row r="743" spans="1:44"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row>
    <row r="744" spans="1: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row>
    <row r="745" spans="1:44"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row>
    <row r="746" spans="1:44"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row>
    <row r="747" spans="1:44"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row>
    <row r="748" spans="1:44"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row>
    <row r="749" spans="1:44"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row>
    <row r="750" spans="1:44"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row>
    <row r="751" spans="1:44"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row>
    <row r="752" spans="1:44"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row>
    <row r="753" spans="1:44"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row>
    <row r="754" spans="1:4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row>
    <row r="755" spans="1:44"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row>
    <row r="756" spans="1:44"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row>
    <row r="757" spans="1:44"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row>
    <row r="758" spans="1:44"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row>
    <row r="759" spans="1:44"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row>
    <row r="760" spans="1:44"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row>
    <row r="761" spans="1:44"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row>
    <row r="762" spans="1:44"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row>
    <row r="763" spans="1:44"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row>
    <row r="764" spans="1:4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row>
    <row r="765" spans="1:44"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row>
    <row r="766" spans="1:44"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row>
    <row r="767" spans="1:44"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row>
    <row r="768" spans="1:44"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row>
    <row r="769" spans="1:44"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row>
    <row r="770" spans="1:44"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row>
    <row r="771" spans="1:44"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row>
    <row r="772" spans="1:44"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row>
    <row r="773" spans="1:44"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row>
    <row r="774" spans="1:4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row>
    <row r="775" spans="1:44"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row>
    <row r="776" spans="1:44"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row>
    <row r="777" spans="1:44"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row>
    <row r="778" spans="1:44"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row>
    <row r="779" spans="1:44"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row>
    <row r="780" spans="1:44"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row>
    <row r="781" spans="1:44"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row>
    <row r="782" spans="1:44"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row>
    <row r="783" spans="1:44"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row>
    <row r="784" spans="1:4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row>
    <row r="785" spans="1:44"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row>
    <row r="786" spans="1:44"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row>
    <row r="787" spans="1:44"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row>
    <row r="788" spans="1:44"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row>
    <row r="789" spans="1:44"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row>
    <row r="790" spans="1:44"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row>
    <row r="791" spans="1:44"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row>
    <row r="792" spans="1:44"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row>
    <row r="793" spans="1:44"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row>
    <row r="794" spans="1:4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row>
    <row r="795" spans="1:44"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row>
    <row r="796" spans="1:44"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row>
    <row r="797" spans="1:44"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row>
    <row r="798" spans="1:44"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row>
    <row r="799" spans="1:44"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row>
    <row r="800" spans="1:44"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row>
    <row r="801" spans="1:44"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row>
    <row r="802" spans="1:44"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row>
    <row r="803" spans="1:44"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row>
    <row r="804" spans="1:4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row>
    <row r="805" spans="1:44"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row>
    <row r="806" spans="1:44"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row>
    <row r="807" spans="1:44"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row>
    <row r="808" spans="1:44"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row>
    <row r="809" spans="1:44"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row>
    <row r="810" spans="1:44"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row>
    <row r="811" spans="1:44"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row>
    <row r="812" spans="1:44"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row>
    <row r="813" spans="1:44"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row>
    <row r="814" spans="1:4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row>
    <row r="815" spans="1:44"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row>
    <row r="816" spans="1:44"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row>
    <row r="817" spans="1:44"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row>
    <row r="818" spans="1:44"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row>
    <row r="819" spans="1:44"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row>
    <row r="820" spans="1:44"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row>
    <row r="821" spans="1:44"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row>
    <row r="822" spans="1:44"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row>
    <row r="823" spans="1:44"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row>
    <row r="824" spans="1:4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row>
    <row r="825" spans="1:44"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row>
    <row r="826" spans="1:44"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row>
    <row r="827" spans="1:44"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row>
    <row r="828" spans="1:44"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row>
    <row r="829" spans="1:44"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row>
    <row r="830" spans="1:44"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row>
    <row r="831" spans="1:44"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row>
    <row r="832" spans="1:44"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row>
    <row r="833" spans="1:44"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row>
    <row r="834" spans="1:4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row>
    <row r="835" spans="1:44"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row>
    <row r="836" spans="1:44"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row>
    <row r="837" spans="1:44"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row>
    <row r="838" spans="1:44"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row>
    <row r="839" spans="1:44"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row>
    <row r="840" spans="1:44"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row>
    <row r="841" spans="1:44"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row>
    <row r="842" spans="1:44"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row>
    <row r="843" spans="1:44"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row>
    <row r="844" spans="1: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row>
    <row r="845" spans="1:44"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row>
    <row r="846" spans="1:44"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row>
    <row r="847" spans="1:44"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row>
    <row r="848" spans="1:44"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row>
    <row r="849" spans="1:44"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row>
    <row r="850" spans="1:44"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row>
    <row r="851" spans="1:44"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row>
    <row r="852" spans="1:44"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row>
    <row r="853" spans="1:44"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row>
    <row r="854" spans="1:4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row>
    <row r="855" spans="1:44"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row>
    <row r="856" spans="1:44"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row>
    <row r="857" spans="1:44"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row>
    <row r="858" spans="1:44"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row>
    <row r="859" spans="1:44"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row>
    <row r="860" spans="1:44"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row>
    <row r="861" spans="1:44"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row>
    <row r="862" spans="1:44"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row>
    <row r="863" spans="1:44"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row>
    <row r="864" spans="1:4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row>
    <row r="865" spans="1:44"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row>
    <row r="866" spans="1:44"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row>
    <row r="867" spans="1:44"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row>
    <row r="868" spans="1:44"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row>
    <row r="869" spans="1:44"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row>
    <row r="870" spans="1:44"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row>
    <row r="871" spans="1:44"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row>
    <row r="872" spans="1:44"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row>
    <row r="873" spans="1:44"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row>
    <row r="874" spans="1:4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row>
    <row r="875" spans="1:44"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row>
    <row r="876" spans="1:44"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row>
    <row r="877" spans="1:44"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row>
    <row r="878" spans="1:44"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row>
    <row r="879" spans="1:44"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row>
    <row r="880" spans="1:44"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row>
    <row r="881" spans="1:44"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row>
    <row r="882" spans="1:44"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row>
    <row r="883" spans="1:44"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row>
    <row r="884" spans="1:4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row>
    <row r="885" spans="1:44"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row>
    <row r="886" spans="1:44"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row>
    <row r="887" spans="1:44"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row>
    <row r="888" spans="1:44"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row>
    <row r="889" spans="1:44"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row>
    <row r="890" spans="1:44"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row>
    <row r="891" spans="1:44"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row>
    <row r="892" spans="1:44"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row>
    <row r="893" spans="1:44"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row>
    <row r="894" spans="1:4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row>
    <row r="895" spans="1:44"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row>
    <row r="896" spans="1:44"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row>
    <row r="897" spans="1:44"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row>
    <row r="898" spans="1:44"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row>
    <row r="899" spans="1:44"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row>
    <row r="900" spans="1:44"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row>
    <row r="901" spans="1:44"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row>
    <row r="902" spans="1:44"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row>
    <row r="903" spans="1:44"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row>
    <row r="904" spans="1:4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row>
    <row r="905" spans="1:44"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row>
    <row r="906" spans="1:44"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row>
    <row r="907" spans="1:44"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row>
    <row r="908" spans="1:44"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row>
    <row r="909" spans="1:44"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row>
    <row r="910" spans="1:44"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row>
    <row r="911" spans="1:44"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row>
    <row r="912" spans="1:44"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row>
    <row r="913" spans="1:44"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row>
    <row r="914" spans="1:4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row>
    <row r="915" spans="1:44"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row>
    <row r="916" spans="1:44"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row>
    <row r="917" spans="1:44"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row>
    <row r="918" spans="1:44"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row>
    <row r="919" spans="1:44"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row>
    <row r="920" spans="1:44"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row>
    <row r="921" spans="1:44"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row>
    <row r="922" spans="1:44"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row>
    <row r="923" spans="1:44"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row>
    <row r="924" spans="1:4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row>
    <row r="925" spans="1:44"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row>
    <row r="926" spans="1:44"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row>
    <row r="927" spans="1:44"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row>
    <row r="928" spans="1:44"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row>
    <row r="929" spans="1:44"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row>
    <row r="930" spans="1:44"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row>
    <row r="931" spans="1:44"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row>
    <row r="932" spans="1:44"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row>
    <row r="933" spans="1:44"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row>
    <row r="934" spans="1:4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row>
    <row r="935" spans="1:44"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row>
    <row r="936" spans="1:44"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row>
    <row r="937" spans="1:44"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row>
    <row r="938" spans="1:44"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row>
    <row r="939" spans="1:44"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row>
    <row r="940" spans="1:44"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row>
    <row r="941" spans="1:44"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row>
    <row r="942" spans="1:44"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row>
    <row r="943" spans="1:44"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row>
    <row r="944" spans="1: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row>
    <row r="945" spans="1:44"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row>
    <row r="946" spans="1:44"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row>
    <row r="947" spans="1:44"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row>
    <row r="948" spans="1:44"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row>
    <row r="949" spans="1:44"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row>
    <row r="950" spans="1:44"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row>
    <row r="951" spans="1:44"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row>
    <row r="952" spans="1:44"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row>
    <row r="953" spans="1:44"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row>
    <row r="954" spans="1:4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row>
    <row r="955" spans="1:44"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row>
    <row r="956" spans="1:44"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row>
    <row r="957" spans="1:44"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row>
    <row r="958" spans="1:44"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row>
    <row r="959" spans="1:44"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row>
    <row r="960" spans="1:44"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row>
    <row r="961" spans="1:44"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row>
    <row r="962" spans="1:44"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row>
    <row r="963" spans="1:44"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row>
    <row r="964" spans="1:4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row>
    <row r="965" spans="1:44"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row>
    <row r="966" spans="1:44"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row>
    <row r="967" spans="1:44"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row>
    <row r="968" spans="1:44"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row>
    <row r="969" spans="1:44"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row>
    <row r="970" spans="1:44"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row>
    <row r="971" spans="1:44"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row>
    <row r="972" spans="1:44"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row>
    <row r="973" spans="1:44"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row>
    <row r="974" spans="1:4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row>
    <row r="975" spans="1:44"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row>
    <row r="976" spans="1:44"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row>
    <row r="977" spans="1:44"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row>
    <row r="978" spans="1:44"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row>
    <row r="979" spans="1:44"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row>
    <row r="980" spans="1:44"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row>
    <row r="981" spans="1:44"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row>
    <row r="982" spans="1:44"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row>
    <row r="983" spans="1:44"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row>
    <row r="984" spans="1:4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row>
    <row r="985" spans="1:44"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row>
    <row r="986" spans="1:44"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row>
    <row r="987" spans="1:44"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row>
    <row r="988" spans="1:44"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row>
    <row r="989" spans="1:44"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row>
    <row r="990" spans="1:44"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row>
    <row r="991" spans="1:44"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row>
    <row r="992" spans="1:44"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row>
    <row r="993" spans="1:44"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row>
    <row r="994" spans="1:4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row>
    <row r="995" spans="1:44"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row>
    <row r="996" spans="1:44"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row>
    <row r="997" spans="1:44"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row>
    <row r="998" spans="1:44"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row>
    <row r="999" spans="1:44"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row>
    <row r="1000" spans="1:44"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row>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2200-000000000000}">
      <formula1>"TOU,non-TOU"</formula1>
    </dataValidation>
    <dataValidation type="list" allowBlank="1" showErrorMessage="1" sqref="E15:E28 E30:E38 E40:E41 E43:E51 E57 E63" xr:uid="{00000000-0002-0000-2200-000001000000}">
      <formula1>#REF!</formula1>
    </dataValidation>
    <dataValidation type="list" allowBlank="1" showInputMessage="1" showErrorMessage="1" prompt="Select Charge Unit - monthly, per kWh, per kW" sqref="D15:D28 D30:D38 D40:D41 D43:D51 D57 D63" xr:uid="{00000000-0002-0000-2200-000002000000}">
      <formula1>"Monthly,per kWh,per kW"</formula1>
    </dataValidation>
  </dataValidations>
  <pageMargins left="0.74803149606299213" right="0.74803149606299213" top="0.98425196850393704" bottom="0.98425196850393704"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1.42578125" customWidth="1"/>
    <col min="6" max="6" width="13.28515625" customWidth="1"/>
    <col min="7" max="7" width="11" customWidth="1"/>
    <col min="8" max="8" width="13" customWidth="1"/>
    <col min="9" max="9" width="1.42578125" customWidth="1"/>
    <col min="10" max="10" width="12.28515625" customWidth="1"/>
    <col min="11" max="11" width="11" customWidth="1"/>
    <col min="12" max="12" width="13" customWidth="1"/>
    <col min="13" max="13" width="1.42578125" customWidth="1"/>
    <col min="14" max="14" width="12.28515625" customWidth="1"/>
    <col min="15" max="15" width="10" customWidth="1"/>
    <col min="16" max="16" width="1.7109375" customWidth="1"/>
    <col min="17" max="17" width="12.28515625" customWidth="1"/>
    <col min="18" max="18" width="11" customWidth="1"/>
    <col min="19" max="19" width="13" customWidth="1"/>
    <col min="20" max="20" width="0.42578125" customWidth="1"/>
    <col min="21" max="21" width="12.28515625" customWidth="1"/>
    <col min="22" max="22" width="10" customWidth="1"/>
    <col min="23" max="23" width="2.28515625" customWidth="1"/>
    <col min="24" max="24" width="12.28515625" customWidth="1"/>
    <col min="25" max="25" width="11" customWidth="1"/>
    <col min="26" max="26" width="13" customWidth="1"/>
    <col min="27" max="27" width="0.42578125" customWidth="1"/>
    <col min="28" max="28" width="12.28515625" customWidth="1"/>
    <col min="29" max="29" width="10" customWidth="1"/>
    <col min="30" max="30" width="2.140625" customWidth="1"/>
    <col min="31" max="31" width="12.28515625" customWidth="1"/>
    <col min="32" max="32" width="11" customWidth="1"/>
    <col min="33" max="33" width="13" customWidth="1"/>
    <col min="34" max="34" width="0.42578125" customWidth="1"/>
    <col min="35" max="35" width="11.28515625" customWidth="1"/>
    <col min="36" max="36" width="10" customWidth="1"/>
    <col min="37" max="37" width="0.7109375" customWidth="1"/>
    <col min="38" max="38" width="12.28515625" customWidth="1"/>
    <col min="39" max="39" width="11" customWidth="1"/>
    <col min="40" max="40" width="13" customWidth="1"/>
    <col min="41" max="41" width="1.28515625" customWidth="1"/>
    <col min="42" max="42" width="12.28515625" customWidth="1"/>
    <col min="43" max="43" width="10" customWidth="1"/>
    <col min="44" max="44" width="1.28515625" customWidth="1"/>
  </cols>
  <sheetData>
    <row r="1" spans="1:44" ht="7.5" customHeight="1">
      <c r="A1" s="53"/>
      <c r="B1" s="53"/>
      <c r="C1" s="549"/>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row>
    <row r="2" spans="1:44" ht="18.75" customHeight="1">
      <c r="A2" s="53"/>
      <c r="B2" s="53"/>
      <c r="C2" s="550"/>
      <c r="D2" s="373"/>
      <c r="E2" s="373"/>
      <c r="F2" s="373" t="s">
        <v>320</v>
      </c>
      <c r="G2" s="373"/>
      <c r="H2" s="373"/>
      <c r="I2" s="373"/>
      <c r="J2" s="373"/>
      <c r="K2" s="373"/>
      <c r="L2" s="373"/>
      <c r="M2" s="373"/>
      <c r="N2" s="373"/>
      <c r="O2" s="37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row>
    <row r="3" spans="1:44" ht="18.75" customHeight="1">
      <c r="A3" s="53"/>
      <c r="B3" s="53"/>
      <c r="C3" s="550"/>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4" ht="7.5" customHeight="1">
      <c r="A4" s="53"/>
      <c r="B4" s="53"/>
      <c r="C4" s="549"/>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4" ht="7.5" customHeight="1">
      <c r="A5" s="53"/>
      <c r="B5" s="53"/>
      <c r="C5" s="549"/>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4" ht="12.75" customHeight="1">
      <c r="A6" s="53"/>
      <c r="B6" s="327" t="s">
        <v>323</v>
      </c>
      <c r="C6" s="549"/>
      <c r="D6" s="375" t="s">
        <v>251</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row>
    <row r="7" spans="1:44" ht="7.5" customHeight="1">
      <c r="A7" s="53"/>
      <c r="B7" s="377"/>
      <c r="C7" s="549"/>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4" ht="12.75" customHeight="1">
      <c r="A8" s="53"/>
      <c r="B8" s="327" t="s">
        <v>324</v>
      </c>
      <c r="C8" s="549"/>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4" ht="12.75" customHeight="1">
      <c r="A9" s="53"/>
      <c r="B9" s="377"/>
      <c r="C9" s="549"/>
      <c r="D9" s="314" t="s">
        <v>326</v>
      </c>
      <c r="E9" s="314"/>
      <c r="F9" s="380">
        <v>4000000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4" ht="12.75" customHeight="1">
      <c r="A10" s="53"/>
      <c r="B10" s="53"/>
      <c r="C10" s="549"/>
      <c r="D10" s="53"/>
      <c r="E10" s="53"/>
      <c r="F10" s="380">
        <v>10000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4" ht="12.75" customHeight="1">
      <c r="A11" s="53"/>
      <c r="B11" s="53"/>
      <c r="C11" s="549"/>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4" ht="12.75" customHeight="1">
      <c r="A12" s="53"/>
      <c r="B12" s="53"/>
      <c r="C12" s="549"/>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4" ht="12.75" customHeight="1">
      <c r="A13" s="53"/>
      <c r="B13" s="53"/>
      <c r="C13" s="549"/>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4" ht="12.75" customHeight="1">
      <c r="A14" s="53"/>
      <c r="B14" s="53"/>
      <c r="C14" s="549"/>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4" ht="12.75" customHeight="1">
      <c r="A15" s="53"/>
      <c r="B15" s="328" t="s">
        <v>246</v>
      </c>
      <c r="C15" s="389" t="str">
        <f t="shared" ref="C15:C28" si="0">D$6&amp;"."&amp;B15</f>
        <v>Large User.Monthly Service Charge</v>
      </c>
      <c r="D15" s="390" t="s">
        <v>335</v>
      </c>
      <c r="E15" s="328"/>
      <c r="F15" s="391">
        <f>IFERROR(VLOOKUP($C15,'Proposed Rates'!$B:$J,F$11,FALSE),0)</f>
        <v>14946.93</v>
      </c>
      <c r="G15" s="409">
        <f t="shared" ref="G15:G28" si="1">IF($D15="Monthly",1,IF($D15="per KW",$F$10,IF($D15="per kWh",$F$9,0)))</f>
        <v>1</v>
      </c>
      <c r="H15" s="394">
        <f t="shared" ref="H15:H28" si="2">G15*F15</f>
        <v>14946.93</v>
      </c>
      <c r="I15" s="138"/>
      <c r="J15" s="391">
        <f>IFERROR(VLOOKUP($C15,'Proposed Rates'!$B:$J,J$11,FALSE),0)</f>
        <v>14946.93</v>
      </c>
      <c r="K15" s="409">
        <f t="shared" ref="K15:K28" si="3">IF($D15="Monthly",1,IF($D15="per KW",$F$10,IF($D15="per kWh",$F$9,0)))</f>
        <v>1</v>
      </c>
      <c r="L15" s="394">
        <f t="shared" ref="L15:L28" si="4">K15*J15</f>
        <v>14946.93</v>
      </c>
      <c r="M15" s="138"/>
      <c r="N15" s="395">
        <f t="shared" ref="N15:N46" si="5">L15-H15</f>
        <v>0</v>
      </c>
      <c r="O15" s="396">
        <f t="shared" ref="O15:O46" si="6">IF((H15)=0,"",(N15/H15))</f>
        <v>0</v>
      </c>
      <c r="P15" s="53"/>
      <c r="Q15" s="391">
        <f>IFERROR(VLOOKUP($C15,'Proposed Rates'!$B:$J,Q$11,FALSE),0)</f>
        <v>14946.93</v>
      </c>
      <c r="R15" s="409">
        <f t="shared" ref="R15:R28" si="7">IF($D15="Monthly",1,IF($D15="per KW",$F$10,IF($D15="per kWh",$F$9,0)))</f>
        <v>1</v>
      </c>
      <c r="S15" s="394">
        <f t="shared" ref="S15:S28" si="8">R15*Q15</f>
        <v>14946.93</v>
      </c>
      <c r="T15" s="138"/>
      <c r="U15" s="395">
        <f t="shared" ref="U15:U46" si="9">S15-L15</f>
        <v>0</v>
      </c>
      <c r="V15" s="396">
        <f t="shared" ref="V15:V46" si="10">IF((L15)=0,"",(U15/L15))</f>
        <v>0</v>
      </c>
      <c r="W15" s="53"/>
      <c r="X15" s="391">
        <f>IFERROR(VLOOKUP($C15,'Proposed Rates'!$B:$J,X$11,FALSE),0)</f>
        <v>14946.93</v>
      </c>
      <c r="Y15" s="409">
        <f t="shared" ref="Y15:Y28" si="11">IF($D15="Monthly",1,IF($D15="per KW",$F$10,IF($D15="per kWh",$F$9,0)))</f>
        <v>1</v>
      </c>
      <c r="Z15" s="394">
        <f t="shared" ref="Z15:Z28" si="12">Y15*X15</f>
        <v>14946.93</v>
      </c>
      <c r="AA15" s="138"/>
      <c r="AB15" s="395">
        <f t="shared" ref="AB15:AB46" si="13">Z15-S15</f>
        <v>0</v>
      </c>
      <c r="AC15" s="396">
        <f t="shared" ref="AC15:AC46" si="14">IF((S15)=0,"",(AB15/S15))</f>
        <v>0</v>
      </c>
      <c r="AD15" s="53"/>
      <c r="AE15" s="391">
        <f>IFERROR(VLOOKUP($C15,'Proposed Rates'!$B:$J,AE$11,FALSE),0)</f>
        <v>14946.93</v>
      </c>
      <c r="AF15" s="409">
        <f t="shared" ref="AF15:AF28" si="15">IF($D15="Monthly",1,IF($D15="per KW",$F$10,IF($D15="per kWh",$F$9,0)))</f>
        <v>1</v>
      </c>
      <c r="AG15" s="394">
        <f t="shared" ref="AG15:AG28" si="16">AF15*AE15</f>
        <v>14946.93</v>
      </c>
      <c r="AH15" s="138"/>
      <c r="AI15" s="395">
        <f t="shared" ref="AI15:AI46" si="17">AG15-Z15</f>
        <v>0</v>
      </c>
      <c r="AJ15" s="396">
        <f t="shared" ref="AJ15:AJ46" si="18">IF((Z15)=0,"",(AI15/Z15))</f>
        <v>0</v>
      </c>
      <c r="AK15" s="53"/>
      <c r="AL15" s="391">
        <f>IFERROR(VLOOKUP($C15,'Proposed Rates'!$B:$J,AL$11,FALSE),0)</f>
        <v>14946.93</v>
      </c>
      <c r="AM15" s="409">
        <f t="shared" ref="AM15:AM28" si="19">IF($D15="Monthly",1,IF($D15="per KW",$F$10,IF($D15="per kWh",$F$9,0)))</f>
        <v>1</v>
      </c>
      <c r="AN15" s="394">
        <f t="shared" ref="AN15:AN28" si="20">AM15*AL15</f>
        <v>14946.93</v>
      </c>
      <c r="AO15" s="138"/>
      <c r="AP15" s="395">
        <f t="shared" ref="AP15:AP46" si="21">AN15-AG15</f>
        <v>0</v>
      </c>
      <c r="AQ15" s="396">
        <f t="shared" ref="AQ15:AQ46" si="22">IF((AG15)=0,"",(AP15/AG15))</f>
        <v>0</v>
      </c>
      <c r="AR15" s="397"/>
    </row>
    <row r="16" spans="1:44" ht="12.75" customHeight="1">
      <c r="A16" s="53"/>
      <c r="B16" s="328" t="s">
        <v>336</v>
      </c>
      <c r="C16" s="389" t="str">
        <f t="shared" si="0"/>
        <v>Large User.Smart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row>
    <row r="17" spans="1:44" ht="12.75" customHeight="1">
      <c r="A17" s="53"/>
      <c r="B17" s="398" t="str">
        <f>'Proposed Rates'!C115</f>
        <v>Rate Rider Calculation for Forgone Revenue - variable</v>
      </c>
      <c r="C17" s="389" t="str">
        <f t="shared" si="0"/>
        <v>Large User.Rate Rider Calculation for Forgone Revenue - variable</v>
      </c>
      <c r="D17" s="390" t="s">
        <v>406</v>
      </c>
      <c r="E17" s="328"/>
      <c r="F17" s="391">
        <f>IFERROR(VLOOKUP($C17,'Proposed Rates'!$B:$J,F$11,FALSE),0)</f>
        <v>0</v>
      </c>
      <c r="G17" s="409">
        <f t="shared" si="1"/>
        <v>10000</v>
      </c>
      <c r="H17" s="394">
        <f t="shared" si="2"/>
        <v>0</v>
      </c>
      <c r="I17" s="138"/>
      <c r="J17" s="391">
        <f>IFERROR(VLOOKUP($C17,'Proposed Rates'!$B:$J,J$11,FALSE),0)</f>
        <v>0.76329999999999998</v>
      </c>
      <c r="K17" s="409">
        <f t="shared" si="3"/>
        <v>10000</v>
      </c>
      <c r="L17" s="394">
        <f t="shared" si="4"/>
        <v>7633</v>
      </c>
      <c r="M17" s="138"/>
      <c r="N17" s="395">
        <f t="shared" si="5"/>
        <v>7633</v>
      </c>
      <c r="O17" s="396" t="str">
        <f t="shared" si="6"/>
        <v/>
      </c>
      <c r="P17" s="53"/>
      <c r="Q17" s="391">
        <f>IFERROR(VLOOKUP($C17,'Proposed Rates'!$B:$J,Q$11,FALSE),0)</f>
        <v>0.76329999999999998</v>
      </c>
      <c r="R17" s="409">
        <f t="shared" si="7"/>
        <v>10000</v>
      </c>
      <c r="S17" s="394">
        <f t="shared" si="8"/>
        <v>7633</v>
      </c>
      <c r="T17" s="138"/>
      <c r="U17" s="395">
        <f t="shared" si="9"/>
        <v>0</v>
      </c>
      <c r="V17" s="396">
        <f t="shared" si="10"/>
        <v>0</v>
      </c>
      <c r="W17" s="53"/>
      <c r="X17" s="391">
        <f>IFERROR(VLOOKUP($C17,'Proposed Rates'!$B:$J,X$11,FALSE),0)</f>
        <v>0</v>
      </c>
      <c r="Y17" s="409">
        <f t="shared" si="11"/>
        <v>10000</v>
      </c>
      <c r="Z17" s="394">
        <f t="shared" si="12"/>
        <v>0</v>
      </c>
      <c r="AA17" s="138"/>
      <c r="AB17" s="395">
        <f t="shared" si="13"/>
        <v>-7633</v>
      </c>
      <c r="AC17" s="396">
        <f t="shared" si="14"/>
        <v>-1</v>
      </c>
      <c r="AD17" s="53"/>
      <c r="AE17" s="391">
        <f>IFERROR(VLOOKUP($C17,'Proposed Rates'!$B:$J,AE$11,FALSE),0)</f>
        <v>0</v>
      </c>
      <c r="AF17" s="409">
        <f t="shared" si="15"/>
        <v>10000</v>
      </c>
      <c r="AG17" s="394">
        <f t="shared" si="16"/>
        <v>0</v>
      </c>
      <c r="AH17" s="138"/>
      <c r="AI17" s="395">
        <f t="shared" si="17"/>
        <v>0</v>
      </c>
      <c r="AJ17" s="396" t="str">
        <f t="shared" si="18"/>
        <v/>
      </c>
      <c r="AK17" s="53"/>
      <c r="AL17" s="391">
        <f>IFERROR(VLOOKUP($C17,'Proposed Rates'!$B:$J,AL$11,FALSE),0)</f>
        <v>0</v>
      </c>
      <c r="AM17" s="409">
        <f t="shared" si="19"/>
        <v>10000</v>
      </c>
      <c r="AN17" s="394">
        <f t="shared" si="20"/>
        <v>0</v>
      </c>
      <c r="AO17" s="138"/>
      <c r="AP17" s="395">
        <f t="shared" si="21"/>
        <v>0</v>
      </c>
      <c r="AQ17" s="396" t="str">
        <f t="shared" si="22"/>
        <v/>
      </c>
      <c r="AR17" s="397"/>
    </row>
    <row r="18" spans="1:44" ht="12.75" customHeight="1">
      <c r="A18" s="53"/>
      <c r="B18" s="398" t="str">
        <f>'Proposed Rates'!C128</f>
        <v>Rate Rider Calculation for Forgone Revenue - fixed</v>
      </c>
      <c r="C18" s="389" t="str">
        <f t="shared" si="0"/>
        <v>Large User.Rate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-44.07</v>
      </c>
      <c r="K18" s="409">
        <f t="shared" si="3"/>
        <v>1</v>
      </c>
      <c r="L18" s="394">
        <f t="shared" si="4"/>
        <v>-44.07</v>
      </c>
      <c r="M18" s="138"/>
      <c r="N18" s="395">
        <f t="shared" si="5"/>
        <v>-44.07</v>
      </c>
      <c r="O18" s="396" t="str">
        <f t="shared" si="6"/>
        <v/>
      </c>
      <c r="P18" s="53"/>
      <c r="Q18" s="391">
        <f>IFERROR(VLOOKUP($C18,'Proposed Rates'!$B:$J,Q$11,FALSE),0)</f>
        <v>-44.07</v>
      </c>
      <c r="R18" s="409">
        <f t="shared" si="7"/>
        <v>1</v>
      </c>
      <c r="S18" s="394">
        <f t="shared" si="8"/>
        <v>-44.07</v>
      </c>
      <c r="T18" s="138"/>
      <c r="U18" s="395">
        <f t="shared" si="9"/>
        <v>0</v>
      </c>
      <c r="V18" s="396">
        <f t="shared" si="10"/>
        <v>0</v>
      </c>
      <c r="W18" s="53"/>
      <c r="X18" s="391">
        <f>IFERROR(VLOOKUP($C18,'Proposed Rates'!$B:$J,X$11,FALSE),0)</f>
        <v>0</v>
      </c>
      <c r="Y18" s="409">
        <f t="shared" si="11"/>
        <v>1</v>
      </c>
      <c r="Z18" s="394">
        <f t="shared" si="12"/>
        <v>0</v>
      </c>
      <c r="AA18" s="138"/>
      <c r="AB18" s="395">
        <f t="shared" si="13"/>
        <v>44.07</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row>
    <row r="19" spans="1:44" ht="12.75" customHeight="1">
      <c r="A19" s="53"/>
      <c r="B19" s="328" t="s">
        <v>62</v>
      </c>
      <c r="C19" s="389" t="str">
        <f t="shared" si="0"/>
        <v>Large User.Distribution Volumetric Rate</v>
      </c>
      <c r="D19" s="390" t="s">
        <v>406</v>
      </c>
      <c r="E19" s="328"/>
      <c r="F19" s="408">
        <f>IFERROR(VLOOKUP($C19,'Proposed Rates'!$B:$J,F$11,FALSE),0)</f>
        <v>6.0316000000000001</v>
      </c>
      <c r="G19" s="409">
        <f t="shared" si="1"/>
        <v>10000</v>
      </c>
      <c r="H19" s="394">
        <f t="shared" si="2"/>
        <v>60316</v>
      </c>
      <c r="I19" s="138"/>
      <c r="J19" s="408">
        <f>IFERROR(VLOOKUP($C19,'Proposed Rates'!$B:$J,J$11,FALSE),0)</f>
        <v>7.9119000000000002</v>
      </c>
      <c r="K19" s="409">
        <f t="shared" si="3"/>
        <v>10000</v>
      </c>
      <c r="L19" s="394">
        <f t="shared" si="4"/>
        <v>79119</v>
      </c>
      <c r="M19" s="138"/>
      <c r="N19" s="395">
        <f t="shared" si="5"/>
        <v>18803</v>
      </c>
      <c r="O19" s="396">
        <f t="shared" si="6"/>
        <v>0.31174149479408447</v>
      </c>
      <c r="P19" s="53"/>
      <c r="Q19" s="408">
        <f>IFERROR(VLOOKUP($C19,'Proposed Rates'!$B:$J,Q$11,FALSE),0)</f>
        <v>8.4278999999999993</v>
      </c>
      <c r="R19" s="409">
        <f t="shared" si="7"/>
        <v>10000</v>
      </c>
      <c r="S19" s="394">
        <f t="shared" si="8"/>
        <v>84279</v>
      </c>
      <c r="T19" s="138"/>
      <c r="U19" s="395">
        <f t="shared" si="9"/>
        <v>5160</v>
      </c>
      <c r="V19" s="396">
        <f t="shared" si="10"/>
        <v>6.5218215599287144E-2</v>
      </c>
      <c r="W19" s="53"/>
      <c r="X19" s="408">
        <f>IFERROR(VLOOKUP($C19,'Proposed Rates'!$B:$J,X$11,FALSE),0)</f>
        <v>9.1717999999999993</v>
      </c>
      <c r="Y19" s="409">
        <f t="shared" si="11"/>
        <v>10000</v>
      </c>
      <c r="Z19" s="394">
        <f t="shared" si="12"/>
        <v>91718</v>
      </c>
      <c r="AA19" s="138"/>
      <c r="AB19" s="395">
        <f t="shared" si="13"/>
        <v>7439</v>
      </c>
      <c r="AC19" s="396">
        <f t="shared" si="14"/>
        <v>8.8266353421374247E-2</v>
      </c>
      <c r="AD19" s="53"/>
      <c r="AE19" s="408">
        <f>IFERROR(VLOOKUP($C19,'Proposed Rates'!$B:$J,AE$11,FALSE),0)</f>
        <v>10.085699999999999</v>
      </c>
      <c r="AF19" s="409">
        <f t="shared" si="15"/>
        <v>10000</v>
      </c>
      <c r="AG19" s="394">
        <f t="shared" si="16"/>
        <v>100856.99999999999</v>
      </c>
      <c r="AH19" s="138"/>
      <c r="AI19" s="395">
        <f t="shared" si="17"/>
        <v>9138.9999999999854</v>
      </c>
      <c r="AJ19" s="396">
        <f t="shared" si="18"/>
        <v>9.9642382084214498E-2</v>
      </c>
      <c r="AK19" s="53"/>
      <c r="AL19" s="408">
        <f>IFERROR(VLOOKUP($C19,'Proposed Rates'!$B:$J,AL$11,FALSE),0)</f>
        <v>10.8666</v>
      </c>
      <c r="AM19" s="409">
        <f t="shared" si="19"/>
        <v>10000</v>
      </c>
      <c r="AN19" s="394">
        <f t="shared" si="20"/>
        <v>108666</v>
      </c>
      <c r="AO19" s="138"/>
      <c r="AP19" s="395">
        <f t="shared" si="21"/>
        <v>7809.0000000000146</v>
      </c>
      <c r="AQ19" s="396">
        <f t="shared" si="22"/>
        <v>7.7426455278265416E-2</v>
      </c>
      <c r="AR19" s="397"/>
    </row>
    <row r="20" spans="1:44" ht="12.75" customHeight="1">
      <c r="A20" s="53"/>
      <c r="B20" s="328" t="s">
        <v>338</v>
      </c>
      <c r="C20" s="389" t="str">
        <f t="shared" si="0"/>
        <v>Large User.Smart Meter Disposition Rider</v>
      </c>
      <c r="D20" s="390" t="s">
        <v>337</v>
      </c>
      <c r="E20" s="328"/>
      <c r="F20" s="391">
        <f>IFERROR(VLOOKUP($C20,'Proposed Rates'!$B:$J,F$11,FALSE),0)</f>
        <v>0</v>
      </c>
      <c r="G20" s="409">
        <f t="shared" si="1"/>
        <v>4000000</v>
      </c>
      <c r="H20" s="394">
        <f t="shared" si="2"/>
        <v>0</v>
      </c>
      <c r="I20" s="138"/>
      <c r="J20" s="391">
        <f>IFERROR(VLOOKUP($C20,'Proposed Rates'!$B:$J,J$11,FALSE),0)</f>
        <v>0</v>
      </c>
      <c r="K20" s="409">
        <f t="shared" si="3"/>
        <v>4000000</v>
      </c>
      <c r="L20" s="394">
        <f t="shared" si="4"/>
        <v>0</v>
      </c>
      <c r="M20" s="138"/>
      <c r="N20" s="395">
        <f t="shared" si="5"/>
        <v>0</v>
      </c>
      <c r="O20" s="396" t="str">
        <f t="shared" si="6"/>
        <v/>
      </c>
      <c r="P20" s="53"/>
      <c r="Q20" s="391">
        <f>IFERROR(VLOOKUP($C20,'Proposed Rates'!$B:$J,Q$11,FALSE),0)</f>
        <v>0</v>
      </c>
      <c r="R20" s="409">
        <f t="shared" si="7"/>
        <v>4000000</v>
      </c>
      <c r="S20" s="394">
        <f t="shared" si="8"/>
        <v>0</v>
      </c>
      <c r="T20" s="138"/>
      <c r="U20" s="395">
        <f t="shared" si="9"/>
        <v>0</v>
      </c>
      <c r="V20" s="396" t="str">
        <f t="shared" si="10"/>
        <v/>
      </c>
      <c r="W20" s="53"/>
      <c r="X20" s="391">
        <f>IFERROR(VLOOKUP($C20,'Proposed Rates'!$B:$J,X$11,FALSE),0)</f>
        <v>0</v>
      </c>
      <c r="Y20" s="409">
        <f t="shared" si="11"/>
        <v>4000000</v>
      </c>
      <c r="Z20" s="394">
        <f t="shared" si="12"/>
        <v>0</v>
      </c>
      <c r="AA20" s="138"/>
      <c r="AB20" s="395">
        <f t="shared" si="13"/>
        <v>0</v>
      </c>
      <c r="AC20" s="396" t="str">
        <f t="shared" si="14"/>
        <v/>
      </c>
      <c r="AD20" s="53"/>
      <c r="AE20" s="391">
        <f>IFERROR(VLOOKUP($C20,'Proposed Rates'!$B:$J,AE$11,FALSE),0)</f>
        <v>0</v>
      </c>
      <c r="AF20" s="409">
        <f t="shared" si="15"/>
        <v>4000000</v>
      </c>
      <c r="AG20" s="394">
        <f t="shared" si="16"/>
        <v>0</v>
      </c>
      <c r="AH20" s="138"/>
      <c r="AI20" s="395">
        <f t="shared" si="17"/>
        <v>0</v>
      </c>
      <c r="AJ20" s="396" t="str">
        <f t="shared" si="18"/>
        <v/>
      </c>
      <c r="AK20" s="53"/>
      <c r="AL20" s="391">
        <f>IFERROR(VLOOKUP($C20,'Proposed Rates'!$B:$J,AL$11,FALSE),0)</f>
        <v>0</v>
      </c>
      <c r="AM20" s="409">
        <f t="shared" si="19"/>
        <v>4000000</v>
      </c>
      <c r="AN20" s="394">
        <f t="shared" si="20"/>
        <v>0</v>
      </c>
      <c r="AO20" s="138"/>
      <c r="AP20" s="395">
        <f t="shared" si="21"/>
        <v>0</v>
      </c>
      <c r="AQ20" s="396" t="str">
        <f t="shared" si="22"/>
        <v/>
      </c>
      <c r="AR20" s="397"/>
    </row>
    <row r="21" spans="1:44" ht="12.75" customHeight="1">
      <c r="A21" s="53"/>
      <c r="B21" s="328" t="s">
        <v>269</v>
      </c>
      <c r="C21" s="389" t="str">
        <f t="shared" si="0"/>
        <v>Large User.LRAM Rate Rider</v>
      </c>
      <c r="D21" s="390" t="s">
        <v>406</v>
      </c>
      <c r="E21" s="328"/>
      <c r="F21" s="408">
        <f>'Proposed Rates'!E81+'Proposed Rates'!E94</f>
        <v>0.2011</v>
      </c>
      <c r="G21" s="409">
        <f t="shared" si="1"/>
        <v>10000</v>
      </c>
      <c r="H21" s="394">
        <f t="shared" si="2"/>
        <v>2011</v>
      </c>
      <c r="I21" s="138"/>
      <c r="J21" s="408">
        <f>'Proposed Rates'!F81+'Proposed Rates'!F94</f>
        <v>-0.88629999999999998</v>
      </c>
      <c r="K21" s="409">
        <f t="shared" si="3"/>
        <v>10000</v>
      </c>
      <c r="L21" s="394">
        <f t="shared" si="4"/>
        <v>-8863</v>
      </c>
      <c r="M21" s="138"/>
      <c r="N21" s="395">
        <f t="shared" si="5"/>
        <v>-10874</v>
      </c>
      <c r="O21" s="396">
        <f t="shared" si="6"/>
        <v>-5.4072600696171058</v>
      </c>
      <c r="P21" s="53"/>
      <c r="Q21" s="408">
        <f>'Proposed Rates'!G81+'Proposed Rates'!G94</f>
        <v>0</v>
      </c>
      <c r="R21" s="409">
        <f t="shared" si="7"/>
        <v>10000</v>
      </c>
      <c r="S21" s="394">
        <f t="shared" si="8"/>
        <v>0</v>
      </c>
      <c r="T21" s="138"/>
      <c r="U21" s="395">
        <f t="shared" si="9"/>
        <v>8863</v>
      </c>
      <c r="V21" s="396">
        <f t="shared" si="10"/>
        <v>-1</v>
      </c>
      <c r="W21" s="53"/>
      <c r="X21" s="408">
        <f>IFERROR(VLOOKUP($C21,'Proposed Rates'!$B:$J,X$11,FALSE),0)</f>
        <v>0</v>
      </c>
      <c r="Y21" s="409">
        <f t="shared" si="11"/>
        <v>10000</v>
      </c>
      <c r="Z21" s="394">
        <f t="shared" si="12"/>
        <v>0</v>
      </c>
      <c r="AA21" s="138"/>
      <c r="AB21" s="395">
        <f t="shared" si="13"/>
        <v>0</v>
      </c>
      <c r="AC21" s="396" t="str">
        <f t="shared" si="14"/>
        <v/>
      </c>
      <c r="AD21" s="53"/>
      <c r="AE21" s="408">
        <f>IFERROR(VLOOKUP($C21,'Proposed Rates'!$B:$J,AE$11,FALSE),0)</f>
        <v>0</v>
      </c>
      <c r="AF21" s="409">
        <f t="shared" si="15"/>
        <v>10000</v>
      </c>
      <c r="AG21" s="394">
        <f t="shared" si="16"/>
        <v>0</v>
      </c>
      <c r="AH21" s="138"/>
      <c r="AI21" s="395">
        <f t="shared" si="17"/>
        <v>0</v>
      </c>
      <c r="AJ21" s="396" t="str">
        <f t="shared" si="18"/>
        <v/>
      </c>
      <c r="AK21" s="53"/>
      <c r="AL21" s="408">
        <f>IFERROR(VLOOKUP($C21,'Proposed Rates'!$B:$J,AL$11,FALSE),0)</f>
        <v>0</v>
      </c>
      <c r="AM21" s="409">
        <f t="shared" si="19"/>
        <v>10000</v>
      </c>
      <c r="AN21" s="394">
        <f t="shared" si="20"/>
        <v>0</v>
      </c>
      <c r="AO21" s="138"/>
      <c r="AP21" s="395">
        <f t="shared" si="21"/>
        <v>0</v>
      </c>
      <c r="AQ21" s="396" t="str">
        <f t="shared" si="22"/>
        <v/>
      </c>
      <c r="AR21" s="397"/>
    </row>
    <row r="22" spans="1:44" ht="12.75" customHeight="1">
      <c r="A22" s="53"/>
      <c r="B22" s="478" t="s">
        <v>265</v>
      </c>
      <c r="C22" s="389" t="str">
        <f t="shared" si="0"/>
        <v>Large User.Deferral/Variance Account Disposition Rate Rider Group 2</v>
      </c>
      <c r="D22" s="390" t="s">
        <v>406</v>
      </c>
      <c r="E22" s="328"/>
      <c r="F22" s="391">
        <f>IFERROR(VLOOKUP($C22,'Proposed Rates'!$B:$J,F$11,FALSE),0)</f>
        <v>0</v>
      </c>
      <c r="G22" s="409">
        <f t="shared" si="1"/>
        <v>10000</v>
      </c>
      <c r="H22" s="394">
        <f t="shared" si="2"/>
        <v>0</v>
      </c>
      <c r="I22" s="138"/>
      <c r="J22" s="391">
        <f>IFERROR(VLOOKUP($C22,'Proposed Rates'!$B:$J,J$11,FALSE),0)</f>
        <v>-0.30330000000000001</v>
      </c>
      <c r="K22" s="409">
        <f t="shared" si="3"/>
        <v>10000</v>
      </c>
      <c r="L22" s="394">
        <f t="shared" si="4"/>
        <v>-3033</v>
      </c>
      <c r="M22" s="138"/>
      <c r="N22" s="395">
        <f t="shared" si="5"/>
        <v>-3033</v>
      </c>
      <c r="O22" s="396" t="str">
        <f t="shared" si="6"/>
        <v/>
      </c>
      <c r="P22" s="53"/>
      <c r="Q22" s="391">
        <f>IFERROR(VLOOKUP($C22,'Proposed Rates'!$B:$J,Q$11,FALSE),0)</f>
        <v>0</v>
      </c>
      <c r="R22" s="409">
        <f t="shared" si="7"/>
        <v>10000</v>
      </c>
      <c r="S22" s="394">
        <f t="shared" si="8"/>
        <v>0</v>
      </c>
      <c r="T22" s="138"/>
      <c r="U22" s="395">
        <f t="shared" si="9"/>
        <v>3033</v>
      </c>
      <c r="V22" s="396">
        <f t="shared" si="10"/>
        <v>-1</v>
      </c>
      <c r="W22" s="53"/>
      <c r="X22" s="391">
        <f>IFERROR(VLOOKUP($C22,'Proposed Rates'!$B:$J,X$11,FALSE),0)</f>
        <v>0</v>
      </c>
      <c r="Y22" s="409">
        <f t="shared" si="11"/>
        <v>10000</v>
      </c>
      <c r="Z22" s="394">
        <f t="shared" si="12"/>
        <v>0</v>
      </c>
      <c r="AA22" s="138"/>
      <c r="AB22" s="395">
        <f t="shared" si="13"/>
        <v>0</v>
      </c>
      <c r="AC22" s="396" t="str">
        <f t="shared" si="14"/>
        <v/>
      </c>
      <c r="AD22" s="53"/>
      <c r="AE22" s="391">
        <f>IFERROR(VLOOKUP($C22,'Proposed Rates'!$B:$J,AE$11,FALSE),0)</f>
        <v>0</v>
      </c>
      <c r="AF22" s="409">
        <f t="shared" si="15"/>
        <v>10000</v>
      </c>
      <c r="AG22" s="394">
        <f t="shared" si="16"/>
        <v>0</v>
      </c>
      <c r="AH22" s="138"/>
      <c r="AI22" s="395">
        <f t="shared" si="17"/>
        <v>0</v>
      </c>
      <c r="AJ22" s="396" t="str">
        <f t="shared" si="18"/>
        <v/>
      </c>
      <c r="AK22" s="53"/>
      <c r="AL22" s="391">
        <f>IFERROR(VLOOKUP($C22,'Proposed Rates'!$B:$J,AL$11,FALSE),0)</f>
        <v>0</v>
      </c>
      <c r="AM22" s="409">
        <f t="shared" si="19"/>
        <v>10000</v>
      </c>
      <c r="AN22" s="394">
        <f t="shared" si="20"/>
        <v>0</v>
      </c>
      <c r="AO22" s="138"/>
      <c r="AP22" s="395">
        <f t="shared" si="21"/>
        <v>0</v>
      </c>
      <c r="AQ22" s="396" t="str">
        <f t="shared" si="22"/>
        <v/>
      </c>
      <c r="AR22" s="397"/>
    </row>
    <row r="23" spans="1:44" ht="12.75" customHeight="1">
      <c r="A23" s="53"/>
      <c r="B23" s="398"/>
      <c r="C23" s="389" t="str">
        <f t="shared" si="0"/>
        <v>Large User.</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row>
    <row r="24" spans="1:44" ht="12.75" customHeight="1">
      <c r="A24" s="53"/>
      <c r="B24" s="398"/>
      <c r="C24" s="389" t="str">
        <f t="shared" si="0"/>
        <v>Large User.</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row>
    <row r="25" spans="1:44" ht="12.75" customHeight="1">
      <c r="A25" s="53"/>
      <c r="B25" s="398"/>
      <c r="C25" s="389" t="str">
        <f t="shared" si="0"/>
        <v>Large User.</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row>
    <row r="26" spans="1:44" ht="12.75" customHeight="1">
      <c r="A26" s="53"/>
      <c r="B26" s="478"/>
      <c r="C26" s="389" t="str">
        <f t="shared" si="0"/>
        <v>Large User.</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row>
    <row r="27" spans="1:44" ht="12.75" customHeight="1">
      <c r="A27" s="53"/>
      <c r="B27" s="398"/>
      <c r="C27" s="389" t="str">
        <f t="shared" si="0"/>
        <v>Large User.</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row>
    <row r="28" spans="1:44" ht="12.75" customHeight="1">
      <c r="A28" s="53"/>
      <c r="B28" s="398"/>
      <c r="C28" s="389" t="str">
        <f t="shared" si="0"/>
        <v>Large User.</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row>
    <row r="29" spans="1:44" ht="12.75" customHeight="1">
      <c r="A29" s="314"/>
      <c r="B29" s="399" t="s">
        <v>339</v>
      </c>
      <c r="C29" s="551"/>
      <c r="D29" s="400"/>
      <c r="E29" s="400"/>
      <c r="F29" s="401"/>
      <c r="G29" s="494"/>
      <c r="H29" s="403">
        <f>SUM(H15:H28)</f>
        <v>77273.929999999993</v>
      </c>
      <c r="I29" s="404"/>
      <c r="J29" s="401"/>
      <c r="K29" s="494"/>
      <c r="L29" s="403">
        <f>SUM(L15:L28)</f>
        <v>89758.86</v>
      </c>
      <c r="M29" s="404"/>
      <c r="N29" s="405">
        <f t="shared" si="5"/>
        <v>12484.930000000008</v>
      </c>
      <c r="O29" s="406">
        <f t="shared" si="6"/>
        <v>0.16156716760749723</v>
      </c>
      <c r="P29" s="314"/>
      <c r="Q29" s="401"/>
      <c r="R29" s="494"/>
      <c r="S29" s="403">
        <f>SUM(S15:S28)</f>
        <v>106814.86</v>
      </c>
      <c r="T29" s="404"/>
      <c r="U29" s="405">
        <f t="shared" si="9"/>
        <v>17056</v>
      </c>
      <c r="V29" s="406">
        <f t="shared" si="10"/>
        <v>0.19002023867058918</v>
      </c>
      <c r="W29" s="314"/>
      <c r="X29" s="401"/>
      <c r="Y29" s="494"/>
      <c r="Z29" s="403">
        <f>SUM(Z15:Z28)</f>
        <v>106664.93</v>
      </c>
      <c r="AA29" s="404"/>
      <c r="AB29" s="405">
        <f t="shared" si="13"/>
        <v>-149.93000000000757</v>
      </c>
      <c r="AC29" s="406">
        <f t="shared" si="14"/>
        <v>-1.4036436503311203E-3</v>
      </c>
      <c r="AD29" s="314"/>
      <c r="AE29" s="401"/>
      <c r="AF29" s="494"/>
      <c r="AG29" s="403">
        <f>SUM(AG15:AG28)</f>
        <v>115803.93</v>
      </c>
      <c r="AH29" s="404"/>
      <c r="AI29" s="405">
        <f t="shared" si="17"/>
        <v>9139</v>
      </c>
      <c r="AJ29" s="406">
        <f t="shared" si="18"/>
        <v>8.5679519969684509E-2</v>
      </c>
      <c r="AK29" s="314"/>
      <c r="AL29" s="401"/>
      <c r="AM29" s="494"/>
      <c r="AN29" s="403">
        <f>SUM(AN15:AN28)</f>
        <v>123612.93</v>
      </c>
      <c r="AO29" s="404"/>
      <c r="AP29" s="405">
        <f t="shared" si="21"/>
        <v>7809</v>
      </c>
      <c r="AQ29" s="406">
        <f t="shared" si="22"/>
        <v>6.7432944633226188E-2</v>
      </c>
      <c r="AR29" s="407"/>
    </row>
    <row r="30" spans="1:44" ht="12.75" customHeight="1">
      <c r="A30" s="53"/>
      <c r="B30" s="398" t="s">
        <v>262</v>
      </c>
      <c r="C30" s="389" t="str">
        <f t="shared" ref="C30:C38" si="23">D$6&amp;"."&amp;B30</f>
        <v>Large User.DVA Disposition Rate Rider Group 1 -2025</v>
      </c>
      <c r="D30" s="390" t="s">
        <v>406</v>
      </c>
      <c r="E30" s="328"/>
      <c r="F30" s="408">
        <f>IFERROR(VLOOKUP($C30,'Proposed Rates'!$B:$J,F$11,FALSE),0)</f>
        <v>6.3399999999999998E-2</v>
      </c>
      <c r="G30" s="409">
        <f t="shared" ref="G30:G36" si="24">IF($D30="Monthly",1,IF($D30="per KW",$F$10,IF($D30="per kWh",$F$9,0)))</f>
        <v>10000</v>
      </c>
      <c r="H30" s="394">
        <f t="shared" ref="H30:H38" si="25">G30*F30</f>
        <v>634</v>
      </c>
      <c r="I30" s="138"/>
      <c r="J30" s="408">
        <f>IFERROR(VLOOKUP($C30,'Proposed Rates'!$B:$J,J$11,FALSE),0)</f>
        <v>-0.4773</v>
      </c>
      <c r="K30" s="409">
        <f t="shared" ref="K30:K36" si="26">IF($D30="Monthly",1,IF($D30="per KW",$F$10,IF($D30="per kWh",$F$9,0)))</f>
        <v>10000</v>
      </c>
      <c r="L30" s="394">
        <f t="shared" ref="L30:L38" si="27">K30*J30</f>
        <v>-4773</v>
      </c>
      <c r="M30" s="138"/>
      <c r="N30" s="395">
        <f t="shared" si="5"/>
        <v>-5407</v>
      </c>
      <c r="O30" s="396">
        <f t="shared" si="6"/>
        <v>-8.5283911671924297</v>
      </c>
      <c r="P30" s="53"/>
      <c r="Q30" s="408">
        <f>IFERROR(VLOOKUP($C30,'Proposed Rates'!$B:$J,Q$11,FALSE),0)</f>
        <v>0</v>
      </c>
      <c r="R30" s="409">
        <f t="shared" ref="R30:R36" si="28">IF($D30="Monthly",1,IF($D30="per KW",$F$10,IF($D30="per kWh",$F$9,0)))</f>
        <v>10000</v>
      </c>
      <c r="S30" s="394">
        <f t="shared" ref="S30:S38" si="29">R30*Q30</f>
        <v>0</v>
      </c>
      <c r="T30" s="138"/>
      <c r="U30" s="395">
        <f t="shared" si="9"/>
        <v>4773</v>
      </c>
      <c r="V30" s="396">
        <f t="shared" si="10"/>
        <v>-1</v>
      </c>
      <c r="W30" s="53"/>
      <c r="X30" s="408">
        <f>IFERROR(VLOOKUP($C30,'Proposed Rates'!$B:$J,X$11,FALSE),0)</f>
        <v>0</v>
      </c>
      <c r="Y30" s="409">
        <f t="shared" ref="Y30:Y36" si="30">IF($D30="Monthly",1,IF($D30="per KW",$F$10,IF($D30="per kWh",$F$9,0)))</f>
        <v>10000</v>
      </c>
      <c r="Z30" s="394">
        <f t="shared" ref="Z30:Z38" si="31">Y30*X30</f>
        <v>0</v>
      </c>
      <c r="AA30" s="138"/>
      <c r="AB30" s="395">
        <f t="shared" si="13"/>
        <v>0</v>
      </c>
      <c r="AC30" s="396" t="str">
        <f t="shared" si="14"/>
        <v/>
      </c>
      <c r="AD30" s="53"/>
      <c r="AE30" s="408">
        <f>IFERROR(VLOOKUP($C30,'Proposed Rates'!$B:$J,AE$11,FALSE),0)</f>
        <v>0</v>
      </c>
      <c r="AF30" s="409">
        <f t="shared" ref="AF30:AF36" si="32">IF($D30="Monthly",1,IF($D30="per KW",$F$10,IF($D30="per kWh",$F$9,0)))</f>
        <v>10000</v>
      </c>
      <c r="AG30" s="394">
        <f t="shared" ref="AG30:AG38" si="33">AF30*AE30</f>
        <v>0</v>
      </c>
      <c r="AH30" s="138"/>
      <c r="AI30" s="395">
        <f t="shared" si="17"/>
        <v>0</v>
      </c>
      <c r="AJ30" s="396" t="str">
        <f t="shared" si="18"/>
        <v/>
      </c>
      <c r="AK30" s="53"/>
      <c r="AL30" s="408">
        <f>IFERROR(VLOOKUP($C30,'Proposed Rates'!$B:$J,AL$11,FALSE),0)</f>
        <v>0</v>
      </c>
      <c r="AM30" s="409">
        <f t="shared" ref="AM30:AM36" si="34">IF($D30="Monthly",1,IF($D30="per KW",$F$10,IF($D30="per kWh",$F$9,0)))</f>
        <v>10000</v>
      </c>
      <c r="AN30" s="394">
        <f t="shared" ref="AN30:AN38" si="35">AM30*AL30</f>
        <v>0</v>
      </c>
      <c r="AO30" s="138"/>
      <c r="AP30" s="395">
        <f t="shared" si="21"/>
        <v>0</v>
      </c>
      <c r="AQ30" s="396" t="str">
        <f t="shared" si="22"/>
        <v/>
      </c>
      <c r="AR30" s="397"/>
    </row>
    <row r="31" spans="1:44" ht="12.75" customHeight="1">
      <c r="A31" s="53"/>
      <c r="B31" s="478" t="s">
        <v>264</v>
      </c>
      <c r="C31" s="389" t="str">
        <f t="shared" si="23"/>
        <v>Large User.DVA Disposition Rate Rider Group 1 - 2024</v>
      </c>
      <c r="D31" s="390" t="s">
        <v>406</v>
      </c>
      <c r="E31" s="328"/>
      <c r="F31" s="391">
        <f>IFERROR(VLOOKUP($C31,'Proposed Rates'!$B:$J,F$11,FALSE),0)</f>
        <v>0</v>
      </c>
      <c r="G31" s="409">
        <f t="shared" si="24"/>
        <v>10000</v>
      </c>
      <c r="H31" s="394">
        <f t="shared" si="25"/>
        <v>0</v>
      </c>
      <c r="I31" s="138"/>
      <c r="J31" s="391">
        <f>IFERROR(VLOOKUP($C31,'Proposed Rates'!$B:$J,J$11,FALSE),0)</f>
        <v>0</v>
      </c>
      <c r="K31" s="409">
        <f t="shared" si="26"/>
        <v>10000</v>
      </c>
      <c r="L31" s="394">
        <f t="shared" si="27"/>
        <v>0</v>
      </c>
      <c r="M31" s="138"/>
      <c r="N31" s="395">
        <f t="shared" si="5"/>
        <v>0</v>
      </c>
      <c r="O31" s="396" t="str">
        <f t="shared" si="6"/>
        <v/>
      </c>
      <c r="P31" s="53"/>
      <c r="Q31" s="391">
        <f>IFERROR(VLOOKUP($C31,'Proposed Rates'!$B:$J,Q$11,FALSE),0)</f>
        <v>0</v>
      </c>
      <c r="R31" s="409">
        <f t="shared" si="28"/>
        <v>10000</v>
      </c>
      <c r="S31" s="394">
        <f t="shared" si="29"/>
        <v>0</v>
      </c>
      <c r="T31" s="138"/>
      <c r="U31" s="395">
        <f t="shared" si="9"/>
        <v>0</v>
      </c>
      <c r="V31" s="396" t="str">
        <f t="shared" si="10"/>
        <v/>
      </c>
      <c r="W31" s="53"/>
      <c r="X31" s="391">
        <f>IFERROR(VLOOKUP($C31,'Proposed Rates'!$B:$J,X$11,FALSE),0)</f>
        <v>0</v>
      </c>
      <c r="Y31" s="409">
        <f t="shared" si="30"/>
        <v>10000</v>
      </c>
      <c r="Z31" s="394">
        <f t="shared" si="31"/>
        <v>0</v>
      </c>
      <c r="AA31" s="138"/>
      <c r="AB31" s="395">
        <f t="shared" si="13"/>
        <v>0</v>
      </c>
      <c r="AC31" s="396" t="str">
        <f t="shared" si="14"/>
        <v/>
      </c>
      <c r="AD31" s="53"/>
      <c r="AE31" s="391">
        <f>IFERROR(VLOOKUP($C31,'Proposed Rates'!$B:$J,AE$11,FALSE),0)</f>
        <v>0</v>
      </c>
      <c r="AF31" s="409">
        <f t="shared" si="32"/>
        <v>10000</v>
      </c>
      <c r="AG31" s="394">
        <f t="shared" si="33"/>
        <v>0</v>
      </c>
      <c r="AH31" s="138"/>
      <c r="AI31" s="395">
        <f t="shared" si="17"/>
        <v>0</v>
      </c>
      <c r="AJ31" s="396" t="str">
        <f t="shared" si="18"/>
        <v/>
      </c>
      <c r="AK31" s="53"/>
      <c r="AL31" s="391">
        <f>IFERROR(VLOOKUP($C31,'Proposed Rates'!$B:$J,AL$11,FALSE),0)</f>
        <v>0</v>
      </c>
      <c r="AM31" s="409">
        <f t="shared" si="34"/>
        <v>10000</v>
      </c>
      <c r="AN31" s="394">
        <f t="shared" si="35"/>
        <v>0</v>
      </c>
      <c r="AO31" s="138"/>
      <c r="AP31" s="395">
        <f t="shared" si="21"/>
        <v>0</v>
      </c>
      <c r="AQ31" s="396" t="str">
        <f t="shared" si="22"/>
        <v/>
      </c>
      <c r="AR31" s="397"/>
    </row>
    <row r="32" spans="1:44" ht="12.75" customHeight="1">
      <c r="A32" s="53"/>
      <c r="B32" s="478" t="s">
        <v>272</v>
      </c>
      <c r="C32" s="389" t="str">
        <f t="shared" si="23"/>
        <v>Large User.CBR Class B Rate Riders</v>
      </c>
      <c r="D32" s="390" t="s">
        <v>337</v>
      </c>
      <c r="E32" s="328"/>
      <c r="F32" s="408">
        <f>IFERROR(VLOOKUP($C32,'Proposed Rates'!$B:$J,F$11,FALSE),0)</f>
        <v>2.0000000000000001E-4</v>
      </c>
      <c r="G32" s="409">
        <f t="shared" si="24"/>
        <v>4000000</v>
      </c>
      <c r="H32" s="394">
        <f t="shared" si="25"/>
        <v>800</v>
      </c>
      <c r="I32" s="479"/>
      <c r="J32" s="408">
        <f>IFERROR(VLOOKUP($C32,'Proposed Rates'!$B:$J,J$11,FALSE),0)</f>
        <v>8.9999999999999998E-4</v>
      </c>
      <c r="K32" s="409">
        <f t="shared" si="26"/>
        <v>4000000</v>
      </c>
      <c r="L32" s="394">
        <f t="shared" si="27"/>
        <v>3600</v>
      </c>
      <c r="M32" s="411"/>
      <c r="N32" s="395">
        <f t="shared" si="5"/>
        <v>2800</v>
      </c>
      <c r="O32" s="396">
        <f t="shared" si="6"/>
        <v>3.5</v>
      </c>
      <c r="P32" s="53"/>
      <c r="Q32" s="408">
        <f>IFERROR(VLOOKUP($C32,'Proposed Rates'!$B:$J,Q$11,FALSE),0)</f>
        <v>0</v>
      </c>
      <c r="R32" s="409">
        <f t="shared" si="28"/>
        <v>4000000</v>
      </c>
      <c r="S32" s="394">
        <f t="shared" si="29"/>
        <v>0</v>
      </c>
      <c r="T32" s="411"/>
      <c r="U32" s="395">
        <f t="shared" si="9"/>
        <v>-3600</v>
      </c>
      <c r="V32" s="396">
        <f t="shared" si="10"/>
        <v>-1</v>
      </c>
      <c r="W32" s="53"/>
      <c r="X32" s="408">
        <f>IFERROR(VLOOKUP($C32,'Proposed Rates'!$B:$J,X$11,FALSE),0)</f>
        <v>0</v>
      </c>
      <c r="Y32" s="409">
        <f t="shared" si="30"/>
        <v>4000000</v>
      </c>
      <c r="Z32" s="394">
        <f t="shared" si="31"/>
        <v>0</v>
      </c>
      <c r="AA32" s="138"/>
      <c r="AB32" s="395">
        <f t="shared" si="13"/>
        <v>0</v>
      </c>
      <c r="AC32" s="396" t="str">
        <f t="shared" si="14"/>
        <v/>
      </c>
      <c r="AD32" s="53"/>
      <c r="AE32" s="408">
        <f>IFERROR(VLOOKUP($C32,'Proposed Rates'!$B:$J,AE$11,FALSE),0)</f>
        <v>0</v>
      </c>
      <c r="AF32" s="409">
        <f t="shared" si="32"/>
        <v>4000000</v>
      </c>
      <c r="AG32" s="394">
        <f t="shared" si="33"/>
        <v>0</v>
      </c>
      <c r="AH32" s="138"/>
      <c r="AI32" s="395">
        <f t="shared" si="17"/>
        <v>0</v>
      </c>
      <c r="AJ32" s="396" t="str">
        <f t="shared" si="18"/>
        <v/>
      </c>
      <c r="AK32" s="53"/>
      <c r="AL32" s="408">
        <f>IFERROR(VLOOKUP($C32,'Proposed Rates'!$B:$J,AL$11,FALSE),0)</f>
        <v>0</v>
      </c>
      <c r="AM32" s="409">
        <f t="shared" si="34"/>
        <v>4000000</v>
      </c>
      <c r="AN32" s="394">
        <f t="shared" si="35"/>
        <v>0</v>
      </c>
      <c r="AO32" s="411"/>
      <c r="AP32" s="395">
        <f t="shared" si="21"/>
        <v>0</v>
      </c>
      <c r="AQ32" s="396" t="str">
        <f t="shared" si="22"/>
        <v/>
      </c>
      <c r="AR32" s="397"/>
    </row>
    <row r="33" spans="1:44" ht="12.75" customHeight="1">
      <c r="A33" s="53"/>
      <c r="B33" s="478" t="s">
        <v>279</v>
      </c>
      <c r="C33" s="389" t="str">
        <f t="shared" si="23"/>
        <v>Large User.GA Rate Riders</v>
      </c>
      <c r="D33" s="390" t="s">
        <v>337</v>
      </c>
      <c r="E33" s="328"/>
      <c r="F33" s="408">
        <f>IFERROR(VLOOKUP($C33,'Proposed Rates'!$B:$J,F$11,FALSE),0)</f>
        <v>3.8999999999999998E-3</v>
      </c>
      <c r="G33" s="409">
        <f t="shared" si="24"/>
        <v>4000000</v>
      </c>
      <c r="H33" s="394">
        <f t="shared" si="25"/>
        <v>15600</v>
      </c>
      <c r="I33" s="479"/>
      <c r="J33" s="408">
        <f>IFERROR(VLOOKUP($C33,'Proposed Rates'!$B:$J,J$11,FALSE),0)</f>
        <v>4.3E-3</v>
      </c>
      <c r="K33" s="409">
        <f t="shared" si="26"/>
        <v>4000000</v>
      </c>
      <c r="L33" s="394">
        <f t="shared" si="27"/>
        <v>17200</v>
      </c>
      <c r="M33" s="411"/>
      <c r="N33" s="395">
        <f t="shared" si="5"/>
        <v>1600</v>
      </c>
      <c r="O33" s="396">
        <f t="shared" si="6"/>
        <v>0.10256410256410256</v>
      </c>
      <c r="P33" s="53"/>
      <c r="Q33" s="408">
        <f>IFERROR(VLOOKUP($C33,'Proposed Rates'!$B:$J,Q$11,FALSE),0)</f>
        <v>4.3E-3</v>
      </c>
      <c r="R33" s="409">
        <f t="shared" si="28"/>
        <v>4000000</v>
      </c>
      <c r="S33" s="394">
        <f t="shared" si="29"/>
        <v>17200</v>
      </c>
      <c r="T33" s="411"/>
      <c r="U33" s="395">
        <f t="shared" si="9"/>
        <v>0</v>
      </c>
      <c r="V33" s="396">
        <f t="shared" si="10"/>
        <v>0</v>
      </c>
      <c r="W33" s="53"/>
      <c r="X33" s="408">
        <f>IFERROR(VLOOKUP($C33,'Proposed Rates'!$B:$J,X$11,FALSE),0)</f>
        <v>0</v>
      </c>
      <c r="Y33" s="409">
        <f t="shared" si="30"/>
        <v>4000000</v>
      </c>
      <c r="Z33" s="394">
        <f t="shared" si="31"/>
        <v>0</v>
      </c>
      <c r="AA33" s="411"/>
      <c r="AB33" s="395">
        <f t="shared" si="13"/>
        <v>-17200</v>
      </c>
      <c r="AC33" s="396">
        <f t="shared" si="14"/>
        <v>-1</v>
      </c>
      <c r="AD33" s="53"/>
      <c r="AE33" s="408">
        <f>IFERROR(VLOOKUP($C33,'Proposed Rates'!$B:$J,AE$11,FALSE),0)</f>
        <v>0</v>
      </c>
      <c r="AF33" s="409">
        <f t="shared" si="32"/>
        <v>4000000</v>
      </c>
      <c r="AG33" s="394">
        <f t="shared" si="33"/>
        <v>0</v>
      </c>
      <c r="AH33" s="411"/>
      <c r="AI33" s="395">
        <f t="shared" si="17"/>
        <v>0</v>
      </c>
      <c r="AJ33" s="396" t="str">
        <f t="shared" si="18"/>
        <v/>
      </c>
      <c r="AK33" s="53"/>
      <c r="AL33" s="408">
        <f>IFERROR(VLOOKUP($C33,'Proposed Rates'!$B:$J,AL$11,FALSE),0)</f>
        <v>0</v>
      </c>
      <c r="AM33" s="409">
        <f t="shared" si="34"/>
        <v>4000000</v>
      </c>
      <c r="AN33" s="394">
        <f t="shared" si="35"/>
        <v>0</v>
      </c>
      <c r="AO33" s="411"/>
      <c r="AP33" s="395">
        <f t="shared" si="21"/>
        <v>0</v>
      </c>
      <c r="AQ33" s="396" t="str">
        <f t="shared" si="22"/>
        <v/>
      </c>
      <c r="AR33" s="397"/>
    </row>
    <row r="34" spans="1:44" ht="12.75" customHeight="1">
      <c r="A34" s="53"/>
      <c r="B34" s="478" t="s">
        <v>282</v>
      </c>
      <c r="C34" s="389" t="str">
        <f t="shared" si="23"/>
        <v>Large User.Total Deferral/Variance Account Rate RidersYr2</v>
      </c>
      <c r="D34" s="390" t="s">
        <v>406</v>
      </c>
      <c r="E34" s="328"/>
      <c r="F34" s="391">
        <f>IFERROR(VLOOKUP($C34,'Proposed Rates'!$B:$J,F$11,FALSE),0)</f>
        <v>0</v>
      </c>
      <c r="G34" s="409">
        <f t="shared" si="24"/>
        <v>10000</v>
      </c>
      <c r="H34" s="394">
        <f t="shared" si="25"/>
        <v>0</v>
      </c>
      <c r="I34" s="479"/>
      <c r="J34" s="391">
        <f>IFERROR(VLOOKUP($C34,'Proposed Rates'!$B:$J,J$11,FALSE),0)</f>
        <v>0</v>
      </c>
      <c r="K34" s="409">
        <f t="shared" si="26"/>
        <v>10000</v>
      </c>
      <c r="L34" s="394">
        <f t="shared" si="27"/>
        <v>0</v>
      </c>
      <c r="M34" s="411"/>
      <c r="N34" s="395">
        <f t="shared" si="5"/>
        <v>0</v>
      </c>
      <c r="O34" s="396" t="str">
        <f t="shared" si="6"/>
        <v/>
      </c>
      <c r="P34" s="53"/>
      <c r="Q34" s="391">
        <f>IFERROR(VLOOKUP($C34,'Proposed Rates'!$B:$J,Q$11,FALSE),0)</f>
        <v>0</v>
      </c>
      <c r="R34" s="409">
        <f t="shared" si="28"/>
        <v>10000</v>
      </c>
      <c r="S34" s="394">
        <f t="shared" si="29"/>
        <v>0</v>
      </c>
      <c r="T34" s="411"/>
      <c r="U34" s="395">
        <f t="shared" si="9"/>
        <v>0</v>
      </c>
      <c r="V34" s="396" t="str">
        <f t="shared" si="10"/>
        <v/>
      </c>
      <c r="W34" s="53"/>
      <c r="X34" s="391">
        <f>IFERROR(VLOOKUP($C34,'Proposed Rates'!$B:$J,X$11,FALSE),0)</f>
        <v>0</v>
      </c>
      <c r="Y34" s="409">
        <f t="shared" si="30"/>
        <v>10000</v>
      </c>
      <c r="Z34" s="394">
        <f t="shared" si="31"/>
        <v>0</v>
      </c>
      <c r="AA34" s="411"/>
      <c r="AB34" s="395">
        <f t="shared" si="13"/>
        <v>0</v>
      </c>
      <c r="AC34" s="396" t="str">
        <f t="shared" si="14"/>
        <v/>
      </c>
      <c r="AD34" s="53"/>
      <c r="AE34" s="391">
        <f>IFERROR(VLOOKUP($C34,'Proposed Rates'!$B:$J,AE$11,FALSE),0)</f>
        <v>0</v>
      </c>
      <c r="AF34" s="409">
        <f t="shared" si="32"/>
        <v>10000</v>
      </c>
      <c r="AG34" s="394">
        <f t="shared" si="33"/>
        <v>0</v>
      </c>
      <c r="AH34" s="411"/>
      <c r="AI34" s="395">
        <f t="shared" si="17"/>
        <v>0</v>
      </c>
      <c r="AJ34" s="396" t="str">
        <f t="shared" si="18"/>
        <v/>
      </c>
      <c r="AK34" s="53"/>
      <c r="AL34" s="391">
        <f>IFERROR(VLOOKUP($C34,'Proposed Rates'!$B:$J,AL$11,FALSE),0)</f>
        <v>0</v>
      </c>
      <c r="AM34" s="409">
        <f t="shared" si="34"/>
        <v>10000</v>
      </c>
      <c r="AN34" s="394">
        <f t="shared" si="35"/>
        <v>0</v>
      </c>
      <c r="AO34" s="411"/>
      <c r="AP34" s="395">
        <f t="shared" si="21"/>
        <v>0</v>
      </c>
      <c r="AQ34" s="396" t="str">
        <f t="shared" si="22"/>
        <v/>
      </c>
      <c r="AR34" s="397"/>
    </row>
    <row r="35" spans="1:44" ht="12.75" customHeight="1">
      <c r="A35" s="53"/>
      <c r="B35" s="478" t="s">
        <v>284</v>
      </c>
      <c r="C35" s="389" t="str">
        <f t="shared" si="23"/>
        <v>Large User.Total Deferral/Variance Account Rate Riders</v>
      </c>
      <c r="D35" s="390" t="s">
        <v>406</v>
      </c>
      <c r="E35" s="328"/>
      <c r="F35" s="391">
        <f>IFERROR(VLOOKUP($C35,'Proposed Rates'!$B:$J,F$11,FALSE),0)</f>
        <v>0</v>
      </c>
      <c r="G35" s="409">
        <f t="shared" si="24"/>
        <v>10000</v>
      </c>
      <c r="H35" s="394">
        <f t="shared" si="25"/>
        <v>0</v>
      </c>
      <c r="I35" s="138"/>
      <c r="J35" s="391">
        <f>IFERROR(VLOOKUP($C35,'Proposed Rates'!$B:$J,J$11,FALSE),0)</f>
        <v>0</v>
      </c>
      <c r="K35" s="409">
        <f t="shared" si="26"/>
        <v>10000</v>
      </c>
      <c r="L35" s="394">
        <f t="shared" si="27"/>
        <v>0</v>
      </c>
      <c r="M35" s="138"/>
      <c r="N35" s="395">
        <f t="shared" si="5"/>
        <v>0</v>
      </c>
      <c r="O35" s="396" t="str">
        <f t="shared" si="6"/>
        <v/>
      </c>
      <c r="P35" s="53"/>
      <c r="Q35" s="391">
        <f>IFERROR(VLOOKUP($C35,'Proposed Rates'!$B:$J,Q$11,FALSE),0)</f>
        <v>0</v>
      </c>
      <c r="R35" s="409">
        <f t="shared" si="28"/>
        <v>10000</v>
      </c>
      <c r="S35" s="394">
        <f t="shared" si="29"/>
        <v>0</v>
      </c>
      <c r="T35" s="138"/>
      <c r="U35" s="395">
        <f t="shared" si="9"/>
        <v>0</v>
      </c>
      <c r="V35" s="396" t="str">
        <f t="shared" si="10"/>
        <v/>
      </c>
      <c r="W35" s="53"/>
      <c r="X35" s="391">
        <f>IFERROR(VLOOKUP($C35,'Proposed Rates'!$B:$J,X$11,FALSE),0)</f>
        <v>0</v>
      </c>
      <c r="Y35" s="409">
        <f t="shared" si="30"/>
        <v>10000</v>
      </c>
      <c r="Z35" s="394">
        <f t="shared" si="31"/>
        <v>0</v>
      </c>
      <c r="AA35" s="138"/>
      <c r="AB35" s="395">
        <f t="shared" si="13"/>
        <v>0</v>
      </c>
      <c r="AC35" s="396" t="str">
        <f t="shared" si="14"/>
        <v/>
      </c>
      <c r="AD35" s="53"/>
      <c r="AE35" s="391">
        <f>IFERROR(VLOOKUP($C35,'Proposed Rates'!$B:$J,AE$11,FALSE),0)</f>
        <v>0</v>
      </c>
      <c r="AF35" s="409">
        <f t="shared" si="32"/>
        <v>10000</v>
      </c>
      <c r="AG35" s="394">
        <f t="shared" si="33"/>
        <v>0</v>
      </c>
      <c r="AH35" s="138"/>
      <c r="AI35" s="395">
        <f t="shared" si="17"/>
        <v>0</v>
      </c>
      <c r="AJ35" s="396" t="str">
        <f t="shared" si="18"/>
        <v/>
      </c>
      <c r="AK35" s="53"/>
      <c r="AL35" s="391">
        <f>IFERROR(VLOOKUP($C35,'Proposed Rates'!$B:$J,AL$11,FALSE),0)</f>
        <v>0</v>
      </c>
      <c r="AM35" s="409">
        <f t="shared" si="34"/>
        <v>10000</v>
      </c>
      <c r="AN35" s="394">
        <f t="shared" si="35"/>
        <v>0</v>
      </c>
      <c r="AO35" s="138"/>
      <c r="AP35" s="395">
        <f t="shared" si="21"/>
        <v>0</v>
      </c>
      <c r="AQ35" s="396" t="str">
        <f t="shared" si="22"/>
        <v/>
      </c>
      <c r="AR35" s="397"/>
    </row>
    <row r="36" spans="1:44" ht="12.75" customHeight="1">
      <c r="A36" s="53"/>
      <c r="B36" s="328" t="s">
        <v>300</v>
      </c>
      <c r="C36" s="389" t="str">
        <f t="shared" si="23"/>
        <v>Large User.Low Voltage Service Charge</v>
      </c>
      <c r="D36" s="390" t="s">
        <v>406</v>
      </c>
      <c r="E36" s="328"/>
      <c r="F36" s="412">
        <f>IFERROR(VLOOKUP($C36,'Proposed Rates'!$B:$J,F$11,FALSE),0)</f>
        <v>2.4819999999999998E-2</v>
      </c>
      <c r="G36" s="409">
        <f t="shared" si="24"/>
        <v>10000</v>
      </c>
      <c r="H36" s="394">
        <f t="shared" si="25"/>
        <v>248.2</v>
      </c>
      <c r="I36" s="138"/>
      <c r="J36" s="412">
        <f>IFERROR(VLOOKUP($C36,'Proposed Rates'!$B:$J,J$11,FALSE),0)</f>
        <v>2.716E-2</v>
      </c>
      <c r="K36" s="409">
        <f t="shared" si="26"/>
        <v>10000</v>
      </c>
      <c r="L36" s="394">
        <f t="shared" si="27"/>
        <v>271.60000000000002</v>
      </c>
      <c r="M36" s="138"/>
      <c r="N36" s="395">
        <f t="shared" si="5"/>
        <v>23.400000000000034</v>
      </c>
      <c r="O36" s="396">
        <f t="shared" si="6"/>
        <v>9.427880741337645E-2</v>
      </c>
      <c r="P36" s="53"/>
      <c r="Q36" s="412">
        <f>IFERROR(VLOOKUP($C36,'Proposed Rates'!$B:$J,Q$11,FALSE),0)</f>
        <v>2.7869999999999999E-2</v>
      </c>
      <c r="R36" s="409">
        <f t="shared" si="28"/>
        <v>10000</v>
      </c>
      <c r="S36" s="394">
        <f t="shared" si="29"/>
        <v>278.7</v>
      </c>
      <c r="T36" s="138"/>
      <c r="U36" s="395">
        <f t="shared" si="9"/>
        <v>7.0999999999999659</v>
      </c>
      <c r="V36" s="396">
        <f t="shared" si="10"/>
        <v>2.6141384388806942E-2</v>
      </c>
      <c r="W36" s="53"/>
      <c r="X36" s="412">
        <f>IFERROR(VLOOKUP($C36,'Proposed Rates'!$B:$J,X$11,FALSE),0)</f>
        <v>2.8209999999999999E-2</v>
      </c>
      <c r="Y36" s="409">
        <f t="shared" si="30"/>
        <v>10000</v>
      </c>
      <c r="Z36" s="394">
        <f t="shared" si="31"/>
        <v>282.09999999999997</v>
      </c>
      <c r="AA36" s="138"/>
      <c r="AB36" s="395">
        <f t="shared" si="13"/>
        <v>3.3999999999999773</v>
      </c>
      <c r="AC36" s="396">
        <f t="shared" si="14"/>
        <v>1.2199497667743012E-2</v>
      </c>
      <c r="AD36" s="53"/>
      <c r="AE36" s="412">
        <f>IFERROR(VLOOKUP($C36,'Proposed Rates'!$B:$J,AE$11,FALSE),0)</f>
        <v>2.8660000000000001E-2</v>
      </c>
      <c r="AF36" s="409">
        <f t="shared" si="32"/>
        <v>10000</v>
      </c>
      <c r="AG36" s="394">
        <f t="shared" si="33"/>
        <v>286.60000000000002</v>
      </c>
      <c r="AH36" s="138"/>
      <c r="AI36" s="395">
        <f t="shared" si="17"/>
        <v>4.5000000000000568</v>
      </c>
      <c r="AJ36" s="396">
        <f t="shared" si="18"/>
        <v>1.5951790145338735E-2</v>
      </c>
      <c r="AK36" s="53"/>
      <c r="AL36" s="412">
        <f>IFERROR(VLOOKUP($C36,'Proposed Rates'!$B:$J,AL$11,FALSE),0)</f>
        <v>2.9170000000000001E-2</v>
      </c>
      <c r="AM36" s="409">
        <f t="shared" si="34"/>
        <v>10000</v>
      </c>
      <c r="AN36" s="394">
        <f t="shared" si="35"/>
        <v>291.7</v>
      </c>
      <c r="AO36" s="138"/>
      <c r="AP36" s="395">
        <f t="shared" si="21"/>
        <v>5.0999999999999659</v>
      </c>
      <c r="AQ36" s="396">
        <f t="shared" si="22"/>
        <v>1.7794836008373921E-2</v>
      </c>
      <c r="AR36" s="397"/>
    </row>
    <row r="37" spans="1:44" ht="12.75" customHeight="1">
      <c r="A37" s="53"/>
      <c r="B37" s="328" t="s">
        <v>341</v>
      </c>
      <c r="C37" s="389" t="str">
        <f t="shared" si="23"/>
        <v>Large User.Line Losses on Cost of Power</v>
      </c>
      <c r="D37" s="390" t="s">
        <v>337</v>
      </c>
      <c r="E37" s="328"/>
      <c r="F37" s="552"/>
      <c r="G37" s="501">
        <f>$F$9*(1+F$65)-$F$9</f>
        <v>20400.000000000466</v>
      </c>
      <c r="H37" s="394">
        <f t="shared" si="25"/>
        <v>0</v>
      </c>
      <c r="I37" s="138"/>
      <c r="J37" s="552"/>
      <c r="K37" s="501">
        <f>$F$9*(1+J$65)-$F$9</f>
        <v>19199.999999999534</v>
      </c>
      <c r="L37" s="394">
        <f t="shared" si="27"/>
        <v>0</v>
      </c>
      <c r="M37" s="138"/>
      <c r="N37" s="395">
        <f t="shared" si="5"/>
        <v>0</v>
      </c>
      <c r="O37" s="396" t="str">
        <f t="shared" si="6"/>
        <v/>
      </c>
      <c r="P37" s="53"/>
      <c r="Q37" s="552"/>
      <c r="R37" s="501">
        <f>$F$9*(1+Q$65)-$F$9</f>
        <v>19199.999999999534</v>
      </c>
      <c r="S37" s="394">
        <f t="shared" si="29"/>
        <v>0</v>
      </c>
      <c r="T37" s="138"/>
      <c r="U37" s="395">
        <f t="shared" si="9"/>
        <v>0</v>
      </c>
      <c r="V37" s="396" t="str">
        <f t="shared" si="10"/>
        <v/>
      </c>
      <c r="W37" s="53"/>
      <c r="X37" s="552"/>
      <c r="Y37" s="501">
        <f>$F$9*(1+X$65)-$F$9</f>
        <v>19199.999999999534</v>
      </c>
      <c r="Z37" s="394">
        <f t="shared" si="31"/>
        <v>0</v>
      </c>
      <c r="AA37" s="138"/>
      <c r="AB37" s="395">
        <f t="shared" si="13"/>
        <v>0</v>
      </c>
      <c r="AC37" s="396" t="str">
        <f t="shared" si="14"/>
        <v/>
      </c>
      <c r="AD37" s="53"/>
      <c r="AE37" s="552"/>
      <c r="AF37" s="501">
        <f>$F$9*(1+AE$65)-$F$9</f>
        <v>19199.999999999534</v>
      </c>
      <c r="AG37" s="394">
        <f t="shared" si="33"/>
        <v>0</v>
      </c>
      <c r="AH37" s="138"/>
      <c r="AI37" s="395">
        <f t="shared" si="17"/>
        <v>0</v>
      </c>
      <c r="AJ37" s="396" t="str">
        <f t="shared" si="18"/>
        <v/>
      </c>
      <c r="AK37" s="53"/>
      <c r="AL37" s="552"/>
      <c r="AM37" s="501">
        <f>$F$9*(1+AL$65)-$F$9</f>
        <v>19199.999999999534</v>
      </c>
      <c r="AN37" s="394">
        <f t="shared" si="35"/>
        <v>0</v>
      </c>
      <c r="AO37" s="138"/>
      <c r="AP37" s="395">
        <f t="shared" si="21"/>
        <v>0</v>
      </c>
      <c r="AQ37" s="396" t="str">
        <f t="shared" si="22"/>
        <v/>
      </c>
      <c r="AR37" s="397"/>
    </row>
    <row r="38" spans="1:44" ht="12.75" customHeight="1">
      <c r="A38" s="53"/>
      <c r="B38" s="328" t="s">
        <v>302</v>
      </c>
      <c r="C38" s="389" t="str">
        <f t="shared" si="23"/>
        <v>Large User.Smart Meter Entity Charge</v>
      </c>
      <c r="D38" s="390" t="s">
        <v>335</v>
      </c>
      <c r="E38" s="328"/>
      <c r="F38" s="391">
        <f>IFERROR(VLOOKUP($C38,'Proposed Rates'!$B:$J,F$11,FALSE),0)</f>
        <v>0</v>
      </c>
      <c r="G38" s="409">
        <f>IF($D38="Monthly",1,IF($D38="per KW",$F$10,IF($D38="per kWh",$F$9,0)))</f>
        <v>1</v>
      </c>
      <c r="H38" s="394">
        <f t="shared" si="25"/>
        <v>0</v>
      </c>
      <c r="I38" s="138"/>
      <c r="J38" s="391">
        <f>IFERROR(VLOOKUP($C38,'Proposed Rates'!$B:$J,J$11,FALSE),0)</f>
        <v>0</v>
      </c>
      <c r="K38" s="409">
        <f>IF($D38="Monthly",1,IF($D38="per KW",$F$10,IF($D38="per kWh",$F$9,0)))</f>
        <v>1</v>
      </c>
      <c r="L38" s="394">
        <f t="shared" si="27"/>
        <v>0</v>
      </c>
      <c r="M38" s="138"/>
      <c r="N38" s="395">
        <f t="shared" si="5"/>
        <v>0</v>
      </c>
      <c r="O38" s="396" t="str">
        <f t="shared" si="6"/>
        <v/>
      </c>
      <c r="P38" s="53"/>
      <c r="Q38" s="391">
        <f>IFERROR(VLOOKUP($C38,'Proposed Rates'!$B:$J,Q$11,FALSE),0)</f>
        <v>0</v>
      </c>
      <c r="R38" s="409">
        <f>IF($D38="Monthly",1,IF($D38="per KW",$F$10,IF($D38="per kWh",$F$9,0)))</f>
        <v>1</v>
      </c>
      <c r="S38" s="394">
        <f t="shared" si="29"/>
        <v>0</v>
      </c>
      <c r="T38" s="138"/>
      <c r="U38" s="395">
        <f t="shared" si="9"/>
        <v>0</v>
      </c>
      <c r="V38" s="396" t="str">
        <f t="shared" si="10"/>
        <v/>
      </c>
      <c r="W38" s="53"/>
      <c r="X38" s="391">
        <f>IFERROR(VLOOKUP($C38,'Proposed Rates'!$B:$J,X$11,FALSE),0)</f>
        <v>0</v>
      </c>
      <c r="Y38" s="409">
        <f>IF($D38="Monthly",1,IF($D38="per KW",$F$10,IF($D38="per kWh",$F$9,0)))</f>
        <v>1</v>
      </c>
      <c r="Z38" s="394">
        <f t="shared" si="31"/>
        <v>0</v>
      </c>
      <c r="AA38" s="138"/>
      <c r="AB38" s="395">
        <f t="shared" si="13"/>
        <v>0</v>
      </c>
      <c r="AC38" s="396" t="str">
        <f t="shared" si="14"/>
        <v/>
      </c>
      <c r="AD38" s="53"/>
      <c r="AE38" s="391">
        <f>IFERROR(VLOOKUP($C38,'Proposed Rates'!$B:$J,AE$11,FALSE),0)</f>
        <v>0</v>
      </c>
      <c r="AF38" s="409">
        <f>IF($D38="Monthly",1,IF($D38="per KW",$F$10,IF($D38="per kWh",$F$9,0)))</f>
        <v>1</v>
      </c>
      <c r="AG38" s="394">
        <f t="shared" si="33"/>
        <v>0</v>
      </c>
      <c r="AH38" s="138"/>
      <c r="AI38" s="395">
        <f t="shared" si="17"/>
        <v>0</v>
      </c>
      <c r="AJ38" s="396" t="str">
        <f t="shared" si="18"/>
        <v/>
      </c>
      <c r="AK38" s="53"/>
      <c r="AL38" s="391">
        <f>IFERROR(VLOOKUP($C38,'Proposed Rates'!$B:$J,AL$11,FALSE),0)</f>
        <v>0</v>
      </c>
      <c r="AM38" s="409">
        <f>IF($D38="Monthly",1,IF($D38="per KW",$F$10,IF($D38="per kWh",$F$9,0)))</f>
        <v>1</v>
      </c>
      <c r="AN38" s="394">
        <f t="shared" si="35"/>
        <v>0</v>
      </c>
      <c r="AO38" s="138"/>
      <c r="AP38" s="395">
        <f t="shared" si="21"/>
        <v>0</v>
      </c>
      <c r="AQ38" s="396" t="str">
        <f t="shared" si="22"/>
        <v/>
      </c>
      <c r="AR38" s="397"/>
    </row>
    <row r="39" spans="1:44" ht="12.75" customHeight="1">
      <c r="A39" s="53"/>
      <c r="B39" s="480" t="s">
        <v>342</v>
      </c>
      <c r="C39" s="553"/>
      <c r="D39" s="416"/>
      <c r="E39" s="416"/>
      <c r="F39" s="417"/>
      <c r="G39" s="495"/>
      <c r="H39" s="403">
        <f>SUM(H30:H38)+H29</f>
        <v>94556.12999999999</v>
      </c>
      <c r="I39" s="419"/>
      <c r="J39" s="417"/>
      <c r="K39" s="495"/>
      <c r="L39" s="403">
        <f>SUM(L30:L38)+L29</f>
        <v>106057.46</v>
      </c>
      <c r="M39" s="419"/>
      <c r="N39" s="405">
        <f t="shared" si="5"/>
        <v>11501.330000000016</v>
      </c>
      <c r="O39" s="406">
        <f t="shared" si="6"/>
        <v>0.12163494846923216</v>
      </c>
      <c r="P39" s="53"/>
      <c r="Q39" s="417"/>
      <c r="R39" s="495"/>
      <c r="S39" s="403">
        <f>SUM(S30:S38)+S29</f>
        <v>124293.56</v>
      </c>
      <c r="T39" s="419"/>
      <c r="U39" s="405">
        <f t="shared" si="9"/>
        <v>18236.099999999991</v>
      </c>
      <c r="V39" s="406">
        <f t="shared" si="10"/>
        <v>0.17194547182253836</v>
      </c>
      <c r="W39" s="53"/>
      <c r="X39" s="417"/>
      <c r="Y39" s="495"/>
      <c r="Z39" s="403">
        <f>SUM(Z30:Z38)+Z29</f>
        <v>106947.03</v>
      </c>
      <c r="AA39" s="419"/>
      <c r="AB39" s="405">
        <f t="shared" si="13"/>
        <v>-17346.53</v>
      </c>
      <c r="AC39" s="406">
        <f t="shared" si="14"/>
        <v>-0.1395609716223431</v>
      </c>
      <c r="AD39" s="53"/>
      <c r="AE39" s="417"/>
      <c r="AF39" s="495"/>
      <c r="AG39" s="403">
        <f>SUM(AG30:AG38)+AG29</f>
        <v>116090.53</v>
      </c>
      <c r="AH39" s="419"/>
      <c r="AI39" s="405">
        <f t="shared" si="17"/>
        <v>9143.5</v>
      </c>
      <c r="AJ39" s="406">
        <f t="shared" si="18"/>
        <v>8.5495595342853378E-2</v>
      </c>
      <c r="AK39" s="53"/>
      <c r="AL39" s="417"/>
      <c r="AM39" s="495"/>
      <c r="AN39" s="403">
        <f>SUM(AN30:AN38)+AN29</f>
        <v>123904.62999999999</v>
      </c>
      <c r="AO39" s="419"/>
      <c r="AP39" s="405">
        <f t="shared" si="21"/>
        <v>7814.0999999999913</v>
      </c>
      <c r="AQ39" s="406">
        <f t="shared" si="22"/>
        <v>6.7310399909449897E-2</v>
      </c>
      <c r="AR39" s="407"/>
    </row>
    <row r="40" spans="1:44" ht="12.75" customHeight="1">
      <c r="A40" s="53"/>
      <c r="B40" s="138" t="s">
        <v>285</v>
      </c>
      <c r="C40" s="389" t="str">
        <f t="shared" ref="C40:C41" si="36">D$6&amp;"."&amp;B40</f>
        <v>Large User.RTSR - Network</v>
      </c>
      <c r="D40" s="420" t="s">
        <v>406</v>
      </c>
      <c r="E40" s="138"/>
      <c r="F40" s="408">
        <f>IFERROR(VLOOKUP($C40,'Proposed Rates'!$B:$J,F$11,FALSE),0)</f>
        <v>5.5801999999999996</v>
      </c>
      <c r="G40" s="409">
        <f t="shared" ref="G40:G41" si="37">IF($D40="Monthly",1,IF($D40="per KW",$F$10,IF($D40="per kWh",$F$9,0)))</f>
        <v>10000</v>
      </c>
      <c r="H40" s="394">
        <f t="shared" ref="H40:H41" si="38">G40*F40</f>
        <v>55801.999999999993</v>
      </c>
      <c r="I40" s="138"/>
      <c r="J40" s="408">
        <f>IFERROR(VLOOKUP($C40,'Proposed Rates'!$B:$J,J$11,FALSE),0)</f>
        <v>5.3339999999999996</v>
      </c>
      <c r="K40" s="409">
        <f t="shared" ref="K40:K41" si="39">IF($D40="Monthly",1,IF($D40="per KW",$F$10,IF($D40="per kWh",$F$9,0)))</f>
        <v>10000</v>
      </c>
      <c r="L40" s="394">
        <f t="shared" ref="L40:L41" si="40">K40*J40</f>
        <v>53339.999999999993</v>
      </c>
      <c r="M40" s="138"/>
      <c r="N40" s="395">
        <f t="shared" si="5"/>
        <v>-2462</v>
      </c>
      <c r="O40" s="396">
        <f t="shared" si="6"/>
        <v>-4.4120282427153157E-2</v>
      </c>
      <c r="P40" s="53"/>
      <c r="Q40" s="408">
        <f>IFERROR(VLOOKUP($C40,'Proposed Rates'!$B:$J,Q$11,FALSE),0)</f>
        <v>5.3339999999999996</v>
      </c>
      <c r="R40" s="409">
        <f t="shared" ref="R40:R41" si="41">IF($D40="Monthly",1,IF($D40="per KW",$F$10,IF($D40="per kWh",$F$9,0)))</f>
        <v>10000</v>
      </c>
      <c r="S40" s="394">
        <f t="shared" ref="S40:S41" si="42">R40*Q40</f>
        <v>53339.999999999993</v>
      </c>
      <c r="T40" s="138"/>
      <c r="U40" s="395">
        <f t="shared" si="9"/>
        <v>0</v>
      </c>
      <c r="V40" s="396">
        <f t="shared" si="10"/>
        <v>0</v>
      </c>
      <c r="W40" s="53"/>
      <c r="X40" s="408">
        <f>IFERROR(VLOOKUP($C40,'Proposed Rates'!$B:$J,X$11,FALSE),0)</f>
        <v>5.3339999999999996</v>
      </c>
      <c r="Y40" s="409">
        <f t="shared" ref="Y40:Y41" si="43">IF($D40="Monthly",1,IF($D40="per KW",$F$10,IF($D40="per kWh",$F$9,0)))</f>
        <v>10000</v>
      </c>
      <c r="Z40" s="394">
        <f t="shared" ref="Z40:Z41" si="44">Y40*X40</f>
        <v>53339.999999999993</v>
      </c>
      <c r="AA40" s="138"/>
      <c r="AB40" s="395">
        <f t="shared" si="13"/>
        <v>0</v>
      </c>
      <c r="AC40" s="396">
        <f t="shared" si="14"/>
        <v>0</v>
      </c>
      <c r="AD40" s="53"/>
      <c r="AE40" s="408">
        <f>IFERROR(VLOOKUP($C40,'Proposed Rates'!$B:$J,AE$11,FALSE),0)</f>
        <v>5.3339999999999996</v>
      </c>
      <c r="AF40" s="409">
        <f t="shared" ref="AF40:AF41" si="45">IF($D40="Monthly",1,IF($D40="per KW",$F$10,IF($D40="per kWh",$F$9,0)))</f>
        <v>10000</v>
      </c>
      <c r="AG40" s="394">
        <f t="shared" ref="AG40:AG41" si="46">AF40*AE40</f>
        <v>53339.999999999993</v>
      </c>
      <c r="AH40" s="138"/>
      <c r="AI40" s="395">
        <f t="shared" si="17"/>
        <v>0</v>
      </c>
      <c r="AJ40" s="396">
        <f t="shared" si="18"/>
        <v>0</v>
      </c>
      <c r="AK40" s="53"/>
      <c r="AL40" s="408">
        <f>IFERROR(VLOOKUP($C40,'Proposed Rates'!$B:$J,AL$11,FALSE),0)</f>
        <v>5.3339999999999996</v>
      </c>
      <c r="AM40" s="409">
        <f t="shared" ref="AM40:AM41" si="47">IF($D40="Monthly",1,IF($D40="per KW",$F$10,IF($D40="per kWh",$F$9,0)))</f>
        <v>10000</v>
      </c>
      <c r="AN40" s="394">
        <f t="shared" ref="AN40:AN41" si="48">AM40*AL40</f>
        <v>53339.999999999993</v>
      </c>
      <c r="AO40" s="138"/>
      <c r="AP40" s="395">
        <f t="shared" si="21"/>
        <v>0</v>
      </c>
      <c r="AQ40" s="396">
        <f t="shared" si="22"/>
        <v>0</v>
      </c>
      <c r="AR40" s="397"/>
    </row>
    <row r="41" spans="1:44" ht="12.75" customHeight="1">
      <c r="A41" s="53"/>
      <c r="B41" s="481" t="s">
        <v>288</v>
      </c>
      <c r="C41" s="389" t="str">
        <f t="shared" si="36"/>
        <v>Large User.RTSR - Line and Transformation Connection</v>
      </c>
      <c r="D41" s="420" t="s">
        <v>406</v>
      </c>
      <c r="E41" s="138"/>
      <c r="F41" s="408">
        <f>IFERROR(VLOOKUP($C41,'Proposed Rates'!$B:$J,F$11,FALSE),0)</f>
        <v>3.3923999999999999</v>
      </c>
      <c r="G41" s="409">
        <f t="shared" si="37"/>
        <v>10000</v>
      </c>
      <c r="H41" s="394">
        <f t="shared" si="38"/>
        <v>33924</v>
      </c>
      <c r="I41" s="138"/>
      <c r="J41" s="408">
        <f>IFERROR(VLOOKUP($C41,'Proposed Rates'!$B:$J,J$11,FALSE),0)</f>
        <v>3.0192999999999999</v>
      </c>
      <c r="K41" s="409">
        <f t="shared" si="39"/>
        <v>10000</v>
      </c>
      <c r="L41" s="394">
        <f t="shared" si="40"/>
        <v>30193</v>
      </c>
      <c r="M41" s="138"/>
      <c r="N41" s="395">
        <f t="shared" si="5"/>
        <v>-3731</v>
      </c>
      <c r="O41" s="396">
        <f t="shared" si="6"/>
        <v>-0.10998113430020044</v>
      </c>
      <c r="P41" s="53"/>
      <c r="Q41" s="408">
        <f>IFERROR(VLOOKUP($C41,'Proposed Rates'!$B:$J,Q$11,FALSE),0)</f>
        <v>3.0192999999999999</v>
      </c>
      <c r="R41" s="409">
        <f t="shared" si="41"/>
        <v>10000</v>
      </c>
      <c r="S41" s="394">
        <f t="shared" si="42"/>
        <v>30193</v>
      </c>
      <c r="T41" s="138"/>
      <c r="U41" s="395">
        <f t="shared" si="9"/>
        <v>0</v>
      </c>
      <c r="V41" s="396">
        <f t="shared" si="10"/>
        <v>0</v>
      </c>
      <c r="W41" s="53"/>
      <c r="X41" s="408">
        <f>IFERROR(VLOOKUP($C41,'Proposed Rates'!$B:$J,X$11,FALSE),0)</f>
        <v>3.0192999999999999</v>
      </c>
      <c r="Y41" s="409">
        <f t="shared" si="43"/>
        <v>10000</v>
      </c>
      <c r="Z41" s="394">
        <f t="shared" si="44"/>
        <v>30193</v>
      </c>
      <c r="AA41" s="138"/>
      <c r="AB41" s="395">
        <f t="shared" si="13"/>
        <v>0</v>
      </c>
      <c r="AC41" s="396">
        <f t="shared" si="14"/>
        <v>0</v>
      </c>
      <c r="AD41" s="53"/>
      <c r="AE41" s="408">
        <f>IFERROR(VLOOKUP($C41,'Proposed Rates'!$B:$J,AE$11,FALSE),0)</f>
        <v>3.0192999999999999</v>
      </c>
      <c r="AF41" s="409">
        <f t="shared" si="45"/>
        <v>10000</v>
      </c>
      <c r="AG41" s="394">
        <f t="shared" si="46"/>
        <v>30193</v>
      </c>
      <c r="AH41" s="138"/>
      <c r="AI41" s="395">
        <f t="shared" si="17"/>
        <v>0</v>
      </c>
      <c r="AJ41" s="396">
        <f t="shared" si="18"/>
        <v>0</v>
      </c>
      <c r="AK41" s="53"/>
      <c r="AL41" s="408">
        <f>IFERROR(VLOOKUP($C41,'Proposed Rates'!$B:$J,AL$11,FALSE),0)</f>
        <v>3.0192999999999999</v>
      </c>
      <c r="AM41" s="409">
        <f t="shared" si="47"/>
        <v>10000</v>
      </c>
      <c r="AN41" s="394">
        <f t="shared" si="48"/>
        <v>30193</v>
      </c>
      <c r="AO41" s="138"/>
      <c r="AP41" s="395">
        <f t="shared" si="21"/>
        <v>0</v>
      </c>
      <c r="AQ41" s="396">
        <f t="shared" si="22"/>
        <v>0</v>
      </c>
      <c r="AR41" s="397"/>
    </row>
    <row r="42" spans="1:44" ht="12.75" customHeight="1">
      <c r="A42" s="53"/>
      <c r="B42" s="480" t="s">
        <v>343</v>
      </c>
      <c r="C42" s="554"/>
      <c r="D42" s="421"/>
      <c r="E42" s="421"/>
      <c r="F42" s="422"/>
      <c r="G42" s="495"/>
      <c r="H42" s="403">
        <f>SUM(H39:H41)</f>
        <v>184282.12999999998</v>
      </c>
      <c r="I42" s="404"/>
      <c r="J42" s="422"/>
      <c r="K42" s="495"/>
      <c r="L42" s="403">
        <f>SUM(L39:L41)</f>
        <v>189590.46</v>
      </c>
      <c r="M42" s="404"/>
      <c r="N42" s="405">
        <f t="shared" si="5"/>
        <v>5308.3300000000163</v>
      </c>
      <c r="O42" s="406">
        <f t="shared" si="6"/>
        <v>2.880545172773951E-2</v>
      </c>
      <c r="P42" s="53"/>
      <c r="Q42" s="422"/>
      <c r="R42" s="495"/>
      <c r="S42" s="403">
        <f>SUM(S39:S41)</f>
        <v>207826.56</v>
      </c>
      <c r="T42" s="404"/>
      <c r="U42" s="405">
        <f t="shared" si="9"/>
        <v>18236.100000000006</v>
      </c>
      <c r="V42" s="406">
        <f t="shared" si="10"/>
        <v>9.618680180426803E-2</v>
      </c>
      <c r="W42" s="53"/>
      <c r="X42" s="422"/>
      <c r="Y42" s="495"/>
      <c r="Z42" s="403">
        <f>SUM(Z39:Z41)</f>
        <v>190480.03</v>
      </c>
      <c r="AA42" s="404"/>
      <c r="AB42" s="405">
        <f t="shared" si="13"/>
        <v>-17346.53</v>
      </c>
      <c r="AC42" s="406">
        <f t="shared" si="14"/>
        <v>-8.3466376963560379E-2</v>
      </c>
      <c r="AD42" s="53"/>
      <c r="AE42" s="422"/>
      <c r="AF42" s="495"/>
      <c r="AG42" s="403">
        <f>SUM(AG39:AG41)</f>
        <v>199623.53</v>
      </c>
      <c r="AH42" s="404"/>
      <c r="AI42" s="405">
        <f t="shared" si="17"/>
        <v>9143.5</v>
      </c>
      <c r="AJ42" s="406">
        <f t="shared" si="18"/>
        <v>4.8002407391473004E-2</v>
      </c>
      <c r="AK42" s="53"/>
      <c r="AL42" s="422"/>
      <c r="AM42" s="495"/>
      <c r="AN42" s="403">
        <f>SUM(AN39:AN41)</f>
        <v>207437.62999999998</v>
      </c>
      <c r="AO42" s="404"/>
      <c r="AP42" s="405">
        <f t="shared" si="21"/>
        <v>7814.0999999999767</v>
      </c>
      <c r="AQ42" s="406">
        <f t="shared" si="22"/>
        <v>3.9144183052969642E-2</v>
      </c>
      <c r="AR42" s="407"/>
    </row>
    <row r="43" spans="1:44" ht="12.75" customHeight="1">
      <c r="A43" s="53"/>
      <c r="B43" s="482" t="s">
        <v>289</v>
      </c>
      <c r="C43" s="389" t="str">
        <f t="shared" ref="C43:C45" si="49">D$6&amp;"."&amp;B43</f>
        <v>Large User.Wholesale Market Service Charge (WMSC)</v>
      </c>
      <c r="D43" s="390" t="s">
        <v>337</v>
      </c>
      <c r="E43" s="328"/>
      <c r="F43" s="408">
        <f>IFERROR(VLOOKUP($C43,'Proposed Rates'!$B:$J,F$11,FALSE),0)</f>
        <v>4.4999999999999997E-3</v>
      </c>
      <c r="G43" s="413">
        <f>$F$9+G$37</f>
        <v>4020400.0000000005</v>
      </c>
      <c r="H43" s="394">
        <f t="shared" ref="H43:H46" si="50">G43*F43</f>
        <v>18091.8</v>
      </c>
      <c r="I43" s="138"/>
      <c r="J43" s="408">
        <f>IFERROR(VLOOKUP($C43,'Proposed Rates'!$B:$J,J$11,FALSE),0)</f>
        <v>4.7000000000000002E-3</v>
      </c>
      <c r="K43" s="413">
        <f>$F$9+K$37</f>
        <v>4019199.9999999995</v>
      </c>
      <c r="L43" s="394">
        <f t="shared" ref="L43:L46" si="51">K43*J43</f>
        <v>18890.239999999998</v>
      </c>
      <c r="M43" s="138"/>
      <c r="N43" s="395">
        <f t="shared" si="5"/>
        <v>798.43999999999869</v>
      </c>
      <c r="O43" s="396">
        <f t="shared" si="6"/>
        <v>4.4132701002664122E-2</v>
      </c>
      <c r="P43" s="53"/>
      <c r="Q43" s="408">
        <f>IFERROR(VLOOKUP($C43,'Proposed Rates'!$B:$J,Q$11,FALSE),0)</f>
        <v>4.7000000000000002E-3</v>
      </c>
      <c r="R43" s="413">
        <f>$F$9+R$37</f>
        <v>4019199.9999999995</v>
      </c>
      <c r="S43" s="394">
        <f t="shared" ref="S43:S46" si="52">R43*Q43</f>
        <v>18890.239999999998</v>
      </c>
      <c r="T43" s="138"/>
      <c r="U43" s="395">
        <f t="shared" si="9"/>
        <v>0</v>
      </c>
      <c r="V43" s="396">
        <f t="shared" si="10"/>
        <v>0</v>
      </c>
      <c r="W43" s="53"/>
      <c r="X43" s="408">
        <f>IFERROR(VLOOKUP($C43,'Proposed Rates'!$B:$J,X$11,FALSE),0)</f>
        <v>4.7000000000000002E-3</v>
      </c>
      <c r="Y43" s="413">
        <f>$F$9+Y$37</f>
        <v>4019199.9999999995</v>
      </c>
      <c r="Z43" s="394">
        <f t="shared" ref="Z43:Z46" si="53">Y43*X43</f>
        <v>18890.239999999998</v>
      </c>
      <c r="AA43" s="138"/>
      <c r="AB43" s="395">
        <f t="shared" si="13"/>
        <v>0</v>
      </c>
      <c r="AC43" s="396">
        <f t="shared" si="14"/>
        <v>0</v>
      </c>
      <c r="AD43" s="53"/>
      <c r="AE43" s="408">
        <f>IFERROR(VLOOKUP($C43,'Proposed Rates'!$B:$J,AE$11,FALSE),0)</f>
        <v>4.7000000000000002E-3</v>
      </c>
      <c r="AF43" s="413">
        <f>$F$9+AF$37</f>
        <v>4019199.9999999995</v>
      </c>
      <c r="AG43" s="394">
        <f t="shared" ref="AG43:AG46" si="54">AF43*AE43</f>
        <v>18890.239999999998</v>
      </c>
      <c r="AH43" s="138"/>
      <c r="AI43" s="395">
        <f t="shared" si="17"/>
        <v>0</v>
      </c>
      <c r="AJ43" s="396">
        <f t="shared" si="18"/>
        <v>0</v>
      </c>
      <c r="AK43" s="53"/>
      <c r="AL43" s="408">
        <f>IFERROR(VLOOKUP($C43,'Proposed Rates'!$B:$J,AL$11,FALSE),0)</f>
        <v>4.7000000000000002E-3</v>
      </c>
      <c r="AM43" s="413">
        <f>$F$9+AM$37</f>
        <v>4019199.9999999995</v>
      </c>
      <c r="AN43" s="394">
        <f t="shared" ref="AN43:AN46" si="55">AM43*AL43</f>
        <v>18890.239999999998</v>
      </c>
      <c r="AO43" s="138"/>
      <c r="AP43" s="395">
        <f t="shared" si="21"/>
        <v>0</v>
      </c>
      <c r="AQ43" s="396">
        <f t="shared" si="22"/>
        <v>0</v>
      </c>
      <c r="AR43" s="397"/>
    </row>
    <row r="44" spans="1:44" ht="12.75" customHeight="1">
      <c r="A44" s="53"/>
      <c r="B44" s="482" t="s">
        <v>290</v>
      </c>
      <c r="C44" s="389" t="str">
        <f t="shared" si="49"/>
        <v>Large User.Rural and Remote Rate Protection (RRRP)</v>
      </c>
      <c r="D44" s="390" t="s">
        <v>337</v>
      </c>
      <c r="E44" s="328"/>
      <c r="F44" s="408">
        <f>IFERROR(VLOOKUP($C44,'Proposed Rates'!$B:$J,F$11,FALSE),0)</f>
        <v>1.5E-3</v>
      </c>
      <c r="G44" s="413">
        <f>G43</f>
        <v>4020400.0000000005</v>
      </c>
      <c r="H44" s="394">
        <f t="shared" si="50"/>
        <v>6030.6000000000013</v>
      </c>
      <c r="I44" s="138"/>
      <c r="J44" s="408">
        <f>IFERROR(VLOOKUP($C44,'Proposed Rates'!$B:$J,J$11,FALSE),0)</f>
        <v>5.9999999999999995E-4</v>
      </c>
      <c r="K44" s="413">
        <f>K43</f>
        <v>4019199.9999999995</v>
      </c>
      <c r="L44" s="394">
        <f t="shared" si="51"/>
        <v>2411.5199999999995</v>
      </c>
      <c r="M44" s="138"/>
      <c r="N44" s="395">
        <f t="shared" si="5"/>
        <v>-3619.0800000000017</v>
      </c>
      <c r="O44" s="396">
        <f t="shared" si="6"/>
        <v>-0.60011939110536283</v>
      </c>
      <c r="P44" s="53"/>
      <c r="Q44" s="408">
        <f>IFERROR(VLOOKUP($C44,'Proposed Rates'!$B:$J,Q$11,FALSE),0)</f>
        <v>5.9999999999999995E-4</v>
      </c>
      <c r="R44" s="413">
        <f>R43</f>
        <v>4019199.9999999995</v>
      </c>
      <c r="S44" s="394">
        <f t="shared" si="52"/>
        <v>2411.5199999999995</v>
      </c>
      <c r="T44" s="138"/>
      <c r="U44" s="395">
        <f t="shared" si="9"/>
        <v>0</v>
      </c>
      <c r="V44" s="396">
        <f t="shared" si="10"/>
        <v>0</v>
      </c>
      <c r="W44" s="53"/>
      <c r="X44" s="408">
        <f>IFERROR(VLOOKUP($C44,'Proposed Rates'!$B:$J,X$11,FALSE),0)</f>
        <v>5.9999999999999995E-4</v>
      </c>
      <c r="Y44" s="413">
        <f>Y43</f>
        <v>4019199.9999999995</v>
      </c>
      <c r="Z44" s="394">
        <f t="shared" si="53"/>
        <v>2411.5199999999995</v>
      </c>
      <c r="AA44" s="138"/>
      <c r="AB44" s="395">
        <f t="shared" si="13"/>
        <v>0</v>
      </c>
      <c r="AC44" s="396">
        <f t="shared" si="14"/>
        <v>0</v>
      </c>
      <c r="AD44" s="53"/>
      <c r="AE44" s="408">
        <f>IFERROR(VLOOKUP($C44,'Proposed Rates'!$B:$J,AE$11,FALSE),0)</f>
        <v>5.9999999999999995E-4</v>
      </c>
      <c r="AF44" s="413">
        <f>AF43</f>
        <v>4019199.9999999995</v>
      </c>
      <c r="AG44" s="394">
        <f t="shared" si="54"/>
        <v>2411.5199999999995</v>
      </c>
      <c r="AH44" s="138"/>
      <c r="AI44" s="395">
        <f t="shared" si="17"/>
        <v>0</v>
      </c>
      <c r="AJ44" s="396">
        <f t="shared" si="18"/>
        <v>0</v>
      </c>
      <c r="AK44" s="53"/>
      <c r="AL44" s="408">
        <f>IFERROR(VLOOKUP($C44,'Proposed Rates'!$B:$J,AL$11,FALSE),0)</f>
        <v>5.9999999999999995E-4</v>
      </c>
      <c r="AM44" s="413">
        <f>AM43</f>
        <v>4019199.9999999995</v>
      </c>
      <c r="AN44" s="394">
        <f t="shared" si="55"/>
        <v>2411.5199999999995</v>
      </c>
      <c r="AO44" s="138"/>
      <c r="AP44" s="395">
        <f t="shared" si="21"/>
        <v>0</v>
      </c>
      <c r="AQ44" s="396">
        <f t="shared" si="22"/>
        <v>0</v>
      </c>
      <c r="AR44" s="397"/>
    </row>
    <row r="45" spans="1:44" ht="12.75" customHeight="1">
      <c r="A45" s="53"/>
      <c r="B45" s="328" t="s">
        <v>291</v>
      </c>
      <c r="C45" s="389" t="str">
        <f t="shared" si="49"/>
        <v>Large User.Standard Supply Service Charge</v>
      </c>
      <c r="D45" s="390" t="s">
        <v>335</v>
      </c>
      <c r="E45" s="328"/>
      <c r="F45" s="391">
        <f>IFERROR(VLOOKUP($C45,'Proposed Rates'!$B:$J,F$11,FALSE),0)</f>
        <v>0.25</v>
      </c>
      <c r="G45" s="409">
        <f>IF($D45="Monthly",1,IF($D45="per KW",$F$10,IF($D45="per kWh",$F$9,0)))</f>
        <v>1</v>
      </c>
      <c r="H45" s="394">
        <f t="shared" si="50"/>
        <v>0.25</v>
      </c>
      <c r="I45" s="138"/>
      <c r="J45" s="391">
        <f>IFERROR(VLOOKUP($C45,'Proposed Rates'!$B:$J,J$11,FALSE),0)</f>
        <v>0.25</v>
      </c>
      <c r="K45" s="409">
        <f>IF($D45="Monthly",1,IF($D45="per KW",$F$10,IF($D45="per kWh",$F$9,0)))</f>
        <v>1</v>
      </c>
      <c r="L45" s="394">
        <f t="shared" si="51"/>
        <v>0.25</v>
      </c>
      <c r="M45" s="138"/>
      <c r="N45" s="395">
        <f t="shared" si="5"/>
        <v>0</v>
      </c>
      <c r="O45" s="396">
        <f t="shared" si="6"/>
        <v>0</v>
      </c>
      <c r="P45" s="53"/>
      <c r="Q45" s="391">
        <f>IFERROR(VLOOKUP($C45,'Proposed Rates'!$B:$J,Q$11,FALSE),0)</f>
        <v>0.25</v>
      </c>
      <c r="R45" s="409">
        <f>IF($D45="Monthly",1,IF($D45="per KW",$F$10,IF($D45="per kWh",$F$9,0)))</f>
        <v>1</v>
      </c>
      <c r="S45" s="394">
        <f t="shared" si="52"/>
        <v>0.25</v>
      </c>
      <c r="T45" s="138"/>
      <c r="U45" s="395">
        <f t="shared" si="9"/>
        <v>0</v>
      </c>
      <c r="V45" s="396">
        <f t="shared" si="10"/>
        <v>0</v>
      </c>
      <c r="W45" s="53"/>
      <c r="X45" s="391">
        <f>IFERROR(VLOOKUP($C45,'Proposed Rates'!$B:$J,X$11,FALSE),0)</f>
        <v>0.25</v>
      </c>
      <c r="Y45" s="409">
        <f>IF($D45="Monthly",1,IF($D45="per KW",$F$10,IF($D45="per kWh",$F$9,0)))</f>
        <v>1</v>
      </c>
      <c r="Z45" s="394">
        <f t="shared" si="53"/>
        <v>0.25</v>
      </c>
      <c r="AA45" s="138"/>
      <c r="AB45" s="395">
        <f t="shared" si="13"/>
        <v>0</v>
      </c>
      <c r="AC45" s="396">
        <f t="shared" si="14"/>
        <v>0</v>
      </c>
      <c r="AD45" s="53"/>
      <c r="AE45" s="391">
        <f>IFERROR(VLOOKUP($C45,'Proposed Rates'!$B:$J,AE$11,FALSE),0)</f>
        <v>0.25</v>
      </c>
      <c r="AF45" s="409">
        <f>IF($D45="Monthly",1,IF($D45="per KW",$F$10,IF($D45="per kWh",$F$9,0)))</f>
        <v>1</v>
      </c>
      <c r="AG45" s="394">
        <f t="shared" si="54"/>
        <v>0.25</v>
      </c>
      <c r="AH45" s="138"/>
      <c r="AI45" s="395">
        <f t="shared" si="17"/>
        <v>0</v>
      </c>
      <c r="AJ45" s="396">
        <f t="shared" si="18"/>
        <v>0</v>
      </c>
      <c r="AK45" s="53"/>
      <c r="AL45" s="391">
        <f>IFERROR(VLOOKUP($C45,'Proposed Rates'!$B:$J,AL$11,FALSE),0)</f>
        <v>0.25</v>
      </c>
      <c r="AM45" s="409">
        <f>IF($D45="Monthly",1,IF($D45="per KW",$F$10,IF($D45="per kWh",$F$9,0)))</f>
        <v>1</v>
      </c>
      <c r="AN45" s="394">
        <f t="shared" si="55"/>
        <v>0.25</v>
      </c>
      <c r="AO45" s="138"/>
      <c r="AP45" s="395">
        <f t="shared" si="21"/>
        <v>0</v>
      </c>
      <c r="AQ45" s="396">
        <f t="shared" si="22"/>
        <v>0</v>
      </c>
      <c r="AR45" s="397"/>
    </row>
    <row r="46" spans="1:44" ht="12.75" customHeight="1">
      <c r="A46" s="53"/>
      <c r="B46" s="328" t="s">
        <v>298</v>
      </c>
      <c r="C46" s="389" t="str">
        <f>B46</f>
        <v>Average IESO Wholesale Market Price</v>
      </c>
      <c r="D46" s="390" t="s">
        <v>337</v>
      </c>
      <c r="E46" s="328"/>
      <c r="F46" s="408">
        <f>IFERROR(VLOOKUP($C46,'Proposed Rates'!$B:$J,F$11,FALSE),0)</f>
        <v>0.10453</v>
      </c>
      <c r="G46" s="413">
        <f>G43</f>
        <v>4020400.0000000005</v>
      </c>
      <c r="H46" s="394">
        <f t="shared" si="50"/>
        <v>420252.41200000007</v>
      </c>
      <c r="I46" s="138"/>
      <c r="J46" s="408">
        <f>IFERROR(VLOOKUP($C46,'Proposed Rates'!$B:$J,J$11,FALSE),0)</f>
        <v>0.10453</v>
      </c>
      <c r="K46" s="413">
        <f>K43</f>
        <v>4019199.9999999995</v>
      </c>
      <c r="L46" s="394">
        <f t="shared" si="51"/>
        <v>420126.97599999997</v>
      </c>
      <c r="M46" s="138"/>
      <c r="N46" s="395">
        <f t="shared" si="5"/>
        <v>-125.43600000010338</v>
      </c>
      <c r="O46" s="396">
        <f t="shared" si="6"/>
        <v>-2.9847776340687212E-4</v>
      </c>
      <c r="P46" s="53"/>
      <c r="Q46" s="408">
        <f>IFERROR(VLOOKUP($C46,'Proposed Rates'!$B:$J,Q$11,FALSE),0)</f>
        <v>0.10453</v>
      </c>
      <c r="R46" s="413">
        <f>R43</f>
        <v>4019199.9999999995</v>
      </c>
      <c r="S46" s="394">
        <f t="shared" si="52"/>
        <v>420126.97599999997</v>
      </c>
      <c r="T46" s="138"/>
      <c r="U46" s="395">
        <f t="shared" si="9"/>
        <v>0</v>
      </c>
      <c r="V46" s="396">
        <f t="shared" si="10"/>
        <v>0</v>
      </c>
      <c r="W46" s="53"/>
      <c r="X46" s="408">
        <f>IFERROR(VLOOKUP($C46,'Proposed Rates'!$B:$J,X$11,FALSE),0)</f>
        <v>0.10453</v>
      </c>
      <c r="Y46" s="413">
        <f>Y43</f>
        <v>4019199.9999999995</v>
      </c>
      <c r="Z46" s="394">
        <f t="shared" si="53"/>
        <v>420126.97599999997</v>
      </c>
      <c r="AA46" s="138"/>
      <c r="AB46" s="395">
        <f t="shared" si="13"/>
        <v>0</v>
      </c>
      <c r="AC46" s="396">
        <f t="shared" si="14"/>
        <v>0</v>
      </c>
      <c r="AD46" s="53"/>
      <c r="AE46" s="408">
        <f>IFERROR(VLOOKUP($C46,'Proposed Rates'!$B:$J,AE$11,FALSE),0)</f>
        <v>0.10453</v>
      </c>
      <c r="AF46" s="413">
        <f>AF43</f>
        <v>4019199.9999999995</v>
      </c>
      <c r="AG46" s="394">
        <f t="shared" si="54"/>
        <v>420126.97599999997</v>
      </c>
      <c r="AH46" s="138"/>
      <c r="AI46" s="395">
        <f t="shared" si="17"/>
        <v>0</v>
      </c>
      <c r="AJ46" s="396">
        <f t="shared" si="18"/>
        <v>0</v>
      </c>
      <c r="AK46" s="53"/>
      <c r="AL46" s="408">
        <f>IFERROR(VLOOKUP($C46,'Proposed Rates'!$B:$J,AL$11,FALSE),0)</f>
        <v>0.10453</v>
      </c>
      <c r="AM46" s="413">
        <f>AM43</f>
        <v>4019199.9999999995</v>
      </c>
      <c r="AN46" s="394">
        <f t="shared" si="55"/>
        <v>420126.97599999997</v>
      </c>
      <c r="AO46" s="138"/>
      <c r="AP46" s="395">
        <f t="shared" si="21"/>
        <v>0</v>
      </c>
      <c r="AQ46" s="396">
        <f t="shared" si="22"/>
        <v>0</v>
      </c>
      <c r="AR46" s="397"/>
    </row>
    <row r="47" spans="1:44" ht="7.5" customHeight="1">
      <c r="A47" s="53"/>
      <c r="B47" s="328"/>
      <c r="C47" s="389" t="str">
        <f t="shared" ref="C47:C50" si="56">D$6&amp;"."&amp;B47</f>
        <v>Large User.</v>
      </c>
      <c r="D47" s="390"/>
      <c r="E47" s="328"/>
      <c r="F47" s="408"/>
      <c r="G47" s="505"/>
      <c r="H47" s="394"/>
      <c r="I47" s="138"/>
      <c r="J47" s="408"/>
      <c r="K47" s="505"/>
      <c r="L47" s="394"/>
      <c r="M47" s="138"/>
      <c r="N47" s="395"/>
      <c r="O47" s="396"/>
      <c r="P47" s="53"/>
      <c r="Q47" s="408"/>
      <c r="R47" s="505"/>
      <c r="S47" s="394"/>
      <c r="T47" s="138"/>
      <c r="U47" s="395"/>
      <c r="V47" s="396"/>
      <c r="W47" s="53"/>
      <c r="X47" s="408"/>
      <c r="Y47" s="505"/>
      <c r="Z47" s="394"/>
      <c r="AA47" s="138"/>
      <c r="AB47" s="395"/>
      <c r="AC47" s="396"/>
      <c r="AD47" s="53"/>
      <c r="AE47" s="408"/>
      <c r="AF47" s="505"/>
      <c r="AG47" s="394"/>
      <c r="AH47" s="138"/>
      <c r="AI47" s="395"/>
      <c r="AJ47" s="396"/>
      <c r="AK47" s="53"/>
      <c r="AL47" s="408"/>
      <c r="AM47" s="505"/>
      <c r="AN47" s="394"/>
      <c r="AO47" s="138"/>
      <c r="AP47" s="395"/>
      <c r="AQ47" s="396"/>
      <c r="AR47" s="397"/>
    </row>
    <row r="48" spans="1:44" ht="7.5" customHeight="1">
      <c r="A48" s="53"/>
      <c r="B48" s="53"/>
      <c r="C48" s="389" t="str">
        <f t="shared" si="56"/>
        <v>Large User.</v>
      </c>
      <c r="D48" s="390"/>
      <c r="E48" s="328"/>
      <c r="F48" s="408"/>
      <c r="G48" s="505"/>
      <c r="H48" s="394"/>
      <c r="I48" s="138"/>
      <c r="J48" s="408"/>
      <c r="K48" s="505"/>
      <c r="L48" s="394"/>
      <c r="M48" s="138"/>
      <c r="N48" s="395"/>
      <c r="O48" s="396"/>
      <c r="P48" s="53"/>
      <c r="Q48" s="408"/>
      <c r="R48" s="505"/>
      <c r="S48" s="394"/>
      <c r="T48" s="138"/>
      <c r="U48" s="395"/>
      <c r="V48" s="396"/>
      <c r="W48" s="53"/>
      <c r="X48" s="408"/>
      <c r="Y48" s="505"/>
      <c r="Z48" s="394"/>
      <c r="AA48" s="138"/>
      <c r="AB48" s="395"/>
      <c r="AC48" s="396"/>
      <c r="AD48" s="53"/>
      <c r="AE48" s="408"/>
      <c r="AF48" s="505"/>
      <c r="AG48" s="394"/>
      <c r="AH48" s="138"/>
      <c r="AI48" s="395"/>
      <c r="AJ48" s="396"/>
      <c r="AK48" s="53"/>
      <c r="AL48" s="408"/>
      <c r="AM48" s="505"/>
      <c r="AN48" s="394"/>
      <c r="AO48" s="138"/>
      <c r="AP48" s="395"/>
      <c r="AQ48" s="396"/>
      <c r="AR48" s="397"/>
    </row>
    <row r="49" spans="1:44" ht="7.5" customHeight="1">
      <c r="A49" s="53"/>
      <c r="B49" s="328"/>
      <c r="C49" s="389" t="str">
        <f t="shared" si="56"/>
        <v>Large User.</v>
      </c>
      <c r="D49" s="390"/>
      <c r="E49" s="328"/>
      <c r="F49" s="408"/>
      <c r="G49" s="505"/>
      <c r="H49" s="394"/>
      <c r="I49" s="138"/>
      <c r="J49" s="408"/>
      <c r="K49" s="505"/>
      <c r="L49" s="394"/>
      <c r="M49" s="138"/>
      <c r="N49" s="395"/>
      <c r="O49" s="396"/>
      <c r="P49" s="53"/>
      <c r="Q49" s="408"/>
      <c r="R49" s="505"/>
      <c r="S49" s="394"/>
      <c r="T49" s="138"/>
      <c r="U49" s="395"/>
      <c r="V49" s="396"/>
      <c r="W49" s="53"/>
      <c r="X49" s="408"/>
      <c r="Y49" s="505"/>
      <c r="Z49" s="394"/>
      <c r="AA49" s="138"/>
      <c r="AB49" s="395"/>
      <c r="AC49" s="396"/>
      <c r="AD49" s="53"/>
      <c r="AE49" s="408"/>
      <c r="AF49" s="505"/>
      <c r="AG49" s="394"/>
      <c r="AH49" s="138"/>
      <c r="AI49" s="395"/>
      <c r="AJ49" s="396"/>
      <c r="AK49" s="53"/>
      <c r="AL49" s="408"/>
      <c r="AM49" s="505"/>
      <c r="AN49" s="394"/>
      <c r="AO49" s="138"/>
      <c r="AP49" s="395"/>
      <c r="AQ49" s="396"/>
      <c r="AR49" s="397"/>
    </row>
    <row r="50" spans="1:44" ht="7.5" customHeight="1">
      <c r="A50" s="53"/>
      <c r="B50" s="328"/>
      <c r="C50" s="389" t="str">
        <f t="shared" si="56"/>
        <v>Large User.</v>
      </c>
      <c r="D50" s="390"/>
      <c r="E50" s="328"/>
      <c r="F50" s="408"/>
      <c r="G50" s="505"/>
      <c r="H50" s="394"/>
      <c r="I50" s="138"/>
      <c r="J50" s="408"/>
      <c r="K50" s="505"/>
      <c r="L50" s="394"/>
      <c r="M50" s="138"/>
      <c r="N50" s="395"/>
      <c r="O50" s="396"/>
      <c r="P50" s="53"/>
      <c r="Q50" s="408"/>
      <c r="R50" s="505"/>
      <c r="S50" s="394"/>
      <c r="T50" s="138"/>
      <c r="U50" s="395"/>
      <c r="V50" s="396"/>
      <c r="W50" s="53"/>
      <c r="X50" s="408"/>
      <c r="Y50" s="505"/>
      <c r="Z50" s="394"/>
      <c r="AA50" s="138"/>
      <c r="AB50" s="395"/>
      <c r="AC50" s="396"/>
      <c r="AD50" s="53"/>
      <c r="AE50" s="408"/>
      <c r="AF50" s="505"/>
      <c r="AG50" s="394"/>
      <c r="AH50" s="138"/>
      <c r="AI50" s="395"/>
      <c r="AJ50" s="396"/>
      <c r="AK50" s="53"/>
      <c r="AL50" s="408"/>
      <c r="AM50" s="505"/>
      <c r="AN50" s="394"/>
      <c r="AO50" s="138"/>
      <c r="AP50" s="395"/>
      <c r="AQ50" s="396"/>
      <c r="AR50" s="397"/>
    </row>
    <row r="51" spans="1:44" ht="8.25" customHeight="1">
      <c r="A51" s="53"/>
      <c r="B51" s="428"/>
      <c r="C51" s="555"/>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row>
    <row r="52" spans="1:44" ht="12.75" customHeight="1">
      <c r="A52" s="53"/>
      <c r="B52" s="438" t="s">
        <v>344</v>
      </c>
      <c r="C52" s="556"/>
      <c r="D52" s="328"/>
      <c r="E52" s="328"/>
      <c r="F52" s="439"/>
      <c r="G52" s="483"/>
      <c r="H52" s="441">
        <f>SUM(H43:H48,H42)</f>
        <v>628657.19200000004</v>
      </c>
      <c r="I52" s="476"/>
      <c r="J52" s="440"/>
      <c r="K52" s="440"/>
      <c r="L52" s="441">
        <f>SUM(L43:L48,L42)</f>
        <v>631019.446</v>
      </c>
      <c r="M52" s="443"/>
      <c r="N52" s="442">
        <f t="shared" ref="N52:N56" si="57">L52-H52</f>
        <v>2362.2539999999572</v>
      </c>
      <c r="O52" s="444">
        <f t="shared" ref="O52:O56" si="58">IF((H52)=0,"",(N52/H52))</f>
        <v>3.7576186673132931E-3</v>
      </c>
      <c r="P52" s="53"/>
      <c r="Q52" s="440"/>
      <c r="R52" s="440"/>
      <c r="S52" s="441">
        <f>SUM(S43:S48,S42)</f>
        <v>649255.54599999997</v>
      </c>
      <c r="T52" s="443"/>
      <c r="U52" s="442">
        <f t="shared" ref="U52:U56" si="59">S52-L52</f>
        <v>18236.099999999977</v>
      </c>
      <c r="V52" s="444">
        <f t="shared" ref="V52:V56" si="60">IF((L52)=0,"",(U52/L52))</f>
        <v>2.8899426341926042E-2</v>
      </c>
      <c r="W52" s="53"/>
      <c r="X52" s="440"/>
      <c r="Y52" s="440"/>
      <c r="Z52" s="441">
        <f>SUM(Z43:Z48,Z42)</f>
        <v>631909.01599999995</v>
      </c>
      <c r="AA52" s="443"/>
      <c r="AB52" s="442">
        <f t="shared" ref="AB52:AB56" si="61">Z52-S52</f>
        <v>-17346.530000000028</v>
      </c>
      <c r="AC52" s="444">
        <f t="shared" ref="AC52:AC56" si="62">IF((S52)=0,"",(AB52/S52))</f>
        <v>-2.6717569232747113E-2</v>
      </c>
      <c r="AD52" s="53"/>
      <c r="AE52" s="440"/>
      <c r="AF52" s="440"/>
      <c r="AG52" s="441">
        <f>SUM(AG43:AG48,AG42)</f>
        <v>641052.51599999995</v>
      </c>
      <c r="AH52" s="443"/>
      <c r="AI52" s="442">
        <f t="shared" ref="AI52:AI56" si="63">AG52-Z52</f>
        <v>9143.5</v>
      </c>
      <c r="AJ52" s="444">
        <f t="shared" ref="AJ52:AJ56" si="64">IF((Z52)=0,"",(AI52/Z52))</f>
        <v>1.4469646370736385E-2</v>
      </c>
      <c r="AK52" s="53"/>
      <c r="AL52" s="440"/>
      <c r="AM52" s="440"/>
      <c r="AN52" s="441">
        <f>SUM(AN43:AN48,AN42)</f>
        <v>648866.61599999992</v>
      </c>
      <c r="AO52" s="443"/>
      <c r="AP52" s="442">
        <f t="shared" ref="AP52:AP56" si="65">AN52-AG52</f>
        <v>7814.0999999999767</v>
      </c>
      <c r="AQ52" s="444">
        <f t="shared" ref="AQ52:AQ56" si="66">IF((AG52)=0,"",(AP52/AG52))</f>
        <v>1.2189484956330749E-2</v>
      </c>
      <c r="AR52" s="445"/>
    </row>
    <row r="53" spans="1:44" ht="12.75" customHeight="1">
      <c r="A53" s="53"/>
      <c r="B53" s="446" t="s">
        <v>345</v>
      </c>
      <c r="C53" s="556"/>
      <c r="D53" s="328"/>
      <c r="E53" s="328"/>
      <c r="F53" s="439">
        <v>0.13</v>
      </c>
      <c r="G53" s="138"/>
      <c r="H53" s="484">
        <f>H52*F53</f>
        <v>81725.434960000013</v>
      </c>
      <c r="I53" s="411"/>
      <c r="J53" s="447">
        <v>0.13</v>
      </c>
      <c r="K53" s="411"/>
      <c r="L53" s="394">
        <f>L52*J53</f>
        <v>82032.527979999999</v>
      </c>
      <c r="M53" s="138"/>
      <c r="N53" s="395">
        <f t="shared" si="57"/>
        <v>307.0930199999857</v>
      </c>
      <c r="O53" s="396">
        <f t="shared" si="58"/>
        <v>3.7576186673131859E-3</v>
      </c>
      <c r="P53" s="53"/>
      <c r="Q53" s="447">
        <v>0.13</v>
      </c>
      <c r="R53" s="411"/>
      <c r="S53" s="394">
        <f>S52*Q53</f>
        <v>84403.220979999998</v>
      </c>
      <c r="T53" s="138"/>
      <c r="U53" s="395">
        <f t="shared" si="59"/>
        <v>2370.6929999999993</v>
      </c>
      <c r="V53" s="396">
        <f t="shared" si="60"/>
        <v>2.889942634192607E-2</v>
      </c>
      <c r="W53" s="53"/>
      <c r="X53" s="447">
        <v>0.13</v>
      </c>
      <c r="Y53" s="411"/>
      <c r="Z53" s="394">
        <f>Z52*X53</f>
        <v>82148.172079999989</v>
      </c>
      <c r="AA53" s="138"/>
      <c r="AB53" s="395">
        <f t="shared" si="61"/>
        <v>-2255.0489000000089</v>
      </c>
      <c r="AC53" s="396">
        <f t="shared" si="62"/>
        <v>-2.6717569232747176E-2</v>
      </c>
      <c r="AD53" s="53"/>
      <c r="AE53" s="447">
        <v>0.13</v>
      </c>
      <c r="AF53" s="411"/>
      <c r="AG53" s="394">
        <f>AG52*AE53</f>
        <v>83336.827080000003</v>
      </c>
      <c r="AH53" s="138"/>
      <c r="AI53" s="395">
        <f t="shared" si="63"/>
        <v>1188.6550000000134</v>
      </c>
      <c r="AJ53" s="396">
        <f t="shared" si="64"/>
        <v>1.446964637073655E-2</v>
      </c>
      <c r="AK53" s="53"/>
      <c r="AL53" s="447">
        <v>0.13</v>
      </c>
      <c r="AM53" s="411"/>
      <c r="AN53" s="394">
        <f>AN52*AL53</f>
        <v>84352.660079999987</v>
      </c>
      <c r="AO53" s="138"/>
      <c r="AP53" s="395">
        <f t="shared" si="65"/>
        <v>1015.8329999999842</v>
      </c>
      <c r="AQ53" s="396">
        <f t="shared" si="66"/>
        <v>1.2189484956330595E-2</v>
      </c>
      <c r="AR53" s="397"/>
    </row>
    <row r="54" spans="1:44" ht="12.75" customHeight="1">
      <c r="A54" s="53"/>
      <c r="B54" s="485" t="s">
        <v>440</v>
      </c>
      <c r="C54" s="556"/>
      <c r="D54" s="328"/>
      <c r="E54" s="328"/>
      <c r="F54" s="449"/>
      <c r="G54" s="138"/>
      <c r="H54" s="484">
        <f>H52+H53</f>
        <v>710382.62696000002</v>
      </c>
      <c r="I54" s="411"/>
      <c r="J54" s="411"/>
      <c r="K54" s="411"/>
      <c r="L54" s="394">
        <f>L52+L53</f>
        <v>713051.97398000001</v>
      </c>
      <c r="M54" s="138"/>
      <c r="N54" s="395">
        <f t="shared" si="57"/>
        <v>2669.3470199999865</v>
      </c>
      <c r="O54" s="396">
        <f t="shared" si="58"/>
        <v>3.7576186673133425E-3</v>
      </c>
      <c r="P54" s="53"/>
      <c r="Q54" s="411"/>
      <c r="R54" s="411"/>
      <c r="S54" s="394">
        <f>S52+S53</f>
        <v>733658.76697999996</v>
      </c>
      <c r="T54" s="138"/>
      <c r="U54" s="395">
        <f t="shared" si="59"/>
        <v>20606.792999999947</v>
      </c>
      <c r="V54" s="396">
        <f t="shared" si="60"/>
        <v>2.8899426341926004E-2</v>
      </c>
      <c r="W54" s="53"/>
      <c r="X54" s="411"/>
      <c r="Y54" s="411"/>
      <c r="Z54" s="394">
        <f>Z52+Z53</f>
        <v>714057.18807999999</v>
      </c>
      <c r="AA54" s="138"/>
      <c r="AB54" s="395">
        <f t="shared" si="61"/>
        <v>-19601.578899999964</v>
      </c>
      <c r="AC54" s="396">
        <f t="shared" si="62"/>
        <v>-2.6717569232747023E-2</v>
      </c>
      <c r="AD54" s="53"/>
      <c r="AE54" s="411"/>
      <c r="AF54" s="411"/>
      <c r="AG54" s="394">
        <f>AG52+AG53</f>
        <v>724389.3430799999</v>
      </c>
      <c r="AH54" s="138"/>
      <c r="AI54" s="395">
        <f t="shared" si="63"/>
        <v>10332.154999999912</v>
      </c>
      <c r="AJ54" s="396">
        <f t="shared" si="64"/>
        <v>1.446964637073626E-2</v>
      </c>
      <c r="AK54" s="53"/>
      <c r="AL54" s="411"/>
      <c r="AM54" s="411"/>
      <c r="AN54" s="394">
        <f>AN52+AN53</f>
        <v>733219.27607999987</v>
      </c>
      <c r="AO54" s="138"/>
      <c r="AP54" s="395">
        <f t="shared" si="65"/>
        <v>8829.9329999999609</v>
      </c>
      <c r="AQ54" s="396">
        <f t="shared" si="66"/>
        <v>1.2189484956330732E-2</v>
      </c>
      <c r="AR54" s="397"/>
    </row>
    <row r="55" spans="1:44" ht="15.75" customHeight="1">
      <c r="A55" s="53"/>
      <c r="B55" s="626" t="s">
        <v>304</v>
      </c>
      <c r="C55" s="616"/>
      <c r="D55" s="616"/>
      <c r="E55" s="328"/>
      <c r="F55" s="449"/>
      <c r="G55" s="138"/>
      <c r="H55" s="486">
        <f>F55*H52</f>
        <v>0</v>
      </c>
      <c r="I55" s="411"/>
      <c r="J55" s="411"/>
      <c r="K55" s="411"/>
      <c r="L55" s="506">
        <f>J55*L52</f>
        <v>0</v>
      </c>
      <c r="M55" s="138"/>
      <c r="N55" s="451">
        <f t="shared" si="57"/>
        <v>0</v>
      </c>
      <c r="O55" s="453" t="str">
        <f t="shared" si="58"/>
        <v/>
      </c>
      <c r="P55" s="53"/>
      <c r="Q55" s="411"/>
      <c r="R55" s="411"/>
      <c r="S55" s="506">
        <f>Q55*S52</f>
        <v>0</v>
      </c>
      <c r="T55" s="138"/>
      <c r="U55" s="451">
        <f t="shared" si="59"/>
        <v>0</v>
      </c>
      <c r="V55" s="453" t="str">
        <f t="shared" si="60"/>
        <v/>
      </c>
      <c r="W55" s="53"/>
      <c r="X55" s="411"/>
      <c r="Y55" s="411"/>
      <c r="Z55" s="506">
        <f>X55*Z52</f>
        <v>0</v>
      </c>
      <c r="AA55" s="138"/>
      <c r="AB55" s="451">
        <f t="shared" si="61"/>
        <v>0</v>
      </c>
      <c r="AC55" s="453" t="str">
        <f t="shared" si="62"/>
        <v/>
      </c>
      <c r="AD55" s="53"/>
      <c r="AE55" s="411"/>
      <c r="AF55" s="411"/>
      <c r="AG55" s="506">
        <f>AE55*AG52</f>
        <v>0</v>
      </c>
      <c r="AH55" s="138"/>
      <c r="AI55" s="451">
        <f t="shared" si="63"/>
        <v>0</v>
      </c>
      <c r="AJ55" s="453" t="str">
        <f t="shared" si="64"/>
        <v/>
      </c>
      <c r="AK55" s="53"/>
      <c r="AL55" s="411"/>
      <c r="AM55" s="411"/>
      <c r="AN55" s="506">
        <f>AL55*AN52</f>
        <v>0</v>
      </c>
      <c r="AO55" s="138"/>
      <c r="AP55" s="451">
        <f t="shared" si="65"/>
        <v>0</v>
      </c>
      <c r="AQ55" s="453" t="str">
        <f t="shared" si="66"/>
        <v/>
      </c>
      <c r="AR55" s="454"/>
    </row>
    <row r="56" spans="1:44" ht="13.5" customHeight="1">
      <c r="A56" s="53"/>
      <c r="B56" s="627" t="s">
        <v>347</v>
      </c>
      <c r="C56" s="608"/>
      <c r="D56" s="600"/>
      <c r="E56" s="455"/>
      <c r="F56" s="456"/>
      <c r="G56" s="487"/>
      <c r="H56" s="488">
        <f>H54-H55</f>
        <v>710382.62696000002</v>
      </c>
      <c r="I56" s="457"/>
      <c r="J56" s="457"/>
      <c r="K56" s="457"/>
      <c r="L56" s="458">
        <f>L54-L55</f>
        <v>713051.97398000001</v>
      </c>
      <c r="M56" s="459"/>
      <c r="N56" s="460">
        <f t="shared" si="57"/>
        <v>2669.3470199999865</v>
      </c>
      <c r="O56" s="461">
        <f t="shared" si="58"/>
        <v>3.7576186673133425E-3</v>
      </c>
      <c r="P56" s="53"/>
      <c r="Q56" s="457"/>
      <c r="R56" s="457"/>
      <c r="S56" s="458">
        <f>S54-S55</f>
        <v>733658.76697999996</v>
      </c>
      <c r="T56" s="459"/>
      <c r="U56" s="460">
        <f t="shared" si="59"/>
        <v>20606.792999999947</v>
      </c>
      <c r="V56" s="461">
        <f t="shared" si="60"/>
        <v>2.8899426341926004E-2</v>
      </c>
      <c r="W56" s="53"/>
      <c r="X56" s="457"/>
      <c r="Y56" s="457"/>
      <c r="Z56" s="458">
        <f>Z54-Z55</f>
        <v>714057.18807999999</v>
      </c>
      <c r="AA56" s="459"/>
      <c r="AB56" s="460">
        <f t="shared" si="61"/>
        <v>-19601.578899999964</v>
      </c>
      <c r="AC56" s="461">
        <f t="shared" si="62"/>
        <v>-2.6717569232747023E-2</v>
      </c>
      <c r="AD56" s="53"/>
      <c r="AE56" s="457"/>
      <c r="AF56" s="457"/>
      <c r="AG56" s="458">
        <f>AG54-AG55</f>
        <v>724389.3430799999</v>
      </c>
      <c r="AH56" s="459"/>
      <c r="AI56" s="460">
        <f t="shared" si="63"/>
        <v>10332.154999999912</v>
      </c>
      <c r="AJ56" s="461">
        <f t="shared" si="64"/>
        <v>1.446964637073626E-2</v>
      </c>
      <c r="AK56" s="53"/>
      <c r="AL56" s="457"/>
      <c r="AM56" s="457"/>
      <c r="AN56" s="458">
        <f>AN54-AN55</f>
        <v>733219.27607999987</v>
      </c>
      <c r="AO56" s="459"/>
      <c r="AP56" s="460">
        <f t="shared" si="65"/>
        <v>8829.9329999999609</v>
      </c>
      <c r="AQ56" s="461">
        <f t="shared" si="66"/>
        <v>1.2189484956330732E-2</v>
      </c>
      <c r="AR56" s="462"/>
    </row>
    <row r="57" spans="1:44" ht="8.25" customHeight="1">
      <c r="A57" s="53"/>
      <c r="B57" s="428"/>
      <c r="C57" s="555"/>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row>
    <row r="58" spans="1:44" ht="12.75" customHeight="1">
      <c r="A58" s="507"/>
      <c r="B58" s="508" t="s">
        <v>348</v>
      </c>
      <c r="C58" s="557"/>
      <c r="D58" s="509"/>
      <c r="E58" s="509"/>
      <c r="F58" s="510"/>
      <c r="G58" s="511"/>
      <c r="H58" s="512">
        <f>SUM(H49:H50,H42,H43:H45)</f>
        <v>208404.77999999997</v>
      </c>
      <c r="I58" s="513"/>
      <c r="J58" s="514"/>
      <c r="K58" s="514"/>
      <c r="L58" s="512">
        <f>SUM(L49:L50,L42,L43:L45)</f>
        <v>210892.46999999997</v>
      </c>
      <c r="M58" s="515"/>
      <c r="N58" s="516">
        <f t="shared" ref="N58:N62" si="67">L58-H58</f>
        <v>2487.6900000000023</v>
      </c>
      <c r="O58" s="517">
        <f t="shared" ref="O58:O62" si="68">IF((H58)=0,"",(N58/H58))</f>
        <v>1.1936818339771298E-2</v>
      </c>
      <c r="P58" s="507"/>
      <c r="Q58" s="514"/>
      <c r="R58" s="514"/>
      <c r="S58" s="512">
        <f>SUM(S49:S50,S42,S43:S45)</f>
        <v>229128.56999999998</v>
      </c>
      <c r="T58" s="515"/>
      <c r="U58" s="516">
        <f t="shared" ref="U58:U62" si="69">S58-L58</f>
        <v>18236.100000000006</v>
      </c>
      <c r="V58" s="517">
        <f t="shared" ref="V58:V62" si="70">IF((L58)=0,"",(U58/L58))</f>
        <v>8.6471081684424328E-2</v>
      </c>
      <c r="W58" s="507"/>
      <c r="X58" s="514"/>
      <c r="Y58" s="514"/>
      <c r="Z58" s="512">
        <f>SUM(Z49:Z50,Z42,Z43:Z45)</f>
        <v>211782.03999999998</v>
      </c>
      <c r="AA58" s="515"/>
      <c r="AB58" s="516">
        <f t="shared" ref="AB58:AB62" si="71">Z58-S58</f>
        <v>-17346.53</v>
      </c>
      <c r="AC58" s="517">
        <f t="shared" ref="AC58:AC62" si="72">IF((S58)=0,"",(AB58/S58))</f>
        <v>-7.5706534545211895E-2</v>
      </c>
      <c r="AD58" s="507"/>
      <c r="AE58" s="514"/>
      <c r="AF58" s="514"/>
      <c r="AG58" s="512">
        <f>SUM(AG49:AG50,AG42,AG43:AG45)</f>
        <v>220925.53999999998</v>
      </c>
      <c r="AH58" s="515"/>
      <c r="AI58" s="516">
        <f t="shared" ref="AI58:AI62" si="73">AG58-Z58</f>
        <v>9143.5</v>
      </c>
      <c r="AJ58" s="517">
        <f t="shared" ref="AJ58:AJ62" si="74">IF((Z58)=0,"",(AI58/Z58))</f>
        <v>4.3174104848550901E-2</v>
      </c>
      <c r="AK58" s="507"/>
      <c r="AL58" s="514"/>
      <c r="AM58" s="514"/>
      <c r="AN58" s="512">
        <f>SUM(AN49:AN50,AN42,AN43:AN45)</f>
        <v>228739.63999999996</v>
      </c>
      <c r="AO58" s="515"/>
      <c r="AP58" s="516">
        <f t="shared" ref="AP58:AP62" si="75">AN58-AG58</f>
        <v>7814.0999999999767</v>
      </c>
      <c r="AQ58" s="517">
        <f t="shared" ref="AQ58:AQ62" si="76">IF((AG58)=0,"",(AP58/AG58))</f>
        <v>3.5369835465831508E-2</v>
      </c>
      <c r="AR58" s="518"/>
    </row>
    <row r="59" spans="1:44" ht="12.75" customHeight="1">
      <c r="A59" s="507"/>
      <c r="B59" s="519" t="s">
        <v>345</v>
      </c>
      <c r="C59" s="557"/>
      <c r="D59" s="509"/>
      <c r="E59" s="509"/>
      <c r="F59" s="510">
        <v>0.13</v>
      </c>
      <c r="G59" s="511"/>
      <c r="H59" s="520">
        <f>H58*F59</f>
        <v>27092.621399999996</v>
      </c>
      <c r="I59" s="521"/>
      <c r="J59" s="510">
        <v>0.13</v>
      </c>
      <c r="K59" s="522"/>
      <c r="L59" s="523">
        <f>L58*J59</f>
        <v>27416.021099999998</v>
      </c>
      <c r="M59" s="524"/>
      <c r="N59" s="525">
        <f t="shared" si="67"/>
        <v>323.39970000000176</v>
      </c>
      <c r="O59" s="526">
        <f t="shared" si="68"/>
        <v>1.1936818339771352E-2</v>
      </c>
      <c r="P59" s="507"/>
      <c r="Q59" s="510">
        <v>0.13</v>
      </c>
      <c r="R59" s="522"/>
      <c r="S59" s="523">
        <f>S58*Q59</f>
        <v>29786.714099999997</v>
      </c>
      <c r="T59" s="524"/>
      <c r="U59" s="525">
        <f t="shared" si="69"/>
        <v>2370.6929999999993</v>
      </c>
      <c r="V59" s="526">
        <f t="shared" si="70"/>
        <v>8.6471081684424272E-2</v>
      </c>
      <c r="W59" s="507"/>
      <c r="X59" s="510">
        <v>0.13</v>
      </c>
      <c r="Y59" s="522"/>
      <c r="Z59" s="523">
        <f>Z58*X59</f>
        <v>27531.665199999999</v>
      </c>
      <c r="AA59" s="524"/>
      <c r="AB59" s="525">
        <f t="shared" si="71"/>
        <v>-2255.048899999998</v>
      </c>
      <c r="AC59" s="526">
        <f t="shared" si="72"/>
        <v>-7.5706534545211826E-2</v>
      </c>
      <c r="AD59" s="507"/>
      <c r="AE59" s="510">
        <v>0.13</v>
      </c>
      <c r="AF59" s="522"/>
      <c r="AG59" s="523">
        <f>AG58*AE59</f>
        <v>28720.320199999998</v>
      </c>
      <c r="AH59" s="524"/>
      <c r="AI59" s="525">
        <f t="shared" si="73"/>
        <v>1188.6549999999988</v>
      </c>
      <c r="AJ59" s="526">
        <f t="shared" si="74"/>
        <v>4.3174104848550852E-2</v>
      </c>
      <c r="AK59" s="507"/>
      <c r="AL59" s="510">
        <v>0.13</v>
      </c>
      <c r="AM59" s="522"/>
      <c r="AN59" s="523">
        <f>AN58*AL59</f>
        <v>29736.153199999997</v>
      </c>
      <c r="AO59" s="524"/>
      <c r="AP59" s="525">
        <f t="shared" si="75"/>
        <v>1015.8329999999987</v>
      </c>
      <c r="AQ59" s="526">
        <f t="shared" si="76"/>
        <v>3.536983546583157E-2</v>
      </c>
      <c r="AR59" s="527"/>
    </row>
    <row r="60" spans="1:44" ht="12.75" customHeight="1">
      <c r="A60" s="507"/>
      <c r="B60" s="548" t="s">
        <v>441</v>
      </c>
      <c r="C60" s="557"/>
      <c r="D60" s="509"/>
      <c r="E60" s="509"/>
      <c r="F60" s="529"/>
      <c r="G60" s="524"/>
      <c r="H60" s="520">
        <f>H58+H59</f>
        <v>235497.40139999997</v>
      </c>
      <c r="I60" s="521"/>
      <c r="J60" s="521"/>
      <c r="K60" s="521"/>
      <c r="L60" s="523">
        <f>L58+L59</f>
        <v>238308.49109999998</v>
      </c>
      <c r="M60" s="524"/>
      <c r="N60" s="525">
        <f t="shared" si="67"/>
        <v>2811.0897000000114</v>
      </c>
      <c r="O60" s="526">
        <f t="shared" si="68"/>
        <v>1.1936818339771334E-2</v>
      </c>
      <c r="P60" s="507"/>
      <c r="Q60" s="521"/>
      <c r="R60" s="521"/>
      <c r="S60" s="523">
        <f>S58+S59</f>
        <v>258915.28409999999</v>
      </c>
      <c r="T60" s="524"/>
      <c r="U60" s="525">
        <f t="shared" si="69"/>
        <v>20606.793000000005</v>
      </c>
      <c r="V60" s="526">
        <f t="shared" si="70"/>
        <v>8.6471081684424328E-2</v>
      </c>
      <c r="W60" s="507"/>
      <c r="X60" s="521"/>
      <c r="Y60" s="521"/>
      <c r="Z60" s="523">
        <f>Z58+Z59</f>
        <v>239313.70519999997</v>
      </c>
      <c r="AA60" s="524"/>
      <c r="AB60" s="525">
        <f t="shared" si="71"/>
        <v>-19601.578900000022</v>
      </c>
      <c r="AC60" s="526">
        <f t="shared" si="72"/>
        <v>-7.5706534545211979E-2</v>
      </c>
      <c r="AD60" s="507"/>
      <c r="AE60" s="521"/>
      <c r="AF60" s="521"/>
      <c r="AG60" s="523">
        <f>AG58+AG59</f>
        <v>249645.86019999997</v>
      </c>
      <c r="AH60" s="524"/>
      <c r="AI60" s="525">
        <f t="shared" si="73"/>
        <v>10332.154999999999</v>
      </c>
      <c r="AJ60" s="526">
        <f t="shared" si="74"/>
        <v>4.3174104848550901E-2</v>
      </c>
      <c r="AK60" s="507"/>
      <c r="AL60" s="521"/>
      <c r="AM60" s="521"/>
      <c r="AN60" s="523">
        <f>AN58+AN59</f>
        <v>258475.79319999996</v>
      </c>
      <c r="AO60" s="524"/>
      <c r="AP60" s="525">
        <f t="shared" si="75"/>
        <v>8829.93299999999</v>
      </c>
      <c r="AQ60" s="526">
        <f t="shared" si="76"/>
        <v>3.5369835465831577E-2</v>
      </c>
      <c r="AR60" s="527"/>
    </row>
    <row r="61" spans="1:44" ht="15.75" customHeight="1">
      <c r="A61" s="507"/>
      <c r="B61" s="636" t="s">
        <v>304</v>
      </c>
      <c r="C61" s="616"/>
      <c r="D61" s="616"/>
      <c r="E61" s="509"/>
      <c r="F61" s="529"/>
      <c r="G61" s="524"/>
      <c r="H61" s="530">
        <f>F61*H58</f>
        <v>0</v>
      </c>
      <c r="I61" s="521"/>
      <c r="J61" s="521"/>
      <c r="K61" s="521"/>
      <c r="L61" s="531">
        <f>J61*L58</f>
        <v>0</v>
      </c>
      <c r="M61" s="524"/>
      <c r="N61" s="532">
        <f t="shared" si="67"/>
        <v>0</v>
      </c>
      <c r="O61" s="533" t="str">
        <f t="shared" si="68"/>
        <v/>
      </c>
      <c r="P61" s="507"/>
      <c r="Q61" s="521"/>
      <c r="R61" s="521"/>
      <c r="S61" s="531">
        <f>Q61*S58</f>
        <v>0</v>
      </c>
      <c r="T61" s="524"/>
      <c r="U61" s="532">
        <f t="shared" si="69"/>
        <v>0</v>
      </c>
      <c r="V61" s="533" t="str">
        <f t="shared" si="70"/>
        <v/>
      </c>
      <c r="W61" s="507"/>
      <c r="X61" s="521"/>
      <c r="Y61" s="521"/>
      <c r="Z61" s="531">
        <f>X61*Z58</f>
        <v>0</v>
      </c>
      <c r="AA61" s="524"/>
      <c r="AB61" s="532">
        <f t="shared" si="71"/>
        <v>0</v>
      </c>
      <c r="AC61" s="533" t="str">
        <f t="shared" si="72"/>
        <v/>
      </c>
      <c r="AD61" s="507"/>
      <c r="AE61" s="521"/>
      <c r="AF61" s="521"/>
      <c r="AG61" s="531">
        <f>AE61*AG58</f>
        <v>0</v>
      </c>
      <c r="AH61" s="524"/>
      <c r="AI61" s="532">
        <f t="shared" si="73"/>
        <v>0</v>
      </c>
      <c r="AJ61" s="533" t="str">
        <f t="shared" si="74"/>
        <v/>
      </c>
      <c r="AK61" s="507"/>
      <c r="AL61" s="521"/>
      <c r="AM61" s="521"/>
      <c r="AN61" s="531">
        <f>AL61*AN58</f>
        <v>0</v>
      </c>
      <c r="AO61" s="524"/>
      <c r="AP61" s="532">
        <f t="shared" si="75"/>
        <v>0</v>
      </c>
      <c r="AQ61" s="533" t="str">
        <f t="shared" si="76"/>
        <v/>
      </c>
      <c r="AR61" s="534"/>
    </row>
    <row r="62" spans="1:44" ht="13.5" customHeight="1">
      <c r="A62" s="507"/>
      <c r="B62" s="637" t="s">
        <v>350</v>
      </c>
      <c r="C62" s="608"/>
      <c r="D62" s="600"/>
      <c r="E62" s="535"/>
      <c r="F62" s="536"/>
      <c r="G62" s="537"/>
      <c r="H62" s="538">
        <f>H60-H61</f>
        <v>235497.40139999997</v>
      </c>
      <c r="I62" s="539"/>
      <c r="J62" s="539"/>
      <c r="K62" s="539"/>
      <c r="L62" s="540">
        <f>L60-L61</f>
        <v>238308.49109999998</v>
      </c>
      <c r="M62" s="541"/>
      <c r="N62" s="542">
        <f t="shared" si="67"/>
        <v>2811.0897000000114</v>
      </c>
      <c r="O62" s="543">
        <f t="shared" si="68"/>
        <v>1.1936818339771334E-2</v>
      </c>
      <c r="P62" s="507"/>
      <c r="Q62" s="539"/>
      <c r="R62" s="539"/>
      <c r="S62" s="540">
        <f>S60-S61</f>
        <v>258915.28409999999</v>
      </c>
      <c r="T62" s="541"/>
      <c r="U62" s="542">
        <f t="shared" si="69"/>
        <v>20606.793000000005</v>
      </c>
      <c r="V62" s="543">
        <f t="shared" si="70"/>
        <v>8.6471081684424328E-2</v>
      </c>
      <c r="W62" s="507"/>
      <c r="X62" s="539"/>
      <c r="Y62" s="539"/>
      <c r="Z62" s="540">
        <f>Z60-Z61</f>
        <v>239313.70519999997</v>
      </c>
      <c r="AA62" s="541"/>
      <c r="AB62" s="542">
        <f t="shared" si="71"/>
        <v>-19601.578900000022</v>
      </c>
      <c r="AC62" s="543">
        <f t="shared" si="72"/>
        <v>-7.5706534545211979E-2</v>
      </c>
      <c r="AD62" s="507"/>
      <c r="AE62" s="539"/>
      <c r="AF62" s="539"/>
      <c r="AG62" s="540">
        <f>AG60-AG61</f>
        <v>249645.86019999997</v>
      </c>
      <c r="AH62" s="541"/>
      <c r="AI62" s="542">
        <f t="shared" si="73"/>
        <v>10332.154999999999</v>
      </c>
      <c r="AJ62" s="543">
        <f t="shared" si="74"/>
        <v>4.3174104848550901E-2</v>
      </c>
      <c r="AK62" s="507"/>
      <c r="AL62" s="539"/>
      <c r="AM62" s="539"/>
      <c r="AN62" s="540">
        <f>AN60-AN61</f>
        <v>258475.79319999996</v>
      </c>
      <c r="AO62" s="541"/>
      <c r="AP62" s="542">
        <f t="shared" si="75"/>
        <v>8829.93299999999</v>
      </c>
      <c r="AQ62" s="543">
        <f t="shared" si="76"/>
        <v>3.5369835465831577E-2</v>
      </c>
      <c r="AR62" s="544"/>
    </row>
    <row r="63" spans="1:44" ht="8.25" customHeight="1">
      <c r="A63" s="53"/>
      <c r="B63" s="428"/>
      <c r="C63" s="555"/>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row>
    <row r="64" spans="1:44" ht="12.75" customHeight="1">
      <c r="A64" s="53"/>
      <c r="B64" s="53"/>
      <c r="C64" s="549"/>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75" customHeight="1">
      <c r="A65" s="53"/>
      <c r="B65" s="314" t="s">
        <v>351</v>
      </c>
      <c r="C65" s="549"/>
      <c r="D65" s="53"/>
      <c r="E65" s="53"/>
      <c r="F65" s="472">
        <f>'Proposed Rates'!$E$310</f>
        <v>5.1000000000000004E-3</v>
      </c>
      <c r="G65" s="53"/>
      <c r="H65" s="53"/>
      <c r="I65" s="53"/>
      <c r="J65" s="472">
        <f>'Proposed Rates'!$F$310</f>
        <v>4.7999999999999996E-3</v>
      </c>
      <c r="K65" s="53"/>
      <c r="L65" s="53"/>
      <c r="M65" s="53"/>
      <c r="N65" s="53"/>
      <c r="O65" s="53"/>
      <c r="P65" s="53"/>
      <c r="Q65" s="472">
        <f>'Proposed Rates'!$G$310</f>
        <v>4.7999999999999996E-3</v>
      </c>
      <c r="R65" s="53"/>
      <c r="S65" s="53"/>
      <c r="T65" s="53"/>
      <c r="U65" s="53"/>
      <c r="V65" s="53"/>
      <c r="W65" s="53"/>
      <c r="X65" s="472">
        <f>'Proposed Rates'!$H$310</f>
        <v>4.7999999999999996E-3</v>
      </c>
      <c r="Y65" s="53"/>
      <c r="Z65" s="53"/>
      <c r="AA65" s="53"/>
      <c r="AB65" s="53"/>
      <c r="AC65" s="53"/>
      <c r="AD65" s="53"/>
      <c r="AE65" s="472">
        <f>'Proposed Rates'!$I$310</f>
        <v>4.7999999999999996E-3</v>
      </c>
      <c r="AF65" s="53"/>
      <c r="AG65" s="53"/>
      <c r="AH65" s="53"/>
      <c r="AI65" s="53"/>
      <c r="AJ65" s="53"/>
      <c r="AK65" s="53"/>
      <c r="AL65" s="472">
        <f>'Proposed Rates'!$J$310</f>
        <v>4.7999999999999996E-3</v>
      </c>
      <c r="AM65" s="53"/>
      <c r="AN65" s="53"/>
      <c r="AO65" s="53"/>
      <c r="AP65" s="53"/>
      <c r="AQ65" s="53"/>
      <c r="AR65" s="53"/>
    </row>
    <row r="66" spans="1:44" ht="12.75" customHeight="1">
      <c r="A66" s="53"/>
      <c r="B66" s="53"/>
      <c r="C66" s="549"/>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5.75" customHeight="1">
      <c r="A67" s="473" t="s">
        <v>442</v>
      </c>
      <c r="B67" s="53"/>
      <c r="C67" s="549"/>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3.5" customHeight="1">
      <c r="A68" s="53"/>
      <c r="B68" s="53"/>
      <c r="C68" s="549"/>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8.25" customHeight="1">
      <c r="A69" s="53" t="s">
        <v>353</v>
      </c>
      <c r="B69" s="53"/>
      <c r="C69" s="549"/>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75" customHeight="1">
      <c r="A70" s="53" t="s">
        <v>354</v>
      </c>
      <c r="B70" s="53"/>
      <c r="C70" s="549"/>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75" customHeight="1">
      <c r="A71" s="53"/>
      <c r="B71" s="53"/>
      <c r="C71" s="549"/>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75" customHeight="1">
      <c r="A72" s="53" t="s">
        <v>355</v>
      </c>
      <c r="B72" s="53"/>
      <c r="C72" s="549"/>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75" customHeight="1">
      <c r="A73" s="53" t="s">
        <v>356</v>
      </c>
      <c r="B73" s="53"/>
      <c r="C73" s="549"/>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75" customHeight="1">
      <c r="A74" s="53"/>
      <c r="B74" s="53"/>
      <c r="C74" s="549"/>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75" customHeight="1">
      <c r="A75" s="53" t="s">
        <v>357</v>
      </c>
      <c r="B75" s="53"/>
      <c r="C75" s="549"/>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75" customHeight="1">
      <c r="A76" s="53" t="s">
        <v>358</v>
      </c>
      <c r="B76" s="53"/>
      <c r="C76" s="549"/>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75" customHeight="1">
      <c r="A77" s="53" t="s">
        <v>359</v>
      </c>
      <c r="B77" s="53"/>
      <c r="C77" s="549"/>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75" customHeight="1">
      <c r="A78" s="53" t="s">
        <v>360</v>
      </c>
      <c r="B78" s="53"/>
      <c r="C78" s="549"/>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75" customHeight="1">
      <c r="A79" s="53" t="s">
        <v>361</v>
      </c>
      <c r="B79" s="53"/>
      <c r="C79" s="549"/>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75" customHeight="1">
      <c r="A80" s="53"/>
      <c r="B80" s="53"/>
      <c r="C80" s="549"/>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75" customHeight="1">
      <c r="A81" s="474"/>
      <c r="B81" s="53" t="s">
        <v>362</v>
      </c>
      <c r="C81" s="549"/>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75" customHeight="1">
      <c r="A82" s="53"/>
      <c r="B82" s="53"/>
      <c r="C82" s="549"/>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75" customHeight="1">
      <c r="A83" s="53"/>
      <c r="B83" s="53" t="s">
        <v>363</v>
      </c>
      <c r="C83" s="549"/>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75" customHeight="1">
      <c r="A84" s="53"/>
      <c r="B84" s="53"/>
      <c r="C84" s="549"/>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75" customHeight="1">
      <c r="A85" s="53"/>
      <c r="B85" s="53"/>
      <c r="C85" s="549"/>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75" customHeight="1">
      <c r="A86" s="53"/>
      <c r="B86" s="53"/>
      <c r="C86" s="549"/>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75" customHeight="1">
      <c r="A87" s="53"/>
      <c r="B87" s="53"/>
      <c r="C87" s="549"/>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75" customHeight="1">
      <c r="A88" s="53"/>
      <c r="B88" s="53"/>
      <c r="C88" s="549"/>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75" customHeight="1">
      <c r="A89" s="53"/>
      <c r="B89" s="53"/>
      <c r="C89" s="549"/>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75" customHeight="1">
      <c r="A90" s="53"/>
      <c r="B90" s="53"/>
      <c r="C90" s="549"/>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75" customHeight="1">
      <c r="A91" s="53"/>
      <c r="B91" s="53"/>
      <c r="C91" s="549"/>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75" customHeight="1">
      <c r="A92" s="53"/>
      <c r="B92" s="53"/>
      <c r="C92" s="549"/>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75" customHeight="1">
      <c r="A93" s="53"/>
      <c r="B93" s="53"/>
      <c r="C93" s="549"/>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75" customHeight="1">
      <c r="A94" s="53"/>
      <c r="B94" s="53"/>
      <c r="C94" s="549"/>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75" customHeight="1">
      <c r="A95" s="53"/>
      <c r="B95" s="53"/>
      <c r="C95" s="549"/>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75" customHeight="1">
      <c r="A96" s="53"/>
      <c r="B96" s="53"/>
      <c r="C96" s="549"/>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75" customHeight="1">
      <c r="A97" s="53"/>
      <c r="B97" s="53"/>
      <c r="C97" s="549"/>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75" customHeight="1">
      <c r="A98" s="53"/>
      <c r="B98" s="53"/>
      <c r="C98" s="549"/>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75" customHeight="1">
      <c r="A99" s="53"/>
      <c r="B99" s="53"/>
      <c r="C99" s="549"/>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75" customHeight="1">
      <c r="A100" s="53"/>
      <c r="B100" s="53"/>
      <c r="C100" s="549"/>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75" customHeight="1">
      <c r="A101" s="53"/>
      <c r="B101" s="53"/>
      <c r="C101" s="549"/>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75" customHeight="1">
      <c r="A102" s="53"/>
      <c r="B102" s="53"/>
      <c r="C102" s="549"/>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75" customHeight="1">
      <c r="A103" s="53"/>
      <c r="B103" s="53"/>
      <c r="C103" s="549"/>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75" customHeight="1">
      <c r="A104" s="53"/>
      <c r="B104" s="53"/>
      <c r="C104" s="549"/>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75" customHeight="1">
      <c r="A105" s="53"/>
      <c r="B105" s="53"/>
      <c r="C105" s="549"/>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75" customHeight="1">
      <c r="A106" s="53"/>
      <c r="B106" s="53"/>
      <c r="C106" s="549"/>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75" customHeight="1">
      <c r="A107" s="53"/>
      <c r="B107" s="53"/>
      <c r="C107" s="549"/>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75" customHeight="1">
      <c r="A108" s="53"/>
      <c r="B108" s="53"/>
      <c r="C108" s="549"/>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75" customHeight="1">
      <c r="A109" s="53"/>
      <c r="B109" s="53"/>
      <c r="C109" s="549"/>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75" customHeight="1">
      <c r="A110" s="53"/>
      <c r="B110" s="53"/>
      <c r="C110" s="549"/>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75" customHeight="1">
      <c r="A111" s="53"/>
      <c r="B111" s="53"/>
      <c r="C111" s="549"/>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75" customHeight="1">
      <c r="A112" s="53"/>
      <c r="B112" s="53"/>
      <c r="C112" s="549"/>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75" customHeight="1">
      <c r="A113" s="53"/>
      <c r="B113" s="53"/>
      <c r="C113" s="549"/>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75" customHeight="1">
      <c r="A114" s="53"/>
      <c r="B114" s="53"/>
      <c r="C114" s="549"/>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75" customHeight="1">
      <c r="A115" s="53"/>
      <c r="B115" s="53"/>
      <c r="C115" s="549"/>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75" customHeight="1">
      <c r="A116" s="53"/>
      <c r="B116" s="53"/>
      <c r="C116" s="549"/>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75" customHeight="1">
      <c r="A117" s="53"/>
      <c r="B117" s="53"/>
      <c r="C117" s="549"/>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75" customHeight="1">
      <c r="A118" s="53"/>
      <c r="B118" s="53"/>
      <c r="C118" s="549"/>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75" customHeight="1">
      <c r="A119" s="53"/>
      <c r="B119" s="53"/>
      <c r="C119" s="549"/>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75" customHeight="1">
      <c r="A120" s="53"/>
      <c r="B120" s="53"/>
      <c r="C120" s="549"/>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75" customHeight="1">
      <c r="A121" s="53"/>
      <c r="B121" s="53"/>
      <c r="C121" s="549"/>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75" customHeight="1">
      <c r="A122" s="53"/>
      <c r="B122" s="53"/>
      <c r="C122" s="549"/>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75" customHeight="1">
      <c r="A123" s="53"/>
      <c r="B123" s="53"/>
      <c r="C123" s="549"/>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75" customHeight="1">
      <c r="A124" s="53"/>
      <c r="B124" s="53"/>
      <c r="C124" s="549"/>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75" customHeight="1">
      <c r="A125" s="53"/>
      <c r="B125" s="53"/>
      <c r="C125" s="549"/>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75" customHeight="1">
      <c r="A126" s="53"/>
      <c r="B126" s="53"/>
      <c r="C126" s="549"/>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75" customHeight="1">
      <c r="A127" s="53"/>
      <c r="B127" s="53"/>
      <c r="C127" s="549"/>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75" customHeight="1">
      <c r="A128" s="53"/>
      <c r="B128" s="53"/>
      <c r="C128" s="549"/>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75" customHeight="1">
      <c r="A129" s="53"/>
      <c r="B129" s="53"/>
      <c r="C129" s="549"/>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75" customHeight="1">
      <c r="A130" s="53"/>
      <c r="B130" s="53"/>
      <c r="C130" s="549"/>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75" customHeight="1">
      <c r="A131" s="53"/>
      <c r="B131" s="53"/>
      <c r="C131" s="549"/>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75" customHeight="1">
      <c r="A132" s="53"/>
      <c r="B132" s="53"/>
      <c r="C132" s="549"/>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75" customHeight="1">
      <c r="A133" s="53"/>
      <c r="B133" s="53"/>
      <c r="C133" s="549"/>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75" customHeight="1">
      <c r="A134" s="53"/>
      <c r="B134" s="53"/>
      <c r="C134" s="549"/>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75" customHeight="1">
      <c r="A135" s="53"/>
      <c r="B135" s="53"/>
      <c r="C135" s="549"/>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75" customHeight="1">
      <c r="A136" s="53"/>
      <c r="B136" s="53"/>
      <c r="C136" s="549"/>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75" customHeight="1">
      <c r="A137" s="53"/>
      <c r="B137" s="53"/>
      <c r="C137" s="549"/>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75" customHeight="1">
      <c r="A138" s="53"/>
      <c r="B138" s="53"/>
      <c r="C138" s="549"/>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75" customHeight="1">
      <c r="A139" s="53"/>
      <c r="B139" s="53"/>
      <c r="C139" s="549"/>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75" customHeight="1">
      <c r="A140" s="53"/>
      <c r="B140" s="53"/>
      <c r="C140" s="549"/>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75" customHeight="1">
      <c r="A141" s="53"/>
      <c r="B141" s="53"/>
      <c r="C141" s="549"/>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75" customHeight="1">
      <c r="A142" s="53"/>
      <c r="B142" s="53"/>
      <c r="C142" s="549"/>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75" customHeight="1">
      <c r="A143" s="53"/>
      <c r="B143" s="53"/>
      <c r="C143" s="549"/>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75" customHeight="1">
      <c r="A144" s="53"/>
      <c r="B144" s="53"/>
      <c r="C144" s="549"/>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75" customHeight="1">
      <c r="A145" s="53"/>
      <c r="B145" s="53"/>
      <c r="C145" s="549"/>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75" customHeight="1">
      <c r="A146" s="53"/>
      <c r="B146" s="53"/>
      <c r="C146" s="549"/>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75" customHeight="1">
      <c r="A147" s="53"/>
      <c r="B147" s="53"/>
      <c r="C147" s="549"/>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75" customHeight="1">
      <c r="A148" s="53"/>
      <c r="B148" s="53"/>
      <c r="C148" s="549"/>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75" customHeight="1">
      <c r="A149" s="53"/>
      <c r="B149" s="53"/>
      <c r="C149" s="549"/>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75" customHeight="1">
      <c r="A150" s="53"/>
      <c r="B150" s="53"/>
      <c r="C150" s="549"/>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75" customHeight="1">
      <c r="A151" s="53"/>
      <c r="B151" s="53"/>
      <c r="C151" s="549"/>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75" customHeight="1">
      <c r="A152" s="53"/>
      <c r="B152" s="53"/>
      <c r="C152" s="549"/>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75" customHeight="1">
      <c r="A153" s="53"/>
      <c r="B153" s="53"/>
      <c r="C153" s="549"/>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75" customHeight="1">
      <c r="A154" s="53"/>
      <c r="B154" s="53"/>
      <c r="C154" s="549"/>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75" customHeight="1">
      <c r="A155" s="53"/>
      <c r="B155" s="53"/>
      <c r="C155" s="549"/>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75" customHeight="1">
      <c r="A156" s="53"/>
      <c r="B156" s="53"/>
      <c r="C156" s="549"/>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75" customHeight="1">
      <c r="A157" s="53"/>
      <c r="B157" s="53"/>
      <c r="C157" s="549"/>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75" customHeight="1">
      <c r="A158" s="53"/>
      <c r="B158" s="53"/>
      <c r="C158" s="549"/>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75" customHeight="1">
      <c r="A159" s="53"/>
      <c r="B159" s="53"/>
      <c r="C159" s="549"/>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75" customHeight="1">
      <c r="A160" s="53"/>
      <c r="B160" s="53"/>
      <c r="C160" s="549"/>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75" customHeight="1">
      <c r="A161" s="53"/>
      <c r="B161" s="53"/>
      <c r="C161" s="549"/>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75" customHeight="1">
      <c r="A162" s="53"/>
      <c r="B162" s="53"/>
      <c r="C162" s="549"/>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75" customHeight="1">
      <c r="A163" s="53"/>
      <c r="B163" s="53"/>
      <c r="C163" s="549"/>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75" customHeight="1">
      <c r="A164" s="53"/>
      <c r="B164" s="53"/>
      <c r="C164" s="549"/>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75" customHeight="1">
      <c r="A165" s="53"/>
      <c r="B165" s="53"/>
      <c r="C165" s="549"/>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75" customHeight="1">
      <c r="A166" s="53"/>
      <c r="B166" s="53"/>
      <c r="C166" s="549"/>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75" customHeight="1">
      <c r="A167" s="53"/>
      <c r="B167" s="53"/>
      <c r="C167" s="549"/>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75" customHeight="1">
      <c r="A168" s="53"/>
      <c r="B168" s="53"/>
      <c r="C168" s="549"/>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75" customHeight="1">
      <c r="A169" s="53"/>
      <c r="B169" s="53"/>
      <c r="C169" s="549"/>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75" customHeight="1">
      <c r="A170" s="53"/>
      <c r="B170" s="53"/>
      <c r="C170" s="549"/>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75" customHeight="1">
      <c r="A171" s="53"/>
      <c r="B171" s="53"/>
      <c r="C171" s="549"/>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75" customHeight="1">
      <c r="A172" s="53"/>
      <c r="B172" s="53"/>
      <c r="C172" s="549"/>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75" customHeight="1">
      <c r="A173" s="53"/>
      <c r="B173" s="53"/>
      <c r="C173" s="549"/>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75" customHeight="1">
      <c r="A174" s="53"/>
      <c r="B174" s="53"/>
      <c r="C174" s="549"/>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75" customHeight="1">
      <c r="A175" s="53"/>
      <c r="B175" s="53"/>
      <c r="C175" s="549"/>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75" customHeight="1">
      <c r="A176" s="53"/>
      <c r="B176" s="53"/>
      <c r="C176" s="549"/>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75" customHeight="1">
      <c r="A177" s="53"/>
      <c r="B177" s="53"/>
      <c r="C177" s="549"/>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75" customHeight="1">
      <c r="A178" s="53"/>
      <c r="B178" s="53"/>
      <c r="C178" s="549"/>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75" customHeight="1">
      <c r="A179" s="53"/>
      <c r="B179" s="53"/>
      <c r="C179" s="549"/>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75" customHeight="1">
      <c r="A180" s="53"/>
      <c r="B180" s="53"/>
      <c r="C180" s="549"/>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75" customHeight="1">
      <c r="A181" s="53"/>
      <c r="B181" s="53"/>
      <c r="C181" s="549"/>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75" customHeight="1">
      <c r="A182" s="53"/>
      <c r="B182" s="53"/>
      <c r="C182" s="549"/>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75" customHeight="1">
      <c r="A183" s="53"/>
      <c r="B183" s="53"/>
      <c r="C183" s="549"/>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75" customHeight="1">
      <c r="A184" s="53"/>
      <c r="B184" s="53"/>
      <c r="C184" s="549"/>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75" customHeight="1">
      <c r="A185" s="53"/>
      <c r="B185" s="53"/>
      <c r="C185" s="549"/>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75" customHeight="1">
      <c r="A186" s="53"/>
      <c r="B186" s="53"/>
      <c r="C186" s="549"/>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75" customHeight="1">
      <c r="A187" s="53"/>
      <c r="B187" s="53"/>
      <c r="C187" s="549"/>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75" customHeight="1">
      <c r="A188" s="53"/>
      <c r="B188" s="53"/>
      <c r="C188" s="549"/>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75" customHeight="1">
      <c r="A189" s="53"/>
      <c r="B189" s="53"/>
      <c r="C189" s="549"/>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75" customHeight="1">
      <c r="A190" s="53"/>
      <c r="B190" s="53"/>
      <c r="C190" s="549"/>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75" customHeight="1">
      <c r="A191" s="53"/>
      <c r="B191" s="53"/>
      <c r="C191" s="549"/>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75" customHeight="1">
      <c r="A192" s="53"/>
      <c r="B192" s="53"/>
      <c r="C192" s="549"/>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9"/>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9"/>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9"/>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9"/>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9"/>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9"/>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9"/>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9"/>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9"/>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9"/>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9"/>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9"/>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9"/>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9"/>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9"/>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9"/>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9"/>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9"/>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9"/>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9"/>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9"/>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9"/>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9"/>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9"/>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9"/>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9"/>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9"/>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9"/>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9"/>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9"/>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9"/>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9"/>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9"/>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9"/>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9"/>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9"/>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9"/>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9"/>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9"/>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9"/>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9"/>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9"/>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9"/>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9"/>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9"/>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9"/>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9"/>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9"/>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9"/>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9"/>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9"/>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9"/>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9"/>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9"/>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9"/>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9"/>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9"/>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9"/>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9"/>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9"/>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9"/>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9"/>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9"/>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9"/>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9"/>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9"/>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9"/>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9"/>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9"/>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9"/>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9"/>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9"/>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9"/>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9"/>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9"/>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9"/>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9"/>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9"/>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9"/>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9"/>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9"/>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9"/>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9"/>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9"/>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9"/>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9"/>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9"/>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9"/>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9"/>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9"/>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9"/>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2300-000000000000}">
      <formula1>"TOU,non-TOU"</formula1>
    </dataValidation>
    <dataValidation type="list" allowBlank="1" showErrorMessage="1" sqref="E15:E28 E30:E38 E40:E41 E43:E51 E57 E63" xr:uid="{00000000-0002-0000-2300-000001000000}">
      <formula1>#REF!</formula1>
    </dataValidation>
    <dataValidation type="list" allowBlank="1" showInputMessage="1" showErrorMessage="1" prompt="Select Charge Unit - monthly, per kWh, per kW" sqref="D15:D28 D30:D38 D40:D41 D43:D51 D57 D63" xr:uid="{00000000-0002-0000-2300-000002000000}">
      <formula1>"Monthly,per kWh,per kW"</formula1>
    </dataValidation>
  </dataValidations>
  <pageMargins left="0.74803149606299213" right="0.74803149606299213" top="0.98425196850393704" bottom="0.98425196850393704"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T1000"/>
  <sheetViews>
    <sheetView showGridLines="0" workbookViewId="0">
      <pane ySplit="14" topLeftCell="A42" activePane="bottomLeft" state="frozen"/>
      <selection pane="bottomLeft" activeCell="D8" sqref="D8"/>
    </sheetView>
  </sheetViews>
  <sheetFormatPr defaultColWidth="12.5703125" defaultRowHeight="15" customHeight="1"/>
  <cols>
    <col min="1" max="1" width="2.140625" customWidth="1"/>
    <col min="2" max="2" width="26.42578125" customWidth="1"/>
    <col min="3" max="3" width="4.42578125" customWidth="1"/>
    <col min="4" max="4" width="11.42578125" customWidth="1"/>
    <col min="5" max="5" width="1.42578125" customWidth="1"/>
    <col min="6" max="6" width="10.5703125" customWidth="1"/>
    <col min="7" max="7" width="8" customWidth="1"/>
    <col min="8" max="8" width="8.28515625" customWidth="1"/>
    <col min="9" max="9" width="0.7109375" customWidth="1"/>
    <col min="10" max="10" width="10.42578125" customWidth="1"/>
    <col min="11" max="11" width="8" customWidth="1"/>
    <col min="12" max="12" width="8.28515625" customWidth="1"/>
    <col min="13" max="13" width="0.7109375" customWidth="1"/>
    <col min="14" max="14" width="9.42578125" customWidth="1"/>
    <col min="15" max="15" width="10" customWidth="1"/>
    <col min="16" max="16" width="0.42578125" customWidth="1"/>
    <col min="17" max="17" width="10.42578125" customWidth="1"/>
    <col min="18" max="18" width="8" customWidth="1"/>
    <col min="19" max="19" width="8.28515625" customWidth="1"/>
    <col min="20" max="20" width="0.85546875" customWidth="1"/>
    <col min="21" max="21" width="9.42578125" customWidth="1"/>
    <col min="22" max="22" width="10" customWidth="1"/>
    <col min="23" max="23" width="0.42578125" customWidth="1"/>
    <col min="24" max="24" width="10.42578125" customWidth="1"/>
    <col min="25" max="25" width="8" customWidth="1"/>
    <col min="26" max="26" width="8.28515625" customWidth="1"/>
    <col min="27" max="27" width="0.42578125" customWidth="1"/>
    <col min="28" max="28" width="9.42578125" customWidth="1"/>
    <col min="29" max="29" width="10" customWidth="1"/>
    <col min="30" max="30" width="1.85546875" customWidth="1"/>
    <col min="31" max="31" width="10.42578125" customWidth="1"/>
    <col min="32" max="32" width="8" customWidth="1"/>
    <col min="33" max="33" width="8.28515625" customWidth="1"/>
    <col min="34" max="34" width="0.42578125" customWidth="1"/>
    <col min="35" max="35" width="9.42578125" customWidth="1"/>
    <col min="36" max="36" width="10" customWidth="1"/>
    <col min="37" max="37" width="0.7109375" customWidth="1"/>
    <col min="38" max="38" width="10.42578125" customWidth="1"/>
    <col min="39" max="39" width="8" customWidth="1"/>
    <col min="40" max="40" width="8.28515625" customWidth="1"/>
    <col min="41" max="41" width="1.28515625" customWidth="1"/>
    <col min="42" max="42" width="9.42578125" customWidth="1"/>
    <col min="43" max="43" width="10" customWidth="1"/>
    <col min="44" max="44" width="1.28515625" customWidth="1"/>
    <col min="45" max="45" width="10.85546875" customWidth="1"/>
    <col min="46" max="46" width="12.42578125" customWidth="1"/>
  </cols>
  <sheetData>
    <row r="1" spans="1:46" ht="12" customHeight="1">
      <c r="A1" s="53"/>
      <c r="B1" s="53"/>
      <c r="C1" s="53"/>
      <c r="D1" s="53"/>
      <c r="E1" s="53"/>
      <c r="F1" s="53"/>
      <c r="G1" s="53"/>
      <c r="H1" s="53"/>
      <c r="I1" s="53"/>
      <c r="J1" s="53"/>
      <c r="K1" s="53"/>
      <c r="Q1" s="53"/>
      <c r="R1" s="53"/>
      <c r="S1" s="628" t="s">
        <v>319</v>
      </c>
      <c r="T1" s="629"/>
      <c r="U1" s="629"/>
      <c r="V1" s="629"/>
      <c r="W1" s="629"/>
      <c r="X1" s="629"/>
      <c r="Y1" s="630"/>
      <c r="Z1" s="53"/>
      <c r="AA1" s="53"/>
      <c r="AB1" s="53"/>
      <c r="AC1" s="53"/>
      <c r="AD1" s="53"/>
      <c r="AE1" s="53"/>
      <c r="AF1" s="53"/>
      <c r="AG1" s="53"/>
      <c r="AH1" s="53"/>
      <c r="AI1" s="53"/>
      <c r="AJ1" s="53"/>
      <c r="AK1" s="53"/>
      <c r="AL1" s="53"/>
      <c r="AM1" s="53"/>
      <c r="AN1" s="53"/>
      <c r="AO1" s="53"/>
      <c r="AP1" s="53"/>
      <c r="AQ1" s="53"/>
      <c r="AR1" s="53"/>
      <c r="AS1" s="53"/>
    </row>
    <row r="2" spans="1:46" ht="12"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c r="AS2" s="53"/>
    </row>
    <row r="3" spans="1:46"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row>
    <row r="4" spans="1:46"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row>
    <row r="5" spans="1:46"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row>
    <row r="6" spans="1:46" ht="12" customHeight="1">
      <c r="A6" s="53"/>
      <c r="B6" s="327" t="s">
        <v>323</v>
      </c>
      <c r="C6" s="53"/>
      <c r="D6" s="499" t="s">
        <v>253</v>
      </c>
      <c r="E6" s="500"/>
      <c r="F6" s="500"/>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3"/>
    </row>
    <row r="7" spans="1:46"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row>
    <row r="8" spans="1:46" ht="12"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row>
    <row r="9" spans="1:46" ht="12" customHeight="1">
      <c r="A9" s="53"/>
      <c r="B9" s="377"/>
      <c r="C9" s="53"/>
      <c r="D9" s="314" t="s">
        <v>326</v>
      </c>
      <c r="E9" s="314"/>
      <c r="F9" s="380">
        <v>94</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row>
    <row r="10" spans="1:46" ht="12" customHeight="1">
      <c r="A10" s="53"/>
      <c r="B10" s="53"/>
      <c r="C10" s="53"/>
      <c r="D10" s="53"/>
      <c r="E10" s="53"/>
      <c r="F10" s="559">
        <v>0.4</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row>
    <row r="11" spans="1:46" ht="12" customHeight="1">
      <c r="A11" s="545"/>
      <c r="B11" s="53"/>
      <c r="C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c r="AS11" s="381"/>
    </row>
    <row r="12" spans="1:46" ht="12" customHeight="1">
      <c r="A12" s="545"/>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c r="AS12" s="560"/>
    </row>
    <row r="13" spans="1:46" ht="12" customHeight="1">
      <c r="A13" s="545"/>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c r="AS13" s="382"/>
    </row>
    <row r="14" spans="1:46" ht="12" customHeight="1">
      <c r="A14" s="545"/>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c r="AS14" s="382"/>
    </row>
    <row r="15" spans="1:46" ht="12" customHeight="1">
      <c r="A15" s="545"/>
      <c r="B15" s="328" t="s">
        <v>246</v>
      </c>
      <c r="C15" s="389" t="str">
        <f t="shared" ref="C15:C28" si="0">D$6&amp;"."&amp;B15</f>
        <v>Sentinel Lights.Monthly Service Charge</v>
      </c>
      <c r="D15" s="390" t="s">
        <v>335</v>
      </c>
      <c r="E15" s="328"/>
      <c r="F15" s="391">
        <f>IFERROR(VLOOKUP($C15,'Proposed Rates'!$B:$J,F$11,FALSE),0)</f>
        <v>7.02</v>
      </c>
      <c r="G15" s="409">
        <f t="shared" ref="G15:G28" si="1">IF($D15="Monthly",1,IF($D15="per KW",$F$10,IF($D15="per kWh",$F$9,0)))</f>
        <v>1</v>
      </c>
      <c r="H15" s="394">
        <f t="shared" ref="H15:H28" si="2">G15*F15</f>
        <v>7.02</v>
      </c>
      <c r="I15" s="138"/>
      <c r="J15" s="391">
        <f>IFERROR(VLOOKUP($C15,'Proposed Rates'!$B:$J,J$11,FALSE),0)</f>
        <v>8.02</v>
      </c>
      <c r="K15" s="409">
        <f t="shared" ref="K15:K28" si="3">IF($D15="Monthly",1,IF($D15="per KW",$F$10,IF($D15="per kWh",$F$9,0)))</f>
        <v>1</v>
      </c>
      <c r="L15" s="394">
        <f t="shared" ref="L15:L28" si="4">K15*J15</f>
        <v>8.02</v>
      </c>
      <c r="M15" s="138"/>
      <c r="N15" s="395">
        <f t="shared" ref="N15:N50" si="5">L15-H15</f>
        <v>1</v>
      </c>
      <c r="O15" s="396">
        <f t="shared" ref="O15:O50" si="6">IF((H15)=0,"",(N15/H15))</f>
        <v>0.14245014245014245</v>
      </c>
      <c r="P15" s="53"/>
      <c r="Q15" s="391">
        <f>IFERROR(VLOOKUP($C15,'Proposed Rates'!$B:$J,Q$11,FALSE),0)</f>
        <v>8.41</v>
      </c>
      <c r="R15" s="409">
        <f t="shared" ref="R15:R28" si="7">IF($D15="Monthly",1,IF($D15="per KW",$F$10,IF($D15="per kWh",$F$9,0)))</f>
        <v>1</v>
      </c>
      <c r="S15" s="394">
        <f t="shared" ref="S15:S28" si="8">R15*Q15</f>
        <v>8.41</v>
      </c>
      <c r="T15" s="138"/>
      <c r="U15" s="395">
        <f t="shared" ref="U15:U50" si="9">S15-L15</f>
        <v>0.39000000000000057</v>
      </c>
      <c r="V15" s="396">
        <f t="shared" ref="V15:V50" si="10">IF((L15)=0,"",(U15/L15))</f>
        <v>4.8628428927680871E-2</v>
      </c>
      <c r="W15" s="53"/>
      <c r="X15" s="391">
        <f>IFERROR(VLOOKUP($C15,'Proposed Rates'!$B:$J,X$11,FALSE),0)</f>
        <v>8.99</v>
      </c>
      <c r="Y15" s="409">
        <f t="shared" ref="Y15:Y28" si="11">IF($D15="Monthly",1,IF($D15="per KW",$F$10,IF($D15="per kWh",$F$9,0)))</f>
        <v>1</v>
      </c>
      <c r="Z15" s="394">
        <f t="shared" ref="Z15:Z28" si="12">Y15*X15</f>
        <v>8.99</v>
      </c>
      <c r="AA15" s="138"/>
      <c r="AB15" s="395">
        <f t="shared" ref="AB15:AB50" si="13">Z15-S15</f>
        <v>0.58000000000000007</v>
      </c>
      <c r="AC15" s="396">
        <f t="shared" ref="AC15:AC50" si="14">IF((S15)=0,"",(AB15/S15))</f>
        <v>6.8965517241379323E-2</v>
      </c>
      <c r="AD15" s="53"/>
      <c r="AE15" s="391">
        <f>IFERROR(VLOOKUP($C15,'Proposed Rates'!$B:$J,AE$11,FALSE),0)</f>
        <v>9.2899999999999991</v>
      </c>
      <c r="AF15" s="409">
        <f t="shared" ref="AF15:AF28" si="15">IF($D15="Monthly",1,IF($D15="per KW",$F$10,IF($D15="per kWh",$F$9,0)))</f>
        <v>1</v>
      </c>
      <c r="AG15" s="394">
        <f t="shared" ref="AG15:AG28" si="16">AF15*AE15</f>
        <v>9.2899999999999991</v>
      </c>
      <c r="AH15" s="138"/>
      <c r="AI15" s="395">
        <f t="shared" ref="AI15:AI50" si="17">AG15-Z15</f>
        <v>0.29999999999999893</v>
      </c>
      <c r="AJ15" s="396">
        <f t="shared" ref="AJ15:AJ50" si="18">IF((Z15)=0,"",(AI15/Z15))</f>
        <v>3.3370411568409225E-2</v>
      </c>
      <c r="AK15" s="53"/>
      <c r="AL15" s="391">
        <f>IFERROR(VLOOKUP($C15,'Proposed Rates'!$B:$J,AL$11,FALSE),0)</f>
        <v>9.57</v>
      </c>
      <c r="AM15" s="409">
        <f t="shared" ref="AM15:AM28" si="19">IF($D15="Monthly",1,IF($D15="per KW",$F$10,IF($D15="per kWh",$F$9,0)))</f>
        <v>1</v>
      </c>
      <c r="AN15" s="394">
        <f t="shared" ref="AN15:AN28" si="20">AM15*AL15</f>
        <v>9.57</v>
      </c>
      <c r="AO15" s="138"/>
      <c r="AP15" s="395">
        <f t="shared" ref="AP15:AP50" si="21">AN15-AG15</f>
        <v>0.28000000000000114</v>
      </c>
      <c r="AQ15" s="396">
        <f t="shared" ref="AQ15:AQ50" si="22">IF((AG15)=0,"",(AP15/AG15))</f>
        <v>3.0139935414424238E-2</v>
      </c>
      <c r="AR15" s="397"/>
      <c r="AS15" s="397"/>
    </row>
    <row r="16" spans="1:46" ht="12" customHeight="1">
      <c r="A16" s="545"/>
      <c r="B16" s="328" t="s">
        <v>336</v>
      </c>
      <c r="C16" s="389" t="str">
        <f t="shared" si="0"/>
        <v>Sentinel Lights.Smart Meter Rate Adder</v>
      </c>
      <c r="D16" s="390" t="s">
        <v>335</v>
      </c>
      <c r="E16" s="328"/>
      <c r="F16" s="561">
        <f>IFERROR(VLOOKUP($C16,'Proposed Rates'!$B:$J,F$11,FALSE),0)</f>
        <v>0</v>
      </c>
      <c r="G16" s="409">
        <f t="shared" si="1"/>
        <v>1</v>
      </c>
      <c r="H16" s="394">
        <f t="shared" si="2"/>
        <v>0</v>
      </c>
      <c r="I16" s="138"/>
      <c r="J16" s="561">
        <f>IFERROR(VLOOKUP($C16,'Proposed Rates'!$B:$J,J$11,FALSE),0)</f>
        <v>0</v>
      </c>
      <c r="K16" s="409">
        <f t="shared" si="3"/>
        <v>1</v>
      </c>
      <c r="L16" s="394">
        <f t="shared" si="4"/>
        <v>0</v>
      </c>
      <c r="M16" s="138"/>
      <c r="N16" s="395">
        <f t="shared" si="5"/>
        <v>0</v>
      </c>
      <c r="O16" s="396" t="str">
        <f t="shared" si="6"/>
        <v/>
      </c>
      <c r="P16" s="53"/>
      <c r="Q16" s="561">
        <f>IFERROR(VLOOKUP($C16,'Proposed Rates'!$B:$J,Q$11,FALSE),0)</f>
        <v>0</v>
      </c>
      <c r="R16" s="409">
        <f t="shared" si="7"/>
        <v>1</v>
      </c>
      <c r="S16" s="394">
        <f t="shared" si="8"/>
        <v>0</v>
      </c>
      <c r="T16" s="138"/>
      <c r="U16" s="395">
        <f t="shared" si="9"/>
        <v>0</v>
      </c>
      <c r="V16" s="396" t="str">
        <f t="shared" si="10"/>
        <v/>
      </c>
      <c r="W16" s="53"/>
      <c r="X16" s="561">
        <f>IFERROR(VLOOKUP($C16,'Proposed Rates'!$B:$J,X$11,FALSE),0)</f>
        <v>0</v>
      </c>
      <c r="Y16" s="409">
        <f t="shared" si="11"/>
        <v>1</v>
      </c>
      <c r="Z16" s="394">
        <f t="shared" si="12"/>
        <v>0</v>
      </c>
      <c r="AA16" s="138"/>
      <c r="AB16" s="395">
        <f t="shared" si="13"/>
        <v>0</v>
      </c>
      <c r="AC16" s="396" t="str">
        <f t="shared" si="14"/>
        <v/>
      </c>
      <c r="AD16" s="53"/>
      <c r="AE16" s="561">
        <f>IFERROR(VLOOKUP($C16,'Proposed Rates'!$B:$J,AE$11,FALSE),0)</f>
        <v>0</v>
      </c>
      <c r="AF16" s="409">
        <f t="shared" si="15"/>
        <v>1</v>
      </c>
      <c r="AG16" s="394">
        <f t="shared" si="16"/>
        <v>0</v>
      </c>
      <c r="AH16" s="138"/>
      <c r="AI16" s="395">
        <f t="shared" si="17"/>
        <v>0</v>
      </c>
      <c r="AJ16" s="396" t="str">
        <f t="shared" si="18"/>
        <v/>
      </c>
      <c r="AK16" s="53"/>
      <c r="AL16" s="561">
        <f>IFERROR(VLOOKUP($C16,'Proposed Rates'!$B:$J,AL$11,FALSE),0)</f>
        <v>0</v>
      </c>
      <c r="AM16" s="409">
        <f t="shared" si="19"/>
        <v>1</v>
      </c>
      <c r="AN16" s="394">
        <f t="shared" si="20"/>
        <v>0</v>
      </c>
      <c r="AO16" s="138"/>
      <c r="AP16" s="395">
        <f t="shared" si="21"/>
        <v>0</v>
      </c>
      <c r="AQ16" s="396" t="str">
        <f t="shared" si="22"/>
        <v/>
      </c>
      <c r="AR16" s="397"/>
      <c r="AS16" s="397"/>
    </row>
    <row r="17" spans="1:45" ht="12" customHeight="1">
      <c r="A17" s="545"/>
      <c r="B17" s="398" t="str">
        <f>'Proposed Rates'!C115</f>
        <v>Rate Rider Calculation for Forgone Revenue - variable</v>
      </c>
      <c r="C17" s="389" t="str">
        <f t="shared" si="0"/>
        <v>Sentinel Lights.Rate Rider Calculation for Forgone Revenue - variable</v>
      </c>
      <c r="D17" s="390" t="s">
        <v>406</v>
      </c>
      <c r="E17" s="328"/>
      <c r="F17" s="561">
        <f>IFERROR(VLOOKUP($C17,'Proposed Rates'!$B:$J,F$11,FALSE),0)</f>
        <v>0</v>
      </c>
      <c r="G17" s="562">
        <f t="shared" si="1"/>
        <v>0.4</v>
      </c>
      <c r="H17" s="394">
        <f t="shared" si="2"/>
        <v>0</v>
      </c>
      <c r="I17" s="138"/>
      <c r="J17" s="561">
        <f>IFERROR(VLOOKUP($C17,'Proposed Rates'!$B:$J,J$11,FALSE),0)</f>
        <v>1.8109999999999999</v>
      </c>
      <c r="K17" s="562">
        <f t="shared" si="3"/>
        <v>0.4</v>
      </c>
      <c r="L17" s="394">
        <f t="shared" si="4"/>
        <v>0.72440000000000004</v>
      </c>
      <c r="M17" s="138"/>
      <c r="N17" s="395">
        <f t="shared" si="5"/>
        <v>0.72440000000000004</v>
      </c>
      <c r="O17" s="396" t="str">
        <f t="shared" si="6"/>
        <v/>
      </c>
      <c r="P17" s="53"/>
      <c r="Q17" s="561">
        <f>IFERROR(VLOOKUP($C17,'Proposed Rates'!$B:$J,Q$11,FALSE),0)</f>
        <v>1.8109999999999999</v>
      </c>
      <c r="R17" s="562">
        <f t="shared" si="7"/>
        <v>0.4</v>
      </c>
      <c r="S17" s="394">
        <f t="shared" si="8"/>
        <v>0.72440000000000004</v>
      </c>
      <c r="T17" s="138"/>
      <c r="U17" s="395">
        <f t="shared" si="9"/>
        <v>0</v>
      </c>
      <c r="V17" s="396">
        <f t="shared" si="10"/>
        <v>0</v>
      </c>
      <c r="W17" s="53"/>
      <c r="X17" s="561">
        <f>IFERROR(VLOOKUP($C17,'Proposed Rates'!$B:$J,X$11,FALSE),0)</f>
        <v>0</v>
      </c>
      <c r="Y17" s="562">
        <f t="shared" si="11"/>
        <v>0.4</v>
      </c>
      <c r="Z17" s="394">
        <f t="shared" si="12"/>
        <v>0</v>
      </c>
      <c r="AA17" s="138"/>
      <c r="AB17" s="395">
        <f t="shared" si="13"/>
        <v>-0.72440000000000004</v>
      </c>
      <c r="AC17" s="396">
        <f t="shared" si="14"/>
        <v>-1</v>
      </c>
      <c r="AD17" s="53"/>
      <c r="AE17" s="561">
        <f>IFERROR(VLOOKUP($C17,'Proposed Rates'!$B:$J,AE$11,FALSE),0)</f>
        <v>0</v>
      </c>
      <c r="AF17" s="562">
        <f t="shared" si="15"/>
        <v>0.4</v>
      </c>
      <c r="AG17" s="394">
        <f t="shared" si="16"/>
        <v>0</v>
      </c>
      <c r="AH17" s="138"/>
      <c r="AI17" s="395">
        <f t="shared" si="17"/>
        <v>0</v>
      </c>
      <c r="AJ17" s="396" t="str">
        <f t="shared" si="18"/>
        <v/>
      </c>
      <c r="AK17" s="53"/>
      <c r="AL17" s="561">
        <f>IFERROR(VLOOKUP($C17,'Proposed Rates'!$B:$J,AL$11,FALSE),0)</f>
        <v>0</v>
      </c>
      <c r="AM17" s="562">
        <f t="shared" si="19"/>
        <v>0.4</v>
      </c>
      <c r="AN17" s="394">
        <f t="shared" si="20"/>
        <v>0</v>
      </c>
      <c r="AO17" s="138"/>
      <c r="AP17" s="395">
        <f t="shared" si="21"/>
        <v>0</v>
      </c>
      <c r="AQ17" s="396" t="str">
        <f t="shared" si="22"/>
        <v/>
      </c>
      <c r="AR17" s="397"/>
      <c r="AS17" s="397"/>
    </row>
    <row r="18" spans="1:45" ht="12" customHeight="1">
      <c r="A18" s="545"/>
      <c r="B18" s="398" t="str">
        <f>'Proposed Rates'!C128</f>
        <v>Rate Rider Calculation for Forgone Revenue - fixed</v>
      </c>
      <c r="C18" s="389" t="str">
        <f t="shared" si="0"/>
        <v>Sentinel Lights.Rate Rider Calculation for Forgone Revenue - fixed</v>
      </c>
      <c r="D18" s="390" t="s">
        <v>335</v>
      </c>
      <c r="E18" s="328"/>
      <c r="F18" s="561">
        <f>IFERROR(VLOOKUP($C18,'Proposed Rates'!$B:$J,F$11,FALSE),0)</f>
        <v>0</v>
      </c>
      <c r="G18" s="409">
        <f t="shared" si="1"/>
        <v>1</v>
      </c>
      <c r="H18" s="394">
        <f t="shared" si="2"/>
        <v>0</v>
      </c>
      <c r="I18" s="138"/>
      <c r="J18" s="561">
        <f>IFERROR(VLOOKUP($C18,'Proposed Rates'!$B:$J,J$11,FALSE),0)</f>
        <v>0.37</v>
      </c>
      <c r="K18" s="409">
        <f t="shared" si="3"/>
        <v>1</v>
      </c>
      <c r="L18" s="394">
        <f t="shared" si="4"/>
        <v>0.37</v>
      </c>
      <c r="M18" s="138"/>
      <c r="N18" s="395">
        <f t="shared" si="5"/>
        <v>0.37</v>
      </c>
      <c r="O18" s="396" t="str">
        <f t="shared" si="6"/>
        <v/>
      </c>
      <c r="P18" s="53"/>
      <c r="Q18" s="561">
        <f>IFERROR(VLOOKUP($C18,'Proposed Rates'!$B:$J,Q$11,FALSE),0)</f>
        <v>0.37</v>
      </c>
      <c r="R18" s="409">
        <f t="shared" si="7"/>
        <v>1</v>
      </c>
      <c r="S18" s="394">
        <f t="shared" si="8"/>
        <v>0.37</v>
      </c>
      <c r="T18" s="138"/>
      <c r="U18" s="395">
        <f t="shared" si="9"/>
        <v>0</v>
      </c>
      <c r="V18" s="396">
        <f t="shared" si="10"/>
        <v>0</v>
      </c>
      <c r="W18" s="53"/>
      <c r="X18" s="561">
        <f>IFERROR(VLOOKUP($C18,'Proposed Rates'!$B:$J,X$11,FALSE),0)</f>
        <v>0</v>
      </c>
      <c r="Y18" s="409">
        <f t="shared" si="11"/>
        <v>1</v>
      </c>
      <c r="Z18" s="394">
        <f t="shared" si="12"/>
        <v>0</v>
      </c>
      <c r="AA18" s="138"/>
      <c r="AB18" s="395">
        <f t="shared" si="13"/>
        <v>-0.37</v>
      </c>
      <c r="AC18" s="396">
        <f t="shared" si="14"/>
        <v>-1</v>
      </c>
      <c r="AD18" s="53"/>
      <c r="AE18" s="561">
        <f>IFERROR(VLOOKUP($C18,'Proposed Rates'!$B:$J,AE$11,FALSE),0)</f>
        <v>0</v>
      </c>
      <c r="AF18" s="409">
        <f t="shared" si="15"/>
        <v>1</v>
      </c>
      <c r="AG18" s="394">
        <f t="shared" si="16"/>
        <v>0</v>
      </c>
      <c r="AH18" s="138"/>
      <c r="AI18" s="395">
        <f t="shared" si="17"/>
        <v>0</v>
      </c>
      <c r="AJ18" s="396" t="str">
        <f t="shared" si="18"/>
        <v/>
      </c>
      <c r="AK18" s="53"/>
      <c r="AL18" s="561">
        <f>IFERROR(VLOOKUP($C18,'Proposed Rates'!$B:$J,AL$11,FALSE),0)</f>
        <v>0</v>
      </c>
      <c r="AM18" s="409">
        <f t="shared" si="19"/>
        <v>1</v>
      </c>
      <c r="AN18" s="394">
        <f t="shared" si="20"/>
        <v>0</v>
      </c>
      <c r="AO18" s="138"/>
      <c r="AP18" s="395">
        <f t="shared" si="21"/>
        <v>0</v>
      </c>
      <c r="AQ18" s="396" t="str">
        <f t="shared" si="22"/>
        <v/>
      </c>
      <c r="AR18" s="397"/>
      <c r="AS18" s="397"/>
    </row>
    <row r="19" spans="1:45" ht="12" customHeight="1">
      <c r="A19" s="545"/>
      <c r="B19" s="328" t="s">
        <v>62</v>
      </c>
      <c r="C19" s="389" t="str">
        <f t="shared" si="0"/>
        <v>Sentinel Lights.Distribution Volumetric Rate</v>
      </c>
      <c r="D19" s="390" t="s">
        <v>406</v>
      </c>
      <c r="E19" s="328"/>
      <c r="F19" s="391">
        <f>IFERROR(VLOOKUP($C19,'Proposed Rates'!$B:$J,F$11,FALSE),0)</f>
        <v>32.929699999999997</v>
      </c>
      <c r="G19" s="562">
        <f t="shared" si="1"/>
        <v>0.4</v>
      </c>
      <c r="H19" s="394">
        <f t="shared" si="2"/>
        <v>13.17188</v>
      </c>
      <c r="I19" s="138"/>
      <c r="J19" s="391">
        <f>IFERROR(VLOOKUP($C19,'Proposed Rates'!$B:$J,J$11,FALSE),0)</f>
        <v>37.632599999999996</v>
      </c>
      <c r="K19" s="562">
        <f t="shared" si="3"/>
        <v>0.4</v>
      </c>
      <c r="L19" s="394">
        <f t="shared" si="4"/>
        <v>15.053039999999999</v>
      </c>
      <c r="M19" s="138"/>
      <c r="N19" s="395">
        <f t="shared" si="5"/>
        <v>1.8811599999999995</v>
      </c>
      <c r="O19" s="396">
        <f t="shared" si="6"/>
        <v>0.14281636334372919</v>
      </c>
      <c r="P19" s="53"/>
      <c r="Q19" s="391">
        <f>IFERROR(VLOOKUP($C19,'Proposed Rates'!$B:$J,Q$11,FALSE),0)</f>
        <v>39.431100000000001</v>
      </c>
      <c r="R19" s="562">
        <f t="shared" si="7"/>
        <v>0.4</v>
      </c>
      <c r="S19" s="394">
        <f t="shared" si="8"/>
        <v>15.772440000000001</v>
      </c>
      <c r="T19" s="138"/>
      <c r="U19" s="395">
        <f t="shared" si="9"/>
        <v>0.71940000000000204</v>
      </c>
      <c r="V19" s="396">
        <f t="shared" si="10"/>
        <v>4.7791010985156625E-2</v>
      </c>
      <c r="W19" s="53"/>
      <c r="X19" s="391">
        <f>IFERROR(VLOOKUP($C19,'Proposed Rates'!$B:$J,X$11,FALSE),0)</f>
        <v>42.134099999999997</v>
      </c>
      <c r="Y19" s="562">
        <f t="shared" si="11"/>
        <v>0.4</v>
      </c>
      <c r="Z19" s="394">
        <f t="shared" si="12"/>
        <v>16.853639999999999</v>
      </c>
      <c r="AA19" s="138"/>
      <c r="AB19" s="395">
        <f t="shared" si="13"/>
        <v>1.0811999999999973</v>
      </c>
      <c r="AC19" s="396">
        <f t="shared" si="14"/>
        <v>6.8549951687880709E-2</v>
      </c>
      <c r="AD19" s="53"/>
      <c r="AE19" s="391">
        <f>IFERROR(VLOOKUP($C19,'Proposed Rates'!$B:$J,AE$11,FALSE),0)</f>
        <v>43.587699999999998</v>
      </c>
      <c r="AF19" s="562">
        <f t="shared" si="15"/>
        <v>0.4</v>
      </c>
      <c r="AG19" s="394">
        <f t="shared" si="16"/>
        <v>17.435079999999999</v>
      </c>
      <c r="AH19" s="138"/>
      <c r="AI19" s="395">
        <f t="shared" si="17"/>
        <v>0.58144000000000062</v>
      </c>
      <c r="AJ19" s="396">
        <f t="shared" si="18"/>
        <v>3.4499372242435503E-2</v>
      </c>
      <c r="AK19" s="53"/>
      <c r="AL19" s="391">
        <f>IFERROR(VLOOKUP($C19,'Proposed Rates'!$B:$J,AL$11,FALSE),0)</f>
        <v>44.893500000000003</v>
      </c>
      <c r="AM19" s="562">
        <f t="shared" si="19"/>
        <v>0.4</v>
      </c>
      <c r="AN19" s="394">
        <f t="shared" si="20"/>
        <v>17.957400000000003</v>
      </c>
      <c r="AO19" s="138"/>
      <c r="AP19" s="395">
        <f t="shared" si="21"/>
        <v>0.52232000000000411</v>
      </c>
      <c r="AQ19" s="396">
        <f t="shared" si="22"/>
        <v>2.9957992736483235E-2</v>
      </c>
      <c r="AR19" s="397"/>
      <c r="AS19" s="397"/>
    </row>
    <row r="20" spans="1:45" ht="12" customHeight="1">
      <c r="A20" s="545"/>
      <c r="B20" s="328" t="s">
        <v>338</v>
      </c>
      <c r="C20" s="389" t="str">
        <f t="shared" si="0"/>
        <v>Sentinel Lights.Smart Meter Disposition Rider</v>
      </c>
      <c r="D20" s="390" t="s">
        <v>337</v>
      </c>
      <c r="E20" s="328"/>
      <c r="F20" s="391">
        <f>IFERROR(VLOOKUP($C20,'Proposed Rates'!$B:$J,F$11,FALSE),0)</f>
        <v>0</v>
      </c>
      <c r="G20" s="409">
        <f t="shared" si="1"/>
        <v>94</v>
      </c>
      <c r="H20" s="394">
        <f t="shared" si="2"/>
        <v>0</v>
      </c>
      <c r="I20" s="138"/>
      <c r="J20" s="391">
        <f>IFERROR(VLOOKUP($C20,'Proposed Rates'!$B:$J,J$11,FALSE),0)</f>
        <v>0</v>
      </c>
      <c r="K20" s="409">
        <f t="shared" si="3"/>
        <v>94</v>
      </c>
      <c r="L20" s="394">
        <f t="shared" si="4"/>
        <v>0</v>
      </c>
      <c r="M20" s="138"/>
      <c r="N20" s="395">
        <f t="shared" si="5"/>
        <v>0</v>
      </c>
      <c r="O20" s="396" t="str">
        <f t="shared" si="6"/>
        <v/>
      </c>
      <c r="P20" s="53"/>
      <c r="Q20" s="391">
        <f>IFERROR(VLOOKUP($C20,'Proposed Rates'!$B:$J,Q$11,FALSE),0)</f>
        <v>0</v>
      </c>
      <c r="R20" s="409">
        <f t="shared" si="7"/>
        <v>94</v>
      </c>
      <c r="S20" s="394">
        <f t="shared" si="8"/>
        <v>0</v>
      </c>
      <c r="T20" s="138"/>
      <c r="U20" s="395">
        <f t="shared" si="9"/>
        <v>0</v>
      </c>
      <c r="V20" s="396" t="str">
        <f t="shared" si="10"/>
        <v/>
      </c>
      <c r="W20" s="53"/>
      <c r="X20" s="391">
        <f>IFERROR(VLOOKUP($C20,'Proposed Rates'!$B:$J,X$11,FALSE),0)</f>
        <v>0</v>
      </c>
      <c r="Y20" s="409">
        <f t="shared" si="11"/>
        <v>94</v>
      </c>
      <c r="Z20" s="394">
        <f t="shared" si="12"/>
        <v>0</v>
      </c>
      <c r="AA20" s="138"/>
      <c r="AB20" s="395">
        <f t="shared" si="13"/>
        <v>0</v>
      </c>
      <c r="AC20" s="396" t="str">
        <f t="shared" si="14"/>
        <v/>
      </c>
      <c r="AD20" s="53"/>
      <c r="AE20" s="391">
        <f>IFERROR(VLOOKUP($C20,'Proposed Rates'!$B:$J,AE$11,FALSE),0)</f>
        <v>0</v>
      </c>
      <c r="AF20" s="409">
        <f t="shared" si="15"/>
        <v>94</v>
      </c>
      <c r="AG20" s="394">
        <f t="shared" si="16"/>
        <v>0</v>
      </c>
      <c r="AH20" s="138"/>
      <c r="AI20" s="395">
        <f t="shared" si="17"/>
        <v>0</v>
      </c>
      <c r="AJ20" s="396" t="str">
        <f t="shared" si="18"/>
        <v/>
      </c>
      <c r="AK20" s="53"/>
      <c r="AL20" s="391">
        <f>IFERROR(VLOOKUP($C20,'Proposed Rates'!$B:$J,AL$11,FALSE),0)</f>
        <v>0</v>
      </c>
      <c r="AM20" s="409">
        <f t="shared" si="19"/>
        <v>94</v>
      </c>
      <c r="AN20" s="394">
        <f t="shared" si="20"/>
        <v>0</v>
      </c>
      <c r="AO20" s="138"/>
      <c r="AP20" s="395">
        <f t="shared" si="21"/>
        <v>0</v>
      </c>
      <c r="AQ20" s="396" t="str">
        <f t="shared" si="22"/>
        <v/>
      </c>
      <c r="AR20" s="397"/>
      <c r="AS20" s="397"/>
    </row>
    <row r="21" spans="1:45" ht="12" customHeight="1">
      <c r="A21" s="545"/>
      <c r="B21" s="328" t="s">
        <v>269</v>
      </c>
      <c r="C21" s="389" t="str">
        <f t="shared" si="0"/>
        <v>Sentinel Lights.LRAM Rate Rider</v>
      </c>
      <c r="D21" s="390" t="s">
        <v>406</v>
      </c>
      <c r="E21" s="328"/>
      <c r="F21" s="408">
        <f>'Proposed Rates'!E83+'Proposed Rates'!E96</f>
        <v>0</v>
      </c>
      <c r="G21" s="562">
        <f t="shared" si="1"/>
        <v>0.4</v>
      </c>
      <c r="H21" s="394">
        <f t="shared" si="2"/>
        <v>0</v>
      </c>
      <c r="I21" s="138"/>
      <c r="J21" s="408">
        <f>'Proposed Rates'!F83+'Proposed Rates'!F96</f>
        <v>0</v>
      </c>
      <c r="K21" s="562">
        <f t="shared" si="3"/>
        <v>0.4</v>
      </c>
      <c r="L21" s="394">
        <f t="shared" si="4"/>
        <v>0</v>
      </c>
      <c r="M21" s="138"/>
      <c r="N21" s="395">
        <f t="shared" si="5"/>
        <v>0</v>
      </c>
      <c r="O21" s="396" t="str">
        <f t="shared" si="6"/>
        <v/>
      </c>
      <c r="P21" s="53"/>
      <c r="Q21" s="408">
        <f>'Proposed Rates'!G83+'Proposed Rates'!G96</f>
        <v>0</v>
      </c>
      <c r="R21" s="562">
        <f t="shared" si="7"/>
        <v>0.4</v>
      </c>
      <c r="S21" s="394">
        <f t="shared" si="8"/>
        <v>0</v>
      </c>
      <c r="T21" s="138"/>
      <c r="U21" s="395">
        <f t="shared" si="9"/>
        <v>0</v>
      </c>
      <c r="V21" s="396" t="str">
        <f t="shared" si="10"/>
        <v/>
      </c>
      <c r="W21" s="53"/>
      <c r="X21" s="391">
        <f>IFERROR(VLOOKUP($C21,'Proposed Rates'!$B:$J,X$11,FALSE),0)</f>
        <v>0</v>
      </c>
      <c r="Y21" s="562">
        <f t="shared" si="11"/>
        <v>0.4</v>
      </c>
      <c r="Z21" s="394">
        <f t="shared" si="12"/>
        <v>0</v>
      </c>
      <c r="AA21" s="138"/>
      <c r="AB21" s="395">
        <f t="shared" si="13"/>
        <v>0</v>
      </c>
      <c r="AC21" s="396" t="str">
        <f t="shared" si="14"/>
        <v/>
      </c>
      <c r="AD21" s="53"/>
      <c r="AE21" s="391">
        <f>IFERROR(VLOOKUP($C21,'Proposed Rates'!$B:$J,AE$11,FALSE),0)</f>
        <v>0</v>
      </c>
      <c r="AF21" s="562">
        <f t="shared" si="15"/>
        <v>0.4</v>
      </c>
      <c r="AG21" s="394">
        <f t="shared" si="16"/>
        <v>0</v>
      </c>
      <c r="AH21" s="138"/>
      <c r="AI21" s="395">
        <f t="shared" si="17"/>
        <v>0</v>
      </c>
      <c r="AJ21" s="396" t="str">
        <f t="shared" si="18"/>
        <v/>
      </c>
      <c r="AK21" s="53"/>
      <c r="AL21" s="391">
        <f>IFERROR(VLOOKUP($C21,'Proposed Rates'!$B:$J,AL$11,FALSE),0)</f>
        <v>0</v>
      </c>
      <c r="AM21" s="562">
        <f t="shared" si="19"/>
        <v>0.4</v>
      </c>
      <c r="AN21" s="394">
        <f t="shared" si="20"/>
        <v>0</v>
      </c>
      <c r="AO21" s="138"/>
      <c r="AP21" s="395">
        <f t="shared" si="21"/>
        <v>0</v>
      </c>
      <c r="AQ21" s="396" t="str">
        <f t="shared" si="22"/>
        <v/>
      </c>
      <c r="AR21" s="397"/>
      <c r="AS21" s="397"/>
    </row>
    <row r="22" spans="1:45" ht="12" customHeight="1">
      <c r="A22" s="545"/>
      <c r="B22" s="398" t="s">
        <v>265</v>
      </c>
      <c r="C22" s="389" t="str">
        <f t="shared" si="0"/>
        <v>Sentinel Lights.Deferral/Variance Account Disposition Rate Rider Group 2</v>
      </c>
      <c r="D22" s="390" t="s">
        <v>406</v>
      </c>
      <c r="E22" s="328"/>
      <c r="F22" s="391">
        <f>IFERROR(VLOOKUP($C22,'Proposed Rates'!$B:$J,F$11,FALSE),0)</f>
        <v>0</v>
      </c>
      <c r="G22" s="562">
        <f t="shared" si="1"/>
        <v>0.4</v>
      </c>
      <c r="H22" s="394">
        <f t="shared" si="2"/>
        <v>0</v>
      </c>
      <c r="I22" s="138"/>
      <c r="J22" s="391">
        <f>IFERROR(VLOOKUP($C22,'Proposed Rates'!$B:$J,J$11,FALSE),0)</f>
        <v>-2.2843</v>
      </c>
      <c r="K22" s="562">
        <f t="shared" si="3"/>
        <v>0.4</v>
      </c>
      <c r="L22" s="394">
        <f t="shared" si="4"/>
        <v>-0.91372000000000009</v>
      </c>
      <c r="M22" s="138"/>
      <c r="N22" s="395">
        <f t="shared" si="5"/>
        <v>-0.91372000000000009</v>
      </c>
      <c r="O22" s="396" t="str">
        <f t="shared" si="6"/>
        <v/>
      </c>
      <c r="P22" s="53"/>
      <c r="Q22" s="391">
        <f>IFERROR(VLOOKUP($C22,'Proposed Rates'!$B:$J,Q$11,FALSE),0)</f>
        <v>0</v>
      </c>
      <c r="R22" s="562">
        <f t="shared" si="7"/>
        <v>0.4</v>
      </c>
      <c r="S22" s="394">
        <f t="shared" si="8"/>
        <v>0</v>
      </c>
      <c r="T22" s="138"/>
      <c r="U22" s="395">
        <f t="shared" si="9"/>
        <v>0.91372000000000009</v>
      </c>
      <c r="V22" s="396">
        <f t="shared" si="10"/>
        <v>-1</v>
      </c>
      <c r="W22" s="53"/>
      <c r="X22" s="391">
        <f>IFERROR(VLOOKUP($C22,'Proposed Rates'!$B:$J,X$11,FALSE),0)</f>
        <v>0</v>
      </c>
      <c r="Y22" s="562">
        <f t="shared" si="11"/>
        <v>0.4</v>
      </c>
      <c r="Z22" s="394">
        <f t="shared" si="12"/>
        <v>0</v>
      </c>
      <c r="AA22" s="138"/>
      <c r="AB22" s="395">
        <f t="shared" si="13"/>
        <v>0</v>
      </c>
      <c r="AC22" s="396" t="str">
        <f t="shared" si="14"/>
        <v/>
      </c>
      <c r="AD22" s="53"/>
      <c r="AE22" s="391">
        <f>IFERROR(VLOOKUP($C22,'Proposed Rates'!$B:$J,AE$11,FALSE),0)</f>
        <v>0</v>
      </c>
      <c r="AF22" s="562">
        <f t="shared" si="15"/>
        <v>0.4</v>
      </c>
      <c r="AG22" s="394">
        <f t="shared" si="16"/>
        <v>0</v>
      </c>
      <c r="AH22" s="138"/>
      <c r="AI22" s="395">
        <f t="shared" si="17"/>
        <v>0</v>
      </c>
      <c r="AJ22" s="396" t="str">
        <f t="shared" si="18"/>
        <v/>
      </c>
      <c r="AK22" s="53"/>
      <c r="AL22" s="391">
        <f>IFERROR(VLOOKUP($C22,'Proposed Rates'!$B:$J,AL$11,FALSE),0)</f>
        <v>0</v>
      </c>
      <c r="AM22" s="562">
        <f t="shared" si="19"/>
        <v>0.4</v>
      </c>
      <c r="AN22" s="394">
        <f t="shared" si="20"/>
        <v>0</v>
      </c>
      <c r="AO22" s="138"/>
      <c r="AP22" s="395">
        <f t="shared" si="21"/>
        <v>0</v>
      </c>
      <c r="AQ22" s="396" t="str">
        <f t="shared" si="22"/>
        <v/>
      </c>
      <c r="AR22" s="397"/>
      <c r="AS22" s="397"/>
    </row>
    <row r="23" spans="1:45" ht="12" customHeight="1">
      <c r="A23" s="545"/>
      <c r="B23" s="398"/>
      <c r="C23" s="389" t="str">
        <f t="shared" si="0"/>
        <v>Sentinel Lights.</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c r="AS23" s="397"/>
    </row>
    <row r="24" spans="1:45" ht="12" customHeight="1">
      <c r="A24" s="545"/>
      <c r="B24" s="398"/>
      <c r="C24" s="389" t="str">
        <f t="shared" si="0"/>
        <v>Sentinel Lights.</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c r="AS24" s="397"/>
    </row>
    <row r="25" spans="1:45" ht="12" customHeight="1">
      <c r="A25" s="545"/>
      <c r="B25" s="398"/>
      <c r="C25" s="389" t="str">
        <f t="shared" si="0"/>
        <v>Sentinel Lights.</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c r="AS25" s="397"/>
    </row>
    <row r="26" spans="1:45" ht="12" customHeight="1">
      <c r="A26" s="545"/>
      <c r="B26" s="398"/>
      <c r="C26" s="389" t="str">
        <f t="shared" si="0"/>
        <v>Sentinel Lights.</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c r="AS26" s="397"/>
    </row>
    <row r="27" spans="1:45" ht="12" customHeight="1">
      <c r="A27" s="545"/>
      <c r="B27" s="398"/>
      <c r="C27" s="389" t="str">
        <f t="shared" si="0"/>
        <v>Sentinel Lights.</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c r="AS27" s="397"/>
    </row>
    <row r="28" spans="1:45" ht="12" customHeight="1">
      <c r="A28" s="545"/>
      <c r="B28" s="398"/>
      <c r="C28" s="389" t="str">
        <f t="shared" si="0"/>
        <v>Sentinel Lights.</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c r="AS28" s="397"/>
    </row>
    <row r="29" spans="1:45" ht="12" customHeight="1">
      <c r="A29" s="545"/>
      <c r="B29" s="399" t="s">
        <v>339</v>
      </c>
      <c r="C29" s="400"/>
      <c r="D29" s="400"/>
      <c r="E29" s="400"/>
      <c r="F29" s="401"/>
      <c r="G29" s="494"/>
      <c r="H29" s="403">
        <f>SUM(H15:H28)</f>
        <v>20.191879999999998</v>
      </c>
      <c r="I29" s="404"/>
      <c r="J29" s="401"/>
      <c r="K29" s="494"/>
      <c r="L29" s="403">
        <f>SUM(L15:L28)</f>
        <v>23.253719999999998</v>
      </c>
      <c r="M29" s="404"/>
      <c r="N29" s="405">
        <f t="shared" si="5"/>
        <v>3.0618400000000001</v>
      </c>
      <c r="O29" s="406">
        <f t="shared" si="6"/>
        <v>0.15163719277254029</v>
      </c>
      <c r="P29" s="314"/>
      <c r="Q29" s="401"/>
      <c r="R29" s="494"/>
      <c r="S29" s="403">
        <f>SUM(S15:S28)</f>
        <v>25.27684</v>
      </c>
      <c r="T29" s="404"/>
      <c r="U29" s="405">
        <f t="shared" si="9"/>
        <v>2.0231200000000022</v>
      </c>
      <c r="V29" s="406">
        <f t="shared" si="10"/>
        <v>8.7001993659509211E-2</v>
      </c>
      <c r="W29" s="314"/>
      <c r="X29" s="401"/>
      <c r="Y29" s="494"/>
      <c r="Z29" s="403">
        <f>SUM(Z15:Z28)</f>
        <v>25.843640000000001</v>
      </c>
      <c r="AA29" s="404"/>
      <c r="AB29" s="405">
        <f t="shared" si="13"/>
        <v>0.56680000000000064</v>
      </c>
      <c r="AC29" s="406">
        <f t="shared" si="14"/>
        <v>2.2423689037079027E-2</v>
      </c>
      <c r="AD29" s="314"/>
      <c r="AE29" s="401"/>
      <c r="AF29" s="494"/>
      <c r="AG29" s="403">
        <f>SUM(AG15:AG28)</f>
        <v>26.725079999999998</v>
      </c>
      <c r="AH29" s="404"/>
      <c r="AI29" s="405">
        <f t="shared" si="17"/>
        <v>0.88143999999999778</v>
      </c>
      <c r="AJ29" s="406">
        <f t="shared" si="18"/>
        <v>3.4106650611136734E-2</v>
      </c>
      <c r="AK29" s="314"/>
      <c r="AL29" s="401"/>
      <c r="AM29" s="494"/>
      <c r="AN29" s="403">
        <f>SUM(AN15:AN28)</f>
        <v>27.527400000000004</v>
      </c>
      <c r="AO29" s="404"/>
      <c r="AP29" s="405">
        <f t="shared" si="21"/>
        <v>0.80232000000000525</v>
      </c>
      <c r="AQ29" s="406">
        <f t="shared" si="22"/>
        <v>3.0021238477116075E-2</v>
      </c>
      <c r="AR29" s="407"/>
      <c r="AS29" s="407"/>
    </row>
    <row r="30" spans="1:45" ht="12" customHeight="1">
      <c r="A30" s="545"/>
      <c r="B30" s="398" t="s">
        <v>262</v>
      </c>
      <c r="C30" s="389" t="str">
        <f t="shared" ref="C30:C38" si="23">D$6&amp;"."&amp;B30</f>
        <v>Sentinel Lights.DVA Disposition Rate Rider Group 1 -2025</v>
      </c>
      <c r="D30" s="390" t="s">
        <v>406</v>
      </c>
      <c r="E30" s="328"/>
      <c r="F30" s="408">
        <f>IFERROR(VLOOKUP($C30,'Proposed Rates'!$B:$J,F$11,FALSE),0)</f>
        <v>4.1399999999999999E-2</v>
      </c>
      <c r="G30" s="562">
        <f t="shared" ref="G30:G36" si="24">IF($D30="Monthly",1,IF($D30="per KW",$F$10,IF($D30="per kWh",$F$9,0)))</f>
        <v>0.4</v>
      </c>
      <c r="H30" s="394">
        <f t="shared" ref="H30:H38" si="25">G30*F30</f>
        <v>1.6560000000000002E-2</v>
      </c>
      <c r="I30" s="138"/>
      <c r="J30" s="408">
        <f>IFERROR(VLOOKUP($C30,'Proposed Rates'!$B:$J,J$11,FALSE),0)</f>
        <v>-0.2661</v>
      </c>
      <c r="K30" s="562">
        <f t="shared" ref="K30:K36" si="26">IF($D30="Monthly",1,IF($D30="per KW",$F$10,IF($D30="per kWh",$F$9,0)))</f>
        <v>0.4</v>
      </c>
      <c r="L30" s="394">
        <f t="shared" ref="L30:L38" si="27">K30*J30</f>
        <v>-0.10644000000000001</v>
      </c>
      <c r="M30" s="138"/>
      <c r="N30" s="395">
        <f t="shared" si="5"/>
        <v>-0.12300000000000001</v>
      </c>
      <c r="O30" s="396">
        <f t="shared" si="6"/>
        <v>-7.4275362318840576</v>
      </c>
      <c r="P30" s="53"/>
      <c r="Q30" s="408">
        <f>IFERROR(VLOOKUP($C30,'Proposed Rates'!$B:$J,Q$11,FALSE),0)</f>
        <v>0</v>
      </c>
      <c r="R30" s="562">
        <f t="shared" ref="R30:R36" si="28">IF($D30="Monthly",1,IF($D30="per KW",$F$10,IF($D30="per kWh",$F$9,0)))</f>
        <v>0.4</v>
      </c>
      <c r="S30" s="394">
        <f t="shared" ref="S30:S38" si="29">R30*Q30</f>
        <v>0</v>
      </c>
      <c r="T30" s="138"/>
      <c r="U30" s="395">
        <f t="shared" si="9"/>
        <v>0.10644000000000001</v>
      </c>
      <c r="V30" s="396">
        <f t="shared" si="10"/>
        <v>-1</v>
      </c>
      <c r="W30" s="53"/>
      <c r="X30" s="408">
        <f>IFERROR(VLOOKUP($C30,'Proposed Rates'!$B:$J,X$11,FALSE),0)</f>
        <v>0</v>
      </c>
      <c r="Y30" s="562">
        <f t="shared" ref="Y30:Y36" si="30">IF($D30="Monthly",1,IF($D30="per KW",$F$10,IF($D30="per kWh",$F$9,0)))</f>
        <v>0.4</v>
      </c>
      <c r="Z30" s="394">
        <f t="shared" ref="Z30:Z38" si="31">Y30*X30</f>
        <v>0</v>
      </c>
      <c r="AA30" s="138"/>
      <c r="AB30" s="395">
        <f t="shared" si="13"/>
        <v>0</v>
      </c>
      <c r="AC30" s="396" t="str">
        <f t="shared" si="14"/>
        <v/>
      </c>
      <c r="AD30" s="53"/>
      <c r="AE30" s="408">
        <f>IFERROR(VLOOKUP($C30,'Proposed Rates'!$B:$J,AE$11,FALSE),0)</f>
        <v>0</v>
      </c>
      <c r="AF30" s="562">
        <f t="shared" ref="AF30:AF36" si="32">IF($D30="Monthly",1,IF($D30="per KW",$F$10,IF($D30="per kWh",$F$9,0)))</f>
        <v>0.4</v>
      </c>
      <c r="AG30" s="394">
        <f t="shared" ref="AG30:AG38" si="33">AF30*AE30</f>
        <v>0</v>
      </c>
      <c r="AH30" s="138"/>
      <c r="AI30" s="395">
        <f t="shared" si="17"/>
        <v>0</v>
      </c>
      <c r="AJ30" s="396" t="str">
        <f t="shared" si="18"/>
        <v/>
      </c>
      <c r="AK30" s="53"/>
      <c r="AL30" s="408">
        <f>IFERROR(VLOOKUP($C30,'Proposed Rates'!$B:$J,AL$11,FALSE),0)</f>
        <v>0</v>
      </c>
      <c r="AM30" s="562">
        <f t="shared" ref="AM30:AM36" si="34">IF($D30="Monthly",1,IF($D30="per KW",$F$10,IF($D30="per kWh",$F$9,0)))</f>
        <v>0.4</v>
      </c>
      <c r="AN30" s="394">
        <f t="shared" ref="AN30:AN38" si="35">AM30*AL30</f>
        <v>0</v>
      </c>
      <c r="AO30" s="138"/>
      <c r="AP30" s="395">
        <f t="shared" si="21"/>
        <v>0</v>
      </c>
      <c r="AQ30" s="396" t="str">
        <f t="shared" si="22"/>
        <v/>
      </c>
      <c r="AR30" s="397"/>
      <c r="AS30" s="397"/>
    </row>
    <row r="31" spans="1:45" ht="12" customHeight="1">
      <c r="A31" s="545"/>
      <c r="B31" s="398" t="s">
        <v>264</v>
      </c>
      <c r="C31" s="389" t="str">
        <f t="shared" si="23"/>
        <v>Sentinel Lights.DVA Disposition Rate Rider Group 1 - 2024</v>
      </c>
      <c r="D31" s="390" t="s">
        <v>406</v>
      </c>
      <c r="E31" s="328"/>
      <c r="F31" s="391">
        <f>IFERROR(VLOOKUP($C31,'Proposed Rates'!$B:$J,F$11,FALSE),0)</f>
        <v>0</v>
      </c>
      <c r="G31" s="562">
        <f t="shared" si="24"/>
        <v>0.4</v>
      </c>
      <c r="H31" s="394">
        <f t="shared" si="25"/>
        <v>0</v>
      </c>
      <c r="I31" s="138"/>
      <c r="J31" s="391">
        <f>IFERROR(VLOOKUP($C31,'Proposed Rates'!$B:$J,J$11,FALSE),0)</f>
        <v>0</v>
      </c>
      <c r="K31" s="562">
        <f t="shared" si="26"/>
        <v>0.4</v>
      </c>
      <c r="L31" s="394">
        <f t="shared" si="27"/>
        <v>0</v>
      </c>
      <c r="M31" s="138"/>
      <c r="N31" s="395">
        <f t="shared" si="5"/>
        <v>0</v>
      </c>
      <c r="O31" s="396" t="str">
        <f t="shared" si="6"/>
        <v/>
      </c>
      <c r="P31" s="53"/>
      <c r="Q31" s="391">
        <f>IFERROR(VLOOKUP($C31,'Proposed Rates'!$B:$J,Q$11,FALSE),0)</f>
        <v>0</v>
      </c>
      <c r="R31" s="562">
        <f t="shared" si="28"/>
        <v>0.4</v>
      </c>
      <c r="S31" s="394">
        <f t="shared" si="29"/>
        <v>0</v>
      </c>
      <c r="T31" s="138"/>
      <c r="U31" s="395">
        <f t="shared" si="9"/>
        <v>0</v>
      </c>
      <c r="V31" s="396" t="str">
        <f t="shared" si="10"/>
        <v/>
      </c>
      <c r="W31" s="53"/>
      <c r="X31" s="391">
        <f>IFERROR(VLOOKUP($C31,'Proposed Rates'!$B:$J,X$11,FALSE),0)</f>
        <v>0</v>
      </c>
      <c r="Y31" s="562">
        <f t="shared" si="30"/>
        <v>0.4</v>
      </c>
      <c r="Z31" s="394">
        <f t="shared" si="31"/>
        <v>0</v>
      </c>
      <c r="AA31" s="138"/>
      <c r="AB31" s="395">
        <f t="shared" si="13"/>
        <v>0</v>
      </c>
      <c r="AC31" s="396" t="str">
        <f t="shared" si="14"/>
        <v/>
      </c>
      <c r="AD31" s="53"/>
      <c r="AE31" s="391">
        <f>IFERROR(VLOOKUP($C31,'Proposed Rates'!$B:$J,AE$11,FALSE),0)</f>
        <v>0</v>
      </c>
      <c r="AF31" s="562">
        <f t="shared" si="32"/>
        <v>0.4</v>
      </c>
      <c r="AG31" s="394">
        <f t="shared" si="33"/>
        <v>0</v>
      </c>
      <c r="AH31" s="138"/>
      <c r="AI31" s="395">
        <f t="shared" si="17"/>
        <v>0</v>
      </c>
      <c r="AJ31" s="396" t="str">
        <f t="shared" si="18"/>
        <v/>
      </c>
      <c r="AK31" s="53"/>
      <c r="AL31" s="391">
        <f>IFERROR(VLOOKUP($C31,'Proposed Rates'!$B:$J,AL$11,FALSE),0)</f>
        <v>0</v>
      </c>
      <c r="AM31" s="562">
        <f t="shared" si="34"/>
        <v>0.4</v>
      </c>
      <c r="AN31" s="394">
        <f t="shared" si="35"/>
        <v>0</v>
      </c>
      <c r="AO31" s="138"/>
      <c r="AP31" s="395">
        <f t="shared" si="21"/>
        <v>0</v>
      </c>
      <c r="AQ31" s="396" t="str">
        <f t="shared" si="22"/>
        <v/>
      </c>
      <c r="AR31" s="397"/>
      <c r="AS31" s="397"/>
    </row>
    <row r="32" spans="1:45" ht="12" customHeight="1">
      <c r="A32" s="545"/>
      <c r="B32" s="398" t="s">
        <v>272</v>
      </c>
      <c r="C32" s="389" t="str">
        <f t="shared" si="23"/>
        <v>Sentinel Lights.CBR Class B Rate Riders</v>
      </c>
      <c r="D32" s="390" t="s">
        <v>337</v>
      </c>
      <c r="E32" s="328"/>
      <c r="F32" s="408">
        <f>IFERROR(VLOOKUP($C32,'Proposed Rates'!$B:$J,F$11,FALSE),0)</f>
        <v>2.0000000000000001E-4</v>
      </c>
      <c r="G32" s="409">
        <f t="shared" si="24"/>
        <v>94</v>
      </c>
      <c r="H32" s="394">
        <f t="shared" si="25"/>
        <v>1.8800000000000001E-2</v>
      </c>
      <c r="I32" s="479"/>
      <c r="J32" s="408">
        <f>IFERROR(VLOOKUP($C32,'Proposed Rates'!$B:$J,J$11,FALSE),0)</f>
        <v>8.0000000000000004E-4</v>
      </c>
      <c r="K32" s="409">
        <f t="shared" si="26"/>
        <v>94</v>
      </c>
      <c r="L32" s="394">
        <f t="shared" si="27"/>
        <v>7.5200000000000003E-2</v>
      </c>
      <c r="M32" s="411"/>
      <c r="N32" s="395">
        <f t="shared" si="5"/>
        <v>5.6400000000000006E-2</v>
      </c>
      <c r="O32" s="396">
        <f t="shared" si="6"/>
        <v>3</v>
      </c>
      <c r="P32" s="53"/>
      <c r="Q32" s="408">
        <f>IFERROR(VLOOKUP($C32,'Proposed Rates'!$B:$J,Q$11,FALSE),0)</f>
        <v>0</v>
      </c>
      <c r="R32" s="409">
        <f t="shared" si="28"/>
        <v>94</v>
      </c>
      <c r="S32" s="394">
        <f t="shared" si="29"/>
        <v>0</v>
      </c>
      <c r="T32" s="411"/>
      <c r="U32" s="395">
        <f t="shared" si="9"/>
        <v>-7.5200000000000003E-2</v>
      </c>
      <c r="V32" s="396">
        <f t="shared" si="10"/>
        <v>-1</v>
      </c>
      <c r="W32" s="53"/>
      <c r="X32" s="408">
        <f>IFERROR(VLOOKUP($C32,'Proposed Rates'!$B:$J,X$11,FALSE),0)</f>
        <v>0</v>
      </c>
      <c r="Y32" s="409">
        <f t="shared" si="30"/>
        <v>94</v>
      </c>
      <c r="Z32" s="394">
        <f t="shared" si="31"/>
        <v>0</v>
      </c>
      <c r="AA32" s="138"/>
      <c r="AB32" s="395">
        <f t="shared" si="13"/>
        <v>0</v>
      </c>
      <c r="AC32" s="396" t="str">
        <f t="shared" si="14"/>
        <v/>
      </c>
      <c r="AD32" s="53"/>
      <c r="AE32" s="408">
        <f>IFERROR(VLOOKUP($C32,'Proposed Rates'!$B:$J,AE$11,FALSE),0)</f>
        <v>0</v>
      </c>
      <c r="AF32" s="409">
        <f t="shared" si="32"/>
        <v>94</v>
      </c>
      <c r="AG32" s="394">
        <f t="shared" si="33"/>
        <v>0</v>
      </c>
      <c r="AH32" s="138"/>
      <c r="AI32" s="395">
        <f t="shared" si="17"/>
        <v>0</v>
      </c>
      <c r="AJ32" s="396" t="str">
        <f t="shared" si="18"/>
        <v/>
      </c>
      <c r="AK32" s="53"/>
      <c r="AL32" s="408">
        <f>IFERROR(VLOOKUP($C32,'Proposed Rates'!$B:$J,AL$11,FALSE),0)</f>
        <v>0</v>
      </c>
      <c r="AM32" s="409">
        <f t="shared" si="34"/>
        <v>94</v>
      </c>
      <c r="AN32" s="394">
        <f t="shared" si="35"/>
        <v>0</v>
      </c>
      <c r="AO32" s="411"/>
      <c r="AP32" s="395">
        <f t="shared" si="21"/>
        <v>0</v>
      </c>
      <c r="AQ32" s="396" t="str">
        <f t="shared" si="22"/>
        <v/>
      </c>
      <c r="AR32" s="397"/>
      <c r="AS32" s="397"/>
    </row>
    <row r="33" spans="1:45" ht="12" customHeight="1">
      <c r="A33" s="545"/>
      <c r="B33" s="398" t="s">
        <v>279</v>
      </c>
      <c r="C33" s="389" t="str">
        <f t="shared" si="23"/>
        <v>Sentinel Lights.GA Rate Riders</v>
      </c>
      <c r="D33" s="390" t="s">
        <v>337</v>
      </c>
      <c r="E33" s="328"/>
      <c r="F33" s="391">
        <f>IFERROR(VLOOKUP($C33,'Proposed Rates'!$B:$J,F$11,FALSE),0)</f>
        <v>0</v>
      </c>
      <c r="G33" s="409">
        <f t="shared" si="24"/>
        <v>94</v>
      </c>
      <c r="H33" s="394">
        <f t="shared" si="25"/>
        <v>0</v>
      </c>
      <c r="I33" s="479"/>
      <c r="J33" s="391">
        <f>IFERROR(VLOOKUP($C33,'Proposed Rates'!$B:$J,J$11,FALSE),0)</f>
        <v>0</v>
      </c>
      <c r="K33" s="409">
        <f t="shared" si="26"/>
        <v>94</v>
      </c>
      <c r="L33" s="394">
        <f t="shared" si="27"/>
        <v>0</v>
      </c>
      <c r="M33" s="411"/>
      <c r="N33" s="395">
        <f t="shared" si="5"/>
        <v>0</v>
      </c>
      <c r="O33" s="396" t="str">
        <f t="shared" si="6"/>
        <v/>
      </c>
      <c r="P33" s="53"/>
      <c r="Q33" s="391">
        <f>IFERROR(VLOOKUP($C33,'Proposed Rates'!$B:$J,Q$11,FALSE),0)</f>
        <v>0</v>
      </c>
      <c r="R33" s="409">
        <f t="shared" si="28"/>
        <v>94</v>
      </c>
      <c r="S33" s="394">
        <f t="shared" si="29"/>
        <v>0</v>
      </c>
      <c r="T33" s="411"/>
      <c r="U33" s="395">
        <f t="shared" si="9"/>
        <v>0</v>
      </c>
      <c r="V33" s="396" t="str">
        <f t="shared" si="10"/>
        <v/>
      </c>
      <c r="W33" s="53"/>
      <c r="X33" s="391">
        <f>IFERROR(VLOOKUP($C33,'Proposed Rates'!$B:$J,X$11,FALSE),0)</f>
        <v>0</v>
      </c>
      <c r="Y33" s="409">
        <f t="shared" si="30"/>
        <v>94</v>
      </c>
      <c r="Z33" s="394">
        <f t="shared" si="31"/>
        <v>0</v>
      </c>
      <c r="AA33" s="411"/>
      <c r="AB33" s="395">
        <f t="shared" si="13"/>
        <v>0</v>
      </c>
      <c r="AC33" s="396" t="str">
        <f t="shared" si="14"/>
        <v/>
      </c>
      <c r="AD33" s="53"/>
      <c r="AE33" s="391">
        <f>IFERROR(VLOOKUP($C33,'Proposed Rates'!$B:$J,AE$11,FALSE),0)</f>
        <v>0</v>
      </c>
      <c r="AF33" s="409">
        <f t="shared" si="32"/>
        <v>94</v>
      </c>
      <c r="AG33" s="394">
        <f t="shared" si="33"/>
        <v>0</v>
      </c>
      <c r="AH33" s="411"/>
      <c r="AI33" s="395">
        <f t="shared" si="17"/>
        <v>0</v>
      </c>
      <c r="AJ33" s="396" t="str">
        <f t="shared" si="18"/>
        <v/>
      </c>
      <c r="AK33" s="53"/>
      <c r="AL33" s="391">
        <f>IFERROR(VLOOKUP($C33,'Proposed Rates'!$B:$J,AL$11,FALSE),0)</f>
        <v>0</v>
      </c>
      <c r="AM33" s="409">
        <f t="shared" si="34"/>
        <v>94</v>
      </c>
      <c r="AN33" s="394">
        <f t="shared" si="35"/>
        <v>0</v>
      </c>
      <c r="AO33" s="411"/>
      <c r="AP33" s="395">
        <f t="shared" si="21"/>
        <v>0</v>
      </c>
      <c r="AQ33" s="396" t="str">
        <f t="shared" si="22"/>
        <v/>
      </c>
      <c r="AR33" s="397"/>
      <c r="AS33" s="397"/>
    </row>
    <row r="34" spans="1:45" ht="12" customHeight="1">
      <c r="A34" s="545"/>
      <c r="B34" s="398" t="s">
        <v>282</v>
      </c>
      <c r="C34" s="389" t="str">
        <f t="shared" si="23"/>
        <v>Sentinel Lights.Total Deferral/Variance Account Rate RidersYr2</v>
      </c>
      <c r="D34" s="390" t="s">
        <v>406</v>
      </c>
      <c r="E34" s="328"/>
      <c r="F34" s="391">
        <f>IFERROR(VLOOKUP($C34,'Proposed Rates'!$B:$J,F$11,FALSE),0)</f>
        <v>0</v>
      </c>
      <c r="G34" s="562">
        <f t="shared" si="24"/>
        <v>0.4</v>
      </c>
      <c r="H34" s="394">
        <f t="shared" si="25"/>
        <v>0</v>
      </c>
      <c r="I34" s="479"/>
      <c r="J34" s="391">
        <f>IFERROR(VLOOKUP($C34,'Proposed Rates'!$B:$J,J$11,FALSE),0)</f>
        <v>0</v>
      </c>
      <c r="K34" s="562">
        <f t="shared" si="26"/>
        <v>0.4</v>
      </c>
      <c r="L34" s="394">
        <f t="shared" si="27"/>
        <v>0</v>
      </c>
      <c r="M34" s="411"/>
      <c r="N34" s="395">
        <f t="shared" si="5"/>
        <v>0</v>
      </c>
      <c r="O34" s="396" t="str">
        <f t="shared" si="6"/>
        <v/>
      </c>
      <c r="P34" s="53"/>
      <c r="Q34" s="391">
        <f>IFERROR(VLOOKUP($C34,'Proposed Rates'!$B:$J,Q$11,FALSE),0)</f>
        <v>0</v>
      </c>
      <c r="R34" s="562">
        <f t="shared" si="28"/>
        <v>0.4</v>
      </c>
      <c r="S34" s="394">
        <f t="shared" si="29"/>
        <v>0</v>
      </c>
      <c r="T34" s="411"/>
      <c r="U34" s="395">
        <f t="shared" si="9"/>
        <v>0</v>
      </c>
      <c r="V34" s="396" t="str">
        <f t="shared" si="10"/>
        <v/>
      </c>
      <c r="W34" s="53"/>
      <c r="X34" s="391">
        <f>IFERROR(VLOOKUP($C34,'Proposed Rates'!$B:$J,X$11,FALSE),0)</f>
        <v>0</v>
      </c>
      <c r="Y34" s="562">
        <f t="shared" si="30"/>
        <v>0.4</v>
      </c>
      <c r="Z34" s="394">
        <f t="shared" si="31"/>
        <v>0</v>
      </c>
      <c r="AA34" s="411"/>
      <c r="AB34" s="395">
        <f t="shared" si="13"/>
        <v>0</v>
      </c>
      <c r="AC34" s="396" t="str">
        <f t="shared" si="14"/>
        <v/>
      </c>
      <c r="AD34" s="53"/>
      <c r="AE34" s="391">
        <f>IFERROR(VLOOKUP($C34,'Proposed Rates'!$B:$J,AE$11,FALSE),0)</f>
        <v>0</v>
      </c>
      <c r="AF34" s="562">
        <f t="shared" si="32"/>
        <v>0.4</v>
      </c>
      <c r="AG34" s="394">
        <f t="shared" si="33"/>
        <v>0</v>
      </c>
      <c r="AH34" s="411"/>
      <c r="AI34" s="395">
        <f t="shared" si="17"/>
        <v>0</v>
      </c>
      <c r="AJ34" s="396" t="str">
        <f t="shared" si="18"/>
        <v/>
      </c>
      <c r="AK34" s="53"/>
      <c r="AL34" s="391">
        <f>IFERROR(VLOOKUP($C34,'Proposed Rates'!$B:$J,AL$11,FALSE),0)</f>
        <v>0</v>
      </c>
      <c r="AM34" s="562">
        <f t="shared" si="34"/>
        <v>0.4</v>
      </c>
      <c r="AN34" s="394">
        <f t="shared" si="35"/>
        <v>0</v>
      </c>
      <c r="AO34" s="411"/>
      <c r="AP34" s="395">
        <f t="shared" si="21"/>
        <v>0</v>
      </c>
      <c r="AQ34" s="396" t="str">
        <f t="shared" si="22"/>
        <v/>
      </c>
      <c r="AR34" s="397"/>
      <c r="AS34" s="397"/>
    </row>
    <row r="35" spans="1:45" ht="12" customHeight="1">
      <c r="A35" s="545"/>
      <c r="B35" s="398" t="s">
        <v>284</v>
      </c>
      <c r="C35" s="389" t="str">
        <f t="shared" si="23"/>
        <v>Sentinel Lights.Total Deferral/Variance Account Rate Riders</v>
      </c>
      <c r="D35" s="390" t="s">
        <v>406</v>
      </c>
      <c r="E35" s="328"/>
      <c r="F35" s="391">
        <f>IFERROR(VLOOKUP($C35,'Proposed Rates'!$B:$J,F$11,FALSE),0)</f>
        <v>0</v>
      </c>
      <c r="G35" s="562">
        <f t="shared" si="24"/>
        <v>0.4</v>
      </c>
      <c r="H35" s="394">
        <f t="shared" si="25"/>
        <v>0</v>
      </c>
      <c r="I35" s="138"/>
      <c r="J35" s="391">
        <f>IFERROR(VLOOKUP($C35,'Proposed Rates'!$B:$J,J$11,FALSE),0)</f>
        <v>0</v>
      </c>
      <c r="K35" s="562">
        <f t="shared" si="26"/>
        <v>0.4</v>
      </c>
      <c r="L35" s="394">
        <f t="shared" si="27"/>
        <v>0</v>
      </c>
      <c r="M35" s="138"/>
      <c r="N35" s="395">
        <f t="shared" si="5"/>
        <v>0</v>
      </c>
      <c r="O35" s="396" t="str">
        <f t="shared" si="6"/>
        <v/>
      </c>
      <c r="P35" s="53"/>
      <c r="Q35" s="391">
        <f>IFERROR(VLOOKUP($C35,'Proposed Rates'!$B:$J,Q$11,FALSE),0)</f>
        <v>0</v>
      </c>
      <c r="R35" s="562">
        <f t="shared" si="28"/>
        <v>0.4</v>
      </c>
      <c r="S35" s="394">
        <f t="shared" si="29"/>
        <v>0</v>
      </c>
      <c r="T35" s="138"/>
      <c r="U35" s="395">
        <f t="shared" si="9"/>
        <v>0</v>
      </c>
      <c r="V35" s="396" t="str">
        <f t="shared" si="10"/>
        <v/>
      </c>
      <c r="W35" s="53"/>
      <c r="X35" s="391">
        <f>IFERROR(VLOOKUP($C35,'Proposed Rates'!$B:$J,X$11,FALSE),0)</f>
        <v>0</v>
      </c>
      <c r="Y35" s="562">
        <f t="shared" si="30"/>
        <v>0.4</v>
      </c>
      <c r="Z35" s="394">
        <f t="shared" si="31"/>
        <v>0</v>
      </c>
      <c r="AA35" s="138"/>
      <c r="AB35" s="395">
        <f t="shared" si="13"/>
        <v>0</v>
      </c>
      <c r="AC35" s="396" t="str">
        <f t="shared" si="14"/>
        <v/>
      </c>
      <c r="AD35" s="53"/>
      <c r="AE35" s="391">
        <f>IFERROR(VLOOKUP($C35,'Proposed Rates'!$B:$J,AE$11,FALSE),0)</f>
        <v>0</v>
      </c>
      <c r="AF35" s="562">
        <f t="shared" si="32"/>
        <v>0.4</v>
      </c>
      <c r="AG35" s="394">
        <f t="shared" si="33"/>
        <v>0</v>
      </c>
      <c r="AH35" s="138"/>
      <c r="AI35" s="395">
        <f t="shared" si="17"/>
        <v>0</v>
      </c>
      <c r="AJ35" s="396" t="str">
        <f t="shared" si="18"/>
        <v/>
      </c>
      <c r="AK35" s="53"/>
      <c r="AL35" s="391">
        <f>IFERROR(VLOOKUP($C35,'Proposed Rates'!$B:$J,AL$11,FALSE),0)</f>
        <v>0</v>
      </c>
      <c r="AM35" s="562">
        <f t="shared" si="34"/>
        <v>0.4</v>
      </c>
      <c r="AN35" s="394">
        <f t="shared" si="35"/>
        <v>0</v>
      </c>
      <c r="AO35" s="138"/>
      <c r="AP35" s="395">
        <f t="shared" si="21"/>
        <v>0</v>
      </c>
      <c r="AQ35" s="396" t="str">
        <f t="shared" si="22"/>
        <v/>
      </c>
      <c r="AR35" s="397"/>
      <c r="AS35" s="397"/>
    </row>
    <row r="36" spans="1:45" ht="12" customHeight="1">
      <c r="A36" s="545"/>
      <c r="B36" s="328" t="s">
        <v>300</v>
      </c>
      <c r="C36" s="389" t="str">
        <f t="shared" si="23"/>
        <v>Sentinel Lights.Low Voltage Service Charge</v>
      </c>
      <c r="D36" s="390" t="s">
        <v>406</v>
      </c>
      <c r="E36" s="328"/>
      <c r="F36" s="412">
        <f>IFERROR(VLOOKUP($C36,'Proposed Rates'!$B:$J,F$11,FALSE),0)</f>
        <v>1.532E-2</v>
      </c>
      <c r="G36" s="562">
        <f t="shared" si="24"/>
        <v>0.4</v>
      </c>
      <c r="H36" s="394">
        <f t="shared" si="25"/>
        <v>6.1280000000000006E-3</v>
      </c>
      <c r="I36" s="138"/>
      <c r="J36" s="412">
        <f>IFERROR(VLOOKUP($C36,'Proposed Rates'!$B:$J,J$11,FALSE),0)</f>
        <v>4.3499999999999997E-3</v>
      </c>
      <c r="K36" s="562">
        <f t="shared" si="26"/>
        <v>0.4</v>
      </c>
      <c r="L36" s="394">
        <f t="shared" si="27"/>
        <v>1.74E-3</v>
      </c>
      <c r="M36" s="138"/>
      <c r="N36" s="395">
        <f t="shared" si="5"/>
        <v>-4.3880000000000004E-3</v>
      </c>
      <c r="O36" s="396">
        <f t="shared" si="6"/>
        <v>-0.71605744125326365</v>
      </c>
      <c r="P36" s="53"/>
      <c r="Q36" s="412">
        <f>IFERROR(VLOOKUP($C36,'Proposed Rates'!$B:$J,Q$11,FALSE),0)</f>
        <v>4.4600000000000004E-3</v>
      </c>
      <c r="R36" s="562">
        <f t="shared" si="28"/>
        <v>0.4</v>
      </c>
      <c r="S36" s="394">
        <f t="shared" si="29"/>
        <v>1.7840000000000002E-3</v>
      </c>
      <c r="T36" s="138"/>
      <c r="U36" s="395">
        <f t="shared" si="9"/>
        <v>4.4000000000000202E-5</v>
      </c>
      <c r="V36" s="396">
        <f t="shared" si="10"/>
        <v>2.5287356321839198E-2</v>
      </c>
      <c r="W36" s="53"/>
      <c r="X36" s="412">
        <f>IFERROR(VLOOKUP($C36,'Proposed Rates'!$B:$J,X$11,FALSE),0)</f>
        <v>4.5199999999999997E-3</v>
      </c>
      <c r="Y36" s="562">
        <f t="shared" si="30"/>
        <v>0.4</v>
      </c>
      <c r="Z36" s="394">
        <f t="shared" si="31"/>
        <v>1.8079999999999999E-3</v>
      </c>
      <c r="AA36" s="138"/>
      <c r="AB36" s="395">
        <f t="shared" si="13"/>
        <v>2.3999999999999716E-5</v>
      </c>
      <c r="AC36" s="396">
        <f t="shared" si="14"/>
        <v>1.3452914798206117E-2</v>
      </c>
      <c r="AD36" s="53"/>
      <c r="AE36" s="412">
        <f>IFERROR(VLOOKUP($C36,'Proposed Rates'!$B:$J,AE$11,FALSE),0)</f>
        <v>4.5900000000000003E-3</v>
      </c>
      <c r="AF36" s="562">
        <f t="shared" si="32"/>
        <v>0.4</v>
      </c>
      <c r="AG36" s="394">
        <f t="shared" si="33"/>
        <v>1.8360000000000002E-3</v>
      </c>
      <c r="AH36" s="138"/>
      <c r="AI36" s="395">
        <f t="shared" si="17"/>
        <v>2.8000000000000247E-5</v>
      </c>
      <c r="AJ36" s="396">
        <f t="shared" si="18"/>
        <v>1.5486725663716951E-2</v>
      </c>
      <c r="AK36" s="53"/>
      <c r="AL36" s="412">
        <f>IFERROR(VLOOKUP($C36,'Proposed Rates'!$B:$J,AL$11,FALSE),0)</f>
        <v>4.6699999999999997E-3</v>
      </c>
      <c r="AM36" s="562">
        <f t="shared" si="34"/>
        <v>0.4</v>
      </c>
      <c r="AN36" s="394">
        <f t="shared" si="35"/>
        <v>1.8679999999999999E-3</v>
      </c>
      <c r="AO36" s="138"/>
      <c r="AP36" s="395">
        <f t="shared" si="21"/>
        <v>3.1999999999999694E-5</v>
      </c>
      <c r="AQ36" s="396">
        <f t="shared" si="22"/>
        <v>1.7429193899781967E-2</v>
      </c>
      <c r="AR36" s="397"/>
      <c r="AS36" s="397"/>
    </row>
    <row r="37" spans="1:45" ht="12" customHeight="1">
      <c r="A37" s="545"/>
      <c r="B37" s="328" t="s">
        <v>341</v>
      </c>
      <c r="C37" s="389" t="str">
        <f t="shared" si="23"/>
        <v>Sentinel Lights.Line Losses on Cost of Power</v>
      </c>
      <c r="D37" s="390" t="s">
        <v>337</v>
      </c>
      <c r="E37" s="328"/>
      <c r="F37" s="552">
        <f>'Res (750)'!F35</f>
        <v>0.12752000000000002</v>
      </c>
      <c r="G37" s="501">
        <f>$F$9*(1+F$65)-$F$9</f>
        <v>3.1771999999999991</v>
      </c>
      <c r="H37" s="394">
        <f t="shared" si="25"/>
        <v>0.40515654399999995</v>
      </c>
      <c r="I37" s="138"/>
      <c r="J37" s="552">
        <f>'Res (750)'!J35</f>
        <v>0.12752000000000002</v>
      </c>
      <c r="K37" s="501">
        <f>$F$9*(1+J$65)-$F$9</f>
        <v>3.1207999999999885</v>
      </c>
      <c r="L37" s="394">
        <f t="shared" si="27"/>
        <v>0.3979644159999986</v>
      </c>
      <c r="M37" s="138"/>
      <c r="N37" s="395">
        <f t="shared" si="5"/>
        <v>-7.1921280000013521E-3</v>
      </c>
      <c r="O37" s="396">
        <f t="shared" si="6"/>
        <v>-1.7751479289944166E-2</v>
      </c>
      <c r="P37" s="53"/>
      <c r="Q37" s="552">
        <f>'Res (750)'!Q35</f>
        <v>0.12752000000000002</v>
      </c>
      <c r="R37" s="501">
        <f>$F$9*(1+Q$65)-$F$9</f>
        <v>3.1207999999999885</v>
      </c>
      <c r="S37" s="394">
        <f t="shared" si="29"/>
        <v>0.3979644159999986</v>
      </c>
      <c r="T37" s="138"/>
      <c r="U37" s="395">
        <f t="shared" si="9"/>
        <v>0</v>
      </c>
      <c r="V37" s="396">
        <f t="shared" si="10"/>
        <v>0</v>
      </c>
      <c r="W37" s="53"/>
      <c r="X37" s="552">
        <f>'Res (750)'!X35</f>
        <v>0.12752000000000002</v>
      </c>
      <c r="Y37" s="501">
        <f>$F$9*(1+X$65)-$F$9</f>
        <v>3.1207999999999885</v>
      </c>
      <c r="Z37" s="394">
        <f t="shared" si="31"/>
        <v>0.3979644159999986</v>
      </c>
      <c r="AA37" s="138"/>
      <c r="AB37" s="395">
        <f t="shared" si="13"/>
        <v>0</v>
      </c>
      <c r="AC37" s="396">
        <f t="shared" si="14"/>
        <v>0</v>
      </c>
      <c r="AD37" s="53"/>
      <c r="AE37" s="552">
        <f>'Res (750)'!AE35</f>
        <v>0.12752000000000002</v>
      </c>
      <c r="AF37" s="501">
        <f>$F$9*(1+AE$65)-$F$9</f>
        <v>3.1207999999999885</v>
      </c>
      <c r="AG37" s="394">
        <f t="shared" si="33"/>
        <v>0.3979644159999986</v>
      </c>
      <c r="AH37" s="138"/>
      <c r="AI37" s="395">
        <f t="shared" si="17"/>
        <v>0</v>
      </c>
      <c r="AJ37" s="396">
        <f t="shared" si="18"/>
        <v>0</v>
      </c>
      <c r="AK37" s="53"/>
      <c r="AL37" s="552">
        <f>'Res (750)'!AL35</f>
        <v>0.12752000000000002</v>
      </c>
      <c r="AM37" s="501">
        <f>$F$9*(1+AL$65)-$F$9</f>
        <v>3.1207999999999885</v>
      </c>
      <c r="AN37" s="394">
        <f t="shared" si="35"/>
        <v>0.3979644159999986</v>
      </c>
      <c r="AO37" s="138"/>
      <c r="AP37" s="395">
        <f t="shared" si="21"/>
        <v>0</v>
      </c>
      <c r="AQ37" s="396">
        <f t="shared" si="22"/>
        <v>0</v>
      </c>
      <c r="AR37" s="397"/>
      <c r="AS37" s="397"/>
    </row>
    <row r="38" spans="1:45" ht="12" customHeight="1">
      <c r="A38" s="545"/>
      <c r="B38" s="328" t="s">
        <v>302</v>
      </c>
      <c r="C38" s="389" t="str">
        <f t="shared" si="23"/>
        <v>Sentinel Lights.Smart Meter Entity Charge</v>
      </c>
      <c r="D38" s="390" t="s">
        <v>335</v>
      </c>
      <c r="E38" s="328"/>
      <c r="F38" s="391">
        <f>IFERROR(VLOOKUP($C38,'Proposed Rates'!$B:$J,F$11,FALSE),0)</f>
        <v>0</v>
      </c>
      <c r="G38" s="409">
        <f>IF($D38="Monthly",1,IF($D38="per KW",$F$10,IF($D38="per kWh",$F$9,0)))</f>
        <v>1</v>
      </c>
      <c r="H38" s="394">
        <f t="shared" si="25"/>
        <v>0</v>
      </c>
      <c r="I38" s="138"/>
      <c r="J38" s="391">
        <f>IFERROR(VLOOKUP($C38,'Proposed Rates'!$B:$J,J$11,FALSE),0)</f>
        <v>0</v>
      </c>
      <c r="K38" s="409">
        <f>IF($D38="Monthly",1,IF($D38="per KW",$F$10,IF($D38="per kWh",$F$9,0)))</f>
        <v>1</v>
      </c>
      <c r="L38" s="394">
        <f t="shared" si="27"/>
        <v>0</v>
      </c>
      <c r="M38" s="138"/>
      <c r="N38" s="395">
        <f t="shared" si="5"/>
        <v>0</v>
      </c>
      <c r="O38" s="396" t="str">
        <f t="shared" si="6"/>
        <v/>
      </c>
      <c r="P38" s="53"/>
      <c r="Q38" s="391">
        <f>IFERROR(VLOOKUP($C38,'Proposed Rates'!$B:$J,Q$11,FALSE),0)</f>
        <v>0</v>
      </c>
      <c r="R38" s="409">
        <f>IF($D38="Monthly",1,IF($D38="per KW",$F$10,IF($D38="per kWh",$F$9,0)))</f>
        <v>1</v>
      </c>
      <c r="S38" s="394">
        <f t="shared" si="29"/>
        <v>0</v>
      </c>
      <c r="T38" s="138"/>
      <c r="U38" s="395">
        <f t="shared" si="9"/>
        <v>0</v>
      </c>
      <c r="V38" s="396" t="str">
        <f t="shared" si="10"/>
        <v/>
      </c>
      <c r="W38" s="53"/>
      <c r="X38" s="391">
        <f>IFERROR(VLOOKUP($C38,'Proposed Rates'!$B:$J,X$11,FALSE),0)</f>
        <v>0</v>
      </c>
      <c r="Y38" s="409">
        <f>IF($D38="Monthly",1,IF($D38="per KW",$F$10,IF($D38="per kWh",$F$9,0)))</f>
        <v>1</v>
      </c>
      <c r="Z38" s="394">
        <f t="shared" si="31"/>
        <v>0</v>
      </c>
      <c r="AA38" s="138"/>
      <c r="AB38" s="395">
        <f t="shared" si="13"/>
        <v>0</v>
      </c>
      <c r="AC38" s="396" t="str">
        <f t="shared" si="14"/>
        <v/>
      </c>
      <c r="AD38" s="53"/>
      <c r="AE38" s="391">
        <f>IFERROR(VLOOKUP($C38,'Proposed Rates'!$B:$J,AE$11,FALSE),0)</f>
        <v>0</v>
      </c>
      <c r="AF38" s="409">
        <f>IF($D38="Monthly",1,IF($D38="per KW",$F$10,IF($D38="per kWh",$F$9,0)))</f>
        <v>1</v>
      </c>
      <c r="AG38" s="394">
        <f t="shared" si="33"/>
        <v>0</v>
      </c>
      <c r="AH38" s="138"/>
      <c r="AI38" s="395">
        <f t="shared" si="17"/>
        <v>0</v>
      </c>
      <c r="AJ38" s="396" t="str">
        <f t="shared" si="18"/>
        <v/>
      </c>
      <c r="AK38" s="53"/>
      <c r="AL38" s="391">
        <f>IFERROR(VLOOKUP($C38,'Proposed Rates'!$B:$J,AL$11,FALSE),0)</f>
        <v>0</v>
      </c>
      <c r="AM38" s="409">
        <f>IF($D38="Monthly",1,IF($D38="per KW",$F$10,IF($D38="per kWh",$F$9,0)))</f>
        <v>1</v>
      </c>
      <c r="AN38" s="394">
        <f t="shared" si="35"/>
        <v>0</v>
      </c>
      <c r="AO38" s="138"/>
      <c r="AP38" s="395">
        <f t="shared" si="21"/>
        <v>0</v>
      </c>
      <c r="AQ38" s="396" t="str">
        <f t="shared" si="22"/>
        <v/>
      </c>
      <c r="AR38" s="397"/>
      <c r="AS38" s="397"/>
    </row>
    <row r="39" spans="1:45" ht="12" customHeight="1">
      <c r="A39" s="545"/>
      <c r="B39" s="399" t="s">
        <v>342</v>
      </c>
      <c r="C39" s="416"/>
      <c r="D39" s="416"/>
      <c r="E39" s="416"/>
      <c r="F39" s="417"/>
      <c r="G39" s="495"/>
      <c r="H39" s="403">
        <f>SUM(H30:H38)+H29</f>
        <v>20.638524543999999</v>
      </c>
      <c r="I39" s="419"/>
      <c r="J39" s="417"/>
      <c r="K39" s="495"/>
      <c r="L39" s="403">
        <f>SUM(L30:L38)+L29</f>
        <v>23.622184415999996</v>
      </c>
      <c r="M39" s="419"/>
      <c r="N39" s="405">
        <f t="shared" si="5"/>
        <v>2.9836598719999969</v>
      </c>
      <c r="O39" s="406">
        <f t="shared" si="6"/>
        <v>0.14456749878795971</v>
      </c>
      <c r="P39" s="53"/>
      <c r="Q39" s="417"/>
      <c r="R39" s="495"/>
      <c r="S39" s="403">
        <f>SUM(S30:S38)+S29</f>
        <v>25.676588415999998</v>
      </c>
      <c r="T39" s="419"/>
      <c r="U39" s="405">
        <f t="shared" si="9"/>
        <v>2.0544040000000017</v>
      </c>
      <c r="V39" s="406">
        <f t="shared" si="10"/>
        <v>8.6969264307685867E-2</v>
      </c>
      <c r="W39" s="53"/>
      <c r="X39" s="417"/>
      <c r="Y39" s="495"/>
      <c r="Z39" s="403">
        <f>SUM(Z30:Z38)+Z29</f>
        <v>26.243412415999998</v>
      </c>
      <c r="AA39" s="419"/>
      <c r="AB39" s="405">
        <f t="shared" si="13"/>
        <v>0.56682400000000044</v>
      </c>
      <c r="AC39" s="406">
        <f t="shared" si="14"/>
        <v>2.2075518398962699E-2</v>
      </c>
      <c r="AD39" s="53"/>
      <c r="AE39" s="417"/>
      <c r="AF39" s="495"/>
      <c r="AG39" s="403">
        <f>SUM(AG30:AG38)+AG29</f>
        <v>27.124880415999996</v>
      </c>
      <c r="AH39" s="419"/>
      <c r="AI39" s="405">
        <f t="shared" si="17"/>
        <v>0.88146799999999814</v>
      </c>
      <c r="AJ39" s="406">
        <f t="shared" si="18"/>
        <v>3.358816247015909E-2</v>
      </c>
      <c r="AK39" s="53"/>
      <c r="AL39" s="417"/>
      <c r="AM39" s="495"/>
      <c r="AN39" s="403">
        <f>SUM(AN30:AN38)+AN29</f>
        <v>27.927232416000003</v>
      </c>
      <c r="AO39" s="419"/>
      <c r="AP39" s="405">
        <f t="shared" si="21"/>
        <v>0.80235200000000617</v>
      </c>
      <c r="AQ39" s="406">
        <f t="shared" si="22"/>
        <v>2.957992764188289E-2</v>
      </c>
      <c r="AR39" s="407"/>
      <c r="AS39" s="407"/>
    </row>
    <row r="40" spans="1:45" ht="12" customHeight="1">
      <c r="A40" s="545"/>
      <c r="B40" s="138" t="s">
        <v>285</v>
      </c>
      <c r="C40" s="389" t="str">
        <f t="shared" ref="C40:C41" si="36">D$6&amp;"."&amp;B40</f>
        <v>Sentinel Lights.RTSR - Network</v>
      </c>
      <c r="D40" s="420" t="s">
        <v>406</v>
      </c>
      <c r="E40" s="138"/>
      <c r="F40" s="408">
        <f>IFERROR(VLOOKUP($C40,'Proposed Rates'!$B:$J,F$11,FALSE),0)</f>
        <v>3.5788000000000002</v>
      </c>
      <c r="G40" s="562">
        <f t="shared" ref="G40:G41" si="37">IF($D40="Monthly",1,IF($D40="per KW",$F$10,IF($D40="per kWh",$F$9,0)))</f>
        <v>0.4</v>
      </c>
      <c r="H40" s="394">
        <f t="shared" ref="H40:H41" si="38">G40*F40</f>
        <v>1.4315200000000001</v>
      </c>
      <c r="I40" s="138"/>
      <c r="J40" s="408">
        <f>IFERROR(VLOOKUP($C40,'Proposed Rates'!$B:$J,J$11,FALSE),0)</f>
        <v>0.85450000000000004</v>
      </c>
      <c r="K40" s="562">
        <f t="shared" ref="K40:K41" si="39">IF($D40="Monthly",1,IF($D40="per KW",$F$10,IF($D40="per kWh",$F$9,0)))</f>
        <v>0.4</v>
      </c>
      <c r="L40" s="394">
        <f t="shared" ref="L40:L41" si="40">K40*J40</f>
        <v>0.34180000000000005</v>
      </c>
      <c r="M40" s="138"/>
      <c r="N40" s="395">
        <f t="shared" si="5"/>
        <v>-1.08972</v>
      </c>
      <c r="O40" s="396">
        <f t="shared" si="6"/>
        <v>-0.76123281546887223</v>
      </c>
      <c r="P40" s="53"/>
      <c r="Q40" s="408">
        <f>IFERROR(VLOOKUP($C40,'Proposed Rates'!$B:$J,Q$11,FALSE),0)</f>
        <v>0.85450000000000004</v>
      </c>
      <c r="R40" s="562">
        <f t="shared" ref="R40:R41" si="41">IF($D40="Monthly",1,IF($D40="per KW",$F$10,IF($D40="per kWh",$F$9,0)))</f>
        <v>0.4</v>
      </c>
      <c r="S40" s="394">
        <f t="shared" ref="S40:S41" si="42">R40*Q40</f>
        <v>0.34180000000000005</v>
      </c>
      <c r="T40" s="138"/>
      <c r="U40" s="395">
        <f t="shared" si="9"/>
        <v>0</v>
      </c>
      <c r="V40" s="396">
        <f t="shared" si="10"/>
        <v>0</v>
      </c>
      <c r="W40" s="53"/>
      <c r="X40" s="408">
        <f>IFERROR(VLOOKUP($C40,'Proposed Rates'!$B:$J,X$11,FALSE),0)</f>
        <v>0.85450000000000004</v>
      </c>
      <c r="Y40" s="562">
        <f t="shared" ref="Y40:Y41" si="43">IF($D40="Monthly",1,IF($D40="per KW",$F$10,IF($D40="per kWh",$F$9,0)))</f>
        <v>0.4</v>
      </c>
      <c r="Z40" s="394">
        <f t="shared" ref="Z40:Z41" si="44">Y40*X40</f>
        <v>0.34180000000000005</v>
      </c>
      <c r="AA40" s="138"/>
      <c r="AB40" s="395">
        <f t="shared" si="13"/>
        <v>0</v>
      </c>
      <c r="AC40" s="396">
        <f t="shared" si="14"/>
        <v>0</v>
      </c>
      <c r="AD40" s="53"/>
      <c r="AE40" s="408">
        <f>IFERROR(VLOOKUP($C40,'Proposed Rates'!$B:$J,AE$11,FALSE),0)</f>
        <v>0.85450000000000004</v>
      </c>
      <c r="AF40" s="562">
        <f t="shared" ref="AF40:AF41" si="45">IF($D40="Monthly",1,IF($D40="per KW",$F$10,IF($D40="per kWh",$F$9,0)))</f>
        <v>0.4</v>
      </c>
      <c r="AG40" s="394">
        <f t="shared" ref="AG40:AG41" si="46">AF40*AE40</f>
        <v>0.34180000000000005</v>
      </c>
      <c r="AH40" s="138"/>
      <c r="AI40" s="395">
        <f t="shared" si="17"/>
        <v>0</v>
      </c>
      <c r="AJ40" s="396">
        <f t="shared" si="18"/>
        <v>0</v>
      </c>
      <c r="AK40" s="53"/>
      <c r="AL40" s="408">
        <f>IFERROR(VLOOKUP($C40,'Proposed Rates'!$B:$J,AL$11,FALSE),0)</f>
        <v>0.85450000000000004</v>
      </c>
      <c r="AM40" s="562">
        <f t="shared" ref="AM40:AM41" si="47">IF($D40="Monthly",1,IF($D40="per KW",$F$10,IF($D40="per kWh",$F$9,0)))</f>
        <v>0.4</v>
      </c>
      <c r="AN40" s="394">
        <f t="shared" ref="AN40:AN41" si="48">AM40*AL40</f>
        <v>0.34180000000000005</v>
      </c>
      <c r="AO40" s="138"/>
      <c r="AP40" s="395">
        <f t="shared" si="21"/>
        <v>0</v>
      </c>
      <c r="AQ40" s="396">
        <f t="shared" si="22"/>
        <v>0</v>
      </c>
      <c r="AR40" s="397"/>
      <c r="AS40" s="397"/>
    </row>
    <row r="41" spans="1:45" ht="12" customHeight="1">
      <c r="A41" s="545"/>
      <c r="B41" s="138" t="s">
        <v>288</v>
      </c>
      <c r="C41" s="389" t="str">
        <f t="shared" si="36"/>
        <v>Sentinel Lights.RTSR - Line and Transformation Connection</v>
      </c>
      <c r="D41" s="420" t="s">
        <v>406</v>
      </c>
      <c r="E41" s="138"/>
      <c r="F41" s="408">
        <f>IFERROR(VLOOKUP($C41,'Proposed Rates'!$B:$J,F$11,FALSE),0)</f>
        <v>2.0941999999999998</v>
      </c>
      <c r="G41" s="562">
        <f t="shared" si="37"/>
        <v>0.4</v>
      </c>
      <c r="H41" s="394">
        <f t="shared" si="38"/>
        <v>0.83767999999999998</v>
      </c>
      <c r="I41" s="138"/>
      <c r="J41" s="408">
        <f>IFERROR(VLOOKUP($C41,'Proposed Rates'!$B:$J,J$11,FALSE),0)</f>
        <v>0.48370000000000002</v>
      </c>
      <c r="K41" s="562">
        <f t="shared" si="39"/>
        <v>0.4</v>
      </c>
      <c r="L41" s="394">
        <f t="shared" si="40"/>
        <v>0.19348000000000001</v>
      </c>
      <c r="M41" s="138"/>
      <c r="N41" s="395">
        <f t="shared" si="5"/>
        <v>-0.64419999999999999</v>
      </c>
      <c r="O41" s="396">
        <f t="shared" si="6"/>
        <v>-0.76902874606054816</v>
      </c>
      <c r="P41" s="53"/>
      <c r="Q41" s="408">
        <f>IFERROR(VLOOKUP($C41,'Proposed Rates'!$B:$J,Q$11,FALSE),0)</f>
        <v>0.48370000000000002</v>
      </c>
      <c r="R41" s="562">
        <f t="shared" si="41"/>
        <v>0.4</v>
      </c>
      <c r="S41" s="394">
        <f t="shared" si="42"/>
        <v>0.19348000000000001</v>
      </c>
      <c r="T41" s="138"/>
      <c r="U41" s="395">
        <f t="shared" si="9"/>
        <v>0</v>
      </c>
      <c r="V41" s="396">
        <f t="shared" si="10"/>
        <v>0</v>
      </c>
      <c r="W41" s="53"/>
      <c r="X41" s="408">
        <f>IFERROR(VLOOKUP($C41,'Proposed Rates'!$B:$J,X$11,FALSE),0)</f>
        <v>0.48370000000000002</v>
      </c>
      <c r="Y41" s="562">
        <f t="shared" si="43"/>
        <v>0.4</v>
      </c>
      <c r="Z41" s="394">
        <f t="shared" si="44"/>
        <v>0.19348000000000001</v>
      </c>
      <c r="AA41" s="138"/>
      <c r="AB41" s="395">
        <f t="shared" si="13"/>
        <v>0</v>
      </c>
      <c r="AC41" s="396">
        <f t="shared" si="14"/>
        <v>0</v>
      </c>
      <c r="AD41" s="53"/>
      <c r="AE41" s="408">
        <f>IFERROR(VLOOKUP($C41,'Proposed Rates'!$B:$J,AE$11,FALSE),0)</f>
        <v>0.48370000000000002</v>
      </c>
      <c r="AF41" s="562">
        <f t="shared" si="45"/>
        <v>0.4</v>
      </c>
      <c r="AG41" s="394">
        <f t="shared" si="46"/>
        <v>0.19348000000000001</v>
      </c>
      <c r="AH41" s="138"/>
      <c r="AI41" s="395">
        <f t="shared" si="17"/>
        <v>0</v>
      </c>
      <c r="AJ41" s="396">
        <f t="shared" si="18"/>
        <v>0</v>
      </c>
      <c r="AK41" s="53"/>
      <c r="AL41" s="408">
        <f>IFERROR(VLOOKUP($C41,'Proposed Rates'!$B:$J,AL$11,FALSE),0)</f>
        <v>0.48370000000000002</v>
      </c>
      <c r="AM41" s="562">
        <f t="shared" si="47"/>
        <v>0.4</v>
      </c>
      <c r="AN41" s="394">
        <f t="shared" si="48"/>
        <v>0.19348000000000001</v>
      </c>
      <c r="AO41" s="138"/>
      <c r="AP41" s="395">
        <f t="shared" si="21"/>
        <v>0</v>
      </c>
      <c r="AQ41" s="396">
        <f t="shared" si="22"/>
        <v>0</v>
      </c>
      <c r="AR41" s="397"/>
      <c r="AS41" s="397"/>
    </row>
    <row r="42" spans="1:45" ht="12" customHeight="1">
      <c r="A42" s="545"/>
      <c r="B42" s="399" t="s">
        <v>343</v>
      </c>
      <c r="C42" s="421"/>
      <c r="D42" s="421"/>
      <c r="E42" s="421"/>
      <c r="F42" s="422"/>
      <c r="G42" s="495"/>
      <c r="H42" s="403">
        <f>SUM(H39:H41)</f>
        <v>22.907724543999997</v>
      </c>
      <c r="I42" s="404"/>
      <c r="J42" s="422"/>
      <c r="K42" s="495"/>
      <c r="L42" s="403">
        <f>SUM(L39:L41)</f>
        <v>24.157464415999996</v>
      </c>
      <c r="M42" s="404"/>
      <c r="N42" s="405">
        <f t="shared" si="5"/>
        <v>1.2497398719999993</v>
      </c>
      <c r="O42" s="406">
        <f t="shared" si="6"/>
        <v>5.4555391112703584E-2</v>
      </c>
      <c r="P42" s="53"/>
      <c r="Q42" s="422"/>
      <c r="R42" s="495"/>
      <c r="S42" s="403">
        <f>SUM(S39:S41)</f>
        <v>26.211868415999998</v>
      </c>
      <c r="T42" s="404"/>
      <c r="U42" s="405">
        <f t="shared" si="9"/>
        <v>2.0544040000000017</v>
      </c>
      <c r="V42" s="406">
        <f t="shared" si="10"/>
        <v>8.5042203296771771E-2</v>
      </c>
      <c r="W42" s="53"/>
      <c r="X42" s="422"/>
      <c r="Y42" s="495"/>
      <c r="Z42" s="403">
        <f>SUM(Z39:Z41)</f>
        <v>26.778692415999998</v>
      </c>
      <c r="AA42" s="404"/>
      <c r="AB42" s="405">
        <f t="shared" si="13"/>
        <v>0.56682400000000044</v>
      </c>
      <c r="AC42" s="406">
        <f t="shared" si="14"/>
        <v>2.1624707975948985E-2</v>
      </c>
      <c r="AD42" s="53"/>
      <c r="AE42" s="422"/>
      <c r="AF42" s="495"/>
      <c r="AG42" s="403">
        <f>SUM(AG39:AG41)</f>
        <v>27.660160415999997</v>
      </c>
      <c r="AH42" s="404"/>
      <c r="AI42" s="405">
        <f t="shared" si="17"/>
        <v>0.88146799999999814</v>
      </c>
      <c r="AJ42" s="406">
        <f t="shared" si="18"/>
        <v>3.2916767790847394E-2</v>
      </c>
      <c r="AK42" s="53"/>
      <c r="AL42" s="422"/>
      <c r="AM42" s="495"/>
      <c r="AN42" s="403">
        <f>SUM(AN39:AN41)</f>
        <v>28.462512416000003</v>
      </c>
      <c r="AO42" s="404"/>
      <c r="AP42" s="405">
        <f t="shared" si="21"/>
        <v>0.80235200000000617</v>
      </c>
      <c r="AQ42" s="406">
        <f t="shared" si="22"/>
        <v>2.9007496266575748E-2</v>
      </c>
      <c r="AR42" s="407"/>
      <c r="AS42" s="407"/>
    </row>
    <row r="43" spans="1:45" ht="12" customHeight="1">
      <c r="A43" s="545"/>
      <c r="B43" s="328" t="s">
        <v>289</v>
      </c>
      <c r="C43" s="389" t="str">
        <f t="shared" ref="C43:C45" si="49">D$6&amp;"."&amp;B43</f>
        <v>Sentinel Lights.Wholesale Market Service Charge (WMSC)</v>
      </c>
      <c r="D43" s="390" t="s">
        <v>337</v>
      </c>
      <c r="E43" s="328"/>
      <c r="F43" s="408">
        <f>IFERROR(VLOOKUP($C43,'Proposed Rates'!$B:$J,F$11,FALSE),0)</f>
        <v>4.4999999999999997E-3</v>
      </c>
      <c r="G43" s="502">
        <f t="shared" ref="G43:G44" si="50">$F$9+G$37</f>
        <v>97.177199999999999</v>
      </c>
      <c r="H43" s="394">
        <f t="shared" ref="H43:H50" si="51">G43*F43</f>
        <v>0.43729739999999995</v>
      </c>
      <c r="I43" s="138"/>
      <c r="J43" s="408">
        <f>IFERROR(VLOOKUP($C43,'Proposed Rates'!$B:$J,J$11,FALSE),0)</f>
        <v>4.7000000000000002E-3</v>
      </c>
      <c r="K43" s="502">
        <f t="shared" ref="K43:K44" si="52">$F$9+K$37</f>
        <v>97.120799999999988</v>
      </c>
      <c r="L43" s="394">
        <f t="shared" ref="L43:L50" si="53">K43*J43</f>
        <v>0.45646775999999994</v>
      </c>
      <c r="M43" s="138"/>
      <c r="N43" s="395">
        <f t="shared" si="5"/>
        <v>1.9170359999999997E-2</v>
      </c>
      <c r="O43" s="396">
        <f t="shared" si="6"/>
        <v>4.3838266589282256E-2</v>
      </c>
      <c r="P43" s="53"/>
      <c r="Q43" s="408">
        <f>IFERROR(VLOOKUP($C43,'Proposed Rates'!$B:$J,Q$11,FALSE),0)</f>
        <v>4.7000000000000002E-3</v>
      </c>
      <c r="R43" s="502">
        <f t="shared" ref="R43:R44" si="54">$F$9+R$37</f>
        <v>97.120799999999988</v>
      </c>
      <c r="S43" s="394">
        <f t="shared" ref="S43:S50" si="55">R43*Q43</f>
        <v>0.45646775999999994</v>
      </c>
      <c r="T43" s="138"/>
      <c r="U43" s="395">
        <f t="shared" si="9"/>
        <v>0</v>
      </c>
      <c r="V43" s="396">
        <f t="shared" si="10"/>
        <v>0</v>
      </c>
      <c r="W43" s="53"/>
      <c r="X43" s="408">
        <f>IFERROR(VLOOKUP($C43,'Proposed Rates'!$B:$J,X$11,FALSE),0)</f>
        <v>4.7000000000000002E-3</v>
      </c>
      <c r="Y43" s="502">
        <f t="shared" ref="Y43:Y44" si="56">$F$9+Y$37</f>
        <v>97.120799999999988</v>
      </c>
      <c r="Z43" s="394">
        <f t="shared" ref="Z43:Z50" si="57">Y43*X43</f>
        <v>0.45646775999999994</v>
      </c>
      <c r="AA43" s="138"/>
      <c r="AB43" s="395">
        <f t="shared" si="13"/>
        <v>0</v>
      </c>
      <c r="AC43" s="396">
        <f t="shared" si="14"/>
        <v>0</v>
      </c>
      <c r="AD43" s="53"/>
      <c r="AE43" s="408">
        <f>IFERROR(VLOOKUP($C43,'Proposed Rates'!$B:$J,AE$11,FALSE),0)</f>
        <v>4.7000000000000002E-3</v>
      </c>
      <c r="AF43" s="502">
        <f t="shared" ref="AF43:AF44" si="58">$F$9+AF$37</f>
        <v>97.120799999999988</v>
      </c>
      <c r="AG43" s="394">
        <f t="shared" ref="AG43:AG50" si="59">AF43*AE43</f>
        <v>0.45646775999999994</v>
      </c>
      <c r="AH43" s="138"/>
      <c r="AI43" s="395">
        <f t="shared" si="17"/>
        <v>0</v>
      </c>
      <c r="AJ43" s="396">
        <f t="shared" si="18"/>
        <v>0</v>
      </c>
      <c r="AK43" s="53"/>
      <c r="AL43" s="408">
        <f>IFERROR(VLOOKUP($C43,'Proposed Rates'!$B:$J,AL$11,FALSE),0)</f>
        <v>4.7000000000000002E-3</v>
      </c>
      <c r="AM43" s="502">
        <f t="shared" ref="AM43:AM44" si="60">$F$9+AM$37</f>
        <v>97.120799999999988</v>
      </c>
      <c r="AN43" s="394">
        <f t="shared" ref="AN43:AN50" si="61">AM43*AL43</f>
        <v>0.45646775999999994</v>
      </c>
      <c r="AO43" s="138"/>
      <c r="AP43" s="395">
        <f t="shared" si="21"/>
        <v>0</v>
      </c>
      <c r="AQ43" s="396">
        <f t="shared" si="22"/>
        <v>0</v>
      </c>
      <c r="AR43" s="397"/>
      <c r="AS43" s="397"/>
    </row>
    <row r="44" spans="1:45" ht="12" customHeight="1">
      <c r="A44" s="545"/>
      <c r="B44" s="328" t="s">
        <v>290</v>
      </c>
      <c r="C44" s="389" t="str">
        <f t="shared" si="49"/>
        <v>Sentinel Lights.Rural and Remote Rate Protection (RRRP)</v>
      </c>
      <c r="D44" s="390" t="s">
        <v>337</v>
      </c>
      <c r="E44" s="328"/>
      <c r="F44" s="408">
        <f>IFERROR(VLOOKUP($C44,'Proposed Rates'!$B:$J,F$11,FALSE),0)</f>
        <v>1.5E-3</v>
      </c>
      <c r="G44" s="502">
        <f t="shared" si="50"/>
        <v>97.177199999999999</v>
      </c>
      <c r="H44" s="394">
        <f t="shared" si="51"/>
        <v>0.1457658</v>
      </c>
      <c r="I44" s="138"/>
      <c r="J44" s="408">
        <f>IFERROR(VLOOKUP($C44,'Proposed Rates'!$B:$J,J$11,FALSE),0)</f>
        <v>5.9999999999999995E-4</v>
      </c>
      <c r="K44" s="502">
        <f t="shared" si="52"/>
        <v>97.120799999999988</v>
      </c>
      <c r="L44" s="394">
        <f t="shared" si="53"/>
        <v>5.8272479999999988E-2</v>
      </c>
      <c r="M44" s="138"/>
      <c r="N44" s="395">
        <f t="shared" si="5"/>
        <v>-8.7493320000000013E-2</v>
      </c>
      <c r="O44" s="396">
        <f t="shared" si="6"/>
        <v>-0.600232153221126</v>
      </c>
      <c r="P44" s="53"/>
      <c r="Q44" s="408">
        <f>IFERROR(VLOOKUP($C44,'Proposed Rates'!$B:$J,Q$11,FALSE),0)</f>
        <v>5.9999999999999995E-4</v>
      </c>
      <c r="R44" s="502">
        <f t="shared" si="54"/>
        <v>97.120799999999988</v>
      </c>
      <c r="S44" s="394">
        <f t="shared" si="55"/>
        <v>5.8272479999999988E-2</v>
      </c>
      <c r="T44" s="138"/>
      <c r="U44" s="395">
        <f t="shared" si="9"/>
        <v>0</v>
      </c>
      <c r="V44" s="396">
        <f t="shared" si="10"/>
        <v>0</v>
      </c>
      <c r="W44" s="53"/>
      <c r="X44" s="408">
        <f>IFERROR(VLOOKUP($C44,'Proposed Rates'!$B:$J,X$11,FALSE),0)</f>
        <v>5.9999999999999995E-4</v>
      </c>
      <c r="Y44" s="502">
        <f t="shared" si="56"/>
        <v>97.120799999999988</v>
      </c>
      <c r="Z44" s="394">
        <f t="shared" si="57"/>
        <v>5.8272479999999988E-2</v>
      </c>
      <c r="AA44" s="138"/>
      <c r="AB44" s="395">
        <f t="shared" si="13"/>
        <v>0</v>
      </c>
      <c r="AC44" s="396">
        <f t="shared" si="14"/>
        <v>0</v>
      </c>
      <c r="AD44" s="53"/>
      <c r="AE44" s="408">
        <f>IFERROR(VLOOKUP($C44,'Proposed Rates'!$B:$J,AE$11,FALSE),0)</f>
        <v>5.9999999999999995E-4</v>
      </c>
      <c r="AF44" s="502">
        <f t="shared" si="58"/>
        <v>97.120799999999988</v>
      </c>
      <c r="AG44" s="394">
        <f t="shared" si="59"/>
        <v>5.8272479999999988E-2</v>
      </c>
      <c r="AH44" s="138"/>
      <c r="AI44" s="395">
        <f t="shared" si="17"/>
        <v>0</v>
      </c>
      <c r="AJ44" s="396">
        <f t="shared" si="18"/>
        <v>0</v>
      </c>
      <c r="AK44" s="53"/>
      <c r="AL44" s="408">
        <f>IFERROR(VLOOKUP($C44,'Proposed Rates'!$B:$J,AL$11,FALSE),0)</f>
        <v>5.9999999999999995E-4</v>
      </c>
      <c r="AM44" s="502">
        <f t="shared" si="60"/>
        <v>97.120799999999988</v>
      </c>
      <c r="AN44" s="394">
        <f t="shared" si="61"/>
        <v>5.8272479999999988E-2</v>
      </c>
      <c r="AO44" s="138"/>
      <c r="AP44" s="395">
        <f t="shared" si="21"/>
        <v>0</v>
      </c>
      <c r="AQ44" s="396">
        <f t="shared" si="22"/>
        <v>0</v>
      </c>
      <c r="AR44" s="397"/>
      <c r="AS44" s="397"/>
    </row>
    <row r="45" spans="1:45" ht="12" customHeight="1">
      <c r="A45" s="545"/>
      <c r="B45" s="328" t="s">
        <v>291</v>
      </c>
      <c r="C45" s="389" t="str">
        <f t="shared" si="49"/>
        <v>Sentinel Lights.Standard Supply Service Charge</v>
      </c>
      <c r="D45" s="390" t="s">
        <v>335</v>
      </c>
      <c r="E45" s="328"/>
      <c r="F45" s="391">
        <f>IFERROR(VLOOKUP($C45,'Proposed Rates'!$B:$J,F$11,FALSE),0)</f>
        <v>0.25</v>
      </c>
      <c r="G45" s="409">
        <f>IF($D45="Monthly",1,IF($D45="per KW",$F$10,IF($D45="per kWh",$F$9,0)))</f>
        <v>1</v>
      </c>
      <c r="H45" s="394">
        <f t="shared" si="51"/>
        <v>0.25</v>
      </c>
      <c r="I45" s="138"/>
      <c r="J45" s="391">
        <f>IFERROR(VLOOKUP($C45,'Proposed Rates'!$B:$J,J$11,FALSE),0)</f>
        <v>0.25</v>
      </c>
      <c r="K45" s="409">
        <f>IF($D45="Monthly",1,IF($D45="per KW",$F$10,IF($D45="per kWh",$F$9,0)))</f>
        <v>1</v>
      </c>
      <c r="L45" s="394">
        <f t="shared" si="53"/>
        <v>0.25</v>
      </c>
      <c r="M45" s="138"/>
      <c r="N45" s="395">
        <f t="shared" si="5"/>
        <v>0</v>
      </c>
      <c r="O45" s="396">
        <f t="shared" si="6"/>
        <v>0</v>
      </c>
      <c r="P45" s="53"/>
      <c r="Q45" s="391">
        <f>IFERROR(VLOOKUP($C45,'Proposed Rates'!$B:$J,Q$11,FALSE),0)</f>
        <v>0.25</v>
      </c>
      <c r="R45" s="409">
        <f>IF($D45="Monthly",1,IF($D45="per KW",$F$10,IF($D45="per kWh",$F$9,0)))</f>
        <v>1</v>
      </c>
      <c r="S45" s="394">
        <f t="shared" si="55"/>
        <v>0.25</v>
      </c>
      <c r="T45" s="138"/>
      <c r="U45" s="395">
        <f t="shared" si="9"/>
        <v>0</v>
      </c>
      <c r="V45" s="396">
        <f t="shared" si="10"/>
        <v>0</v>
      </c>
      <c r="W45" s="53"/>
      <c r="X45" s="391">
        <f>IFERROR(VLOOKUP($C45,'Proposed Rates'!$B:$J,X$11,FALSE),0)</f>
        <v>0.25</v>
      </c>
      <c r="Y45" s="409">
        <f>IF($D45="Monthly",1,IF($D45="per KW",$F$10,IF($D45="per kWh",$F$9,0)))</f>
        <v>1</v>
      </c>
      <c r="Z45" s="394">
        <f t="shared" si="57"/>
        <v>0.25</v>
      </c>
      <c r="AA45" s="138"/>
      <c r="AB45" s="395">
        <f t="shared" si="13"/>
        <v>0</v>
      </c>
      <c r="AC45" s="396">
        <f t="shared" si="14"/>
        <v>0</v>
      </c>
      <c r="AD45" s="53"/>
      <c r="AE45" s="391">
        <f>IFERROR(VLOOKUP($C45,'Proposed Rates'!$B:$J,AE$11,FALSE),0)</f>
        <v>0.25</v>
      </c>
      <c r="AF45" s="409">
        <f>IF($D45="Monthly",1,IF($D45="per KW",$F$10,IF($D45="per kWh",$F$9,0)))</f>
        <v>1</v>
      </c>
      <c r="AG45" s="394">
        <f t="shared" si="59"/>
        <v>0.25</v>
      </c>
      <c r="AH45" s="138"/>
      <c r="AI45" s="395">
        <f t="shared" si="17"/>
        <v>0</v>
      </c>
      <c r="AJ45" s="396">
        <f t="shared" si="18"/>
        <v>0</v>
      </c>
      <c r="AK45" s="53"/>
      <c r="AL45" s="391">
        <f>IFERROR(VLOOKUP($C45,'Proposed Rates'!$B:$J,AL$11,FALSE),0)</f>
        <v>0.25</v>
      </c>
      <c r="AM45" s="409">
        <f>IF($D45="Monthly",1,IF($D45="per KW",$F$10,IF($D45="per kWh",$F$9,0)))</f>
        <v>1</v>
      </c>
      <c r="AN45" s="394">
        <f t="shared" si="61"/>
        <v>0.25</v>
      </c>
      <c r="AO45" s="138"/>
      <c r="AP45" s="395">
        <f t="shared" si="21"/>
        <v>0</v>
      </c>
      <c r="AQ45" s="396">
        <f t="shared" si="22"/>
        <v>0</v>
      </c>
      <c r="AR45" s="397"/>
      <c r="AS45" s="397"/>
    </row>
    <row r="46" spans="1:45" ht="12" customHeight="1">
      <c r="A46" s="545"/>
      <c r="B46" s="328" t="s">
        <v>293</v>
      </c>
      <c r="C46" s="389" t="str">
        <f t="shared" ref="C46:C50" si="62">B46</f>
        <v>TOU - Off Peak</v>
      </c>
      <c r="D46" s="390" t="s">
        <v>337</v>
      </c>
      <c r="E46" s="328"/>
      <c r="F46" s="563">
        <f>VLOOKUP($B46,'Proposed Rates'!$D$255:$J$261,+F$11-2,FALSE)</f>
        <v>9.8000000000000004E-2</v>
      </c>
      <c r="G46" s="415">
        <f>'Proposed Rates'!$K256*$F$9</f>
        <v>60.160000000000004</v>
      </c>
      <c r="H46" s="394">
        <f t="shared" si="51"/>
        <v>5.8956800000000005</v>
      </c>
      <c r="I46" s="138"/>
      <c r="J46" s="563">
        <f>VLOOKUP($B46,'Proposed Rates'!$D$255:$J$261,+J$11-2,FALSE)</f>
        <v>9.8000000000000004E-2</v>
      </c>
      <c r="K46" s="415">
        <f>'Proposed Rates'!$K256*$F$9</f>
        <v>60.160000000000004</v>
      </c>
      <c r="L46" s="394">
        <f t="shared" si="53"/>
        <v>5.8956800000000005</v>
      </c>
      <c r="M46" s="138"/>
      <c r="N46" s="395">
        <f t="shared" si="5"/>
        <v>0</v>
      </c>
      <c r="O46" s="396">
        <f t="shared" si="6"/>
        <v>0</v>
      </c>
      <c r="P46" s="53"/>
      <c r="Q46" s="563">
        <f>VLOOKUP($B46,'Proposed Rates'!$D$255:$J$261,+Q$11-2,FALSE)</f>
        <v>9.8000000000000004E-2</v>
      </c>
      <c r="R46" s="415">
        <f>'Proposed Rates'!$K256*$F$9</f>
        <v>60.160000000000004</v>
      </c>
      <c r="S46" s="394">
        <f t="shared" si="55"/>
        <v>5.8956800000000005</v>
      </c>
      <c r="T46" s="138"/>
      <c r="U46" s="395">
        <f t="shared" si="9"/>
        <v>0</v>
      </c>
      <c r="V46" s="396">
        <f t="shared" si="10"/>
        <v>0</v>
      </c>
      <c r="W46" s="53"/>
      <c r="X46" s="563">
        <f>VLOOKUP($B46,'Proposed Rates'!$D$255:$J$261,+X$11-2,FALSE)</f>
        <v>9.8000000000000004E-2</v>
      </c>
      <c r="Y46" s="415">
        <f>'Proposed Rates'!$K256*$F$9</f>
        <v>60.160000000000004</v>
      </c>
      <c r="Z46" s="394">
        <f t="shared" si="57"/>
        <v>5.8956800000000005</v>
      </c>
      <c r="AA46" s="138"/>
      <c r="AB46" s="395">
        <f t="shared" si="13"/>
        <v>0</v>
      </c>
      <c r="AC46" s="396">
        <f t="shared" si="14"/>
        <v>0</v>
      </c>
      <c r="AD46" s="53"/>
      <c r="AE46" s="563">
        <f>VLOOKUP($B46,'Proposed Rates'!$D$255:$J$261,+AE$11-2,FALSE)</f>
        <v>9.8000000000000004E-2</v>
      </c>
      <c r="AF46" s="415">
        <f>'Proposed Rates'!$K256*$F$9</f>
        <v>60.160000000000004</v>
      </c>
      <c r="AG46" s="394">
        <f t="shared" si="59"/>
        <v>5.8956800000000005</v>
      </c>
      <c r="AH46" s="138"/>
      <c r="AI46" s="395">
        <f t="shared" si="17"/>
        <v>0</v>
      </c>
      <c r="AJ46" s="396">
        <f t="shared" si="18"/>
        <v>0</v>
      </c>
      <c r="AK46" s="53"/>
      <c r="AL46" s="563">
        <f>VLOOKUP($B46,'Proposed Rates'!$D$255:$J$261,+AL$11-2,FALSE)</f>
        <v>9.8000000000000004E-2</v>
      </c>
      <c r="AM46" s="415">
        <f>'Proposed Rates'!$K256*$F$9</f>
        <v>60.160000000000004</v>
      </c>
      <c r="AN46" s="394">
        <f t="shared" si="61"/>
        <v>5.8956800000000005</v>
      </c>
      <c r="AO46" s="138"/>
      <c r="AP46" s="395">
        <f t="shared" si="21"/>
        <v>0</v>
      </c>
      <c r="AQ46" s="396">
        <f t="shared" si="22"/>
        <v>0</v>
      </c>
      <c r="AR46" s="397"/>
      <c r="AS46" s="397"/>
    </row>
    <row r="47" spans="1:45" ht="12" customHeight="1">
      <c r="A47" s="545"/>
      <c r="B47" s="328" t="s">
        <v>294</v>
      </c>
      <c r="C47" s="389" t="str">
        <f t="shared" si="62"/>
        <v>TOU - Mid Peak</v>
      </c>
      <c r="D47" s="390" t="s">
        <v>337</v>
      </c>
      <c r="E47" s="328"/>
      <c r="F47" s="563">
        <f>VLOOKUP($B47,'Proposed Rates'!$D$255:$J$261,+F$11-2,FALSE)</f>
        <v>0.157</v>
      </c>
      <c r="G47" s="415">
        <f>'Proposed Rates'!$K257*$F$9</f>
        <v>16.919999999999998</v>
      </c>
      <c r="H47" s="394">
        <f t="shared" si="51"/>
        <v>2.6564399999999999</v>
      </c>
      <c r="I47" s="138"/>
      <c r="J47" s="563">
        <f>VLOOKUP($B47,'Proposed Rates'!$D$255:$J$261,+J$11-2,FALSE)</f>
        <v>0.157</v>
      </c>
      <c r="K47" s="415">
        <f>'Proposed Rates'!$K257*$F$9</f>
        <v>16.919999999999998</v>
      </c>
      <c r="L47" s="394">
        <f t="shared" si="53"/>
        <v>2.6564399999999999</v>
      </c>
      <c r="M47" s="138"/>
      <c r="N47" s="395">
        <f t="shared" si="5"/>
        <v>0</v>
      </c>
      <c r="O47" s="396">
        <f t="shared" si="6"/>
        <v>0</v>
      </c>
      <c r="P47" s="53"/>
      <c r="Q47" s="563">
        <f>VLOOKUP($B47,'Proposed Rates'!$D$255:$J$261,+Q$11-2,FALSE)</f>
        <v>0.157</v>
      </c>
      <c r="R47" s="415">
        <f>'Proposed Rates'!$K257*$F$9</f>
        <v>16.919999999999998</v>
      </c>
      <c r="S47" s="394">
        <f t="shared" si="55"/>
        <v>2.6564399999999999</v>
      </c>
      <c r="T47" s="138"/>
      <c r="U47" s="395">
        <f t="shared" si="9"/>
        <v>0</v>
      </c>
      <c r="V47" s="396">
        <f t="shared" si="10"/>
        <v>0</v>
      </c>
      <c r="W47" s="53"/>
      <c r="X47" s="563">
        <f>VLOOKUP($B47,'Proposed Rates'!$D$255:$J$261,+X$11-2,FALSE)</f>
        <v>0.157</v>
      </c>
      <c r="Y47" s="415">
        <f>'Proposed Rates'!$K257*$F$9</f>
        <v>16.919999999999998</v>
      </c>
      <c r="Z47" s="394">
        <f t="shared" si="57"/>
        <v>2.6564399999999999</v>
      </c>
      <c r="AA47" s="138"/>
      <c r="AB47" s="395">
        <f t="shared" si="13"/>
        <v>0</v>
      </c>
      <c r="AC47" s="396">
        <f t="shared" si="14"/>
        <v>0</v>
      </c>
      <c r="AD47" s="53"/>
      <c r="AE47" s="563">
        <f>VLOOKUP($B47,'Proposed Rates'!$D$255:$J$261,+AE$11-2,FALSE)</f>
        <v>0.157</v>
      </c>
      <c r="AF47" s="415">
        <f>'Proposed Rates'!$K257*$F$9</f>
        <v>16.919999999999998</v>
      </c>
      <c r="AG47" s="394">
        <f t="shared" si="59"/>
        <v>2.6564399999999999</v>
      </c>
      <c r="AH47" s="138"/>
      <c r="AI47" s="395">
        <f t="shared" si="17"/>
        <v>0</v>
      </c>
      <c r="AJ47" s="396">
        <f t="shared" si="18"/>
        <v>0</v>
      </c>
      <c r="AK47" s="53"/>
      <c r="AL47" s="563">
        <f>VLOOKUP($B47,'Proposed Rates'!$D$255:$J$261,+AL$11-2,FALSE)</f>
        <v>0.157</v>
      </c>
      <c r="AM47" s="415">
        <f>'Proposed Rates'!$K257*$F$9</f>
        <v>16.919999999999998</v>
      </c>
      <c r="AN47" s="394">
        <f t="shared" si="61"/>
        <v>2.6564399999999999</v>
      </c>
      <c r="AO47" s="138"/>
      <c r="AP47" s="395">
        <f t="shared" si="21"/>
        <v>0</v>
      </c>
      <c r="AQ47" s="396">
        <f t="shared" si="22"/>
        <v>0</v>
      </c>
      <c r="AR47" s="397"/>
      <c r="AS47" s="397"/>
    </row>
    <row r="48" spans="1:45" ht="12" customHeight="1">
      <c r="A48" s="545"/>
      <c r="B48" s="53" t="s">
        <v>295</v>
      </c>
      <c r="C48" s="389" t="str">
        <f t="shared" si="62"/>
        <v>TOU - On Peak</v>
      </c>
      <c r="D48" s="390" t="s">
        <v>337</v>
      </c>
      <c r="E48" s="328"/>
      <c r="F48" s="563">
        <f>VLOOKUP($B48,'Proposed Rates'!$D$255:$J$261,+F$11-2,FALSE)</f>
        <v>0.20300000000000001</v>
      </c>
      <c r="G48" s="415">
        <f>'Proposed Rates'!$K258*$F$9</f>
        <v>16.919999999999998</v>
      </c>
      <c r="H48" s="394">
        <f t="shared" si="51"/>
        <v>3.4347599999999998</v>
      </c>
      <c r="I48" s="138"/>
      <c r="J48" s="563">
        <f>VLOOKUP($B48,'Proposed Rates'!$D$255:$J$261,+J$11-2,FALSE)</f>
        <v>0.20300000000000001</v>
      </c>
      <c r="K48" s="415">
        <f>'Proposed Rates'!$K258*$F$9</f>
        <v>16.919999999999998</v>
      </c>
      <c r="L48" s="394">
        <f t="shared" si="53"/>
        <v>3.4347599999999998</v>
      </c>
      <c r="M48" s="138"/>
      <c r="N48" s="395">
        <f t="shared" si="5"/>
        <v>0</v>
      </c>
      <c r="O48" s="396">
        <f t="shared" si="6"/>
        <v>0</v>
      </c>
      <c r="P48" s="53"/>
      <c r="Q48" s="563">
        <f>VLOOKUP($B48,'Proposed Rates'!$D$255:$J$261,+Q$11-2,FALSE)</f>
        <v>0.20300000000000001</v>
      </c>
      <c r="R48" s="415">
        <f>'Proposed Rates'!$K258*$F$9</f>
        <v>16.919999999999998</v>
      </c>
      <c r="S48" s="394">
        <f t="shared" si="55"/>
        <v>3.4347599999999998</v>
      </c>
      <c r="T48" s="138"/>
      <c r="U48" s="395">
        <f t="shared" si="9"/>
        <v>0</v>
      </c>
      <c r="V48" s="396">
        <f t="shared" si="10"/>
        <v>0</v>
      </c>
      <c r="W48" s="53"/>
      <c r="X48" s="563">
        <f>VLOOKUP($B48,'Proposed Rates'!$D$255:$J$261,+X$11-2,FALSE)</f>
        <v>0.20300000000000001</v>
      </c>
      <c r="Y48" s="415">
        <f>'Proposed Rates'!$K258*$F$9</f>
        <v>16.919999999999998</v>
      </c>
      <c r="Z48" s="394">
        <f t="shared" si="57"/>
        <v>3.4347599999999998</v>
      </c>
      <c r="AA48" s="138"/>
      <c r="AB48" s="395">
        <f t="shared" si="13"/>
        <v>0</v>
      </c>
      <c r="AC48" s="396">
        <f t="shared" si="14"/>
        <v>0</v>
      </c>
      <c r="AD48" s="53"/>
      <c r="AE48" s="563">
        <f>VLOOKUP($B48,'Proposed Rates'!$D$255:$J$261,+AE$11-2,FALSE)</f>
        <v>0.20300000000000001</v>
      </c>
      <c r="AF48" s="415">
        <f>'Proposed Rates'!$K258*$F$9</f>
        <v>16.919999999999998</v>
      </c>
      <c r="AG48" s="394">
        <f t="shared" si="59"/>
        <v>3.4347599999999998</v>
      </c>
      <c r="AH48" s="138"/>
      <c r="AI48" s="395">
        <f t="shared" si="17"/>
        <v>0</v>
      </c>
      <c r="AJ48" s="396">
        <f t="shared" si="18"/>
        <v>0</v>
      </c>
      <c r="AK48" s="53"/>
      <c r="AL48" s="563">
        <f>VLOOKUP($B48,'Proposed Rates'!$D$255:$J$261,+AL$11-2,FALSE)</f>
        <v>0.20300000000000001</v>
      </c>
      <c r="AM48" s="415">
        <f>'Proposed Rates'!$K258*$F$9</f>
        <v>16.919999999999998</v>
      </c>
      <c r="AN48" s="394">
        <f t="shared" si="61"/>
        <v>3.4347599999999998</v>
      </c>
      <c r="AO48" s="138"/>
      <c r="AP48" s="395">
        <f t="shared" si="21"/>
        <v>0</v>
      </c>
      <c r="AQ48" s="396">
        <f t="shared" si="22"/>
        <v>0</v>
      </c>
      <c r="AR48" s="397"/>
      <c r="AS48" s="397"/>
    </row>
    <row r="49" spans="1:45" ht="12" customHeight="1">
      <c r="A49" s="545"/>
      <c r="B49" s="328" t="s">
        <v>296</v>
      </c>
      <c r="C49" s="389" t="str">
        <f t="shared" si="62"/>
        <v>Energy - RPP - Tier 1</v>
      </c>
      <c r="D49" s="390" t="s">
        <v>337</v>
      </c>
      <c r="E49" s="328"/>
      <c r="F49" s="424">
        <f>VLOOKUP($B49,'Proposed Rates'!$D$255:$J$261,+F$11-2,FALSE)</f>
        <v>0.12</v>
      </c>
      <c r="G49" s="415">
        <f>IF(AND($S$2=1, F9&gt;=600), 600, IF(AND($S$2=1, AND(F9&lt;600, F9&gt;=0)), F9, IF(AND($S$2=2, F9&gt;=1000), 1000, IF(AND($S$2=2, AND(F9&lt;1000, F9&gt;=0)), F9))))</f>
        <v>94</v>
      </c>
      <c r="H49" s="394">
        <f t="shared" si="51"/>
        <v>11.28</v>
      </c>
      <c r="I49" s="138"/>
      <c r="J49" s="424">
        <f>VLOOKUP($B49,'Proposed Rates'!$D$255:$J$261,+J$11-2,FALSE)</f>
        <v>0.12</v>
      </c>
      <c r="K49" s="415">
        <f>IF(AND($S$2=1, F9&gt;=600), 600, IF(AND($S$2=1, AND(F9&lt;600, F9&gt;=0)), F9, IF(AND($S$2=2, F9&gt;=1000), 1000, IF(AND($S$2=2, AND(F9&lt;1000, F9&gt;=0)), F9))))</f>
        <v>94</v>
      </c>
      <c r="L49" s="394">
        <f t="shared" si="53"/>
        <v>11.28</v>
      </c>
      <c r="M49" s="138"/>
      <c r="N49" s="395">
        <f t="shared" si="5"/>
        <v>0</v>
      </c>
      <c r="O49" s="396">
        <f t="shared" si="6"/>
        <v>0</v>
      </c>
      <c r="P49" s="53"/>
      <c r="Q49" s="424">
        <f>VLOOKUP($B49,'Proposed Rates'!$D$255:$J$261,+Q$11-2,FALSE)</f>
        <v>0.12</v>
      </c>
      <c r="R49" s="415">
        <f>IF(AND($S$2=1, F9&gt;=600), 600, IF(AND($S$2=1, AND(F9&lt;600, F9&gt;=0)), F9, IF(AND($S$2=2, F9&gt;=1000), 1000, IF(AND($S$2=2, AND(F9&lt;1000, F9&gt;=0)), F9))))</f>
        <v>94</v>
      </c>
      <c r="S49" s="394">
        <f t="shared" si="55"/>
        <v>11.28</v>
      </c>
      <c r="T49" s="138"/>
      <c r="U49" s="395">
        <f t="shared" si="9"/>
        <v>0</v>
      </c>
      <c r="V49" s="396">
        <f t="shared" si="10"/>
        <v>0</v>
      </c>
      <c r="W49" s="53"/>
      <c r="X49" s="424">
        <f>VLOOKUP($B49,'Proposed Rates'!$D$255:$J$261,+X$11-2,FALSE)</f>
        <v>0.12</v>
      </c>
      <c r="Y49" s="415">
        <f>IF(AND($S$2=1, F9&gt;=600), 600, IF(AND($S$2=1, AND(F9&lt;600, F9&gt;=0)), F9, IF(AND($S$2=2, F9&gt;=1000), 1000, IF(AND($S$2=2, AND(F9&lt;1000, F9&gt;=0)), F9))))</f>
        <v>94</v>
      </c>
      <c r="Z49" s="394">
        <f t="shared" si="57"/>
        <v>11.28</v>
      </c>
      <c r="AA49" s="138"/>
      <c r="AB49" s="395">
        <f t="shared" si="13"/>
        <v>0</v>
      </c>
      <c r="AC49" s="396">
        <f t="shared" si="14"/>
        <v>0</v>
      </c>
      <c r="AD49" s="53"/>
      <c r="AE49" s="424">
        <f>VLOOKUP($B49,'Proposed Rates'!$D$255:$J$261,+AE$11-2,FALSE)</f>
        <v>0.12</v>
      </c>
      <c r="AF49" s="415">
        <f>IF(AND($S$2=1, F9&gt;=600), 600, IF(AND($S$2=1, AND(F9&lt;600, F9&gt;=0)), F9, IF(AND($S$2=2, F9&gt;=1000), 1000, IF(AND($S$2=2, AND(F9&lt;1000, F9&gt;=0)), F9))))</f>
        <v>94</v>
      </c>
      <c r="AG49" s="394">
        <f t="shared" si="59"/>
        <v>11.28</v>
      </c>
      <c r="AH49" s="138"/>
      <c r="AI49" s="395">
        <f t="shared" si="17"/>
        <v>0</v>
      </c>
      <c r="AJ49" s="396">
        <f t="shared" si="18"/>
        <v>0</v>
      </c>
      <c r="AK49" s="53"/>
      <c r="AL49" s="424">
        <f>VLOOKUP($B49,'Proposed Rates'!$D$255:$J$261,+AL$11-2,FALSE)</f>
        <v>0.12</v>
      </c>
      <c r="AM49" s="415">
        <f>IF(AND($S$2=1, F9&gt;=600), 600, IF(AND($S$2=1, AND(F9&lt;600, F9&gt;=0)), F9, IF(AND($S$2=2, F9&gt;=1000), 1000, IF(AND($S$2=2, AND(F9&lt;1000, F9&gt;=0)), F9))))</f>
        <v>94</v>
      </c>
      <c r="AN49" s="394">
        <f t="shared" si="61"/>
        <v>11.28</v>
      </c>
      <c r="AO49" s="138"/>
      <c r="AP49" s="395">
        <f t="shared" si="21"/>
        <v>0</v>
      </c>
      <c r="AQ49" s="396">
        <f t="shared" si="22"/>
        <v>0</v>
      </c>
      <c r="AR49" s="397"/>
      <c r="AS49" s="397"/>
    </row>
    <row r="50" spans="1:45" ht="12" customHeight="1">
      <c r="A50" s="545"/>
      <c r="B50" s="328" t="s">
        <v>297</v>
      </c>
      <c r="C50" s="389" t="str">
        <f t="shared" si="62"/>
        <v>Energy - RPP - Tier 2</v>
      </c>
      <c r="D50" s="390" t="s">
        <v>337</v>
      </c>
      <c r="E50" s="328"/>
      <c r="F50" s="424">
        <f>VLOOKUP($B50,'Proposed Rates'!$D$255:$J$261,+F$11-2,FALSE)</f>
        <v>0.14199999999999999</v>
      </c>
      <c r="G50" s="415">
        <f>IF(AND($S$2=1, F9&gt;=600), F9-600, IF(AND($S$2=1, AND(F9&lt;600, F9&gt;=0)), 0, IF(AND($S$2=2, F9&gt;=1000), F9-1000, IF(AND($S$2=2, AND(F9&lt;1000, F9&gt;=0)), 0))))</f>
        <v>0</v>
      </c>
      <c r="H50" s="394">
        <f t="shared" si="51"/>
        <v>0</v>
      </c>
      <c r="I50" s="138"/>
      <c r="J50" s="424">
        <f>VLOOKUP($B50,'Proposed Rates'!$D$255:$J$261,+J$11-2,FALSE)</f>
        <v>0.14199999999999999</v>
      </c>
      <c r="K50" s="415">
        <f>IF(AND($S$2=1, J9&gt;=600), J9-600, IF(AND($S$2=1, AND(J9&lt;600, J9&gt;=0)), 0, IF(AND($S$2=2, J9&gt;=1000), J9-1000, IF(AND($S$2=2, AND(J9&lt;1000, J9&gt;=0)), 0))))</f>
        <v>0</v>
      </c>
      <c r="L50" s="394">
        <f t="shared" si="53"/>
        <v>0</v>
      </c>
      <c r="M50" s="138"/>
      <c r="N50" s="395">
        <f t="shared" si="5"/>
        <v>0</v>
      </c>
      <c r="O50" s="396" t="str">
        <f t="shared" si="6"/>
        <v/>
      </c>
      <c r="P50" s="53"/>
      <c r="Q50" s="424">
        <f>VLOOKUP($B50,'Proposed Rates'!$D$255:$J$261,+Q$11-2,FALSE)</f>
        <v>0.14199999999999999</v>
      </c>
      <c r="R50" s="415">
        <f>IF(AND($S$2=1, Q9&gt;=600), Q9-600, IF(AND($S$2=1, AND(Q9&lt;600, Q9&gt;=0)), 0, IF(AND($S$2=2, Q9&gt;=1000), Q9-1000, IF(AND($S$2=2, AND(Q9&lt;1000, Q9&gt;=0)), 0))))</f>
        <v>0</v>
      </c>
      <c r="S50" s="394">
        <f t="shared" si="55"/>
        <v>0</v>
      </c>
      <c r="T50" s="138"/>
      <c r="U50" s="395">
        <f t="shared" si="9"/>
        <v>0</v>
      </c>
      <c r="V50" s="396" t="str">
        <f t="shared" si="10"/>
        <v/>
      </c>
      <c r="W50" s="53"/>
      <c r="X50" s="424">
        <f>VLOOKUP($B50,'Proposed Rates'!$D$255:$J$261,+X$11-2,FALSE)</f>
        <v>0.14199999999999999</v>
      </c>
      <c r="Y50" s="415">
        <f>IF(AND($S$2=1, X9&gt;=600), X9-600, IF(AND($S$2=1, AND(X9&lt;600, X9&gt;=0)), 0, IF(AND($S$2=2, X9&gt;=1000), X9-1000, IF(AND($S$2=2, AND(X9&lt;1000, X9&gt;=0)), 0))))</f>
        <v>0</v>
      </c>
      <c r="Z50" s="394">
        <f t="shared" si="57"/>
        <v>0</v>
      </c>
      <c r="AA50" s="138"/>
      <c r="AB50" s="395">
        <f t="shared" si="13"/>
        <v>0</v>
      </c>
      <c r="AC50" s="396" t="str">
        <f t="shared" si="14"/>
        <v/>
      </c>
      <c r="AD50" s="53"/>
      <c r="AE50" s="424">
        <f>VLOOKUP($B50,'Proposed Rates'!$D$255:$J$261,+AE$11-2,FALSE)</f>
        <v>0.14199999999999999</v>
      </c>
      <c r="AF50" s="415">
        <f>IF(AND($S$2=1, AE9&gt;=600), AE9-600, IF(AND($S$2=1, AND(AE9&lt;600, AE9&gt;=0)), 0, IF(AND($S$2=2, AE9&gt;=1000), AE9-1000, IF(AND($S$2=2, AND(AE9&lt;1000, AE9&gt;=0)), 0))))</f>
        <v>0</v>
      </c>
      <c r="AG50" s="394">
        <f t="shared" si="59"/>
        <v>0</v>
      </c>
      <c r="AH50" s="138"/>
      <c r="AI50" s="395">
        <f t="shared" si="17"/>
        <v>0</v>
      </c>
      <c r="AJ50" s="396" t="str">
        <f t="shared" si="18"/>
        <v/>
      </c>
      <c r="AK50" s="53"/>
      <c r="AL50" s="424">
        <f>VLOOKUP($B50,'Proposed Rates'!$D$255:$J$261,+AL$11-2,FALSE)</f>
        <v>0.14199999999999999</v>
      </c>
      <c r="AM50" s="415">
        <f>IF(AND($S$2=1, AL9&gt;=600), AL9-600, IF(AND($S$2=1, AND(AL9&lt;600, AL9&gt;=0)), 0, IF(AND($S$2=2, AL9&gt;=1000), AL9-1000, IF(AND($S$2=2, AND(AL9&lt;1000, AL9&gt;=0)), 0))))</f>
        <v>0</v>
      </c>
      <c r="AN50" s="394">
        <f t="shared" si="61"/>
        <v>0</v>
      </c>
      <c r="AO50" s="138"/>
      <c r="AP50" s="395">
        <f t="shared" si="21"/>
        <v>0</v>
      </c>
      <c r="AQ50" s="396" t="str">
        <f t="shared" si="22"/>
        <v/>
      </c>
      <c r="AR50" s="397"/>
      <c r="AS50" s="397"/>
    </row>
    <row r="51" spans="1:45" ht="12" customHeight="1">
      <c r="A51" s="545"/>
      <c r="B51" s="428"/>
      <c r="C51" s="429"/>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c r="AS51" s="437"/>
    </row>
    <row r="52" spans="1:45" ht="12" customHeight="1">
      <c r="A52" s="545"/>
      <c r="B52" s="438" t="s">
        <v>344</v>
      </c>
      <c r="C52" s="328"/>
      <c r="D52" s="328"/>
      <c r="E52" s="328"/>
      <c r="F52" s="439"/>
      <c r="G52" s="483"/>
      <c r="H52" s="441">
        <f>SUM(H43:H48,H42)</f>
        <v>35.727667744000001</v>
      </c>
      <c r="I52" s="476"/>
      <c r="J52" s="440"/>
      <c r="K52" s="440"/>
      <c r="L52" s="441">
        <f>SUM(L43:L48,L42)</f>
        <v>36.909084655999997</v>
      </c>
      <c r="M52" s="443"/>
      <c r="N52" s="442">
        <f t="shared" ref="N52:N56" si="63">L52-H52</f>
        <v>1.181416911999996</v>
      </c>
      <c r="O52" s="444">
        <f t="shared" ref="O52:O56" si="64">IF((H52)=0,"",(N52/H52))</f>
        <v>3.30672833296934E-2</v>
      </c>
      <c r="P52" s="53"/>
      <c r="Q52" s="440"/>
      <c r="R52" s="440"/>
      <c r="S52" s="441">
        <f>SUM(S43:S48,S42)</f>
        <v>38.963488655999996</v>
      </c>
      <c r="T52" s="443"/>
      <c r="U52" s="442">
        <f t="shared" ref="U52:U56" si="65">S52-L52</f>
        <v>2.0544039999999981</v>
      </c>
      <c r="V52" s="444">
        <f t="shared" ref="V52:V56" si="66">IF((L52)=0,"",(U52/L52))</f>
        <v>5.5661201548276029E-2</v>
      </c>
      <c r="W52" s="53"/>
      <c r="X52" s="440"/>
      <c r="Y52" s="440"/>
      <c r="Z52" s="441">
        <f>SUM(Z43:Z48,Z42)</f>
        <v>39.530312656</v>
      </c>
      <c r="AA52" s="443"/>
      <c r="AB52" s="442">
        <f t="shared" ref="AB52:AB56" si="67">Z52-S52</f>
        <v>0.56682400000000399</v>
      </c>
      <c r="AC52" s="444">
        <f t="shared" ref="AC52:AC56" si="68">IF((S52)=0,"",(AB52/S52))</f>
        <v>1.4547567980997992E-2</v>
      </c>
      <c r="AD52" s="53"/>
      <c r="AE52" s="440"/>
      <c r="AF52" s="440"/>
      <c r="AG52" s="441">
        <f>SUM(AG43:AG48,AG42)</f>
        <v>40.411780655999998</v>
      </c>
      <c r="AH52" s="443"/>
      <c r="AI52" s="442">
        <f t="shared" ref="AI52:AI56" si="69">AG52-Z52</f>
        <v>0.88146799999999814</v>
      </c>
      <c r="AJ52" s="444">
        <f t="shared" ref="AJ52:AJ56" si="70">IF((Z52)=0,"",(AI52/Z52))</f>
        <v>2.2298533474063149E-2</v>
      </c>
      <c r="AK52" s="53"/>
      <c r="AL52" s="440"/>
      <c r="AM52" s="440"/>
      <c r="AN52" s="441">
        <f>SUM(AN43:AN48,AN42)</f>
        <v>41.214132656000004</v>
      </c>
      <c r="AO52" s="443"/>
      <c r="AP52" s="442">
        <f t="shared" ref="AP52:AP56" si="71">AN52-AG52</f>
        <v>0.80235200000000617</v>
      </c>
      <c r="AQ52" s="444">
        <f t="shared" ref="AQ52:AQ56" si="72">IF((AG52)=0,"",(AP52/AG52))</f>
        <v>1.985440846643019E-2</v>
      </c>
      <c r="AR52" s="445"/>
      <c r="AS52" s="445"/>
    </row>
    <row r="53" spans="1:45" ht="12" customHeight="1">
      <c r="A53" s="545"/>
      <c r="B53" s="446" t="s">
        <v>345</v>
      </c>
      <c r="C53" s="328"/>
      <c r="D53" s="328"/>
      <c r="E53" s="328"/>
      <c r="F53" s="439">
        <f>'Res (2000)'!F51</f>
        <v>0.13</v>
      </c>
      <c r="G53" s="138"/>
      <c r="H53" s="484">
        <f>H52*F53</f>
        <v>4.6445968067200001</v>
      </c>
      <c r="I53" s="411"/>
      <c r="J53" s="447">
        <v>0.13</v>
      </c>
      <c r="K53" s="411"/>
      <c r="L53" s="394">
        <f>L52*J53</f>
        <v>4.79818100528</v>
      </c>
      <c r="M53" s="138"/>
      <c r="N53" s="395">
        <f t="shared" si="63"/>
        <v>0.15358419855999994</v>
      </c>
      <c r="O53" s="396">
        <f t="shared" si="64"/>
        <v>3.3067283329693505E-2</v>
      </c>
      <c r="P53" s="53"/>
      <c r="Q53" s="447">
        <v>0.13</v>
      </c>
      <c r="R53" s="411"/>
      <c r="S53" s="394">
        <f>S52*Q53</f>
        <v>5.0652535252799993</v>
      </c>
      <c r="T53" s="138"/>
      <c r="U53" s="395">
        <f t="shared" si="65"/>
        <v>0.26707251999999926</v>
      </c>
      <c r="V53" s="396">
        <f t="shared" si="66"/>
        <v>5.5661201548275925E-2</v>
      </c>
      <c r="W53" s="53"/>
      <c r="X53" s="447">
        <v>0.13</v>
      </c>
      <c r="Y53" s="411"/>
      <c r="Z53" s="394">
        <f>Z52*X53</f>
        <v>5.1389406452799999</v>
      </c>
      <c r="AA53" s="138"/>
      <c r="AB53" s="395">
        <f t="shared" si="67"/>
        <v>7.3687120000000661E-2</v>
      </c>
      <c r="AC53" s="396">
        <f t="shared" si="68"/>
        <v>1.454756798099802E-2</v>
      </c>
      <c r="AD53" s="53"/>
      <c r="AE53" s="447">
        <v>0.13</v>
      </c>
      <c r="AF53" s="411"/>
      <c r="AG53" s="394">
        <f>AG52*AE53</f>
        <v>5.2535314852799999</v>
      </c>
      <c r="AH53" s="138"/>
      <c r="AI53" s="395">
        <f t="shared" si="69"/>
        <v>0.11459083999999997</v>
      </c>
      <c r="AJ53" s="396">
        <f t="shared" si="70"/>
        <v>2.229853347406319E-2</v>
      </c>
      <c r="AK53" s="53"/>
      <c r="AL53" s="447">
        <v>0.13</v>
      </c>
      <c r="AM53" s="411"/>
      <c r="AN53" s="394">
        <f>AN52*AL53</f>
        <v>5.3578372452800007</v>
      </c>
      <c r="AO53" s="138"/>
      <c r="AP53" s="395">
        <f t="shared" si="71"/>
        <v>0.1043057600000008</v>
      </c>
      <c r="AQ53" s="396">
        <f t="shared" si="72"/>
        <v>1.985440846643019E-2</v>
      </c>
      <c r="AR53" s="397"/>
      <c r="AS53" s="397"/>
    </row>
    <row r="54" spans="1:45" ht="12" customHeight="1">
      <c r="A54" s="545"/>
      <c r="B54" s="448" t="s">
        <v>443</v>
      </c>
      <c r="C54" s="328"/>
      <c r="D54" s="328"/>
      <c r="E54" s="328"/>
      <c r="F54" s="449"/>
      <c r="G54" s="138"/>
      <c r="H54" s="484">
        <f>H52+H53</f>
        <v>40.372264550720004</v>
      </c>
      <c r="I54" s="411"/>
      <c r="J54" s="411"/>
      <c r="K54" s="411"/>
      <c r="L54" s="394">
        <f>L52+L53</f>
        <v>41.707265661279997</v>
      </c>
      <c r="M54" s="138"/>
      <c r="N54" s="395">
        <f t="shared" si="63"/>
        <v>1.3350011105599933</v>
      </c>
      <c r="O54" s="396">
        <f t="shared" si="64"/>
        <v>3.3067283329693345E-2</v>
      </c>
      <c r="P54" s="53"/>
      <c r="Q54" s="411"/>
      <c r="R54" s="411"/>
      <c r="S54" s="394">
        <f>S52+S53</f>
        <v>44.028742181279995</v>
      </c>
      <c r="T54" s="138"/>
      <c r="U54" s="395">
        <f t="shared" si="65"/>
        <v>2.3214765199999974</v>
      </c>
      <c r="V54" s="396">
        <f t="shared" si="66"/>
        <v>5.5661201548276015E-2</v>
      </c>
      <c r="W54" s="53"/>
      <c r="X54" s="411"/>
      <c r="Y54" s="411"/>
      <c r="Z54" s="394">
        <f>Z52+Z53</f>
        <v>44.669253301280001</v>
      </c>
      <c r="AA54" s="138"/>
      <c r="AB54" s="395">
        <f t="shared" si="67"/>
        <v>0.64051112000000643</v>
      </c>
      <c r="AC54" s="396">
        <f t="shared" si="68"/>
        <v>1.4547567980998035E-2</v>
      </c>
      <c r="AD54" s="53"/>
      <c r="AE54" s="411"/>
      <c r="AF54" s="411"/>
      <c r="AG54" s="394">
        <f>AG52+AG53</f>
        <v>45.665312141279998</v>
      </c>
      <c r="AH54" s="138"/>
      <c r="AI54" s="395">
        <f t="shared" si="69"/>
        <v>0.99605883999999634</v>
      </c>
      <c r="AJ54" s="396">
        <f t="shared" si="70"/>
        <v>2.2298533474063114E-2</v>
      </c>
      <c r="AK54" s="53"/>
      <c r="AL54" s="411"/>
      <c r="AM54" s="411"/>
      <c r="AN54" s="394">
        <f>AN52+AN53</f>
        <v>46.571969901280006</v>
      </c>
      <c r="AO54" s="138"/>
      <c r="AP54" s="395">
        <f t="shared" si="71"/>
        <v>0.90665776000000875</v>
      </c>
      <c r="AQ54" s="396">
        <f t="shared" si="72"/>
        <v>1.9854408466430228E-2</v>
      </c>
      <c r="AR54" s="397"/>
      <c r="AS54" s="397"/>
    </row>
    <row r="55" spans="1:45" ht="12" customHeight="1">
      <c r="A55" s="545"/>
      <c r="B55" s="626" t="s">
        <v>304</v>
      </c>
      <c r="C55" s="616"/>
      <c r="D55" s="616"/>
      <c r="E55" s="328"/>
      <c r="F55" s="450">
        <f>'Res (2000)'!F53</f>
        <v>0.23499999999999999</v>
      </c>
      <c r="G55" s="138"/>
      <c r="H55" s="506">
        <f>F55*H52</f>
        <v>8.3960019198399998</v>
      </c>
      <c r="I55" s="411"/>
      <c r="J55" s="452">
        <f>F55</f>
        <v>0.23499999999999999</v>
      </c>
      <c r="K55" s="411"/>
      <c r="L55" s="506">
        <f>J55*L52</f>
        <v>8.6736348941599992</v>
      </c>
      <c r="M55" s="138"/>
      <c r="N55" s="451">
        <f t="shared" si="63"/>
        <v>0.27763297431999945</v>
      </c>
      <c r="O55" s="453">
        <f t="shared" si="64"/>
        <v>3.3067283329693456E-2</v>
      </c>
      <c r="P55" s="53"/>
      <c r="Q55" s="452">
        <f>J55</f>
        <v>0.23499999999999999</v>
      </c>
      <c r="R55" s="411"/>
      <c r="S55" s="506">
        <f>Q55*S52</f>
        <v>9.1564198341599976</v>
      </c>
      <c r="T55" s="138"/>
      <c r="U55" s="451">
        <f t="shared" si="65"/>
        <v>0.48278493999999839</v>
      </c>
      <c r="V55" s="453">
        <f t="shared" si="66"/>
        <v>5.5661201548275897E-2</v>
      </c>
      <c r="W55" s="53"/>
      <c r="X55" s="452">
        <f>Q55</f>
        <v>0.23499999999999999</v>
      </c>
      <c r="Y55" s="411"/>
      <c r="Z55" s="506">
        <f>X55*Z52</f>
        <v>9.289623474159999</v>
      </c>
      <c r="AA55" s="138"/>
      <c r="AB55" s="451">
        <f t="shared" si="67"/>
        <v>0.1332036400000014</v>
      </c>
      <c r="AC55" s="453">
        <f t="shared" si="68"/>
        <v>1.4547567980998044E-2</v>
      </c>
      <c r="AD55" s="53"/>
      <c r="AE55" s="452">
        <f>X55</f>
        <v>0.23499999999999999</v>
      </c>
      <c r="AF55" s="411"/>
      <c r="AG55" s="506">
        <f>AE55*AG52</f>
        <v>9.4967684541599997</v>
      </c>
      <c r="AH55" s="138"/>
      <c r="AI55" s="451">
        <f t="shared" si="69"/>
        <v>0.2071449800000007</v>
      </c>
      <c r="AJ55" s="453">
        <f t="shared" si="70"/>
        <v>2.2298533474063274E-2</v>
      </c>
      <c r="AK55" s="53"/>
      <c r="AL55" s="452">
        <f>AE55</f>
        <v>0.23499999999999999</v>
      </c>
      <c r="AM55" s="411"/>
      <c r="AN55" s="506">
        <f>AL55*AN52</f>
        <v>9.6853211741600003</v>
      </c>
      <c r="AO55" s="138"/>
      <c r="AP55" s="451">
        <f t="shared" si="71"/>
        <v>0.18855272000000056</v>
      </c>
      <c r="AQ55" s="453">
        <f t="shared" si="72"/>
        <v>1.9854408466430096E-2</v>
      </c>
      <c r="AR55" s="454"/>
      <c r="AS55" s="454"/>
    </row>
    <row r="56" spans="1:45" ht="12" customHeight="1">
      <c r="A56" s="545"/>
      <c r="B56" s="627" t="s">
        <v>347</v>
      </c>
      <c r="C56" s="608"/>
      <c r="D56" s="600"/>
      <c r="E56" s="455"/>
      <c r="F56" s="456"/>
      <c r="G56" s="487"/>
      <c r="H56" s="488">
        <f>H54-H55</f>
        <v>31.976262630880004</v>
      </c>
      <c r="I56" s="457"/>
      <c r="J56" s="457"/>
      <c r="K56" s="457"/>
      <c r="L56" s="458">
        <f>L54-L55</f>
        <v>33.033630767120002</v>
      </c>
      <c r="M56" s="459"/>
      <c r="N56" s="460">
        <f t="shared" si="63"/>
        <v>1.0573681362399974</v>
      </c>
      <c r="O56" s="461">
        <f t="shared" si="64"/>
        <v>3.3067283329693428E-2</v>
      </c>
      <c r="P56" s="53"/>
      <c r="Q56" s="457"/>
      <c r="R56" s="457"/>
      <c r="S56" s="458">
        <f>S54-S55</f>
        <v>34.872322347119997</v>
      </c>
      <c r="T56" s="459"/>
      <c r="U56" s="460">
        <f t="shared" si="65"/>
        <v>1.8386915799999954</v>
      </c>
      <c r="V56" s="461">
        <f t="shared" si="66"/>
        <v>5.5661201548275939E-2</v>
      </c>
      <c r="W56" s="53"/>
      <c r="X56" s="457"/>
      <c r="Y56" s="457"/>
      <c r="Z56" s="458">
        <f>Z54-Z55</f>
        <v>35.379629827119999</v>
      </c>
      <c r="AA56" s="459"/>
      <c r="AB56" s="460">
        <f t="shared" si="67"/>
        <v>0.50730748000000148</v>
      </c>
      <c r="AC56" s="461">
        <f t="shared" si="68"/>
        <v>1.4547567980997931E-2</v>
      </c>
      <c r="AD56" s="53"/>
      <c r="AE56" s="457"/>
      <c r="AF56" s="457"/>
      <c r="AG56" s="458">
        <f>AG54-AG55</f>
        <v>36.16854368712</v>
      </c>
      <c r="AH56" s="459"/>
      <c r="AI56" s="460">
        <f t="shared" si="69"/>
        <v>0.78891386000000097</v>
      </c>
      <c r="AJ56" s="461">
        <f t="shared" si="70"/>
        <v>2.2298533474063225E-2</v>
      </c>
      <c r="AK56" s="53"/>
      <c r="AL56" s="457"/>
      <c r="AM56" s="457"/>
      <c r="AN56" s="458">
        <f>AN54-AN55</f>
        <v>36.886648727120004</v>
      </c>
      <c r="AO56" s="459"/>
      <c r="AP56" s="460">
        <f t="shared" si="71"/>
        <v>0.71810504000000464</v>
      </c>
      <c r="AQ56" s="461">
        <f t="shared" si="72"/>
        <v>1.9854408466430166E-2</v>
      </c>
      <c r="AR56" s="462"/>
      <c r="AS56" s="462"/>
    </row>
    <row r="57" spans="1:45" ht="12" customHeight="1">
      <c r="A57" s="53"/>
      <c r="B57" s="428"/>
      <c r="C57" s="429"/>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c r="AS57" s="437"/>
    </row>
    <row r="58" spans="1:45" ht="12" customHeight="1">
      <c r="A58" s="53"/>
      <c r="B58" s="438" t="s">
        <v>348</v>
      </c>
      <c r="C58" s="328"/>
      <c r="D58" s="328"/>
      <c r="E58" s="328"/>
      <c r="F58" s="439"/>
      <c r="G58" s="483"/>
      <c r="H58" s="441">
        <f>SUM(H49:H50,H42,H43:H45)</f>
        <v>35.020787743999996</v>
      </c>
      <c r="I58" s="476"/>
      <c r="J58" s="440"/>
      <c r="K58" s="440"/>
      <c r="L58" s="441">
        <f>SUM(L49:L50,L42,L43:L45)</f>
        <v>36.202204655999999</v>
      </c>
      <c r="M58" s="443"/>
      <c r="N58" s="442">
        <f t="shared" ref="N58:N62" si="73">L58-H58</f>
        <v>1.1814169120000031</v>
      </c>
      <c r="O58" s="444">
        <f t="shared" ref="O58:O62" si="74">IF((H58)=0,"",(N58/H58))</f>
        <v>3.3734732657531713E-2</v>
      </c>
      <c r="P58" s="53"/>
      <c r="Q58" s="440"/>
      <c r="R58" s="440"/>
      <c r="S58" s="441">
        <f>SUM(S49:S50,S42,S43:S45)</f>
        <v>38.256608655999997</v>
      </c>
      <c r="T58" s="443"/>
      <c r="U58" s="442">
        <f t="shared" ref="U58:U62" si="75">S58-L58</f>
        <v>2.0544039999999981</v>
      </c>
      <c r="V58" s="444">
        <f t="shared" ref="V58:V62" si="76">IF((L58)=0,"",(U58/L58))</f>
        <v>5.674803563819724E-2</v>
      </c>
      <c r="W58" s="53"/>
      <c r="X58" s="440"/>
      <c r="Y58" s="440"/>
      <c r="Z58" s="441">
        <f>SUM(Z49:Z50,Z42,Z43:Z45)</f>
        <v>38.823432656000001</v>
      </c>
      <c r="AA58" s="443"/>
      <c r="AB58" s="442">
        <f t="shared" ref="AB58:AB62" si="77">Z58-S58</f>
        <v>0.56682400000000399</v>
      </c>
      <c r="AC58" s="444">
        <f t="shared" ref="AC58:AC62" si="78">IF((S58)=0,"",(AB58/S58))</f>
        <v>1.481636820181409E-2</v>
      </c>
      <c r="AD58" s="53"/>
      <c r="AE58" s="440"/>
      <c r="AF58" s="440"/>
      <c r="AG58" s="441">
        <f>SUM(AG49:AG50,AG42,AG43:AG45)</f>
        <v>39.704900656</v>
      </c>
      <c r="AH58" s="443"/>
      <c r="AI58" s="442">
        <f t="shared" ref="AI58:AI62" si="79">AG58-Z58</f>
        <v>0.88146799999999814</v>
      </c>
      <c r="AJ58" s="444">
        <f t="shared" ref="AJ58:AJ62" si="80">IF((Z58)=0,"",(AI58/Z58))</f>
        <v>2.2704535371984191E-2</v>
      </c>
      <c r="AK58" s="53"/>
      <c r="AL58" s="440"/>
      <c r="AM58" s="440"/>
      <c r="AN58" s="441">
        <f>SUM(AN49:AN50,AN42,AN43:AN45)</f>
        <v>40.507252656000006</v>
      </c>
      <c r="AO58" s="443"/>
      <c r="AP58" s="442">
        <f t="shared" ref="AP58:AP62" si="81">AN58-AG58</f>
        <v>0.80235200000000617</v>
      </c>
      <c r="AQ58" s="444">
        <f t="shared" ref="AQ58:AQ62" si="82">IF((AG58)=0,"",(AP58/AG58))</f>
        <v>2.0207883327842024E-2</v>
      </c>
      <c r="AR58" s="445"/>
      <c r="AS58" s="445"/>
    </row>
    <row r="59" spans="1:45" ht="12" customHeight="1">
      <c r="A59" s="53"/>
      <c r="B59" s="446" t="s">
        <v>345</v>
      </c>
      <c r="C59" s="328"/>
      <c r="D59" s="328"/>
      <c r="E59" s="328"/>
      <c r="F59" s="439">
        <v>0.13</v>
      </c>
      <c r="G59" s="483"/>
      <c r="H59" s="484">
        <f>H58*F59</f>
        <v>4.5527024067199999</v>
      </c>
      <c r="I59" s="411"/>
      <c r="J59" s="439">
        <v>0.13</v>
      </c>
      <c r="K59" s="447"/>
      <c r="L59" s="394">
        <f>L58*J59</f>
        <v>4.7062866052799999</v>
      </c>
      <c r="M59" s="138"/>
      <c r="N59" s="395">
        <f t="shared" si="73"/>
        <v>0.15358419855999994</v>
      </c>
      <c r="O59" s="396">
        <f t="shared" si="74"/>
        <v>3.3734732657531609E-2</v>
      </c>
      <c r="P59" s="53"/>
      <c r="Q59" s="439">
        <v>0.13</v>
      </c>
      <c r="R59" s="447"/>
      <c r="S59" s="394">
        <f>S58*Q59</f>
        <v>4.97335912528</v>
      </c>
      <c r="T59" s="138"/>
      <c r="U59" s="395">
        <f t="shared" si="75"/>
        <v>0.26707252000000015</v>
      </c>
      <c r="V59" s="396">
        <f t="shared" si="76"/>
        <v>5.6748035638197324E-2</v>
      </c>
      <c r="W59" s="53"/>
      <c r="X59" s="439">
        <v>0.13</v>
      </c>
      <c r="Y59" s="447"/>
      <c r="Z59" s="394">
        <f>Z58*X59</f>
        <v>5.0470462452800007</v>
      </c>
      <c r="AA59" s="138"/>
      <c r="AB59" s="395">
        <f t="shared" si="77"/>
        <v>7.3687120000000661E-2</v>
      </c>
      <c r="AC59" s="396">
        <f t="shared" si="78"/>
        <v>1.4816368201814116E-2</v>
      </c>
      <c r="AD59" s="53"/>
      <c r="AE59" s="439">
        <v>0.13</v>
      </c>
      <c r="AF59" s="447"/>
      <c r="AG59" s="394">
        <f>AG58*AE59</f>
        <v>5.1616370852799998</v>
      </c>
      <c r="AH59" s="138"/>
      <c r="AI59" s="395">
        <f t="shared" si="79"/>
        <v>0.11459083999999908</v>
      </c>
      <c r="AJ59" s="396">
        <f t="shared" si="80"/>
        <v>2.2704535371984053E-2</v>
      </c>
      <c r="AK59" s="53"/>
      <c r="AL59" s="439">
        <v>0.13</v>
      </c>
      <c r="AM59" s="447"/>
      <c r="AN59" s="394">
        <f>AN58*AL59</f>
        <v>5.2659428452800006</v>
      </c>
      <c r="AO59" s="138"/>
      <c r="AP59" s="395">
        <f t="shared" si="81"/>
        <v>0.1043057600000008</v>
      </c>
      <c r="AQ59" s="396">
        <f t="shared" si="82"/>
        <v>2.0207883327842024E-2</v>
      </c>
      <c r="AR59" s="397"/>
      <c r="AS59" s="397"/>
    </row>
    <row r="60" spans="1:45" ht="12" customHeight="1">
      <c r="A60" s="53"/>
      <c r="B60" s="448" t="s">
        <v>444</v>
      </c>
      <c r="C60" s="328"/>
      <c r="D60" s="328"/>
      <c r="E60" s="328"/>
      <c r="F60" s="449"/>
      <c r="G60" s="138"/>
      <c r="H60" s="484">
        <f>H58+H59</f>
        <v>39.573490150719998</v>
      </c>
      <c r="I60" s="411"/>
      <c r="J60" s="411"/>
      <c r="K60" s="411"/>
      <c r="L60" s="394">
        <f>L58+L59</f>
        <v>40.908491261279998</v>
      </c>
      <c r="M60" s="138"/>
      <c r="N60" s="395">
        <f t="shared" si="73"/>
        <v>1.3350011105600004</v>
      </c>
      <c r="O60" s="396">
        <f t="shared" si="74"/>
        <v>3.3734732657531637E-2</v>
      </c>
      <c r="P60" s="53"/>
      <c r="Q60" s="411"/>
      <c r="R60" s="411"/>
      <c r="S60" s="394">
        <f>S58+S59</f>
        <v>43.229967781279996</v>
      </c>
      <c r="T60" s="138"/>
      <c r="U60" s="395">
        <f t="shared" si="75"/>
        <v>2.3214765199999974</v>
      </c>
      <c r="V60" s="396">
        <f t="shared" si="76"/>
        <v>5.6748035638197233E-2</v>
      </c>
      <c r="W60" s="53"/>
      <c r="X60" s="411"/>
      <c r="Y60" s="411"/>
      <c r="Z60" s="394">
        <f>Z58+Z59</f>
        <v>43.870478901280002</v>
      </c>
      <c r="AA60" s="138"/>
      <c r="AB60" s="395">
        <f t="shared" si="77"/>
        <v>0.64051112000000643</v>
      </c>
      <c r="AC60" s="396">
        <f t="shared" si="78"/>
        <v>1.4816368201814133E-2</v>
      </c>
      <c r="AD60" s="53"/>
      <c r="AE60" s="411"/>
      <c r="AF60" s="411"/>
      <c r="AG60" s="394">
        <f>AG58+AG59</f>
        <v>44.866537741279998</v>
      </c>
      <c r="AH60" s="138"/>
      <c r="AI60" s="395">
        <f t="shared" si="79"/>
        <v>0.99605883999999634</v>
      </c>
      <c r="AJ60" s="396">
        <f t="shared" si="80"/>
        <v>2.2704535371984153E-2</v>
      </c>
      <c r="AK60" s="53"/>
      <c r="AL60" s="411"/>
      <c r="AM60" s="411"/>
      <c r="AN60" s="394">
        <f>AN58+AN59</f>
        <v>45.773195501280007</v>
      </c>
      <c r="AO60" s="138"/>
      <c r="AP60" s="395">
        <f t="shared" si="81"/>
        <v>0.90665776000000875</v>
      </c>
      <c r="AQ60" s="396">
        <f t="shared" si="82"/>
        <v>2.0207883327842062E-2</v>
      </c>
      <c r="AR60" s="397"/>
      <c r="AS60" s="397"/>
    </row>
    <row r="61" spans="1:45" ht="12" customHeight="1">
      <c r="A61" s="53"/>
      <c r="B61" s="626" t="s">
        <v>304</v>
      </c>
      <c r="C61" s="616"/>
      <c r="D61" s="616"/>
      <c r="E61" s="328"/>
      <c r="F61" s="450">
        <f>F55</f>
        <v>0.23499999999999999</v>
      </c>
      <c r="G61" s="138"/>
      <c r="H61" s="486">
        <f>F61*H58</f>
        <v>8.2298851198399987</v>
      </c>
      <c r="I61" s="411"/>
      <c r="J61" s="450">
        <f>J55</f>
        <v>0.23499999999999999</v>
      </c>
      <c r="K61" s="411"/>
      <c r="L61" s="506">
        <f>J61*L58</f>
        <v>8.5075180941599999</v>
      </c>
      <c r="M61" s="138"/>
      <c r="N61" s="451">
        <f t="shared" si="73"/>
        <v>0.27763297432000122</v>
      </c>
      <c r="O61" s="453">
        <f t="shared" si="74"/>
        <v>3.3734732657531775E-2</v>
      </c>
      <c r="P61" s="53"/>
      <c r="Q61" s="450">
        <f>Q55</f>
        <v>0.23499999999999999</v>
      </c>
      <c r="R61" s="411"/>
      <c r="S61" s="506">
        <f>Q61*S58</f>
        <v>8.9903030341599983</v>
      </c>
      <c r="T61" s="138"/>
      <c r="U61" s="451">
        <f t="shared" si="75"/>
        <v>0.48278493999999839</v>
      </c>
      <c r="V61" s="453">
        <f t="shared" si="76"/>
        <v>5.6748035638197102E-2</v>
      </c>
      <c r="W61" s="53"/>
      <c r="X61" s="450">
        <f>X55</f>
        <v>0.23499999999999999</v>
      </c>
      <c r="Y61" s="411"/>
      <c r="Z61" s="506">
        <f>X61*Z58</f>
        <v>9.1235066741599997</v>
      </c>
      <c r="AA61" s="138"/>
      <c r="AB61" s="451">
        <f t="shared" si="77"/>
        <v>0.1332036400000014</v>
      </c>
      <c r="AC61" s="453">
        <f t="shared" si="78"/>
        <v>1.4816368201814142E-2</v>
      </c>
      <c r="AD61" s="53"/>
      <c r="AE61" s="450">
        <f>AE55</f>
        <v>0.23499999999999999</v>
      </c>
      <c r="AF61" s="411"/>
      <c r="AG61" s="506">
        <f>AE61*AG58</f>
        <v>9.3306516541599986</v>
      </c>
      <c r="AH61" s="138"/>
      <c r="AI61" s="451">
        <f t="shared" si="79"/>
        <v>0.20714497999999892</v>
      </c>
      <c r="AJ61" s="453">
        <f t="shared" si="80"/>
        <v>2.2704535371984122E-2</v>
      </c>
      <c r="AK61" s="53"/>
      <c r="AL61" s="450">
        <f>AL55</f>
        <v>0.23499999999999999</v>
      </c>
      <c r="AM61" s="411"/>
      <c r="AN61" s="506">
        <f>AL61*AN58</f>
        <v>9.519204374160001</v>
      </c>
      <c r="AO61" s="138"/>
      <c r="AP61" s="451">
        <f t="shared" si="81"/>
        <v>0.18855272000000234</v>
      </c>
      <c r="AQ61" s="453">
        <f t="shared" si="82"/>
        <v>2.0207883327842121E-2</v>
      </c>
      <c r="AR61" s="454"/>
      <c r="AS61" s="454"/>
    </row>
    <row r="62" spans="1:45" ht="12" customHeight="1">
      <c r="A62" s="53"/>
      <c r="B62" s="627" t="s">
        <v>350</v>
      </c>
      <c r="C62" s="608"/>
      <c r="D62" s="600"/>
      <c r="E62" s="455"/>
      <c r="F62" s="463"/>
      <c r="G62" s="489"/>
      <c r="H62" s="490">
        <f>H60-H61</f>
        <v>31.343605030879999</v>
      </c>
      <c r="I62" s="464"/>
      <c r="J62" s="464"/>
      <c r="K62" s="464"/>
      <c r="L62" s="465">
        <f>L60-L61</f>
        <v>32.40097316712</v>
      </c>
      <c r="M62" s="466"/>
      <c r="N62" s="467">
        <f t="shared" si="73"/>
        <v>1.0573681362400009</v>
      </c>
      <c r="O62" s="468">
        <f t="shared" si="74"/>
        <v>3.3734732657531651E-2</v>
      </c>
      <c r="P62" s="53"/>
      <c r="Q62" s="464"/>
      <c r="R62" s="464"/>
      <c r="S62" s="465">
        <f>S60-S61</f>
        <v>34.239664747119996</v>
      </c>
      <c r="T62" s="466"/>
      <c r="U62" s="467">
        <f t="shared" si="75"/>
        <v>1.8386915799999954</v>
      </c>
      <c r="V62" s="468">
        <f t="shared" si="76"/>
        <v>5.674803563819715E-2</v>
      </c>
      <c r="W62" s="53"/>
      <c r="X62" s="464"/>
      <c r="Y62" s="464"/>
      <c r="Z62" s="465">
        <f>Z60-Z61</f>
        <v>34.746972227120004</v>
      </c>
      <c r="AA62" s="466"/>
      <c r="AB62" s="467">
        <f t="shared" si="77"/>
        <v>0.50730748000000858</v>
      </c>
      <c r="AC62" s="468">
        <f t="shared" si="78"/>
        <v>1.4816368201814235E-2</v>
      </c>
      <c r="AD62" s="53"/>
      <c r="AE62" s="464"/>
      <c r="AF62" s="464"/>
      <c r="AG62" s="465">
        <f>AG60-AG61</f>
        <v>35.535886087119998</v>
      </c>
      <c r="AH62" s="466"/>
      <c r="AI62" s="467">
        <f t="shared" si="79"/>
        <v>0.78891385999999386</v>
      </c>
      <c r="AJ62" s="468">
        <f t="shared" si="80"/>
        <v>2.270453537198406E-2</v>
      </c>
      <c r="AK62" s="53"/>
      <c r="AL62" s="464"/>
      <c r="AM62" s="464"/>
      <c r="AN62" s="465">
        <f>AN60-AN61</f>
        <v>36.253991127120003</v>
      </c>
      <c r="AO62" s="466"/>
      <c r="AP62" s="467">
        <f t="shared" si="81"/>
        <v>0.71810504000000464</v>
      </c>
      <c r="AQ62" s="468">
        <f t="shared" si="82"/>
        <v>2.0207883327841999E-2</v>
      </c>
      <c r="AR62" s="462"/>
      <c r="AS62" s="462"/>
    </row>
    <row r="63" spans="1:45" ht="12" customHeight="1">
      <c r="A63" s="53"/>
      <c r="B63" s="428"/>
      <c r="C63" s="429"/>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c r="AS63" s="437"/>
    </row>
    <row r="64" spans="1:45" ht="12" customHeight="1">
      <c r="A64" s="53"/>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53"/>
    </row>
    <row r="65" spans="1:45" ht="12" customHeight="1">
      <c r="A65" s="53"/>
      <c r="B65" s="314" t="s">
        <v>351</v>
      </c>
      <c r="C65" s="53"/>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c r="AS65" s="53"/>
    </row>
    <row r="66" spans="1:45"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row>
    <row r="67" spans="1:45" ht="12" customHeight="1">
      <c r="A67" s="47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row>
    <row r="68" spans="1:45"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row>
    <row r="69" spans="1:45"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row>
    <row r="70" spans="1:45" ht="12" customHeight="1">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row>
    <row r="71" spans="1:45"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row>
    <row r="72" spans="1:45"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row>
    <row r="73" spans="1:45" ht="12" customHeight="1">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row>
    <row r="74" spans="1:45"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row>
    <row r="75" spans="1:45" ht="12" customHeight="1">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row>
    <row r="76" spans="1:45"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row>
    <row r="77" spans="1:45"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row>
    <row r="78" spans="1:45"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row>
    <row r="79" spans="1:45"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row>
    <row r="80" spans="1:45"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row>
    <row r="81" spans="1:45" ht="12" customHeight="1">
      <c r="A81" s="474"/>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row>
    <row r="82" spans="1:45"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row>
    <row r="83" spans="1:45"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row>
    <row r="84" spans="1:45"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row>
    <row r="85" spans="1:45"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row>
    <row r="86" spans="1:45"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row>
    <row r="87" spans="1:45"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row>
    <row r="88" spans="1:45"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row>
    <row r="89" spans="1:45"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row>
    <row r="90" spans="1:45"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row>
    <row r="91" spans="1:45"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row>
    <row r="92" spans="1:45"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row>
    <row r="93" spans="1:45"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row>
    <row r="94" spans="1:45"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row>
    <row r="95" spans="1:45"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row>
    <row r="96" spans="1:45"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row>
    <row r="97" spans="1:45"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row>
    <row r="98" spans="1:45"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row>
    <row r="99" spans="1:45"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row>
    <row r="100" spans="1:45"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row>
    <row r="101" spans="1:45"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row>
    <row r="102" spans="1:45"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row>
    <row r="103" spans="1:45"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row>
    <row r="104" spans="1:45"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row>
    <row r="105" spans="1:45"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row>
    <row r="106" spans="1:45"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row>
    <row r="107" spans="1:45"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row>
    <row r="108" spans="1:45"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row>
    <row r="109" spans="1:45"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row>
    <row r="110" spans="1:45"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row>
    <row r="111" spans="1:45"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row>
    <row r="112" spans="1:45"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row>
    <row r="113" spans="1:45"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row>
    <row r="114" spans="1:45"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row>
    <row r="115" spans="1:45"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row>
    <row r="116" spans="1:45"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row>
    <row r="117" spans="1:45"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row>
    <row r="118" spans="1:45"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row>
    <row r="119" spans="1:45"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row>
    <row r="120" spans="1:45"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row>
    <row r="121" spans="1:45"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row>
    <row r="122" spans="1:45"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row>
    <row r="123" spans="1:45"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row>
    <row r="124" spans="1:45"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row>
    <row r="125" spans="1:45"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row>
    <row r="126" spans="1:45"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row>
    <row r="127" spans="1:45"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row>
    <row r="128" spans="1:45"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row>
    <row r="129" spans="1:45"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row>
    <row r="130" spans="1:45"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row>
    <row r="131" spans="1:45"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row>
    <row r="132" spans="1:45"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row>
    <row r="133" spans="1:45"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row>
    <row r="134" spans="1:45"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row>
    <row r="135" spans="1:45"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row>
    <row r="136" spans="1:45"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row>
    <row r="137" spans="1:45"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row>
    <row r="138" spans="1:45"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row>
    <row r="139" spans="1:45"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row>
    <row r="140" spans="1:45"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row>
    <row r="141" spans="1:45"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row>
    <row r="142" spans="1:45"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row>
    <row r="143" spans="1:45"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row>
    <row r="144" spans="1:45"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row>
    <row r="145" spans="1:45"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row>
    <row r="146" spans="1:45"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row>
    <row r="147" spans="1:45"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row>
    <row r="148" spans="1:45"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row>
    <row r="149" spans="1:45"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row>
    <row r="150" spans="1:45"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row>
    <row r="151" spans="1:45"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row>
    <row r="152" spans="1:45"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row>
    <row r="153" spans="1:45"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row>
    <row r="154" spans="1:45"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row>
    <row r="155" spans="1:45"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row>
    <row r="156" spans="1:45"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row>
    <row r="157" spans="1:45"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row>
    <row r="158" spans="1:45"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row>
    <row r="159" spans="1:45"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row>
    <row r="160" spans="1:45"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row>
    <row r="161" spans="1:45"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row>
    <row r="162" spans="1:45"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row>
    <row r="163" spans="1:45"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row>
    <row r="164" spans="1:45"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row>
    <row r="165" spans="1:45"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row>
    <row r="166" spans="1:45"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row>
    <row r="167" spans="1:45"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row>
    <row r="168" spans="1:45"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row>
    <row r="169" spans="1:45"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row>
    <row r="170" spans="1:45"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row>
    <row r="171" spans="1:45"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row>
    <row r="172" spans="1:45"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row>
    <row r="173" spans="1:45"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row>
    <row r="174" spans="1:45"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row>
    <row r="175" spans="1:45"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row>
    <row r="176" spans="1:45"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row>
    <row r="177" spans="1:45"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row>
    <row r="178" spans="1:45"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row>
    <row r="179" spans="1:45"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row>
    <row r="180" spans="1:45"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row>
    <row r="181" spans="1:45"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row>
    <row r="182" spans="1:45"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row>
    <row r="183" spans="1:45"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row>
    <row r="184" spans="1:45"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row>
    <row r="185" spans="1:45"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row>
    <row r="186" spans="1:45"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row>
    <row r="187" spans="1:45"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row>
    <row r="188" spans="1:45"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row>
    <row r="189" spans="1:45"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row>
    <row r="190" spans="1:45"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row>
    <row r="191" spans="1:45"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row>
    <row r="192" spans="1:45"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6:D56"/>
    <mergeCell ref="B61:D61"/>
    <mergeCell ref="B62:D62"/>
    <mergeCell ref="U13:U14"/>
    <mergeCell ref="V13:V14"/>
    <mergeCell ref="D13:D14"/>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2400-000000000000}">
      <formula1>"TOU,non-TOU"</formula1>
    </dataValidation>
    <dataValidation type="list" allowBlank="1" showErrorMessage="1" sqref="E15:E28 E30:E38 E40:E41 E43:E51 E57 E63" xr:uid="{00000000-0002-0000-2400-000001000000}">
      <formula1>#REF!</formula1>
    </dataValidation>
    <dataValidation type="list" allowBlank="1" showInputMessage="1" showErrorMessage="1" prompt="Select Charge Unit - monthly, per kWh, per kW" sqref="D15:D28 D30:D38 D40:D41 D43:D51 D57 D63" xr:uid="{00000000-0002-0000-2400-000002000000}">
      <formula1>"Monthly,per kWh,per kW"</formula1>
    </dataValidation>
  </dataValidations>
  <pageMargins left="0.74803149606299213" right="0.74803149606299213" top="0.98425196850393704" bottom="0.98425196850393704"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V1000"/>
  <sheetViews>
    <sheetView showGridLines="0" workbookViewId="0">
      <pane ySplit="14" topLeftCell="A27" activePane="bottomLeft" state="frozen"/>
      <selection pane="bottomLeft" activeCell="J9" sqref="J9"/>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2.28515625" customWidth="1"/>
    <col min="6" max="6" width="10.28515625" customWidth="1"/>
    <col min="7" max="7" width="8" customWidth="1"/>
    <col min="8" max="8" width="8.7109375" customWidth="1"/>
    <col min="9" max="9" width="0.7109375" customWidth="1"/>
    <col min="10" max="10" width="10.42578125" customWidth="1"/>
    <col min="11" max="11" width="8" customWidth="1"/>
    <col min="12" max="12" width="8.28515625" customWidth="1"/>
    <col min="13" max="13" width="0.7109375" customWidth="1"/>
    <col min="14" max="14" width="9.42578125" customWidth="1"/>
    <col min="15" max="15" width="10" customWidth="1"/>
    <col min="16" max="16" width="1.7109375" customWidth="1"/>
    <col min="17" max="17" width="10.42578125" customWidth="1"/>
    <col min="18" max="18" width="8" customWidth="1"/>
    <col min="19" max="19" width="8.28515625" customWidth="1"/>
    <col min="20" max="20" width="0.42578125" customWidth="1"/>
    <col min="21" max="21" width="9.42578125" customWidth="1"/>
    <col min="22" max="22" width="10" customWidth="1"/>
    <col min="23" max="23" width="0.85546875" customWidth="1"/>
    <col min="24" max="24" width="10.42578125" customWidth="1"/>
    <col min="25" max="25" width="8" customWidth="1"/>
    <col min="26" max="26" width="8.28515625" customWidth="1"/>
    <col min="27" max="27" width="0.42578125" customWidth="1"/>
    <col min="28" max="28" width="9.42578125" customWidth="1"/>
    <col min="29" max="29" width="10" customWidth="1"/>
    <col min="30" max="30" width="0.7109375" customWidth="1"/>
    <col min="31" max="31" width="10.42578125" customWidth="1"/>
    <col min="32" max="32" width="8" customWidth="1"/>
    <col min="33" max="33" width="8.28515625" customWidth="1"/>
    <col min="34" max="34" width="1" customWidth="1"/>
    <col min="35" max="35" width="9.42578125" customWidth="1"/>
    <col min="36" max="36" width="10" customWidth="1"/>
    <col min="37" max="37" width="0.7109375" customWidth="1"/>
    <col min="38" max="38" width="10.42578125" customWidth="1"/>
    <col min="39" max="39" width="8" customWidth="1"/>
    <col min="40" max="40" width="8.28515625" customWidth="1"/>
    <col min="41" max="41" width="0.42578125" customWidth="1"/>
    <col min="42" max="42" width="9.42578125" customWidth="1"/>
    <col min="43" max="43" width="10" customWidth="1"/>
    <col min="44" max="44" width="1.28515625" customWidth="1"/>
    <col min="45" max="45" width="10.85546875" customWidth="1"/>
    <col min="46" max="48" width="12.42578125" customWidth="1"/>
  </cols>
  <sheetData>
    <row r="1" spans="1:48" ht="7.5" customHeight="1">
      <c r="A1" s="53"/>
      <c r="B1" s="53"/>
      <c r="C1" s="549"/>
      <c r="D1" s="53"/>
      <c r="E1" s="53"/>
      <c r="F1" s="53"/>
      <c r="G1" s="53"/>
      <c r="H1" s="53"/>
      <c r="I1" s="53"/>
      <c r="J1" s="53"/>
      <c r="K1" s="53"/>
      <c r="L1" s="3"/>
      <c r="M1" s="3"/>
      <c r="N1" s="3"/>
      <c r="O1" s="3"/>
      <c r="P1" s="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row>
    <row r="2" spans="1:48" ht="18.75" customHeight="1">
      <c r="A2" s="53"/>
      <c r="B2" s="53"/>
      <c r="C2" s="550"/>
      <c r="D2" s="373"/>
      <c r="E2" s="373"/>
      <c r="F2" s="373" t="s">
        <v>320</v>
      </c>
      <c r="G2" s="373"/>
      <c r="H2" s="373"/>
      <c r="I2" s="373"/>
      <c r="J2" s="138"/>
      <c r="K2" s="6"/>
      <c r="L2" s="373"/>
      <c r="M2" s="373"/>
      <c r="N2" s="373"/>
      <c r="O2" s="373"/>
      <c r="P2" s="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row>
    <row r="3" spans="1:48" ht="18.75" customHeight="1">
      <c r="A3" s="53"/>
      <c r="B3" s="53"/>
      <c r="C3" s="550"/>
      <c r="D3" s="373"/>
      <c r="E3" s="373"/>
      <c r="F3" s="373" t="s">
        <v>322</v>
      </c>
      <c r="G3" s="373"/>
      <c r="H3" s="373"/>
      <c r="I3" s="373"/>
      <c r="J3" s="138"/>
      <c r="K3" s="6"/>
      <c r="L3" s="373"/>
      <c r="M3" s="373"/>
      <c r="N3" s="373"/>
      <c r="O3" s="373"/>
      <c r="P3" s="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row>
    <row r="4" spans="1:48" ht="7.5" customHeight="1">
      <c r="A4" s="53"/>
      <c r="B4" s="53"/>
      <c r="C4" s="549"/>
      <c r="D4" s="53"/>
      <c r="E4" s="53"/>
      <c r="F4" s="53"/>
      <c r="G4" s="53"/>
      <c r="H4" s="53"/>
      <c r="I4" s="53"/>
      <c r="J4" s="53"/>
      <c r="K4" s="53"/>
      <c r="L4" s="3"/>
      <c r="M4" s="3"/>
      <c r="N4" s="3"/>
      <c r="O4" s="3"/>
      <c r="P4" s="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3"/>
      <c r="AU4" s="3"/>
      <c r="AV4" s="3"/>
    </row>
    <row r="5" spans="1:48" ht="7.5" customHeight="1">
      <c r="A5" s="53"/>
      <c r="B5" s="53"/>
      <c r="C5" s="549"/>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3"/>
      <c r="AU5" s="3"/>
      <c r="AV5" s="3"/>
    </row>
    <row r="6" spans="1:48" ht="12.75" customHeight="1">
      <c r="A6" s="53"/>
      <c r="B6" s="327" t="s">
        <v>323</v>
      </c>
      <c r="C6" s="549"/>
      <c r="D6" s="375" t="s">
        <v>252</v>
      </c>
      <c r="E6" s="375"/>
      <c r="F6" s="376"/>
      <c r="G6" s="376"/>
      <c r="H6" s="376"/>
      <c r="I6" s="376"/>
      <c r="J6" s="376"/>
      <c r="K6" s="376"/>
      <c r="L6" s="564"/>
      <c r="M6" s="565"/>
      <c r="N6" s="56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3"/>
      <c r="AU6" s="3"/>
      <c r="AV6" s="3"/>
    </row>
    <row r="7" spans="1:48" ht="21.75" customHeight="1">
      <c r="A7" s="53"/>
      <c r="B7" s="377"/>
      <c r="C7" s="549"/>
      <c r="D7" s="378"/>
      <c r="E7" s="378"/>
      <c r="F7" s="378"/>
      <c r="G7" s="378"/>
      <c r="H7" s="378"/>
      <c r="I7" s="378"/>
      <c r="J7" s="378"/>
      <c r="K7" s="378"/>
      <c r="L7" s="564"/>
      <c r="M7" s="567"/>
      <c r="N7" s="566"/>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row>
    <row r="8" spans="1:48" ht="12.75" customHeight="1">
      <c r="A8" s="53"/>
      <c r="B8" s="327" t="s">
        <v>324</v>
      </c>
      <c r="C8" s="549"/>
      <c r="D8" s="379" t="s">
        <v>404</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row>
    <row r="9" spans="1:48" ht="12.75" customHeight="1">
      <c r="A9" s="53"/>
      <c r="B9" s="377"/>
      <c r="C9" s="549"/>
      <c r="D9" s="314" t="s">
        <v>326</v>
      </c>
      <c r="E9" s="314"/>
      <c r="F9" s="380">
        <v>150</v>
      </c>
      <c r="G9" s="314" t="s">
        <v>327</v>
      </c>
      <c r="H9" s="378"/>
      <c r="I9" s="378"/>
      <c r="J9" s="378"/>
      <c r="K9" s="378"/>
      <c r="L9" s="378"/>
      <c r="M9" s="378"/>
      <c r="N9" s="378"/>
      <c r="O9" s="378"/>
      <c r="P9" s="53"/>
      <c r="Q9" s="53"/>
      <c r="R9" s="138"/>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row>
    <row r="10" spans="1:48" ht="12.75" customHeight="1">
      <c r="A10" s="53"/>
      <c r="B10" s="53"/>
      <c r="C10" s="549"/>
      <c r="D10" s="53"/>
      <c r="E10" s="53"/>
      <c r="F10" s="380">
        <v>1</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row>
    <row r="11" spans="1:48" ht="12.75" customHeight="1">
      <c r="A11" s="53"/>
      <c r="B11" s="53"/>
      <c r="C11" s="549"/>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c r="AS11" s="381"/>
    </row>
    <row r="12" spans="1:48" ht="12.75" customHeight="1">
      <c r="A12" s="53"/>
      <c r="B12" s="53"/>
      <c r="C12" s="549"/>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c r="AS12" s="560"/>
    </row>
    <row r="13" spans="1:48" ht="12.75" customHeight="1">
      <c r="A13" s="53"/>
      <c r="B13" s="53"/>
      <c r="C13" s="549"/>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c r="AS13" s="382"/>
    </row>
    <row r="14" spans="1:48" ht="12.75" customHeight="1">
      <c r="A14" s="53"/>
      <c r="B14" s="53"/>
      <c r="C14" s="549"/>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c r="AS14" s="382"/>
    </row>
    <row r="15" spans="1:48" ht="12.75" customHeight="1">
      <c r="A15" s="53"/>
      <c r="B15" s="328" t="s">
        <v>246</v>
      </c>
      <c r="C15" s="389" t="str">
        <f t="shared" ref="C15:C28" si="0">D$6&amp;"."&amp;B15</f>
        <v>Street Light.Monthly Service Charge</v>
      </c>
      <c r="D15" s="390" t="s">
        <v>335</v>
      </c>
      <c r="E15" s="328"/>
      <c r="F15" s="391">
        <f>IFERROR(VLOOKUP($C15,'Proposed Rates'!$B:$J,F$11,FALSE),0)</f>
        <v>1.1200000000000001</v>
      </c>
      <c r="G15" s="409">
        <f t="shared" ref="G15:G28" si="1">IF($D15="Monthly",1,IF($D15="per KW",$F$10,IF($D15="per kWh",$F$9,0)))</f>
        <v>1</v>
      </c>
      <c r="H15" s="394">
        <f t="shared" ref="H15:H28" si="2">G15*F15</f>
        <v>1.1200000000000001</v>
      </c>
      <c r="I15" s="138"/>
      <c r="J15" s="391">
        <f>IFERROR(VLOOKUP($C15,'Proposed Rates'!$B:$J,J$11,FALSE),0)</f>
        <v>1.19</v>
      </c>
      <c r="K15" s="409">
        <f t="shared" ref="K15:K28" si="3">IF($D15="Monthly",1,IF($D15="per KW",$F$10,IF($D15="per kWh",$F$9,0)))</f>
        <v>1</v>
      </c>
      <c r="L15" s="394">
        <f t="shared" ref="L15:L28" si="4">K15*J15</f>
        <v>1.19</v>
      </c>
      <c r="M15" s="138"/>
      <c r="N15" s="395">
        <f t="shared" ref="N15:N46" si="5">L15-H15</f>
        <v>6.999999999999984E-2</v>
      </c>
      <c r="O15" s="396">
        <f t="shared" ref="O15:O46" si="6">IF((H15)=0,"",(N15/H15))</f>
        <v>6.2499999999999854E-2</v>
      </c>
      <c r="P15" s="53"/>
      <c r="Q15" s="391">
        <f>IFERROR(VLOOKUP($C15,'Proposed Rates'!$B:$J,Q$11,FALSE),0)</f>
        <v>1.1599999999999999</v>
      </c>
      <c r="R15" s="409">
        <f t="shared" ref="R15:R28" si="7">IF($D15="Monthly",1,IF($D15="per KW",$F$10,IF($D15="per kWh",$F$9,0)))</f>
        <v>1</v>
      </c>
      <c r="S15" s="394">
        <f t="shared" ref="S15:S28" si="8">R15*Q15</f>
        <v>1.1599999999999999</v>
      </c>
      <c r="T15" s="138"/>
      <c r="U15" s="395">
        <f t="shared" ref="U15:U46" si="9">S15-L15</f>
        <v>-3.0000000000000027E-2</v>
      </c>
      <c r="V15" s="396">
        <f t="shared" ref="V15:V46" si="10">IF((L15)=0,"",(U15/L15))</f>
        <v>-2.521008403361347E-2</v>
      </c>
      <c r="W15" s="53"/>
      <c r="X15" s="391">
        <f>IFERROR(VLOOKUP($C15,'Proposed Rates'!$B:$J,X$11,FALSE),0)</f>
        <v>1.21</v>
      </c>
      <c r="Y15" s="409">
        <f t="shared" ref="Y15:Y28" si="11">IF($D15="Monthly",1,IF($D15="per KW",$F$10,IF($D15="per kWh",$F$9,0)))</f>
        <v>1</v>
      </c>
      <c r="Z15" s="394">
        <f t="shared" ref="Z15:Z28" si="12">Y15*X15</f>
        <v>1.21</v>
      </c>
      <c r="AA15" s="138"/>
      <c r="AB15" s="395">
        <f t="shared" ref="AB15:AB46" si="13">Z15-S15</f>
        <v>5.0000000000000044E-2</v>
      </c>
      <c r="AC15" s="396">
        <f t="shared" ref="AC15:AC46" si="14">IF((S15)=0,"",(AB15/S15))</f>
        <v>4.3103448275862113E-2</v>
      </c>
      <c r="AD15" s="53"/>
      <c r="AE15" s="391">
        <f>IFERROR(VLOOKUP($C15,'Proposed Rates'!$B:$J,AE$11,FALSE),0)</f>
        <v>1.2</v>
      </c>
      <c r="AF15" s="409">
        <f t="shared" ref="AF15:AF28" si="15">IF($D15="Monthly",1,IF($D15="per KW",$F$10,IF($D15="per kWh",$F$9,0)))</f>
        <v>1</v>
      </c>
      <c r="AG15" s="394">
        <f t="shared" ref="AG15:AG28" si="16">AF15*AE15</f>
        <v>1.2</v>
      </c>
      <c r="AH15" s="138"/>
      <c r="AI15" s="395">
        <f t="shared" ref="AI15:AI46" si="17">AG15-Z15</f>
        <v>-1.0000000000000009E-2</v>
      </c>
      <c r="AJ15" s="396">
        <f t="shared" ref="AJ15:AJ46" si="18">IF((Z15)=0,"",(AI15/Z15))</f>
        <v>-8.2644628099173625E-3</v>
      </c>
      <c r="AK15" s="53"/>
      <c r="AL15" s="391">
        <f>IFERROR(VLOOKUP($C15,'Proposed Rates'!$B:$J,AL$11,FALSE),0)</f>
        <v>1.21</v>
      </c>
      <c r="AM15" s="409">
        <f t="shared" ref="AM15:AM28" si="19">IF($D15="Monthly",1,IF($D15="per KW",$F$10,IF($D15="per kWh",$F$9,0)))</f>
        <v>1</v>
      </c>
      <c r="AN15" s="394">
        <f t="shared" ref="AN15:AN28" si="20">AM15*AL15</f>
        <v>1.21</v>
      </c>
      <c r="AO15" s="138"/>
      <c r="AP15" s="395">
        <f t="shared" ref="AP15:AP46" si="21">AN15-AG15</f>
        <v>1.0000000000000009E-2</v>
      </c>
      <c r="AQ15" s="396">
        <f t="shared" ref="AQ15:AQ46" si="22">IF((AG15)=0,"",(AP15/AG15))</f>
        <v>8.3333333333333419E-3</v>
      </c>
      <c r="AR15" s="397"/>
      <c r="AS15" s="397"/>
    </row>
    <row r="16" spans="1:48" ht="12.75" customHeight="1">
      <c r="A16" s="53"/>
      <c r="B16" s="328" t="s">
        <v>336</v>
      </c>
      <c r="C16" s="389" t="str">
        <f t="shared" si="0"/>
        <v>Street Light.Smart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c r="AS16" s="397"/>
    </row>
    <row r="17" spans="1:45" ht="12.75" customHeight="1">
      <c r="A17" s="53"/>
      <c r="B17" s="398" t="str">
        <f>'Proposed Rates'!C115</f>
        <v>Rate Rider Calculation for Forgone Revenue - variable</v>
      </c>
      <c r="C17" s="389" t="str">
        <f t="shared" si="0"/>
        <v>Street Light.Rate Rider Calculation for Forgone Revenue - variable</v>
      </c>
      <c r="D17" s="390" t="s">
        <v>406</v>
      </c>
      <c r="E17" s="328"/>
      <c r="F17" s="391">
        <f>IFERROR(VLOOKUP($C17,'Proposed Rates'!$B:$J,F$11,FALSE),0)</f>
        <v>0</v>
      </c>
      <c r="G17" s="409">
        <f t="shared" si="1"/>
        <v>1</v>
      </c>
      <c r="H17" s="394">
        <f t="shared" si="2"/>
        <v>0</v>
      </c>
      <c r="I17" s="138"/>
      <c r="J17" s="391">
        <f>IFERROR(VLOOKUP($C17,'Proposed Rates'!$B:$J,J$11,FALSE),0)</f>
        <v>0.20150000000000001</v>
      </c>
      <c r="K17" s="409">
        <f t="shared" si="3"/>
        <v>1</v>
      </c>
      <c r="L17" s="394">
        <f t="shared" si="4"/>
        <v>0.20150000000000001</v>
      </c>
      <c r="M17" s="138"/>
      <c r="N17" s="395">
        <f t="shared" si="5"/>
        <v>0.20150000000000001</v>
      </c>
      <c r="O17" s="396" t="str">
        <f t="shared" si="6"/>
        <v/>
      </c>
      <c r="P17" s="53"/>
      <c r="Q17" s="391">
        <f>IFERROR(VLOOKUP($C17,'Proposed Rates'!$B:$J,Q$11,FALSE),0)</f>
        <v>0.20150000000000001</v>
      </c>
      <c r="R17" s="409">
        <f t="shared" si="7"/>
        <v>1</v>
      </c>
      <c r="S17" s="394">
        <f t="shared" si="8"/>
        <v>0.20150000000000001</v>
      </c>
      <c r="T17" s="138"/>
      <c r="U17" s="395">
        <f t="shared" si="9"/>
        <v>0</v>
      </c>
      <c r="V17" s="396">
        <f t="shared" si="10"/>
        <v>0</v>
      </c>
      <c r="W17" s="53"/>
      <c r="X17" s="391">
        <f>IFERROR(VLOOKUP($C17,'Proposed Rates'!$B:$J,X$11,FALSE),0)</f>
        <v>0</v>
      </c>
      <c r="Y17" s="409">
        <f t="shared" si="11"/>
        <v>1</v>
      </c>
      <c r="Z17" s="394">
        <f t="shared" si="12"/>
        <v>0</v>
      </c>
      <c r="AA17" s="138"/>
      <c r="AB17" s="395">
        <f t="shared" si="13"/>
        <v>-0.20150000000000001</v>
      </c>
      <c r="AC17" s="396">
        <f t="shared" si="14"/>
        <v>-1</v>
      </c>
      <c r="AD17" s="53"/>
      <c r="AE17" s="391">
        <f>IFERROR(VLOOKUP($C17,'Proposed Rates'!$B:$J,AE$11,FALSE),0)</f>
        <v>0</v>
      </c>
      <c r="AF17" s="409">
        <f t="shared" si="15"/>
        <v>1</v>
      </c>
      <c r="AG17" s="394">
        <f t="shared" si="16"/>
        <v>0</v>
      </c>
      <c r="AH17" s="138"/>
      <c r="AI17" s="395">
        <f t="shared" si="17"/>
        <v>0</v>
      </c>
      <c r="AJ17" s="396" t="str">
        <f t="shared" si="18"/>
        <v/>
      </c>
      <c r="AK17" s="53"/>
      <c r="AL17" s="391">
        <f>IFERROR(VLOOKUP($C17,'Proposed Rates'!$B:$J,AL$11,FALSE),0)</f>
        <v>0</v>
      </c>
      <c r="AM17" s="409">
        <f t="shared" si="19"/>
        <v>1</v>
      </c>
      <c r="AN17" s="394">
        <f t="shared" si="20"/>
        <v>0</v>
      </c>
      <c r="AO17" s="138"/>
      <c r="AP17" s="395">
        <f t="shared" si="21"/>
        <v>0</v>
      </c>
      <c r="AQ17" s="396" t="str">
        <f t="shared" si="22"/>
        <v/>
      </c>
      <c r="AR17" s="397"/>
      <c r="AS17" s="397"/>
    </row>
    <row r="18" spans="1:45" ht="12.75" customHeight="1">
      <c r="A18" s="53"/>
      <c r="B18" s="398" t="str">
        <f>'Proposed Rates'!C128</f>
        <v>Rate Rider Calculation for Forgone Revenue - fixed</v>
      </c>
      <c r="C18" s="389" t="str">
        <f t="shared" si="0"/>
        <v>Street Light.Rate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0.03</v>
      </c>
      <c r="K18" s="409">
        <f t="shared" si="3"/>
        <v>1</v>
      </c>
      <c r="L18" s="394">
        <f t="shared" si="4"/>
        <v>0.03</v>
      </c>
      <c r="M18" s="138"/>
      <c r="N18" s="395">
        <f t="shared" si="5"/>
        <v>0.03</v>
      </c>
      <c r="O18" s="396" t="str">
        <f t="shared" si="6"/>
        <v/>
      </c>
      <c r="P18" s="53"/>
      <c r="Q18" s="391">
        <f>IFERROR(VLOOKUP($C18,'Proposed Rates'!$B:$J,Q$11,FALSE),0)</f>
        <v>0.03</v>
      </c>
      <c r="R18" s="409">
        <f t="shared" si="7"/>
        <v>1</v>
      </c>
      <c r="S18" s="394">
        <f t="shared" si="8"/>
        <v>0.03</v>
      </c>
      <c r="T18" s="138"/>
      <c r="U18" s="395">
        <f t="shared" si="9"/>
        <v>0</v>
      </c>
      <c r="V18" s="396">
        <f t="shared" si="10"/>
        <v>0</v>
      </c>
      <c r="W18" s="53"/>
      <c r="X18" s="391">
        <f>IFERROR(VLOOKUP($C18,'Proposed Rates'!$B:$J,X$11,FALSE),0)</f>
        <v>0</v>
      </c>
      <c r="Y18" s="409">
        <f t="shared" si="11"/>
        <v>1</v>
      </c>
      <c r="Z18" s="394">
        <f t="shared" si="12"/>
        <v>0</v>
      </c>
      <c r="AA18" s="138"/>
      <c r="AB18" s="395">
        <f t="shared" si="13"/>
        <v>-0.03</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c r="AS18" s="397"/>
    </row>
    <row r="19" spans="1:45" ht="12.75" customHeight="1">
      <c r="A19" s="53"/>
      <c r="B19" s="328" t="s">
        <v>62</v>
      </c>
      <c r="C19" s="389" t="str">
        <f t="shared" si="0"/>
        <v>Street Light.Distribution Volumetric Rate</v>
      </c>
      <c r="D19" s="390" t="s">
        <v>406</v>
      </c>
      <c r="E19" s="328"/>
      <c r="F19" s="408">
        <f>IFERROR(VLOOKUP($C19,'Proposed Rates'!$B:$J,F$11,FALSE),0)</f>
        <v>7.8163999999999998</v>
      </c>
      <c r="G19" s="409">
        <f t="shared" si="1"/>
        <v>1</v>
      </c>
      <c r="H19" s="394">
        <f t="shared" si="2"/>
        <v>7.8163999999999998</v>
      </c>
      <c r="I19" s="138"/>
      <c r="J19" s="408">
        <f>IFERROR(VLOOKUP($C19,'Proposed Rates'!$B:$J,J$11,FALSE),0)</f>
        <v>8.3054000000000006</v>
      </c>
      <c r="K19" s="409">
        <f t="shared" si="3"/>
        <v>1</v>
      </c>
      <c r="L19" s="394">
        <f t="shared" si="4"/>
        <v>8.3054000000000006</v>
      </c>
      <c r="M19" s="138"/>
      <c r="N19" s="395">
        <f t="shared" si="5"/>
        <v>0.48900000000000077</v>
      </c>
      <c r="O19" s="396">
        <f t="shared" si="6"/>
        <v>6.2560769663783933E-2</v>
      </c>
      <c r="P19" s="53"/>
      <c r="Q19" s="408">
        <f>IFERROR(VLOOKUP($C19,'Proposed Rates'!$B:$J,Q$11,FALSE),0)</f>
        <v>8.0134000000000007</v>
      </c>
      <c r="R19" s="409">
        <f t="shared" si="7"/>
        <v>1</v>
      </c>
      <c r="S19" s="394">
        <f t="shared" si="8"/>
        <v>8.0134000000000007</v>
      </c>
      <c r="T19" s="138"/>
      <c r="U19" s="395">
        <f t="shared" si="9"/>
        <v>-0.29199999999999982</v>
      </c>
      <c r="V19" s="396">
        <f t="shared" si="10"/>
        <v>-3.5157849110217423E-2</v>
      </c>
      <c r="W19" s="53"/>
      <c r="X19" s="408">
        <f>IFERROR(VLOOKUP($C19,'Proposed Rates'!$B:$J,X$11,FALSE),0)</f>
        <v>8.4370999999999992</v>
      </c>
      <c r="Y19" s="409">
        <f t="shared" si="11"/>
        <v>1</v>
      </c>
      <c r="Z19" s="394">
        <f t="shared" si="12"/>
        <v>8.4370999999999992</v>
      </c>
      <c r="AA19" s="138"/>
      <c r="AB19" s="395">
        <f t="shared" si="13"/>
        <v>0.42369999999999841</v>
      </c>
      <c r="AC19" s="396">
        <f t="shared" si="14"/>
        <v>5.2873936156936925E-2</v>
      </c>
      <c r="AD19" s="53"/>
      <c r="AE19" s="408">
        <f>IFERROR(VLOOKUP($C19,'Proposed Rates'!$B:$J,AE$11,FALSE),0)</f>
        <v>8.3188999999999993</v>
      </c>
      <c r="AF19" s="409">
        <f t="shared" si="15"/>
        <v>1</v>
      </c>
      <c r="AG19" s="394">
        <f t="shared" si="16"/>
        <v>8.3188999999999993</v>
      </c>
      <c r="AH19" s="138"/>
      <c r="AI19" s="395">
        <f t="shared" si="17"/>
        <v>-0.11819999999999986</v>
      </c>
      <c r="AJ19" s="396">
        <f t="shared" si="18"/>
        <v>-1.4009553045477697E-2</v>
      </c>
      <c r="AK19" s="53"/>
      <c r="AL19" s="408">
        <f>IFERROR(VLOOKUP($C19,'Proposed Rates'!$B:$J,AL$11,FALSE),0)</f>
        <v>8.4146999999999998</v>
      </c>
      <c r="AM19" s="409">
        <f t="shared" si="19"/>
        <v>1</v>
      </c>
      <c r="AN19" s="394">
        <f t="shared" si="20"/>
        <v>8.4146999999999998</v>
      </c>
      <c r="AO19" s="138"/>
      <c r="AP19" s="395">
        <f t="shared" si="21"/>
        <v>9.5800000000000551E-2</v>
      </c>
      <c r="AQ19" s="396">
        <f t="shared" si="22"/>
        <v>1.1515945617810113E-2</v>
      </c>
      <c r="AR19" s="397"/>
      <c r="AS19" s="397"/>
    </row>
    <row r="20" spans="1:45" ht="12.75" customHeight="1">
      <c r="A20" s="53"/>
      <c r="B20" s="328" t="s">
        <v>338</v>
      </c>
      <c r="C20" s="389" t="str">
        <f t="shared" si="0"/>
        <v>Street Light.Smart Meter Disposition Rider</v>
      </c>
      <c r="D20" s="390" t="s">
        <v>337</v>
      </c>
      <c r="E20" s="328"/>
      <c r="F20" s="391">
        <f>IFERROR(VLOOKUP($C20,'Proposed Rates'!$B:$J,F$11,FALSE),0)</f>
        <v>0</v>
      </c>
      <c r="G20" s="409">
        <f t="shared" si="1"/>
        <v>150</v>
      </c>
      <c r="H20" s="394">
        <f t="shared" si="2"/>
        <v>0</v>
      </c>
      <c r="I20" s="138"/>
      <c r="J20" s="391">
        <f>IFERROR(VLOOKUP($C20,'Proposed Rates'!$B:$J,J$11,FALSE),0)</f>
        <v>0</v>
      </c>
      <c r="K20" s="409">
        <f t="shared" si="3"/>
        <v>150</v>
      </c>
      <c r="L20" s="394">
        <f t="shared" si="4"/>
        <v>0</v>
      </c>
      <c r="M20" s="138"/>
      <c r="N20" s="395">
        <f t="shared" si="5"/>
        <v>0</v>
      </c>
      <c r="O20" s="396" t="str">
        <f t="shared" si="6"/>
        <v/>
      </c>
      <c r="P20" s="53"/>
      <c r="Q20" s="391">
        <f>IFERROR(VLOOKUP($C20,'Proposed Rates'!$B:$J,Q$11,FALSE),0)</f>
        <v>0</v>
      </c>
      <c r="R20" s="409">
        <f t="shared" si="7"/>
        <v>150</v>
      </c>
      <c r="S20" s="394">
        <f t="shared" si="8"/>
        <v>0</v>
      </c>
      <c r="T20" s="138"/>
      <c r="U20" s="395">
        <f t="shared" si="9"/>
        <v>0</v>
      </c>
      <c r="V20" s="396" t="str">
        <f t="shared" si="10"/>
        <v/>
      </c>
      <c r="W20" s="53"/>
      <c r="X20" s="391">
        <f>IFERROR(VLOOKUP($C20,'Proposed Rates'!$B:$J,X$11,FALSE),0)</f>
        <v>0</v>
      </c>
      <c r="Y20" s="409">
        <f t="shared" si="11"/>
        <v>150</v>
      </c>
      <c r="Z20" s="394">
        <f t="shared" si="12"/>
        <v>0</v>
      </c>
      <c r="AA20" s="138"/>
      <c r="AB20" s="395">
        <f t="shared" si="13"/>
        <v>0</v>
      </c>
      <c r="AC20" s="396" t="str">
        <f t="shared" si="14"/>
        <v/>
      </c>
      <c r="AD20" s="53"/>
      <c r="AE20" s="391">
        <f>IFERROR(VLOOKUP($C20,'Proposed Rates'!$B:$J,AE$11,FALSE),0)</f>
        <v>0</v>
      </c>
      <c r="AF20" s="409">
        <f t="shared" si="15"/>
        <v>150</v>
      </c>
      <c r="AG20" s="394">
        <f t="shared" si="16"/>
        <v>0</v>
      </c>
      <c r="AH20" s="138"/>
      <c r="AI20" s="395">
        <f t="shared" si="17"/>
        <v>0</v>
      </c>
      <c r="AJ20" s="396" t="str">
        <f t="shared" si="18"/>
        <v/>
      </c>
      <c r="AK20" s="53"/>
      <c r="AL20" s="391">
        <f>IFERROR(VLOOKUP($C20,'Proposed Rates'!$B:$J,AL$11,FALSE),0)</f>
        <v>0</v>
      </c>
      <c r="AM20" s="409">
        <f t="shared" si="19"/>
        <v>150</v>
      </c>
      <c r="AN20" s="394">
        <f t="shared" si="20"/>
        <v>0</v>
      </c>
      <c r="AO20" s="138"/>
      <c r="AP20" s="395">
        <f t="shared" si="21"/>
        <v>0</v>
      </c>
      <c r="AQ20" s="396" t="str">
        <f t="shared" si="22"/>
        <v/>
      </c>
      <c r="AR20" s="397"/>
      <c r="AS20" s="397"/>
    </row>
    <row r="21" spans="1:45" ht="12.75" customHeight="1">
      <c r="A21" s="53"/>
      <c r="B21" s="328" t="s">
        <v>269</v>
      </c>
      <c r="C21" s="389" t="str">
        <f t="shared" si="0"/>
        <v>Street Light.LRAM Rate Rider</v>
      </c>
      <c r="D21" s="390" t="s">
        <v>406</v>
      </c>
      <c r="E21" s="328"/>
      <c r="F21" s="408">
        <f>'Proposed Rates'!E82+'Proposed Rates'!E95</f>
        <v>4.8925000000000001</v>
      </c>
      <c r="G21" s="409">
        <f t="shared" si="1"/>
        <v>1</v>
      </c>
      <c r="H21" s="394">
        <f t="shared" si="2"/>
        <v>4.8925000000000001</v>
      </c>
      <c r="I21" s="138"/>
      <c r="J21" s="408">
        <f>'Proposed Rates'!F82+'Proposed Rates'!F95</f>
        <v>3.8487999999999998</v>
      </c>
      <c r="K21" s="409">
        <f t="shared" si="3"/>
        <v>1</v>
      </c>
      <c r="L21" s="394">
        <f t="shared" si="4"/>
        <v>3.8487999999999998</v>
      </c>
      <c r="M21" s="138"/>
      <c r="N21" s="395">
        <f t="shared" si="5"/>
        <v>-1.0437000000000003</v>
      </c>
      <c r="O21" s="396">
        <f t="shared" si="6"/>
        <v>-0.21332652018395509</v>
      </c>
      <c r="P21" s="53"/>
      <c r="Q21" s="408">
        <f>'Proposed Rates'!G82+'Proposed Rates'!G95</f>
        <v>0</v>
      </c>
      <c r="R21" s="409">
        <f t="shared" si="7"/>
        <v>1</v>
      </c>
      <c r="S21" s="394">
        <f t="shared" si="8"/>
        <v>0</v>
      </c>
      <c r="T21" s="138"/>
      <c r="U21" s="395">
        <f t="shared" si="9"/>
        <v>-3.8487999999999998</v>
      </c>
      <c r="V21" s="396">
        <f t="shared" si="10"/>
        <v>-1</v>
      </c>
      <c r="W21" s="53"/>
      <c r="X21" s="408">
        <f>IFERROR(VLOOKUP($C21,'Proposed Rates'!$B:$J,X$11,FALSE),0)</f>
        <v>0</v>
      </c>
      <c r="Y21" s="409">
        <f t="shared" si="11"/>
        <v>1</v>
      </c>
      <c r="Z21" s="394">
        <f t="shared" si="12"/>
        <v>0</v>
      </c>
      <c r="AA21" s="138"/>
      <c r="AB21" s="395">
        <f t="shared" si="13"/>
        <v>0</v>
      </c>
      <c r="AC21" s="396" t="str">
        <f t="shared" si="14"/>
        <v/>
      </c>
      <c r="AD21" s="53"/>
      <c r="AE21" s="408">
        <f>IFERROR(VLOOKUP($C21,'Proposed Rates'!$B:$J,AE$11,FALSE),0)</f>
        <v>0</v>
      </c>
      <c r="AF21" s="409">
        <f t="shared" si="15"/>
        <v>1</v>
      </c>
      <c r="AG21" s="394">
        <f t="shared" si="16"/>
        <v>0</v>
      </c>
      <c r="AH21" s="138"/>
      <c r="AI21" s="395">
        <f t="shared" si="17"/>
        <v>0</v>
      </c>
      <c r="AJ21" s="396" t="str">
        <f t="shared" si="18"/>
        <v/>
      </c>
      <c r="AK21" s="53"/>
      <c r="AL21" s="408">
        <f>IFERROR(VLOOKUP($C21,'Proposed Rates'!$B:$J,AL$11,FALSE),0)</f>
        <v>0</v>
      </c>
      <c r="AM21" s="409">
        <f t="shared" si="19"/>
        <v>1</v>
      </c>
      <c r="AN21" s="394">
        <f t="shared" si="20"/>
        <v>0</v>
      </c>
      <c r="AO21" s="138"/>
      <c r="AP21" s="395">
        <f t="shared" si="21"/>
        <v>0</v>
      </c>
      <c r="AQ21" s="396" t="str">
        <f t="shared" si="22"/>
        <v/>
      </c>
      <c r="AR21" s="397"/>
      <c r="AS21" s="397"/>
    </row>
    <row r="22" spans="1:45" ht="12.75" customHeight="1">
      <c r="A22" s="53"/>
      <c r="B22" s="398" t="s">
        <v>265</v>
      </c>
      <c r="C22" s="389" t="str">
        <f t="shared" si="0"/>
        <v>Street Light.Deferral/Variance Account Disposition Rate Rider Group 2</v>
      </c>
      <c r="D22" s="390" t="s">
        <v>406</v>
      </c>
      <c r="E22" s="328"/>
      <c r="F22" s="391">
        <f>IFERROR(VLOOKUP($C22,'Proposed Rates'!$B:$J,F$11,FALSE),0)</f>
        <v>0</v>
      </c>
      <c r="G22" s="409">
        <f t="shared" si="1"/>
        <v>1</v>
      </c>
      <c r="H22" s="394">
        <f t="shared" si="2"/>
        <v>0</v>
      </c>
      <c r="I22" s="138"/>
      <c r="J22" s="391">
        <f>IFERROR(VLOOKUP($C22,'Proposed Rates'!$B:$J,J$11,FALSE),0)</f>
        <v>-0.71650000000000003</v>
      </c>
      <c r="K22" s="409">
        <f t="shared" si="3"/>
        <v>1</v>
      </c>
      <c r="L22" s="394">
        <f t="shared" si="4"/>
        <v>-0.71650000000000003</v>
      </c>
      <c r="M22" s="138"/>
      <c r="N22" s="395">
        <f t="shared" si="5"/>
        <v>-0.71650000000000003</v>
      </c>
      <c r="O22" s="396" t="str">
        <f t="shared" si="6"/>
        <v/>
      </c>
      <c r="P22" s="53"/>
      <c r="Q22" s="391">
        <f>IFERROR(VLOOKUP($C22,'Proposed Rates'!$B:$J,Q$11,FALSE),0)</f>
        <v>0</v>
      </c>
      <c r="R22" s="409">
        <f t="shared" si="7"/>
        <v>1</v>
      </c>
      <c r="S22" s="394">
        <f t="shared" si="8"/>
        <v>0</v>
      </c>
      <c r="T22" s="138"/>
      <c r="U22" s="395">
        <f t="shared" si="9"/>
        <v>0.71650000000000003</v>
      </c>
      <c r="V22" s="396">
        <f t="shared" si="10"/>
        <v>-1</v>
      </c>
      <c r="W22" s="53"/>
      <c r="X22" s="391">
        <f>IFERROR(VLOOKUP($C22,'Proposed Rates'!$B:$J,X$11,FALSE),0)</f>
        <v>0</v>
      </c>
      <c r="Y22" s="409">
        <f t="shared" si="11"/>
        <v>1</v>
      </c>
      <c r="Z22" s="394">
        <f t="shared" si="12"/>
        <v>0</v>
      </c>
      <c r="AA22" s="138"/>
      <c r="AB22" s="395">
        <f t="shared" si="13"/>
        <v>0</v>
      </c>
      <c r="AC22" s="396" t="str">
        <f t="shared" si="14"/>
        <v/>
      </c>
      <c r="AD22" s="53"/>
      <c r="AE22" s="391">
        <f>IFERROR(VLOOKUP($C22,'Proposed Rates'!$B:$J,AE$11,FALSE),0)</f>
        <v>0</v>
      </c>
      <c r="AF22" s="409">
        <f t="shared" si="15"/>
        <v>1</v>
      </c>
      <c r="AG22" s="394">
        <f t="shared" si="16"/>
        <v>0</v>
      </c>
      <c r="AH22" s="138"/>
      <c r="AI22" s="395">
        <f t="shared" si="17"/>
        <v>0</v>
      </c>
      <c r="AJ22" s="396" t="str">
        <f t="shared" si="18"/>
        <v/>
      </c>
      <c r="AK22" s="53"/>
      <c r="AL22" s="391">
        <f>IFERROR(VLOOKUP($C22,'Proposed Rates'!$B:$J,AL$11,FALSE),0)</f>
        <v>0</v>
      </c>
      <c r="AM22" s="409">
        <f t="shared" si="19"/>
        <v>1</v>
      </c>
      <c r="AN22" s="394">
        <f t="shared" si="20"/>
        <v>0</v>
      </c>
      <c r="AO22" s="138"/>
      <c r="AP22" s="395">
        <f t="shared" si="21"/>
        <v>0</v>
      </c>
      <c r="AQ22" s="396" t="str">
        <f t="shared" si="22"/>
        <v/>
      </c>
      <c r="AR22" s="397"/>
      <c r="AS22" s="397"/>
    </row>
    <row r="23" spans="1:45" ht="12.75" customHeight="1">
      <c r="A23" s="53"/>
      <c r="B23" s="398"/>
      <c r="C23" s="389" t="str">
        <f t="shared" si="0"/>
        <v>Street Light.</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c r="AS23" s="397"/>
    </row>
    <row r="24" spans="1:45" ht="12.75" customHeight="1">
      <c r="A24" s="53"/>
      <c r="B24" s="398"/>
      <c r="C24" s="389" t="str">
        <f t="shared" si="0"/>
        <v>Street Light.</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c r="AS24" s="397"/>
    </row>
    <row r="25" spans="1:45" ht="12.75" customHeight="1">
      <c r="A25" s="53"/>
      <c r="B25" s="398"/>
      <c r="C25" s="389" t="str">
        <f t="shared" si="0"/>
        <v>Street Light.</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c r="AS25" s="397"/>
    </row>
    <row r="26" spans="1:45" ht="12.75" customHeight="1">
      <c r="A26" s="53"/>
      <c r="B26" s="398"/>
      <c r="C26" s="389" t="str">
        <f t="shared" si="0"/>
        <v>Street Light.</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c r="AS26" s="397"/>
    </row>
    <row r="27" spans="1:45" ht="12.75" customHeight="1">
      <c r="A27" s="53"/>
      <c r="B27" s="398"/>
      <c r="C27" s="389" t="str">
        <f t="shared" si="0"/>
        <v>Street Light.</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c r="AS27" s="397"/>
    </row>
    <row r="28" spans="1:45" ht="12.75" customHeight="1">
      <c r="A28" s="53"/>
      <c r="B28" s="398"/>
      <c r="C28" s="389" t="str">
        <f t="shared" si="0"/>
        <v>Street Light.</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c r="AS28" s="397"/>
    </row>
    <row r="29" spans="1:45" ht="12.75" customHeight="1">
      <c r="A29" s="314"/>
      <c r="B29" s="399" t="s">
        <v>339</v>
      </c>
      <c r="C29" s="551"/>
      <c r="D29" s="400"/>
      <c r="E29" s="400"/>
      <c r="F29" s="401"/>
      <c r="G29" s="494"/>
      <c r="H29" s="403">
        <f>SUM(H15:H28)</f>
        <v>13.828899999999999</v>
      </c>
      <c r="I29" s="404"/>
      <c r="J29" s="401"/>
      <c r="K29" s="494"/>
      <c r="L29" s="403">
        <f>SUM(L15:L28)</f>
        <v>12.859200000000001</v>
      </c>
      <c r="M29" s="404"/>
      <c r="N29" s="405">
        <f t="shared" si="5"/>
        <v>-0.96969999999999779</v>
      </c>
      <c r="O29" s="406">
        <f t="shared" si="6"/>
        <v>-7.0121267779794327E-2</v>
      </c>
      <c r="P29" s="314"/>
      <c r="Q29" s="401"/>
      <c r="R29" s="494"/>
      <c r="S29" s="403">
        <f>SUM(S15:S28)</f>
        <v>9.4049000000000014</v>
      </c>
      <c r="T29" s="404"/>
      <c r="U29" s="405">
        <f t="shared" si="9"/>
        <v>-3.4542999999999999</v>
      </c>
      <c r="V29" s="406">
        <f t="shared" si="10"/>
        <v>-0.2686247978101281</v>
      </c>
      <c r="W29" s="314"/>
      <c r="X29" s="401"/>
      <c r="Y29" s="494"/>
      <c r="Z29" s="403">
        <f>SUM(Z15:Z28)</f>
        <v>9.6470999999999982</v>
      </c>
      <c r="AA29" s="404"/>
      <c r="AB29" s="405">
        <f t="shared" si="13"/>
        <v>0.24219999999999686</v>
      </c>
      <c r="AC29" s="406">
        <f t="shared" si="14"/>
        <v>2.5752533253941758E-2</v>
      </c>
      <c r="AD29" s="314"/>
      <c r="AE29" s="401"/>
      <c r="AF29" s="494"/>
      <c r="AG29" s="403">
        <f>SUM(AG15:AG28)</f>
        <v>9.5188999999999986</v>
      </c>
      <c r="AH29" s="404"/>
      <c r="AI29" s="405">
        <f t="shared" si="17"/>
        <v>-0.12819999999999965</v>
      </c>
      <c r="AJ29" s="406">
        <f t="shared" si="18"/>
        <v>-1.3288967669040403E-2</v>
      </c>
      <c r="AK29" s="314"/>
      <c r="AL29" s="401"/>
      <c r="AM29" s="494"/>
      <c r="AN29" s="403">
        <f>SUM(AN15:AN28)</f>
        <v>9.6247000000000007</v>
      </c>
      <c r="AO29" s="404"/>
      <c r="AP29" s="405">
        <f t="shared" si="21"/>
        <v>0.10580000000000211</v>
      </c>
      <c r="AQ29" s="406">
        <f t="shared" si="22"/>
        <v>1.1114729643131259E-2</v>
      </c>
      <c r="AR29" s="407"/>
      <c r="AS29" s="407"/>
    </row>
    <row r="30" spans="1:45" ht="12.75" customHeight="1">
      <c r="A30" s="53"/>
      <c r="B30" s="398" t="s">
        <v>262</v>
      </c>
      <c r="C30" s="389" t="str">
        <f t="shared" ref="C30:C38" si="23">D$6&amp;"."&amp;B30</f>
        <v>Street Light.DVA Disposition Rate Rider Group 1 -2025</v>
      </c>
      <c r="D30" s="390" t="s">
        <v>406</v>
      </c>
      <c r="E30" s="328"/>
      <c r="F30" s="408">
        <f>IFERROR(VLOOKUP($C30,'Proposed Rates'!$B:$J,F$11,FALSE),0)</f>
        <v>4.1000000000000002E-2</v>
      </c>
      <c r="G30" s="409">
        <f t="shared" ref="G30:G36" si="24">IF($D30="Monthly",1,IF($D30="per KW",$F$10,IF($D30="per kWh",$F$9,0)))</f>
        <v>1</v>
      </c>
      <c r="H30" s="394">
        <f t="shared" ref="H30:H38" si="25">G30*F30</f>
        <v>4.1000000000000002E-2</v>
      </c>
      <c r="I30" s="138"/>
      <c r="J30" s="561">
        <f>IFERROR(VLOOKUP($C30,'Proposed Rates'!$B:$J,J$11,FALSE),0)</f>
        <v>-0.3805</v>
      </c>
      <c r="K30" s="409">
        <f t="shared" ref="K30:K36" si="26">IF($D30="Monthly",1,IF($D30="per KW",$F$10,IF($D30="per kWh",$F$9,0)))</f>
        <v>1</v>
      </c>
      <c r="L30" s="394">
        <f t="shared" ref="L30:L38" si="27">K30*J30</f>
        <v>-0.3805</v>
      </c>
      <c r="M30" s="138"/>
      <c r="N30" s="395">
        <f t="shared" si="5"/>
        <v>-0.42149999999999999</v>
      </c>
      <c r="O30" s="396">
        <f t="shared" si="6"/>
        <v>-10.280487804878048</v>
      </c>
      <c r="P30" s="53"/>
      <c r="Q30" s="561">
        <f>IFERROR(VLOOKUP($C30,'Proposed Rates'!$B:$J,Q$11,FALSE),0)</f>
        <v>0</v>
      </c>
      <c r="R30" s="409">
        <f t="shared" ref="R30:R36" si="28">IF($D30="Monthly",1,IF($D30="per KW",$F$10,IF($D30="per kWh",$F$9,0)))</f>
        <v>1</v>
      </c>
      <c r="S30" s="394">
        <f t="shared" ref="S30:S38" si="29">R30*Q30</f>
        <v>0</v>
      </c>
      <c r="T30" s="138"/>
      <c r="U30" s="395">
        <f t="shared" si="9"/>
        <v>0.3805</v>
      </c>
      <c r="V30" s="396">
        <f t="shared" si="10"/>
        <v>-1</v>
      </c>
      <c r="W30" s="53"/>
      <c r="X30" s="561">
        <f>IFERROR(VLOOKUP($C30,'Proposed Rates'!$B:$J,X$11,FALSE),0)</f>
        <v>0</v>
      </c>
      <c r="Y30" s="409">
        <f t="shared" ref="Y30:Y36" si="30">IF($D30="Monthly",1,IF($D30="per KW",$F$10,IF($D30="per kWh",$F$9,0)))</f>
        <v>1</v>
      </c>
      <c r="Z30" s="394">
        <f t="shared" ref="Z30:Z38" si="31">Y30*X30</f>
        <v>0</v>
      </c>
      <c r="AA30" s="138"/>
      <c r="AB30" s="395">
        <f t="shared" si="13"/>
        <v>0</v>
      </c>
      <c r="AC30" s="396" t="str">
        <f t="shared" si="14"/>
        <v/>
      </c>
      <c r="AD30" s="53"/>
      <c r="AE30" s="561">
        <f>IFERROR(VLOOKUP($C30,'Proposed Rates'!$B:$J,AE$11,FALSE),0)</f>
        <v>0</v>
      </c>
      <c r="AF30" s="409">
        <f t="shared" ref="AF30:AF36" si="32">IF($D30="Monthly",1,IF($D30="per KW",$F$10,IF($D30="per kWh",$F$9,0)))</f>
        <v>1</v>
      </c>
      <c r="AG30" s="394">
        <f t="shared" ref="AG30:AG38" si="33">AF30*AE30</f>
        <v>0</v>
      </c>
      <c r="AH30" s="138"/>
      <c r="AI30" s="395">
        <f t="shared" si="17"/>
        <v>0</v>
      </c>
      <c r="AJ30" s="396" t="str">
        <f t="shared" si="18"/>
        <v/>
      </c>
      <c r="AK30" s="53"/>
      <c r="AL30" s="561">
        <f>IFERROR(VLOOKUP($C30,'Proposed Rates'!$B:$J,AL$11,FALSE),0)</f>
        <v>0</v>
      </c>
      <c r="AM30" s="409">
        <f t="shared" ref="AM30:AM36" si="34">IF($D30="Monthly",1,IF($D30="per KW",$F$10,IF($D30="per kWh",$F$9,0)))</f>
        <v>1</v>
      </c>
      <c r="AN30" s="394">
        <f t="shared" ref="AN30:AN38" si="35">AM30*AL30</f>
        <v>0</v>
      </c>
      <c r="AO30" s="138"/>
      <c r="AP30" s="395">
        <f t="shared" si="21"/>
        <v>0</v>
      </c>
      <c r="AQ30" s="396" t="str">
        <f t="shared" si="22"/>
        <v/>
      </c>
      <c r="AR30" s="397"/>
      <c r="AS30" s="397"/>
    </row>
    <row r="31" spans="1:45" ht="12.75" customHeight="1">
      <c r="A31" s="53"/>
      <c r="B31" s="398" t="s">
        <v>264</v>
      </c>
      <c r="C31" s="389" t="str">
        <f t="shared" si="23"/>
        <v>Street Light.DVA Disposition Rate Rider Group 1 - 2024</v>
      </c>
      <c r="D31" s="390" t="s">
        <v>406</v>
      </c>
      <c r="E31" s="328"/>
      <c r="F31" s="391">
        <f>IFERROR(VLOOKUP($C31,'Proposed Rates'!$B:$J,F$11,FALSE),0)</f>
        <v>0</v>
      </c>
      <c r="G31" s="409">
        <f t="shared" si="24"/>
        <v>1</v>
      </c>
      <c r="H31" s="394">
        <f t="shared" si="25"/>
        <v>0</v>
      </c>
      <c r="I31" s="138"/>
      <c r="J31" s="391">
        <f>IFERROR(VLOOKUP($C31,'Proposed Rates'!$B:$J,J$11,FALSE),0)</f>
        <v>0</v>
      </c>
      <c r="K31" s="409">
        <f t="shared" si="26"/>
        <v>1</v>
      </c>
      <c r="L31" s="394">
        <f t="shared" si="27"/>
        <v>0</v>
      </c>
      <c r="M31" s="138"/>
      <c r="N31" s="395">
        <f t="shared" si="5"/>
        <v>0</v>
      </c>
      <c r="O31" s="396" t="str">
        <f t="shared" si="6"/>
        <v/>
      </c>
      <c r="P31" s="53"/>
      <c r="Q31" s="391">
        <f>IFERROR(VLOOKUP($C31,'Proposed Rates'!$B:$J,Q$11,FALSE),0)</f>
        <v>0</v>
      </c>
      <c r="R31" s="409">
        <f t="shared" si="28"/>
        <v>1</v>
      </c>
      <c r="S31" s="394">
        <f t="shared" si="29"/>
        <v>0</v>
      </c>
      <c r="T31" s="138"/>
      <c r="U31" s="395">
        <f t="shared" si="9"/>
        <v>0</v>
      </c>
      <c r="V31" s="396" t="str">
        <f t="shared" si="10"/>
        <v/>
      </c>
      <c r="W31" s="53"/>
      <c r="X31" s="391">
        <f>IFERROR(VLOOKUP($C31,'Proposed Rates'!$B:$J,X$11,FALSE),0)</f>
        <v>0</v>
      </c>
      <c r="Y31" s="409">
        <f t="shared" si="30"/>
        <v>1</v>
      </c>
      <c r="Z31" s="394">
        <f t="shared" si="31"/>
        <v>0</v>
      </c>
      <c r="AA31" s="138"/>
      <c r="AB31" s="395">
        <f t="shared" si="13"/>
        <v>0</v>
      </c>
      <c r="AC31" s="396" t="str">
        <f t="shared" si="14"/>
        <v/>
      </c>
      <c r="AD31" s="53"/>
      <c r="AE31" s="391">
        <f>IFERROR(VLOOKUP($C31,'Proposed Rates'!$B:$J,AE$11,FALSE),0)</f>
        <v>0</v>
      </c>
      <c r="AF31" s="409">
        <f t="shared" si="32"/>
        <v>1</v>
      </c>
      <c r="AG31" s="394">
        <f t="shared" si="33"/>
        <v>0</v>
      </c>
      <c r="AH31" s="138"/>
      <c r="AI31" s="395">
        <f t="shared" si="17"/>
        <v>0</v>
      </c>
      <c r="AJ31" s="396" t="str">
        <f t="shared" si="18"/>
        <v/>
      </c>
      <c r="AK31" s="53"/>
      <c r="AL31" s="391">
        <f>IFERROR(VLOOKUP($C31,'Proposed Rates'!$B:$J,AL$11,FALSE),0)</f>
        <v>0</v>
      </c>
      <c r="AM31" s="409">
        <f t="shared" si="34"/>
        <v>1</v>
      </c>
      <c r="AN31" s="394">
        <f t="shared" si="35"/>
        <v>0</v>
      </c>
      <c r="AO31" s="138"/>
      <c r="AP31" s="395">
        <f t="shared" si="21"/>
        <v>0</v>
      </c>
      <c r="AQ31" s="396" t="str">
        <f t="shared" si="22"/>
        <v/>
      </c>
      <c r="AR31" s="397"/>
      <c r="AS31" s="397"/>
    </row>
    <row r="32" spans="1:45" ht="12.75" customHeight="1">
      <c r="A32" s="53"/>
      <c r="B32" s="398" t="s">
        <v>272</v>
      </c>
      <c r="C32" s="389" t="str">
        <f t="shared" si="23"/>
        <v>Street Light.CBR Class B Rate Riders</v>
      </c>
      <c r="D32" s="390" t="s">
        <v>337</v>
      </c>
      <c r="E32" s="328"/>
      <c r="F32" s="408">
        <f>IFERROR(VLOOKUP($C32,'Proposed Rates'!$B:$J,F$11,FALSE),0)</f>
        <v>2.0000000000000001E-4</v>
      </c>
      <c r="G32" s="409">
        <f t="shared" si="24"/>
        <v>150</v>
      </c>
      <c r="H32" s="394">
        <f t="shared" si="25"/>
        <v>3.0000000000000002E-2</v>
      </c>
      <c r="I32" s="479"/>
      <c r="J32" s="408">
        <f>IFERROR(VLOOKUP($C32,'Proposed Rates'!$B:$J,J$11,FALSE),0)</f>
        <v>8.0000000000000004E-4</v>
      </c>
      <c r="K32" s="409">
        <f t="shared" si="26"/>
        <v>150</v>
      </c>
      <c r="L32" s="394">
        <f t="shared" si="27"/>
        <v>0.12000000000000001</v>
      </c>
      <c r="M32" s="411"/>
      <c r="N32" s="395">
        <f t="shared" si="5"/>
        <v>9.0000000000000011E-2</v>
      </c>
      <c r="O32" s="396">
        <f t="shared" si="6"/>
        <v>3</v>
      </c>
      <c r="P32" s="53"/>
      <c r="Q32" s="408">
        <f>IFERROR(VLOOKUP($C32,'Proposed Rates'!$B:$J,Q$11,FALSE),0)</f>
        <v>0</v>
      </c>
      <c r="R32" s="409">
        <f t="shared" si="28"/>
        <v>150</v>
      </c>
      <c r="S32" s="394">
        <f t="shared" si="29"/>
        <v>0</v>
      </c>
      <c r="T32" s="138"/>
      <c r="U32" s="395">
        <f t="shared" si="9"/>
        <v>-0.12000000000000001</v>
      </c>
      <c r="V32" s="396">
        <f t="shared" si="10"/>
        <v>-1</v>
      </c>
      <c r="W32" s="53"/>
      <c r="X32" s="408">
        <f>IFERROR(VLOOKUP($C32,'Proposed Rates'!$B:$J,X$11,FALSE),0)</f>
        <v>0</v>
      </c>
      <c r="Y32" s="409">
        <f t="shared" si="30"/>
        <v>150</v>
      </c>
      <c r="Z32" s="394">
        <f t="shared" si="31"/>
        <v>0</v>
      </c>
      <c r="AA32" s="138"/>
      <c r="AB32" s="395">
        <f t="shared" si="13"/>
        <v>0</v>
      </c>
      <c r="AC32" s="396" t="str">
        <f t="shared" si="14"/>
        <v/>
      </c>
      <c r="AD32" s="53"/>
      <c r="AE32" s="408">
        <f>IFERROR(VLOOKUP($C32,'Proposed Rates'!$B:$J,AE$11,FALSE),0)</f>
        <v>0</v>
      </c>
      <c r="AF32" s="409">
        <f t="shared" si="32"/>
        <v>150</v>
      </c>
      <c r="AG32" s="394">
        <f t="shared" si="33"/>
        <v>0</v>
      </c>
      <c r="AH32" s="138"/>
      <c r="AI32" s="395">
        <f t="shared" si="17"/>
        <v>0</v>
      </c>
      <c r="AJ32" s="396" t="str">
        <f t="shared" si="18"/>
        <v/>
      </c>
      <c r="AK32" s="53"/>
      <c r="AL32" s="408">
        <f>IFERROR(VLOOKUP($C32,'Proposed Rates'!$B:$J,AL$11,FALSE),0)</f>
        <v>0</v>
      </c>
      <c r="AM32" s="409">
        <f t="shared" si="34"/>
        <v>150</v>
      </c>
      <c r="AN32" s="394">
        <f t="shared" si="35"/>
        <v>0</v>
      </c>
      <c r="AO32" s="138"/>
      <c r="AP32" s="395">
        <f t="shared" si="21"/>
        <v>0</v>
      </c>
      <c r="AQ32" s="396" t="str">
        <f t="shared" si="22"/>
        <v/>
      </c>
      <c r="AR32" s="397"/>
      <c r="AS32" s="397"/>
    </row>
    <row r="33" spans="1:45" ht="12.75" customHeight="1">
      <c r="A33" s="53"/>
      <c r="B33" s="398" t="s">
        <v>279</v>
      </c>
      <c r="C33" s="389" t="str">
        <f t="shared" si="23"/>
        <v>Street Light.GA Rate Riders</v>
      </c>
      <c r="D33" s="390" t="s">
        <v>337</v>
      </c>
      <c r="E33" s="328"/>
      <c r="F33" s="408">
        <f>IFERROR(VLOOKUP($C33,'Proposed Rates'!$B:$J,F$11,FALSE),0)</f>
        <v>3.8999999999999998E-3</v>
      </c>
      <c r="G33" s="409">
        <f t="shared" si="24"/>
        <v>150</v>
      </c>
      <c r="H33" s="394">
        <f t="shared" si="25"/>
        <v>0.58499999999999996</v>
      </c>
      <c r="I33" s="479"/>
      <c r="J33" s="408">
        <f>IFERROR(VLOOKUP($C33,'Proposed Rates'!$B:$J,J$11,FALSE),0)</f>
        <v>4.4999999999999997E-3</v>
      </c>
      <c r="K33" s="409">
        <f t="shared" si="26"/>
        <v>150</v>
      </c>
      <c r="L33" s="394">
        <f t="shared" si="27"/>
        <v>0.67499999999999993</v>
      </c>
      <c r="M33" s="411"/>
      <c r="N33" s="395">
        <f t="shared" si="5"/>
        <v>8.9999999999999969E-2</v>
      </c>
      <c r="O33" s="396">
        <f t="shared" si="6"/>
        <v>0.1538461538461538</v>
      </c>
      <c r="P33" s="53"/>
      <c r="Q33" s="408">
        <f>IFERROR(VLOOKUP($C33,'Proposed Rates'!$B:$J,Q$11,FALSE),0)</f>
        <v>4.4999999999999997E-3</v>
      </c>
      <c r="R33" s="409">
        <f t="shared" si="28"/>
        <v>150</v>
      </c>
      <c r="S33" s="394">
        <f t="shared" si="29"/>
        <v>0.67499999999999993</v>
      </c>
      <c r="T33" s="138"/>
      <c r="U33" s="395">
        <f t="shared" si="9"/>
        <v>0</v>
      </c>
      <c r="V33" s="396">
        <f t="shared" si="10"/>
        <v>0</v>
      </c>
      <c r="W33" s="53"/>
      <c r="X33" s="408">
        <f>IFERROR(VLOOKUP($C33,'Proposed Rates'!$B:$J,X$11,FALSE),0)</f>
        <v>0</v>
      </c>
      <c r="Y33" s="409">
        <f t="shared" si="30"/>
        <v>150</v>
      </c>
      <c r="Z33" s="394">
        <f t="shared" si="31"/>
        <v>0</v>
      </c>
      <c r="AA33" s="138"/>
      <c r="AB33" s="395">
        <f t="shared" si="13"/>
        <v>-0.67499999999999993</v>
      </c>
      <c r="AC33" s="396">
        <f t="shared" si="14"/>
        <v>-1</v>
      </c>
      <c r="AD33" s="53"/>
      <c r="AE33" s="408">
        <f>IFERROR(VLOOKUP($C33,'Proposed Rates'!$B:$J,AE$11,FALSE),0)</f>
        <v>0</v>
      </c>
      <c r="AF33" s="409">
        <f t="shared" si="32"/>
        <v>150</v>
      </c>
      <c r="AG33" s="394">
        <f t="shared" si="33"/>
        <v>0</v>
      </c>
      <c r="AH33" s="138"/>
      <c r="AI33" s="395">
        <f t="shared" si="17"/>
        <v>0</v>
      </c>
      <c r="AJ33" s="396" t="str">
        <f t="shared" si="18"/>
        <v/>
      </c>
      <c r="AK33" s="53"/>
      <c r="AL33" s="408">
        <f>IFERROR(VLOOKUP($C33,'Proposed Rates'!$B:$J,AL$11,FALSE),0)</f>
        <v>0</v>
      </c>
      <c r="AM33" s="409">
        <f t="shared" si="34"/>
        <v>150</v>
      </c>
      <c r="AN33" s="394">
        <f t="shared" si="35"/>
        <v>0</v>
      </c>
      <c r="AO33" s="138"/>
      <c r="AP33" s="395">
        <f t="shared" si="21"/>
        <v>0</v>
      </c>
      <c r="AQ33" s="396" t="str">
        <f t="shared" si="22"/>
        <v/>
      </c>
      <c r="AR33" s="397"/>
      <c r="AS33" s="397"/>
    </row>
    <row r="34" spans="1:45" ht="12.75" customHeight="1">
      <c r="A34" s="53"/>
      <c r="B34" s="398" t="s">
        <v>282</v>
      </c>
      <c r="C34" s="389" t="str">
        <f t="shared" si="23"/>
        <v>Street Light.Total Deferral/Variance Account Rate RidersYr2</v>
      </c>
      <c r="D34" s="390" t="s">
        <v>406</v>
      </c>
      <c r="E34" s="328"/>
      <c r="F34" s="391">
        <f>IFERROR(VLOOKUP($C34,'Proposed Rates'!$B:$J,F$11,FALSE),0)</f>
        <v>0</v>
      </c>
      <c r="G34" s="409">
        <f t="shared" si="24"/>
        <v>1</v>
      </c>
      <c r="H34" s="394">
        <f t="shared" si="25"/>
        <v>0</v>
      </c>
      <c r="I34" s="479"/>
      <c r="J34" s="391">
        <f>IFERROR(VLOOKUP($C34,'Proposed Rates'!$B:$J,J$11,FALSE),0)</f>
        <v>0</v>
      </c>
      <c r="K34" s="409">
        <f t="shared" si="26"/>
        <v>1</v>
      </c>
      <c r="L34" s="394">
        <f t="shared" si="27"/>
        <v>0</v>
      </c>
      <c r="M34" s="411"/>
      <c r="N34" s="395">
        <f t="shared" si="5"/>
        <v>0</v>
      </c>
      <c r="O34" s="396" t="str">
        <f t="shared" si="6"/>
        <v/>
      </c>
      <c r="P34" s="53"/>
      <c r="Q34" s="391">
        <f>IFERROR(VLOOKUP($C34,'Proposed Rates'!$B:$J,Q$11,FALSE),0)</f>
        <v>0</v>
      </c>
      <c r="R34" s="409">
        <f t="shared" si="28"/>
        <v>1</v>
      </c>
      <c r="S34" s="394">
        <f t="shared" si="29"/>
        <v>0</v>
      </c>
      <c r="T34" s="138"/>
      <c r="U34" s="395">
        <f t="shared" si="9"/>
        <v>0</v>
      </c>
      <c r="V34" s="396" t="str">
        <f t="shared" si="10"/>
        <v/>
      </c>
      <c r="W34" s="53"/>
      <c r="X34" s="391">
        <f>IFERROR(VLOOKUP($C34,'Proposed Rates'!$B:$J,X$11,FALSE),0)</f>
        <v>0</v>
      </c>
      <c r="Y34" s="409">
        <f t="shared" si="30"/>
        <v>1</v>
      </c>
      <c r="Z34" s="394">
        <f t="shared" si="31"/>
        <v>0</v>
      </c>
      <c r="AA34" s="138"/>
      <c r="AB34" s="395">
        <f t="shared" si="13"/>
        <v>0</v>
      </c>
      <c r="AC34" s="396" t="str">
        <f t="shared" si="14"/>
        <v/>
      </c>
      <c r="AD34" s="53"/>
      <c r="AE34" s="391">
        <f>IFERROR(VLOOKUP($C34,'Proposed Rates'!$B:$J,AE$11,FALSE),0)</f>
        <v>0</v>
      </c>
      <c r="AF34" s="409">
        <f t="shared" si="32"/>
        <v>1</v>
      </c>
      <c r="AG34" s="394">
        <f t="shared" si="33"/>
        <v>0</v>
      </c>
      <c r="AH34" s="138"/>
      <c r="AI34" s="395">
        <f t="shared" si="17"/>
        <v>0</v>
      </c>
      <c r="AJ34" s="396" t="str">
        <f t="shared" si="18"/>
        <v/>
      </c>
      <c r="AK34" s="53"/>
      <c r="AL34" s="391">
        <f>IFERROR(VLOOKUP($C34,'Proposed Rates'!$B:$J,AL$11,FALSE),0)</f>
        <v>0</v>
      </c>
      <c r="AM34" s="409">
        <f t="shared" si="34"/>
        <v>1</v>
      </c>
      <c r="AN34" s="394">
        <f t="shared" si="35"/>
        <v>0</v>
      </c>
      <c r="AO34" s="138"/>
      <c r="AP34" s="395">
        <f t="shared" si="21"/>
        <v>0</v>
      </c>
      <c r="AQ34" s="396" t="str">
        <f t="shared" si="22"/>
        <v/>
      </c>
      <c r="AR34" s="397"/>
      <c r="AS34" s="397"/>
    </row>
    <row r="35" spans="1:45" ht="12.75" customHeight="1">
      <c r="A35" s="53"/>
      <c r="B35" s="398" t="s">
        <v>284</v>
      </c>
      <c r="C35" s="389" t="str">
        <f t="shared" si="23"/>
        <v>Street Light.Total Deferral/Variance Account Rate Riders</v>
      </c>
      <c r="D35" s="390" t="s">
        <v>406</v>
      </c>
      <c r="E35" s="328"/>
      <c r="F35" s="391">
        <f>IFERROR(VLOOKUP($C35,'Proposed Rates'!$B:$J,F$11,FALSE),0)</f>
        <v>0</v>
      </c>
      <c r="G35" s="409">
        <f t="shared" si="24"/>
        <v>1</v>
      </c>
      <c r="H35" s="394">
        <f t="shared" si="25"/>
        <v>0</v>
      </c>
      <c r="I35" s="138"/>
      <c r="J35" s="391">
        <f>IFERROR(VLOOKUP($C35,'Proposed Rates'!$B:$J,J$11,FALSE),0)</f>
        <v>0</v>
      </c>
      <c r="K35" s="409">
        <f t="shared" si="26"/>
        <v>1</v>
      </c>
      <c r="L35" s="394">
        <f t="shared" si="27"/>
        <v>0</v>
      </c>
      <c r="M35" s="138"/>
      <c r="N35" s="395">
        <f t="shared" si="5"/>
        <v>0</v>
      </c>
      <c r="O35" s="396" t="str">
        <f t="shared" si="6"/>
        <v/>
      </c>
      <c r="P35" s="53"/>
      <c r="Q35" s="391">
        <f>IFERROR(VLOOKUP($C35,'Proposed Rates'!$B:$J,Q$11,FALSE),0)</f>
        <v>0</v>
      </c>
      <c r="R35" s="409">
        <f t="shared" si="28"/>
        <v>1</v>
      </c>
      <c r="S35" s="394">
        <f t="shared" si="29"/>
        <v>0</v>
      </c>
      <c r="T35" s="138"/>
      <c r="U35" s="395">
        <f t="shared" si="9"/>
        <v>0</v>
      </c>
      <c r="V35" s="396" t="str">
        <f t="shared" si="10"/>
        <v/>
      </c>
      <c r="W35" s="53"/>
      <c r="X35" s="391">
        <f>IFERROR(VLOOKUP($C35,'Proposed Rates'!$B:$J,X$11,FALSE),0)</f>
        <v>0</v>
      </c>
      <c r="Y35" s="409">
        <f t="shared" si="30"/>
        <v>1</v>
      </c>
      <c r="Z35" s="394">
        <f t="shared" si="31"/>
        <v>0</v>
      </c>
      <c r="AA35" s="138"/>
      <c r="AB35" s="395">
        <f t="shared" si="13"/>
        <v>0</v>
      </c>
      <c r="AC35" s="396" t="str">
        <f t="shared" si="14"/>
        <v/>
      </c>
      <c r="AD35" s="53"/>
      <c r="AE35" s="391">
        <f>IFERROR(VLOOKUP($C35,'Proposed Rates'!$B:$J,AE$11,FALSE),0)</f>
        <v>0</v>
      </c>
      <c r="AF35" s="409">
        <f t="shared" si="32"/>
        <v>1</v>
      </c>
      <c r="AG35" s="394">
        <f t="shared" si="33"/>
        <v>0</v>
      </c>
      <c r="AH35" s="138"/>
      <c r="AI35" s="395">
        <f t="shared" si="17"/>
        <v>0</v>
      </c>
      <c r="AJ35" s="396" t="str">
        <f t="shared" si="18"/>
        <v/>
      </c>
      <c r="AK35" s="53"/>
      <c r="AL35" s="391">
        <f>IFERROR(VLOOKUP($C35,'Proposed Rates'!$B:$J,AL$11,FALSE),0)</f>
        <v>0</v>
      </c>
      <c r="AM35" s="409">
        <f t="shared" si="34"/>
        <v>1</v>
      </c>
      <c r="AN35" s="394">
        <f t="shared" si="35"/>
        <v>0</v>
      </c>
      <c r="AO35" s="138"/>
      <c r="AP35" s="395">
        <f t="shared" si="21"/>
        <v>0</v>
      </c>
      <c r="AQ35" s="396" t="str">
        <f t="shared" si="22"/>
        <v/>
      </c>
      <c r="AR35" s="397"/>
      <c r="AS35" s="397"/>
    </row>
    <row r="36" spans="1:45" ht="12.75" customHeight="1">
      <c r="A36" s="53"/>
      <c r="B36" s="328" t="s">
        <v>300</v>
      </c>
      <c r="C36" s="389" t="str">
        <f t="shared" si="23"/>
        <v>Street Light.Low Voltage Service Charge</v>
      </c>
      <c r="D36" s="390" t="s">
        <v>406</v>
      </c>
      <c r="E36" s="328"/>
      <c r="F36" s="412">
        <f>IFERROR(VLOOKUP($C36,'Proposed Rates'!$B:$J,F$11,FALSE),0)</f>
        <v>1.5640000000000001E-2</v>
      </c>
      <c r="G36" s="409">
        <f t="shared" si="24"/>
        <v>1</v>
      </c>
      <c r="H36" s="394">
        <f t="shared" si="25"/>
        <v>1.5640000000000001E-2</v>
      </c>
      <c r="I36" s="138"/>
      <c r="J36" s="412">
        <f>IFERROR(VLOOKUP($C36,'Proposed Rates'!$B:$J,J$11,FALSE),0)</f>
        <v>1.099E-2</v>
      </c>
      <c r="K36" s="409">
        <f t="shared" si="26"/>
        <v>1</v>
      </c>
      <c r="L36" s="394">
        <f t="shared" si="27"/>
        <v>1.099E-2</v>
      </c>
      <c r="M36" s="138"/>
      <c r="N36" s="395">
        <f t="shared" si="5"/>
        <v>-4.6500000000000014E-3</v>
      </c>
      <c r="O36" s="396">
        <f t="shared" si="6"/>
        <v>-0.29731457800511518</v>
      </c>
      <c r="P36" s="53"/>
      <c r="Q36" s="412">
        <f>IFERROR(VLOOKUP($C36,'Proposed Rates'!$B:$J,Q$11,FALSE),0)</f>
        <v>1.1270000000000001E-2</v>
      </c>
      <c r="R36" s="409">
        <f t="shared" si="28"/>
        <v>1</v>
      </c>
      <c r="S36" s="394">
        <f t="shared" si="29"/>
        <v>1.1270000000000001E-2</v>
      </c>
      <c r="T36" s="138"/>
      <c r="U36" s="395">
        <f t="shared" si="9"/>
        <v>2.8000000000000073E-4</v>
      </c>
      <c r="V36" s="396">
        <f t="shared" si="10"/>
        <v>2.5477707006369494E-2</v>
      </c>
      <c r="W36" s="53"/>
      <c r="X36" s="412">
        <f>IFERROR(VLOOKUP($C36,'Proposed Rates'!$B:$J,X$11,FALSE),0)</f>
        <v>1.141E-2</v>
      </c>
      <c r="Y36" s="409">
        <f t="shared" si="30"/>
        <v>1</v>
      </c>
      <c r="Z36" s="394">
        <f t="shared" si="31"/>
        <v>1.141E-2</v>
      </c>
      <c r="AA36" s="138"/>
      <c r="AB36" s="395">
        <f t="shared" si="13"/>
        <v>1.399999999999995E-4</v>
      </c>
      <c r="AC36" s="396">
        <f t="shared" si="14"/>
        <v>1.2422360248447161E-2</v>
      </c>
      <c r="AD36" s="53"/>
      <c r="AE36" s="412">
        <f>IFERROR(VLOOKUP($C36,'Proposed Rates'!$B:$J,AE$11,FALSE),0)</f>
        <v>1.159E-2</v>
      </c>
      <c r="AF36" s="409">
        <f t="shared" si="32"/>
        <v>1</v>
      </c>
      <c r="AG36" s="394">
        <f t="shared" si="33"/>
        <v>1.159E-2</v>
      </c>
      <c r="AH36" s="138"/>
      <c r="AI36" s="395">
        <f t="shared" si="17"/>
        <v>1.799999999999996E-4</v>
      </c>
      <c r="AJ36" s="396">
        <f t="shared" si="18"/>
        <v>1.5775635407537212E-2</v>
      </c>
      <c r="AK36" s="53"/>
      <c r="AL36" s="412">
        <f>IFERROR(VLOOKUP($C36,'Proposed Rates'!$B:$J,AL$11,FALSE),0)</f>
        <v>1.18E-2</v>
      </c>
      <c r="AM36" s="409">
        <f t="shared" si="34"/>
        <v>1</v>
      </c>
      <c r="AN36" s="394">
        <f t="shared" si="35"/>
        <v>1.18E-2</v>
      </c>
      <c r="AO36" s="138"/>
      <c r="AP36" s="395">
        <f t="shared" si="21"/>
        <v>2.1000000000000012E-4</v>
      </c>
      <c r="AQ36" s="396">
        <f t="shared" si="22"/>
        <v>1.8119068162208811E-2</v>
      </c>
      <c r="AR36" s="397"/>
      <c r="AS36" s="397"/>
    </row>
    <row r="37" spans="1:45" ht="12.75" customHeight="1">
      <c r="A37" s="53"/>
      <c r="B37" s="328" t="s">
        <v>341</v>
      </c>
      <c r="C37" s="389" t="str">
        <f t="shared" si="23"/>
        <v>Street Light.Line Losses on Cost of Power</v>
      </c>
      <c r="D37" s="390" t="s">
        <v>337</v>
      </c>
      <c r="E37" s="328"/>
      <c r="F37" s="414">
        <f>F46</f>
        <v>0.10453</v>
      </c>
      <c r="G37" s="501">
        <f>$F$9*(1+F$65)-$F$9</f>
        <v>5.0700000000000216</v>
      </c>
      <c r="H37" s="394">
        <f t="shared" si="25"/>
        <v>0.52996710000000224</v>
      </c>
      <c r="I37" s="138"/>
      <c r="J37" s="414">
        <f>J46</f>
        <v>0.10453</v>
      </c>
      <c r="K37" s="501">
        <f>$F$9*(1+J$65)-$F$9</f>
        <v>4.9799999999999898</v>
      </c>
      <c r="L37" s="394">
        <f t="shared" si="27"/>
        <v>0.5205593999999989</v>
      </c>
      <c r="M37" s="138"/>
      <c r="N37" s="395">
        <f t="shared" si="5"/>
        <v>-9.4077000000033495E-3</v>
      </c>
      <c r="O37" s="396">
        <f t="shared" si="6"/>
        <v>-1.7751479289947074E-2</v>
      </c>
      <c r="P37" s="53"/>
      <c r="Q37" s="414">
        <f>Q46</f>
        <v>0.10453</v>
      </c>
      <c r="R37" s="501">
        <f>$F$9*(1+Q$65)-$F$9</f>
        <v>4.9799999999999898</v>
      </c>
      <c r="S37" s="394">
        <f t="shared" si="29"/>
        <v>0.5205593999999989</v>
      </c>
      <c r="T37" s="138"/>
      <c r="U37" s="395">
        <f t="shared" si="9"/>
        <v>0</v>
      </c>
      <c r="V37" s="396">
        <f t="shared" si="10"/>
        <v>0</v>
      </c>
      <c r="W37" s="53"/>
      <c r="X37" s="414">
        <f>X46</f>
        <v>0.10453</v>
      </c>
      <c r="Y37" s="501">
        <f>$F$9*(1+X$65)-$F$9</f>
        <v>4.9799999999999898</v>
      </c>
      <c r="Z37" s="394">
        <f t="shared" si="31"/>
        <v>0.5205593999999989</v>
      </c>
      <c r="AA37" s="138"/>
      <c r="AB37" s="395">
        <f t="shared" si="13"/>
        <v>0</v>
      </c>
      <c r="AC37" s="396">
        <f t="shared" si="14"/>
        <v>0</v>
      </c>
      <c r="AD37" s="53"/>
      <c r="AE37" s="414">
        <f>AE46</f>
        <v>0.10453</v>
      </c>
      <c r="AF37" s="501">
        <f>$F$9*(1+AE$65)-$F$9</f>
        <v>4.9799999999999898</v>
      </c>
      <c r="AG37" s="394">
        <f t="shared" si="33"/>
        <v>0.5205593999999989</v>
      </c>
      <c r="AH37" s="138"/>
      <c r="AI37" s="395">
        <f t="shared" si="17"/>
        <v>0</v>
      </c>
      <c r="AJ37" s="396">
        <f t="shared" si="18"/>
        <v>0</v>
      </c>
      <c r="AK37" s="53"/>
      <c r="AL37" s="414">
        <f>AL46</f>
        <v>0.10453</v>
      </c>
      <c r="AM37" s="501">
        <f>$F$9*(1+AL$65)-$F$9</f>
        <v>4.9799999999999898</v>
      </c>
      <c r="AN37" s="394">
        <f t="shared" si="35"/>
        <v>0.5205593999999989</v>
      </c>
      <c r="AO37" s="138"/>
      <c r="AP37" s="395">
        <f t="shared" si="21"/>
        <v>0</v>
      </c>
      <c r="AQ37" s="396">
        <f t="shared" si="22"/>
        <v>0</v>
      </c>
      <c r="AR37" s="397"/>
      <c r="AS37" s="397"/>
    </row>
    <row r="38" spans="1:45" ht="12.75" customHeight="1">
      <c r="A38" s="53"/>
      <c r="B38" s="328" t="s">
        <v>302</v>
      </c>
      <c r="C38" s="389" t="str">
        <f t="shared" si="23"/>
        <v>Street Light.Smart Meter Entity Charge</v>
      </c>
      <c r="D38" s="390" t="s">
        <v>335</v>
      </c>
      <c r="E38" s="328"/>
      <c r="F38" s="408">
        <f>IFERROR(VLOOKUP($C38,'Proposed Rates'!$B:$J,F$11,FALSE),0)</f>
        <v>0</v>
      </c>
      <c r="G38" s="409">
        <f>IF($D38="Monthly",1,IF($D38="per KW",$F$10,IF($D38="per kWh",$F$9,0)))</f>
        <v>1</v>
      </c>
      <c r="H38" s="394">
        <f t="shared" si="25"/>
        <v>0</v>
      </c>
      <c r="I38" s="138"/>
      <c r="J38" s="408">
        <f>IFERROR(VLOOKUP($C38,'Proposed Rates'!$B:$J,J$11,FALSE),0)</f>
        <v>0</v>
      </c>
      <c r="K38" s="409">
        <f>IF($D38="Monthly",1,IF($D38="per KW",$F$10,IF($D38="per kWh",$F$9,0)))</f>
        <v>1</v>
      </c>
      <c r="L38" s="394">
        <f t="shared" si="27"/>
        <v>0</v>
      </c>
      <c r="M38" s="138"/>
      <c r="N38" s="395">
        <f t="shared" si="5"/>
        <v>0</v>
      </c>
      <c r="O38" s="396" t="str">
        <f t="shared" si="6"/>
        <v/>
      </c>
      <c r="P38" s="53"/>
      <c r="Q38" s="408">
        <f>IFERROR(VLOOKUP($C38,'Proposed Rates'!$B:$J,Q$11,FALSE),0)</f>
        <v>0</v>
      </c>
      <c r="R38" s="409">
        <f>IF($D38="Monthly",1,IF($D38="per KW",$F$10,IF($D38="per kWh",$F$9,0)))</f>
        <v>1</v>
      </c>
      <c r="S38" s="394">
        <f t="shared" si="29"/>
        <v>0</v>
      </c>
      <c r="T38" s="138"/>
      <c r="U38" s="395">
        <f t="shared" si="9"/>
        <v>0</v>
      </c>
      <c r="V38" s="396" t="str">
        <f t="shared" si="10"/>
        <v/>
      </c>
      <c r="W38" s="53"/>
      <c r="X38" s="408">
        <f>IFERROR(VLOOKUP($C38,'Proposed Rates'!$B:$J,X$11,FALSE),0)</f>
        <v>0</v>
      </c>
      <c r="Y38" s="409">
        <f>IF($D38="Monthly",1,IF($D38="per KW",$F$10,IF($D38="per kWh",$F$9,0)))</f>
        <v>1</v>
      </c>
      <c r="Z38" s="394">
        <f t="shared" si="31"/>
        <v>0</v>
      </c>
      <c r="AA38" s="138"/>
      <c r="AB38" s="395">
        <f t="shared" si="13"/>
        <v>0</v>
      </c>
      <c r="AC38" s="396" t="str">
        <f t="shared" si="14"/>
        <v/>
      </c>
      <c r="AD38" s="53"/>
      <c r="AE38" s="408">
        <f>IFERROR(VLOOKUP($C38,'Proposed Rates'!$B:$J,AE$11,FALSE),0)</f>
        <v>0</v>
      </c>
      <c r="AF38" s="409">
        <f>IF($D38="Monthly",1,IF($D38="per KW",$F$10,IF($D38="per kWh",$F$9,0)))</f>
        <v>1</v>
      </c>
      <c r="AG38" s="394">
        <f t="shared" si="33"/>
        <v>0</v>
      </c>
      <c r="AH38" s="138"/>
      <c r="AI38" s="395">
        <f t="shared" si="17"/>
        <v>0</v>
      </c>
      <c r="AJ38" s="396" t="str">
        <f t="shared" si="18"/>
        <v/>
      </c>
      <c r="AK38" s="53"/>
      <c r="AL38" s="408">
        <f>IFERROR(VLOOKUP($C38,'Proposed Rates'!$B:$J,AL$11,FALSE),0)</f>
        <v>0</v>
      </c>
      <c r="AM38" s="409">
        <f>IF($D38="Monthly",1,IF($D38="per KW",$F$10,IF($D38="per kWh",$F$9,0)))</f>
        <v>1</v>
      </c>
      <c r="AN38" s="394">
        <f t="shared" si="35"/>
        <v>0</v>
      </c>
      <c r="AO38" s="138"/>
      <c r="AP38" s="395">
        <f t="shared" si="21"/>
        <v>0</v>
      </c>
      <c r="AQ38" s="396" t="str">
        <f t="shared" si="22"/>
        <v/>
      </c>
      <c r="AR38" s="397"/>
      <c r="AS38" s="397"/>
    </row>
    <row r="39" spans="1:45" ht="12.75" customHeight="1">
      <c r="A39" s="53"/>
      <c r="B39" s="399" t="s">
        <v>342</v>
      </c>
      <c r="C39" s="553"/>
      <c r="D39" s="416"/>
      <c r="E39" s="416"/>
      <c r="F39" s="417"/>
      <c r="G39" s="495"/>
      <c r="H39" s="403">
        <f>SUM(H30:H38)+H29</f>
        <v>15.030507100000001</v>
      </c>
      <c r="I39" s="419"/>
      <c r="J39" s="417"/>
      <c r="K39" s="495"/>
      <c r="L39" s="403">
        <f>SUM(L30:L38)+L29</f>
        <v>13.805249400000001</v>
      </c>
      <c r="M39" s="419"/>
      <c r="N39" s="405">
        <f t="shared" si="5"/>
        <v>-1.2252577000000002</v>
      </c>
      <c r="O39" s="406">
        <f t="shared" si="6"/>
        <v>-8.1518054703556886E-2</v>
      </c>
      <c r="P39" s="53"/>
      <c r="Q39" s="417"/>
      <c r="R39" s="495"/>
      <c r="S39" s="403">
        <f>SUM(S30:S38)+S29</f>
        <v>10.6117294</v>
      </c>
      <c r="T39" s="419"/>
      <c r="U39" s="405">
        <f t="shared" si="9"/>
        <v>-3.1935200000000012</v>
      </c>
      <c r="V39" s="406">
        <f t="shared" si="10"/>
        <v>-0.23132649816525597</v>
      </c>
      <c r="W39" s="53"/>
      <c r="X39" s="417"/>
      <c r="Y39" s="495"/>
      <c r="Z39" s="403">
        <f>SUM(Z30:Z38)+Z29</f>
        <v>10.179069399999998</v>
      </c>
      <c r="AA39" s="419"/>
      <c r="AB39" s="405">
        <f t="shared" si="13"/>
        <v>-0.43266000000000204</v>
      </c>
      <c r="AC39" s="406">
        <f t="shared" si="14"/>
        <v>-4.0771865140096959E-2</v>
      </c>
      <c r="AD39" s="53"/>
      <c r="AE39" s="417"/>
      <c r="AF39" s="495"/>
      <c r="AG39" s="403">
        <f>SUM(AG30:AG38)+AG29</f>
        <v>10.051049399999997</v>
      </c>
      <c r="AH39" s="419"/>
      <c r="AI39" s="405">
        <f t="shared" si="17"/>
        <v>-0.12802000000000113</v>
      </c>
      <c r="AJ39" s="406">
        <f t="shared" si="18"/>
        <v>-1.257678820816382E-2</v>
      </c>
      <c r="AK39" s="53"/>
      <c r="AL39" s="417"/>
      <c r="AM39" s="495"/>
      <c r="AN39" s="403">
        <f>SUM(AN30:AN38)+AN29</f>
        <v>10.1570594</v>
      </c>
      <c r="AO39" s="419"/>
      <c r="AP39" s="405">
        <f t="shared" si="21"/>
        <v>0.10601000000000305</v>
      </c>
      <c r="AQ39" s="406">
        <f t="shared" si="22"/>
        <v>1.0547157394331689E-2</v>
      </c>
      <c r="AR39" s="407"/>
      <c r="AS39" s="407"/>
    </row>
    <row r="40" spans="1:45" ht="12.75" customHeight="1">
      <c r="A40" s="53"/>
      <c r="B40" s="138" t="s">
        <v>285</v>
      </c>
      <c r="C40" s="389" t="str">
        <f t="shared" ref="C40:C41" si="36">D$6&amp;"."&amp;B40</f>
        <v>Street Light.RTSR - Network</v>
      </c>
      <c r="D40" s="420" t="s">
        <v>406</v>
      </c>
      <c r="E40" s="138"/>
      <c r="F40" s="408">
        <f>IFERROR(VLOOKUP($C40,'Proposed Rates'!$B:$J,F$11,FALSE),0)</f>
        <v>3.597</v>
      </c>
      <c r="G40" s="409">
        <f t="shared" ref="G40:G41" si="37">IF($D40="Monthly",1,IF($D40="per KW",$F$10,IF($D40="per kWh",$F$9,0)))</f>
        <v>1</v>
      </c>
      <c r="H40" s="394">
        <f t="shared" ref="H40:H41" si="38">G40*F40</f>
        <v>3.597</v>
      </c>
      <c r="I40" s="138"/>
      <c r="J40" s="408">
        <f>IFERROR(VLOOKUP($C40,'Proposed Rates'!$B:$J,J$11,FALSE),0)</f>
        <v>2.1576</v>
      </c>
      <c r="K40" s="409">
        <f t="shared" ref="K40:K41" si="39">IF($D40="Monthly",1,IF($D40="per KW",$F$10,IF($D40="per kWh",$F$9,0)))</f>
        <v>1</v>
      </c>
      <c r="L40" s="394">
        <f t="shared" ref="L40:L41" si="40">K40*J40</f>
        <v>2.1576</v>
      </c>
      <c r="M40" s="138"/>
      <c r="N40" s="395">
        <f t="shared" si="5"/>
        <v>-1.4394</v>
      </c>
      <c r="O40" s="396">
        <f t="shared" si="6"/>
        <v>-0.40016680567139284</v>
      </c>
      <c r="P40" s="53"/>
      <c r="Q40" s="408">
        <f>IFERROR(VLOOKUP($C40,'Proposed Rates'!$B:$J,Q$11,FALSE),0)</f>
        <v>2.1576</v>
      </c>
      <c r="R40" s="409">
        <f t="shared" ref="R40:R41" si="41">IF($D40="Monthly",1,IF($D40="per KW",$F$10,IF($D40="per kWh",$F$9,0)))</f>
        <v>1</v>
      </c>
      <c r="S40" s="394">
        <f t="shared" ref="S40:S41" si="42">R40*Q40</f>
        <v>2.1576</v>
      </c>
      <c r="T40" s="138"/>
      <c r="U40" s="395">
        <f t="shared" si="9"/>
        <v>0</v>
      </c>
      <c r="V40" s="396">
        <f t="shared" si="10"/>
        <v>0</v>
      </c>
      <c r="W40" s="53"/>
      <c r="X40" s="408">
        <f>IFERROR(VLOOKUP($C40,'Proposed Rates'!$B:$J,X$11,FALSE),0)</f>
        <v>2.1576</v>
      </c>
      <c r="Y40" s="409">
        <f t="shared" ref="Y40:Y41" si="43">IF($D40="Monthly",1,IF($D40="per KW",$F$10,IF($D40="per kWh",$F$9,0)))</f>
        <v>1</v>
      </c>
      <c r="Z40" s="394">
        <f t="shared" ref="Z40:Z41" si="44">Y40*X40</f>
        <v>2.1576</v>
      </c>
      <c r="AA40" s="138"/>
      <c r="AB40" s="395">
        <f t="shared" si="13"/>
        <v>0</v>
      </c>
      <c r="AC40" s="396">
        <f t="shared" si="14"/>
        <v>0</v>
      </c>
      <c r="AD40" s="53"/>
      <c r="AE40" s="408">
        <f>IFERROR(VLOOKUP($C40,'Proposed Rates'!$B:$J,AE$11,FALSE),0)</f>
        <v>2.1576</v>
      </c>
      <c r="AF40" s="409">
        <f t="shared" ref="AF40:AF41" si="45">IF($D40="Monthly",1,IF($D40="per KW",$F$10,IF($D40="per kWh",$F$9,0)))</f>
        <v>1</v>
      </c>
      <c r="AG40" s="394">
        <f t="shared" ref="AG40:AG41" si="46">AF40*AE40</f>
        <v>2.1576</v>
      </c>
      <c r="AH40" s="138"/>
      <c r="AI40" s="395">
        <f t="shared" si="17"/>
        <v>0</v>
      </c>
      <c r="AJ40" s="396">
        <f t="shared" si="18"/>
        <v>0</v>
      </c>
      <c r="AK40" s="53"/>
      <c r="AL40" s="408">
        <f>IFERROR(VLOOKUP($C40,'Proposed Rates'!$B:$J,AL$11,FALSE),0)</f>
        <v>2.1576</v>
      </c>
      <c r="AM40" s="409">
        <f t="shared" ref="AM40:AM41" si="47">IF($D40="Monthly",1,IF($D40="per KW",$F$10,IF($D40="per kWh",$F$9,0)))</f>
        <v>1</v>
      </c>
      <c r="AN40" s="394">
        <f t="shared" ref="AN40:AN41" si="48">AM40*AL40</f>
        <v>2.1576</v>
      </c>
      <c r="AO40" s="138"/>
      <c r="AP40" s="395">
        <f t="shared" si="21"/>
        <v>0</v>
      </c>
      <c r="AQ40" s="396">
        <f t="shared" si="22"/>
        <v>0</v>
      </c>
      <c r="AR40" s="397"/>
      <c r="AS40" s="397"/>
    </row>
    <row r="41" spans="1:45" ht="12.75" customHeight="1">
      <c r="A41" s="53"/>
      <c r="B41" s="138" t="s">
        <v>288</v>
      </c>
      <c r="C41" s="389" t="str">
        <f t="shared" si="36"/>
        <v>Street Light.RTSR - Line and Transformation Connection</v>
      </c>
      <c r="D41" s="420" t="s">
        <v>406</v>
      </c>
      <c r="E41" s="138"/>
      <c r="F41" s="408">
        <f>IFERROR(VLOOKUP($C41,'Proposed Rates'!$B:$J,F$11,FALSE),0)</f>
        <v>2.1377000000000002</v>
      </c>
      <c r="G41" s="409">
        <f t="shared" si="37"/>
        <v>1</v>
      </c>
      <c r="H41" s="394">
        <f t="shared" si="38"/>
        <v>2.1377000000000002</v>
      </c>
      <c r="I41" s="138"/>
      <c r="J41" s="408">
        <f>IFERROR(VLOOKUP($C41,'Proposed Rates'!$B:$J,J$11,FALSE),0)</f>
        <v>1.2213000000000001</v>
      </c>
      <c r="K41" s="409">
        <f t="shared" si="39"/>
        <v>1</v>
      </c>
      <c r="L41" s="394">
        <f t="shared" si="40"/>
        <v>1.2213000000000001</v>
      </c>
      <c r="M41" s="138"/>
      <c r="N41" s="395">
        <f t="shared" si="5"/>
        <v>-0.9164000000000001</v>
      </c>
      <c r="O41" s="396">
        <f t="shared" si="6"/>
        <v>-0.4286850353183328</v>
      </c>
      <c r="P41" s="53"/>
      <c r="Q41" s="408">
        <f>IFERROR(VLOOKUP($C41,'Proposed Rates'!$B:$J,Q$11,FALSE),0)</f>
        <v>1.2213000000000001</v>
      </c>
      <c r="R41" s="409">
        <f t="shared" si="41"/>
        <v>1</v>
      </c>
      <c r="S41" s="394">
        <f t="shared" si="42"/>
        <v>1.2213000000000001</v>
      </c>
      <c r="T41" s="138"/>
      <c r="U41" s="395">
        <f t="shared" si="9"/>
        <v>0</v>
      </c>
      <c r="V41" s="396">
        <f t="shared" si="10"/>
        <v>0</v>
      </c>
      <c r="W41" s="53"/>
      <c r="X41" s="408">
        <f>IFERROR(VLOOKUP($C41,'Proposed Rates'!$B:$J,X$11,FALSE),0)</f>
        <v>1.2213000000000001</v>
      </c>
      <c r="Y41" s="409">
        <f t="shared" si="43"/>
        <v>1</v>
      </c>
      <c r="Z41" s="394">
        <f t="shared" si="44"/>
        <v>1.2213000000000001</v>
      </c>
      <c r="AA41" s="138"/>
      <c r="AB41" s="395">
        <f t="shared" si="13"/>
        <v>0</v>
      </c>
      <c r="AC41" s="396">
        <f t="shared" si="14"/>
        <v>0</v>
      </c>
      <c r="AD41" s="53"/>
      <c r="AE41" s="408">
        <f>IFERROR(VLOOKUP($C41,'Proposed Rates'!$B:$J,AE$11,FALSE),0)</f>
        <v>1.2213000000000001</v>
      </c>
      <c r="AF41" s="409">
        <f t="shared" si="45"/>
        <v>1</v>
      </c>
      <c r="AG41" s="394">
        <f t="shared" si="46"/>
        <v>1.2213000000000001</v>
      </c>
      <c r="AH41" s="138"/>
      <c r="AI41" s="395">
        <f t="shared" si="17"/>
        <v>0</v>
      </c>
      <c r="AJ41" s="396">
        <f t="shared" si="18"/>
        <v>0</v>
      </c>
      <c r="AK41" s="53"/>
      <c r="AL41" s="408">
        <f>IFERROR(VLOOKUP($C41,'Proposed Rates'!$B:$J,AL$11,FALSE),0)</f>
        <v>1.2213000000000001</v>
      </c>
      <c r="AM41" s="409">
        <f t="shared" si="47"/>
        <v>1</v>
      </c>
      <c r="AN41" s="394">
        <f t="shared" si="48"/>
        <v>1.2213000000000001</v>
      </c>
      <c r="AO41" s="138"/>
      <c r="AP41" s="395">
        <f t="shared" si="21"/>
        <v>0</v>
      </c>
      <c r="AQ41" s="396">
        <f t="shared" si="22"/>
        <v>0</v>
      </c>
      <c r="AR41" s="397"/>
      <c r="AS41" s="397"/>
    </row>
    <row r="42" spans="1:45" ht="12.75" customHeight="1">
      <c r="A42" s="53"/>
      <c r="B42" s="399" t="s">
        <v>343</v>
      </c>
      <c r="C42" s="554"/>
      <c r="D42" s="421"/>
      <c r="E42" s="421"/>
      <c r="F42" s="422"/>
      <c r="G42" s="495"/>
      <c r="H42" s="403">
        <f>SUM(H39:H41)</f>
        <v>20.765207100000001</v>
      </c>
      <c r="I42" s="404"/>
      <c r="J42" s="422"/>
      <c r="K42" s="495"/>
      <c r="L42" s="403">
        <f>SUM(L39:L41)</f>
        <v>17.184149400000003</v>
      </c>
      <c r="M42" s="404"/>
      <c r="N42" s="405">
        <f t="shared" si="5"/>
        <v>-3.5810576999999988</v>
      </c>
      <c r="O42" s="406">
        <f t="shared" si="6"/>
        <v>-0.17245470670022831</v>
      </c>
      <c r="P42" s="53"/>
      <c r="Q42" s="422"/>
      <c r="R42" s="495"/>
      <c r="S42" s="403">
        <f>SUM(S39:S41)</f>
        <v>13.9906294</v>
      </c>
      <c r="T42" s="404"/>
      <c r="U42" s="405">
        <f t="shared" si="9"/>
        <v>-3.193520000000003</v>
      </c>
      <c r="V42" s="406">
        <f t="shared" si="10"/>
        <v>-0.18584102859347829</v>
      </c>
      <c r="W42" s="53"/>
      <c r="X42" s="422"/>
      <c r="Y42" s="495"/>
      <c r="Z42" s="403">
        <f>SUM(Z39:Z41)</f>
        <v>13.557969399999998</v>
      </c>
      <c r="AA42" s="404"/>
      <c r="AB42" s="405">
        <f t="shared" si="13"/>
        <v>-0.43266000000000204</v>
      </c>
      <c r="AC42" s="406">
        <f t="shared" si="14"/>
        <v>-3.0924984690109944E-2</v>
      </c>
      <c r="AD42" s="53"/>
      <c r="AE42" s="422"/>
      <c r="AF42" s="495"/>
      <c r="AG42" s="403">
        <f>SUM(AG39:AG41)</f>
        <v>13.429949399999996</v>
      </c>
      <c r="AH42" s="404"/>
      <c r="AI42" s="405">
        <f t="shared" si="17"/>
        <v>-0.12802000000000113</v>
      </c>
      <c r="AJ42" s="406">
        <f t="shared" si="18"/>
        <v>-9.4424169448266461E-3</v>
      </c>
      <c r="AK42" s="53"/>
      <c r="AL42" s="422"/>
      <c r="AM42" s="495"/>
      <c r="AN42" s="403">
        <f>SUM(AN39:AN41)</f>
        <v>13.535959399999999</v>
      </c>
      <c r="AO42" s="404"/>
      <c r="AP42" s="405">
        <f t="shared" si="21"/>
        <v>0.10601000000000305</v>
      </c>
      <c r="AQ42" s="406">
        <f t="shared" si="22"/>
        <v>7.8935517061592998E-3</v>
      </c>
      <c r="AR42" s="407"/>
      <c r="AS42" s="407"/>
    </row>
    <row r="43" spans="1:45" ht="12.75" customHeight="1">
      <c r="A43" s="53"/>
      <c r="B43" s="328" t="s">
        <v>289</v>
      </c>
      <c r="C43" s="389" t="str">
        <f t="shared" ref="C43:C45" si="49">D$6&amp;"."&amp;B43</f>
        <v>Street Light.Wholesale Market Service Charge (WMSC)</v>
      </c>
      <c r="D43" s="390" t="s">
        <v>337</v>
      </c>
      <c r="E43" s="328"/>
      <c r="F43" s="408">
        <f>IFERROR(VLOOKUP($C43,'Proposed Rates'!$B:$J,F$11,FALSE),0)</f>
        <v>4.4999999999999997E-3</v>
      </c>
      <c r="G43" s="568">
        <f t="shared" ref="G43:G44" si="50">$F$9+G$37</f>
        <v>155.07000000000002</v>
      </c>
      <c r="H43" s="394">
        <f t="shared" ref="H43:H46" si="51">G43*F43</f>
        <v>0.69781500000000007</v>
      </c>
      <c r="I43" s="138"/>
      <c r="J43" s="408">
        <f>IFERROR(VLOOKUP($C43,'Proposed Rates'!$B:$J,J$11,FALSE),0)</f>
        <v>4.7000000000000002E-3</v>
      </c>
      <c r="K43" s="568">
        <f t="shared" ref="K43:K44" si="52">$F$9+K$37</f>
        <v>154.97999999999999</v>
      </c>
      <c r="L43" s="394">
        <f t="shared" ref="L43:L46" si="53">K43*J43</f>
        <v>0.728406</v>
      </c>
      <c r="M43" s="138"/>
      <c r="N43" s="395">
        <f t="shared" si="5"/>
        <v>3.0590999999999924E-2</v>
      </c>
      <c r="O43" s="396">
        <f t="shared" si="6"/>
        <v>4.3838266589282145E-2</v>
      </c>
      <c r="P43" s="53"/>
      <c r="Q43" s="408">
        <f>IFERROR(VLOOKUP($C43,'Proposed Rates'!$B:$J,Q$11,FALSE),0)</f>
        <v>4.7000000000000002E-3</v>
      </c>
      <c r="R43" s="568">
        <f t="shared" ref="R43:R44" si="54">$F$9+R$37</f>
        <v>154.97999999999999</v>
      </c>
      <c r="S43" s="394">
        <f t="shared" ref="S43:S46" si="55">R43*Q43</f>
        <v>0.728406</v>
      </c>
      <c r="T43" s="138"/>
      <c r="U43" s="395">
        <f t="shared" si="9"/>
        <v>0</v>
      </c>
      <c r="V43" s="396">
        <f t="shared" si="10"/>
        <v>0</v>
      </c>
      <c r="W43" s="53"/>
      <c r="X43" s="408">
        <f>IFERROR(VLOOKUP($C43,'Proposed Rates'!$B:$J,X$11,FALSE),0)</f>
        <v>4.7000000000000002E-3</v>
      </c>
      <c r="Y43" s="568">
        <f t="shared" ref="Y43:Y44" si="56">$F$9+Y$37</f>
        <v>154.97999999999999</v>
      </c>
      <c r="Z43" s="394">
        <f t="shared" ref="Z43:Z46" si="57">Y43*X43</f>
        <v>0.728406</v>
      </c>
      <c r="AA43" s="138"/>
      <c r="AB43" s="395">
        <f t="shared" si="13"/>
        <v>0</v>
      </c>
      <c r="AC43" s="396">
        <f t="shared" si="14"/>
        <v>0</v>
      </c>
      <c r="AD43" s="53"/>
      <c r="AE43" s="408">
        <f>IFERROR(VLOOKUP($C43,'Proposed Rates'!$B:$J,AE$11,FALSE),0)</f>
        <v>4.7000000000000002E-3</v>
      </c>
      <c r="AF43" s="568">
        <f t="shared" ref="AF43:AF44" si="58">$F$9+AF$37</f>
        <v>154.97999999999999</v>
      </c>
      <c r="AG43" s="394">
        <f t="shared" ref="AG43:AG46" si="59">AF43*AE43</f>
        <v>0.728406</v>
      </c>
      <c r="AH43" s="138"/>
      <c r="AI43" s="395">
        <f t="shared" si="17"/>
        <v>0</v>
      </c>
      <c r="AJ43" s="396">
        <f t="shared" si="18"/>
        <v>0</v>
      </c>
      <c r="AK43" s="53"/>
      <c r="AL43" s="408">
        <f>IFERROR(VLOOKUP($C43,'Proposed Rates'!$B:$J,AL$11,FALSE),0)</f>
        <v>4.7000000000000002E-3</v>
      </c>
      <c r="AM43" s="568">
        <f t="shared" ref="AM43:AM44" si="60">$F$9+AM$37</f>
        <v>154.97999999999999</v>
      </c>
      <c r="AN43" s="394">
        <f t="shared" ref="AN43:AN46" si="61">AM43*AL43</f>
        <v>0.728406</v>
      </c>
      <c r="AO43" s="138"/>
      <c r="AP43" s="395">
        <f t="shared" si="21"/>
        <v>0</v>
      </c>
      <c r="AQ43" s="396">
        <f t="shared" si="22"/>
        <v>0</v>
      </c>
      <c r="AR43" s="397"/>
      <c r="AS43" s="397"/>
    </row>
    <row r="44" spans="1:45" ht="12.75" customHeight="1">
      <c r="A44" s="53"/>
      <c r="B44" s="328" t="s">
        <v>290</v>
      </c>
      <c r="C44" s="389" t="str">
        <f t="shared" si="49"/>
        <v>Street Light.Rural and Remote Rate Protection (RRRP)</v>
      </c>
      <c r="D44" s="390" t="s">
        <v>337</v>
      </c>
      <c r="E44" s="328"/>
      <c r="F44" s="408">
        <f>IFERROR(VLOOKUP($C44,'Proposed Rates'!$B:$J,F$11,FALSE),0)</f>
        <v>1.5E-3</v>
      </c>
      <c r="G44" s="568">
        <f t="shared" si="50"/>
        <v>155.07000000000002</v>
      </c>
      <c r="H44" s="394">
        <f t="shared" si="51"/>
        <v>0.23260500000000003</v>
      </c>
      <c r="I44" s="138"/>
      <c r="J44" s="408">
        <f>IFERROR(VLOOKUP($C44,'Proposed Rates'!$B:$J,J$11,FALSE),0)</f>
        <v>5.9999999999999995E-4</v>
      </c>
      <c r="K44" s="568">
        <f t="shared" si="52"/>
        <v>154.97999999999999</v>
      </c>
      <c r="L44" s="394">
        <f t="shared" si="53"/>
        <v>9.2987999999999987E-2</v>
      </c>
      <c r="M44" s="138"/>
      <c r="N44" s="395">
        <f t="shared" si="5"/>
        <v>-0.13961700000000005</v>
      </c>
      <c r="O44" s="396">
        <f t="shared" si="6"/>
        <v>-0.60023215322112611</v>
      </c>
      <c r="P44" s="53"/>
      <c r="Q44" s="408">
        <f>IFERROR(VLOOKUP($C44,'Proposed Rates'!$B:$J,Q$11,FALSE),0)</f>
        <v>5.9999999999999995E-4</v>
      </c>
      <c r="R44" s="568">
        <f t="shared" si="54"/>
        <v>154.97999999999999</v>
      </c>
      <c r="S44" s="394">
        <f t="shared" si="55"/>
        <v>9.2987999999999987E-2</v>
      </c>
      <c r="T44" s="138"/>
      <c r="U44" s="395">
        <f t="shared" si="9"/>
        <v>0</v>
      </c>
      <c r="V44" s="396">
        <f t="shared" si="10"/>
        <v>0</v>
      </c>
      <c r="W44" s="53"/>
      <c r="X44" s="408">
        <f>IFERROR(VLOOKUP($C44,'Proposed Rates'!$B:$J,X$11,FALSE),0)</f>
        <v>5.9999999999999995E-4</v>
      </c>
      <c r="Y44" s="568">
        <f t="shared" si="56"/>
        <v>154.97999999999999</v>
      </c>
      <c r="Z44" s="394">
        <f t="shared" si="57"/>
        <v>9.2987999999999987E-2</v>
      </c>
      <c r="AA44" s="138"/>
      <c r="AB44" s="395">
        <f t="shared" si="13"/>
        <v>0</v>
      </c>
      <c r="AC44" s="396">
        <f t="shared" si="14"/>
        <v>0</v>
      </c>
      <c r="AD44" s="53"/>
      <c r="AE44" s="408">
        <f>IFERROR(VLOOKUP($C44,'Proposed Rates'!$B:$J,AE$11,FALSE),0)</f>
        <v>5.9999999999999995E-4</v>
      </c>
      <c r="AF44" s="568">
        <f t="shared" si="58"/>
        <v>154.97999999999999</v>
      </c>
      <c r="AG44" s="394">
        <f t="shared" si="59"/>
        <v>9.2987999999999987E-2</v>
      </c>
      <c r="AH44" s="138"/>
      <c r="AI44" s="395">
        <f t="shared" si="17"/>
        <v>0</v>
      </c>
      <c r="AJ44" s="396">
        <f t="shared" si="18"/>
        <v>0</v>
      </c>
      <c r="AK44" s="53"/>
      <c r="AL44" s="408">
        <f>IFERROR(VLOOKUP($C44,'Proposed Rates'!$B:$J,AL$11,FALSE),0)</f>
        <v>5.9999999999999995E-4</v>
      </c>
      <c r="AM44" s="568">
        <f t="shared" si="60"/>
        <v>154.97999999999999</v>
      </c>
      <c r="AN44" s="394">
        <f t="shared" si="61"/>
        <v>9.2987999999999987E-2</v>
      </c>
      <c r="AO44" s="138"/>
      <c r="AP44" s="395">
        <f t="shared" si="21"/>
        <v>0</v>
      </c>
      <c r="AQ44" s="396">
        <f t="shared" si="22"/>
        <v>0</v>
      </c>
      <c r="AR44" s="397"/>
      <c r="AS44" s="397"/>
    </row>
    <row r="45" spans="1:45" ht="12.75" customHeight="1">
      <c r="A45" s="53"/>
      <c r="B45" s="328" t="s">
        <v>291</v>
      </c>
      <c r="C45" s="389" t="str">
        <f t="shared" si="49"/>
        <v>Street Light.Standard Supply Service Charge</v>
      </c>
      <c r="D45" s="390" t="s">
        <v>335</v>
      </c>
      <c r="E45" s="328"/>
      <c r="F45" s="408">
        <f>IFERROR(VLOOKUP($C45,'Proposed Rates'!$B:$J,F$11,FALSE),0)</f>
        <v>0.25</v>
      </c>
      <c r="G45" s="411">
        <v>1</v>
      </c>
      <c r="H45" s="394">
        <f t="shared" si="51"/>
        <v>0.25</v>
      </c>
      <c r="I45" s="138"/>
      <c r="J45" s="408">
        <f>IFERROR(VLOOKUP($C45,'Proposed Rates'!$B:$J,J$11,FALSE),0)</f>
        <v>0.25</v>
      </c>
      <c r="K45" s="411">
        <v>1</v>
      </c>
      <c r="L45" s="394">
        <f t="shared" si="53"/>
        <v>0.25</v>
      </c>
      <c r="M45" s="138"/>
      <c r="N45" s="395">
        <f t="shared" si="5"/>
        <v>0</v>
      </c>
      <c r="O45" s="396">
        <f t="shared" si="6"/>
        <v>0</v>
      </c>
      <c r="P45" s="53"/>
      <c r="Q45" s="408">
        <f>IFERROR(VLOOKUP($C45,'Proposed Rates'!$B:$J,Q$11,FALSE),0)</f>
        <v>0.25</v>
      </c>
      <c r="R45" s="411">
        <v>1</v>
      </c>
      <c r="S45" s="394">
        <f t="shared" si="55"/>
        <v>0.25</v>
      </c>
      <c r="T45" s="138"/>
      <c r="U45" s="395">
        <f t="shared" si="9"/>
        <v>0</v>
      </c>
      <c r="V45" s="396">
        <f t="shared" si="10"/>
        <v>0</v>
      </c>
      <c r="W45" s="53"/>
      <c r="X45" s="408">
        <f>IFERROR(VLOOKUP($C45,'Proposed Rates'!$B:$J,X$11,FALSE),0)</f>
        <v>0.25</v>
      </c>
      <c r="Y45" s="411">
        <v>1</v>
      </c>
      <c r="Z45" s="394">
        <f t="shared" si="57"/>
        <v>0.25</v>
      </c>
      <c r="AA45" s="138"/>
      <c r="AB45" s="395">
        <f t="shared" si="13"/>
        <v>0</v>
      </c>
      <c r="AC45" s="396">
        <f t="shared" si="14"/>
        <v>0</v>
      </c>
      <c r="AD45" s="53"/>
      <c r="AE45" s="408">
        <f>IFERROR(VLOOKUP($C45,'Proposed Rates'!$B:$J,AE$11,FALSE),0)</f>
        <v>0.25</v>
      </c>
      <c r="AF45" s="411">
        <v>1</v>
      </c>
      <c r="AG45" s="394">
        <f t="shared" si="59"/>
        <v>0.25</v>
      </c>
      <c r="AH45" s="138"/>
      <c r="AI45" s="395">
        <f t="shared" si="17"/>
        <v>0</v>
      </c>
      <c r="AJ45" s="396">
        <f t="shared" si="18"/>
        <v>0</v>
      </c>
      <c r="AK45" s="53"/>
      <c r="AL45" s="408">
        <f>IFERROR(VLOOKUP($C45,'Proposed Rates'!$B:$J,AL$11,FALSE),0)</f>
        <v>0.25</v>
      </c>
      <c r="AM45" s="411">
        <v>1</v>
      </c>
      <c r="AN45" s="394">
        <f t="shared" si="61"/>
        <v>0.25</v>
      </c>
      <c r="AO45" s="138"/>
      <c r="AP45" s="395">
        <f t="shared" si="21"/>
        <v>0</v>
      </c>
      <c r="AQ45" s="396">
        <f t="shared" si="22"/>
        <v>0</v>
      </c>
      <c r="AR45" s="397"/>
      <c r="AS45" s="397"/>
    </row>
    <row r="46" spans="1:45" ht="15.75" customHeight="1">
      <c r="A46" s="53"/>
      <c r="B46" s="328" t="s">
        <v>298</v>
      </c>
      <c r="C46" s="389" t="str">
        <f>B46</f>
        <v>Average IESO Wholesale Market Price</v>
      </c>
      <c r="D46" s="390" t="s">
        <v>337</v>
      </c>
      <c r="E46" s="328"/>
      <c r="F46" s="408">
        <f>IFERROR(VLOOKUP($C46,'Proposed Rates'!$B:$J,F$11,FALSE),0)</f>
        <v>0.10453</v>
      </c>
      <c r="G46" s="569">
        <f>$F$9</f>
        <v>150</v>
      </c>
      <c r="H46" s="394">
        <f t="shared" si="51"/>
        <v>15.679499999999999</v>
      </c>
      <c r="I46" s="138"/>
      <c r="J46" s="408">
        <f>IFERROR(VLOOKUP($C46,'Proposed Rates'!$B:$J,J$11,FALSE),0)</f>
        <v>0.10453</v>
      </c>
      <c r="K46" s="569">
        <f>$F$9</f>
        <v>150</v>
      </c>
      <c r="L46" s="394">
        <f t="shared" si="53"/>
        <v>15.679499999999999</v>
      </c>
      <c r="M46" s="138"/>
      <c r="N46" s="395">
        <f t="shared" si="5"/>
        <v>0</v>
      </c>
      <c r="O46" s="396">
        <f t="shared" si="6"/>
        <v>0</v>
      </c>
      <c r="P46" s="53"/>
      <c r="Q46" s="408">
        <f>IFERROR(VLOOKUP($C46,'Proposed Rates'!$B:$J,Q$11,FALSE),0)</f>
        <v>0.10453</v>
      </c>
      <c r="R46" s="569">
        <f>$F$9</f>
        <v>150</v>
      </c>
      <c r="S46" s="394">
        <f t="shared" si="55"/>
        <v>15.679499999999999</v>
      </c>
      <c r="T46" s="138"/>
      <c r="U46" s="395">
        <f t="shared" si="9"/>
        <v>0</v>
      </c>
      <c r="V46" s="396">
        <f t="shared" si="10"/>
        <v>0</v>
      </c>
      <c r="W46" s="53"/>
      <c r="X46" s="408">
        <f>IFERROR(VLOOKUP($C46,'Proposed Rates'!$B:$J,X$11,FALSE),0)</f>
        <v>0.10453</v>
      </c>
      <c r="Y46" s="569">
        <f>$F$9</f>
        <v>150</v>
      </c>
      <c r="Z46" s="394">
        <f t="shared" si="57"/>
        <v>15.679499999999999</v>
      </c>
      <c r="AA46" s="138"/>
      <c r="AB46" s="395">
        <f t="shared" si="13"/>
        <v>0</v>
      </c>
      <c r="AC46" s="396">
        <f t="shared" si="14"/>
        <v>0</v>
      </c>
      <c r="AD46" s="53"/>
      <c r="AE46" s="408">
        <f>IFERROR(VLOOKUP($C46,'Proposed Rates'!$B:$J,AE$11,FALSE),0)</f>
        <v>0.10453</v>
      </c>
      <c r="AF46" s="569">
        <f>$F$9</f>
        <v>150</v>
      </c>
      <c r="AG46" s="394">
        <f t="shared" si="59"/>
        <v>15.679499999999999</v>
      </c>
      <c r="AH46" s="138"/>
      <c r="AI46" s="395">
        <f t="shared" si="17"/>
        <v>0</v>
      </c>
      <c r="AJ46" s="396">
        <f t="shared" si="18"/>
        <v>0</v>
      </c>
      <c r="AK46" s="53"/>
      <c r="AL46" s="408">
        <f>IFERROR(VLOOKUP($C46,'Proposed Rates'!$B:$J,AL$11,FALSE),0)</f>
        <v>0.10453</v>
      </c>
      <c r="AM46" s="569">
        <f>$F$9</f>
        <v>150</v>
      </c>
      <c r="AN46" s="394">
        <f t="shared" si="61"/>
        <v>15.679499999999999</v>
      </c>
      <c r="AO46" s="138"/>
      <c r="AP46" s="395">
        <f t="shared" si="21"/>
        <v>0</v>
      </c>
      <c r="AQ46" s="396">
        <f t="shared" si="22"/>
        <v>0</v>
      </c>
      <c r="AR46" s="397"/>
      <c r="AS46" s="397"/>
    </row>
    <row r="47" spans="1:45" ht="15.75" customHeight="1">
      <c r="A47" s="53"/>
      <c r="B47" s="328"/>
      <c r="C47" s="389" t="str">
        <f t="shared" ref="C47:C50" si="62">D$6&amp;"."&amp;B47</f>
        <v>Street Light.</v>
      </c>
      <c r="D47" s="390"/>
      <c r="E47" s="328"/>
      <c r="F47" s="424"/>
      <c r="G47" s="569"/>
      <c r="H47" s="394"/>
      <c r="I47" s="138"/>
      <c r="J47" s="424"/>
      <c r="K47" s="569"/>
      <c r="L47" s="394"/>
      <c r="M47" s="138"/>
      <c r="N47" s="395"/>
      <c r="O47" s="396"/>
      <c r="P47" s="53"/>
      <c r="Q47" s="424"/>
      <c r="R47" s="569"/>
      <c r="S47" s="394"/>
      <c r="T47" s="138"/>
      <c r="U47" s="395"/>
      <c r="V47" s="396"/>
      <c r="W47" s="53"/>
      <c r="X47" s="424"/>
      <c r="Y47" s="569"/>
      <c r="Z47" s="394"/>
      <c r="AA47" s="138"/>
      <c r="AB47" s="395"/>
      <c r="AC47" s="396"/>
      <c r="AD47" s="53"/>
      <c r="AE47" s="424"/>
      <c r="AF47" s="569"/>
      <c r="AG47" s="394"/>
      <c r="AH47" s="138"/>
      <c r="AI47" s="395"/>
      <c r="AJ47" s="396"/>
      <c r="AK47" s="53"/>
      <c r="AL47" s="424"/>
      <c r="AM47" s="569"/>
      <c r="AN47" s="394"/>
      <c r="AO47" s="138"/>
      <c r="AP47" s="395"/>
      <c r="AQ47" s="396"/>
      <c r="AR47" s="397"/>
      <c r="AS47" s="397"/>
    </row>
    <row r="48" spans="1:45" ht="15.75" customHeight="1">
      <c r="A48" s="53"/>
      <c r="B48" s="328"/>
      <c r="C48" s="389" t="str">
        <f t="shared" si="62"/>
        <v>Street Light.</v>
      </c>
      <c r="D48" s="390"/>
      <c r="E48" s="328"/>
      <c r="F48" s="424"/>
      <c r="G48" s="569"/>
      <c r="H48" s="394"/>
      <c r="I48" s="138"/>
      <c r="J48" s="424"/>
      <c r="K48" s="569"/>
      <c r="L48" s="394"/>
      <c r="M48" s="138"/>
      <c r="N48" s="395"/>
      <c r="O48" s="396"/>
      <c r="P48" s="53"/>
      <c r="Q48" s="424"/>
      <c r="R48" s="569"/>
      <c r="S48" s="394"/>
      <c r="T48" s="138"/>
      <c r="U48" s="395"/>
      <c r="V48" s="396"/>
      <c r="W48" s="53"/>
      <c r="X48" s="424"/>
      <c r="Y48" s="569"/>
      <c r="Z48" s="394"/>
      <c r="AA48" s="138"/>
      <c r="AB48" s="395"/>
      <c r="AC48" s="396"/>
      <c r="AD48" s="53"/>
      <c r="AE48" s="424"/>
      <c r="AF48" s="569"/>
      <c r="AG48" s="394"/>
      <c r="AH48" s="138"/>
      <c r="AI48" s="395"/>
      <c r="AJ48" s="396"/>
      <c r="AK48" s="53"/>
      <c r="AL48" s="424"/>
      <c r="AM48" s="569"/>
      <c r="AN48" s="394"/>
      <c r="AO48" s="138"/>
      <c r="AP48" s="395"/>
      <c r="AQ48" s="396"/>
      <c r="AR48" s="397"/>
      <c r="AS48" s="397"/>
    </row>
    <row r="49" spans="1:45" ht="15.75" customHeight="1">
      <c r="A49" s="53"/>
      <c r="B49" s="328"/>
      <c r="C49" s="389" t="str">
        <f t="shared" si="62"/>
        <v>Street Light.</v>
      </c>
      <c r="D49" s="390"/>
      <c r="E49" s="328"/>
      <c r="F49" s="424"/>
      <c r="G49" s="569"/>
      <c r="H49" s="394"/>
      <c r="I49" s="138"/>
      <c r="J49" s="424"/>
      <c r="K49" s="569"/>
      <c r="L49" s="394"/>
      <c r="M49" s="138"/>
      <c r="N49" s="395"/>
      <c r="O49" s="396"/>
      <c r="P49" s="53"/>
      <c r="Q49" s="424"/>
      <c r="R49" s="569"/>
      <c r="S49" s="394"/>
      <c r="T49" s="138"/>
      <c r="U49" s="395"/>
      <c r="V49" s="396"/>
      <c r="W49" s="53"/>
      <c r="X49" s="424"/>
      <c r="Y49" s="569"/>
      <c r="Z49" s="394"/>
      <c r="AA49" s="138"/>
      <c r="AB49" s="395"/>
      <c r="AC49" s="396"/>
      <c r="AD49" s="53"/>
      <c r="AE49" s="424"/>
      <c r="AF49" s="569"/>
      <c r="AG49" s="394"/>
      <c r="AH49" s="138"/>
      <c r="AI49" s="395"/>
      <c r="AJ49" s="396"/>
      <c r="AK49" s="53"/>
      <c r="AL49" s="424"/>
      <c r="AM49" s="569"/>
      <c r="AN49" s="394"/>
      <c r="AO49" s="138"/>
      <c r="AP49" s="395"/>
      <c r="AQ49" s="396"/>
      <c r="AR49" s="397"/>
      <c r="AS49" s="397"/>
    </row>
    <row r="50" spans="1:45" ht="15.75" customHeight="1">
      <c r="A50" s="53"/>
      <c r="B50" s="328"/>
      <c r="C50" s="389" t="str">
        <f t="shared" si="62"/>
        <v>Street Light.</v>
      </c>
      <c r="D50" s="390"/>
      <c r="E50" s="328"/>
      <c r="F50" s="424"/>
      <c r="G50" s="569"/>
      <c r="H50" s="394"/>
      <c r="I50" s="138"/>
      <c r="J50" s="424"/>
      <c r="K50" s="569"/>
      <c r="L50" s="394"/>
      <c r="M50" s="138"/>
      <c r="N50" s="395"/>
      <c r="O50" s="396"/>
      <c r="P50" s="53"/>
      <c r="Q50" s="424"/>
      <c r="R50" s="569"/>
      <c r="S50" s="394"/>
      <c r="T50" s="138"/>
      <c r="U50" s="395"/>
      <c r="V50" s="396"/>
      <c r="W50" s="53"/>
      <c r="X50" s="424"/>
      <c r="Y50" s="569"/>
      <c r="Z50" s="394"/>
      <c r="AA50" s="138"/>
      <c r="AB50" s="395"/>
      <c r="AC50" s="396"/>
      <c r="AD50" s="53"/>
      <c r="AE50" s="424"/>
      <c r="AF50" s="569"/>
      <c r="AG50" s="394"/>
      <c r="AH50" s="138"/>
      <c r="AI50" s="395"/>
      <c r="AJ50" s="396"/>
      <c r="AK50" s="53"/>
      <c r="AL50" s="424"/>
      <c r="AM50" s="569"/>
      <c r="AN50" s="394"/>
      <c r="AO50" s="138"/>
      <c r="AP50" s="395"/>
      <c r="AQ50" s="396"/>
      <c r="AR50" s="397"/>
      <c r="AS50" s="397"/>
    </row>
    <row r="51" spans="1:45" ht="15.75" customHeight="1">
      <c r="A51" s="53"/>
      <c r="B51" s="428"/>
      <c r="C51" s="555"/>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c r="AS51" s="437"/>
    </row>
    <row r="52" spans="1:45" ht="12.75" customHeight="1">
      <c r="A52" s="53"/>
      <c r="B52" s="438" t="s">
        <v>344</v>
      </c>
      <c r="C52" s="556"/>
      <c r="D52" s="328"/>
      <c r="E52" s="328"/>
      <c r="F52" s="439"/>
      <c r="G52" s="483"/>
      <c r="H52" s="441">
        <f>SUM(H43:H48,H42)</f>
        <v>37.6251271</v>
      </c>
      <c r="I52" s="476"/>
      <c r="J52" s="440"/>
      <c r="K52" s="440"/>
      <c r="L52" s="441">
        <f>SUM(L43:L48,L42)</f>
        <v>33.935043399999998</v>
      </c>
      <c r="M52" s="443"/>
      <c r="N52" s="442">
        <f t="shared" ref="N52:N56" si="63">L52-H52</f>
        <v>-3.6900837000000024</v>
      </c>
      <c r="O52" s="444">
        <f t="shared" ref="O52:O56" si="64">IF((H52)=0,"",(N52/H52))</f>
        <v>-9.807498298125357E-2</v>
      </c>
      <c r="P52" s="53"/>
      <c r="Q52" s="440"/>
      <c r="R52" s="440"/>
      <c r="S52" s="441">
        <f>SUM(S43:S48,S42)</f>
        <v>30.741523399999998</v>
      </c>
      <c r="T52" s="443"/>
      <c r="U52" s="442">
        <f t="shared" ref="U52:U56" si="65">S52-L52</f>
        <v>-3.1935199999999995</v>
      </c>
      <c r="V52" s="444">
        <f t="shared" ref="V52:V56" si="66">IF((L52)=0,"",(U52/L52))</f>
        <v>-9.410684885112007E-2</v>
      </c>
      <c r="W52" s="53"/>
      <c r="X52" s="440"/>
      <c r="Y52" s="440"/>
      <c r="Z52" s="441">
        <f>SUM(Z43:Z48,Z42)</f>
        <v>30.308863399999996</v>
      </c>
      <c r="AA52" s="443"/>
      <c r="AB52" s="442">
        <f t="shared" ref="AB52:AB56" si="67">Z52-S52</f>
        <v>-0.43266000000000204</v>
      </c>
      <c r="AC52" s="444">
        <f t="shared" ref="AC52:AC56" si="68">IF((S52)=0,"",(AB52/S52))</f>
        <v>-1.4074123600524041E-2</v>
      </c>
      <c r="AD52" s="53"/>
      <c r="AE52" s="440"/>
      <c r="AF52" s="440"/>
      <c r="AG52" s="441">
        <f>SUM(AG43:AG48,AG42)</f>
        <v>30.180843399999993</v>
      </c>
      <c r="AH52" s="443"/>
      <c r="AI52" s="442">
        <f t="shared" ref="AI52:AI56" si="69">AG52-Z52</f>
        <v>-0.12802000000000291</v>
      </c>
      <c r="AJ52" s="444">
        <f t="shared" ref="AJ52:AJ56" si="70">IF((Z52)=0,"",(AI52/Z52))</f>
        <v>-4.2238469424096892E-3</v>
      </c>
      <c r="AK52" s="53"/>
      <c r="AL52" s="440"/>
      <c r="AM52" s="440"/>
      <c r="AN52" s="441">
        <f>SUM(AN43:AN48,AN42)</f>
        <v>30.286853399999998</v>
      </c>
      <c r="AO52" s="443"/>
      <c r="AP52" s="442">
        <f t="shared" ref="AP52:AP56" si="71">AN52-AG52</f>
        <v>0.10601000000000482</v>
      </c>
      <c r="AQ52" s="444">
        <f t="shared" ref="AQ52:AQ56" si="72">IF((AG52)=0,"",(AP52/AG52))</f>
        <v>3.5124929610152924E-3</v>
      </c>
      <c r="AR52" s="445"/>
      <c r="AS52" s="445"/>
    </row>
    <row r="53" spans="1:45" ht="12.75" customHeight="1">
      <c r="A53" s="53"/>
      <c r="B53" s="446" t="s">
        <v>345</v>
      </c>
      <c r="C53" s="556"/>
      <c r="D53" s="328"/>
      <c r="E53" s="328"/>
      <c r="F53" s="439">
        <v>0.13</v>
      </c>
      <c r="G53" s="138"/>
      <c r="H53" s="484">
        <f>H52*F53</f>
        <v>4.8912665230000005</v>
      </c>
      <c r="I53" s="411"/>
      <c r="J53" s="447">
        <v>0.13</v>
      </c>
      <c r="K53" s="411"/>
      <c r="L53" s="394">
        <f>L52*J53</f>
        <v>4.4115556419999997</v>
      </c>
      <c r="M53" s="138"/>
      <c r="N53" s="395">
        <f t="shared" si="63"/>
        <v>-0.47971088100000081</v>
      </c>
      <c r="O53" s="396">
        <f t="shared" si="64"/>
        <v>-9.8074982981253653E-2</v>
      </c>
      <c r="P53" s="53"/>
      <c r="Q53" s="447">
        <v>0.13</v>
      </c>
      <c r="R53" s="411"/>
      <c r="S53" s="394">
        <f>S52*Q53</f>
        <v>3.996398042</v>
      </c>
      <c r="T53" s="138"/>
      <c r="U53" s="395">
        <f t="shared" si="65"/>
        <v>-0.41515759999999968</v>
      </c>
      <c r="V53" s="396">
        <f t="shared" si="66"/>
        <v>-9.4106848851120015E-2</v>
      </c>
      <c r="W53" s="53"/>
      <c r="X53" s="447">
        <v>0.13</v>
      </c>
      <c r="Y53" s="411"/>
      <c r="Z53" s="394">
        <f>Z52*X53</f>
        <v>3.9401522419999995</v>
      </c>
      <c r="AA53" s="138"/>
      <c r="AB53" s="395">
        <f t="shared" si="67"/>
        <v>-5.6245800000000568E-2</v>
      </c>
      <c r="AC53" s="396">
        <f t="shared" si="68"/>
        <v>-1.4074123600524116E-2</v>
      </c>
      <c r="AD53" s="53"/>
      <c r="AE53" s="447">
        <v>0.13</v>
      </c>
      <c r="AF53" s="411"/>
      <c r="AG53" s="394">
        <f>AG52*AE53</f>
        <v>3.9235096419999991</v>
      </c>
      <c r="AH53" s="138"/>
      <c r="AI53" s="395">
        <f t="shared" si="69"/>
        <v>-1.6642600000000396E-2</v>
      </c>
      <c r="AJ53" s="396">
        <f t="shared" si="70"/>
        <v>-4.2238469424096935E-3</v>
      </c>
      <c r="AK53" s="53"/>
      <c r="AL53" s="447">
        <v>0.13</v>
      </c>
      <c r="AM53" s="411"/>
      <c r="AN53" s="394">
        <f>AN52*AL53</f>
        <v>3.9372909419999997</v>
      </c>
      <c r="AO53" s="138"/>
      <c r="AP53" s="395">
        <f t="shared" si="71"/>
        <v>1.3781300000000662E-2</v>
      </c>
      <c r="AQ53" s="396">
        <f t="shared" si="72"/>
        <v>3.5124929610153015E-3</v>
      </c>
      <c r="AR53" s="397"/>
      <c r="AS53" s="397"/>
    </row>
    <row r="54" spans="1:45" ht="12.75" customHeight="1">
      <c r="A54" s="53"/>
      <c r="B54" s="448" t="s">
        <v>445</v>
      </c>
      <c r="C54" s="556"/>
      <c r="D54" s="328"/>
      <c r="E54" s="328"/>
      <c r="F54" s="449"/>
      <c r="G54" s="138"/>
      <c r="H54" s="484">
        <f>H52+H53</f>
        <v>42.516393622999999</v>
      </c>
      <c r="I54" s="411"/>
      <c r="J54" s="411"/>
      <c r="K54" s="411"/>
      <c r="L54" s="394">
        <f>L52+L53</f>
        <v>38.346599041999994</v>
      </c>
      <c r="M54" s="138"/>
      <c r="N54" s="395">
        <f t="shared" si="63"/>
        <v>-4.169794581000005</v>
      </c>
      <c r="O54" s="396">
        <f t="shared" si="64"/>
        <v>-9.8074982981253625E-2</v>
      </c>
      <c r="P54" s="53"/>
      <c r="Q54" s="411"/>
      <c r="R54" s="411"/>
      <c r="S54" s="394">
        <f>S52+S53</f>
        <v>34.737921442000001</v>
      </c>
      <c r="T54" s="138"/>
      <c r="U54" s="395">
        <f t="shared" si="65"/>
        <v>-3.6086775999999929</v>
      </c>
      <c r="V54" s="396">
        <f t="shared" si="66"/>
        <v>-9.4106848851119904E-2</v>
      </c>
      <c r="W54" s="53"/>
      <c r="X54" s="411"/>
      <c r="Y54" s="411"/>
      <c r="Z54" s="394">
        <f>Z52+Z53</f>
        <v>34.249015641999996</v>
      </c>
      <c r="AA54" s="138"/>
      <c r="AB54" s="395">
        <f t="shared" si="67"/>
        <v>-0.48890580000000483</v>
      </c>
      <c r="AC54" s="396">
        <f t="shared" si="68"/>
        <v>-1.4074123600524112E-2</v>
      </c>
      <c r="AD54" s="53"/>
      <c r="AE54" s="411"/>
      <c r="AF54" s="411"/>
      <c r="AG54" s="394">
        <f>AG52+AG53</f>
        <v>34.104353041999993</v>
      </c>
      <c r="AH54" s="138"/>
      <c r="AI54" s="395">
        <f t="shared" si="69"/>
        <v>-0.14466260000000375</v>
      </c>
      <c r="AJ54" s="396">
        <f t="shared" si="70"/>
        <v>-4.2238469424097022E-3</v>
      </c>
      <c r="AK54" s="53"/>
      <c r="AL54" s="411"/>
      <c r="AM54" s="411"/>
      <c r="AN54" s="394">
        <f>AN52+AN53</f>
        <v>34.224144341999995</v>
      </c>
      <c r="AO54" s="138"/>
      <c r="AP54" s="395">
        <f t="shared" si="71"/>
        <v>0.11979130000000282</v>
      </c>
      <c r="AQ54" s="396">
        <f t="shared" si="72"/>
        <v>3.5124929610152152E-3</v>
      </c>
      <c r="AR54" s="397"/>
      <c r="AS54" s="397"/>
    </row>
    <row r="55" spans="1:45" ht="15.75" customHeight="1">
      <c r="A55" s="53"/>
      <c r="B55" s="626" t="s">
        <v>304</v>
      </c>
      <c r="C55" s="616"/>
      <c r="D55" s="616"/>
      <c r="E55" s="328"/>
      <c r="F55" s="449"/>
      <c r="G55" s="138"/>
      <c r="H55" s="486">
        <f>F55*H52</f>
        <v>0</v>
      </c>
      <c r="I55" s="411"/>
      <c r="J55" s="411"/>
      <c r="K55" s="411"/>
      <c r="L55" s="506">
        <f>J55*L52</f>
        <v>0</v>
      </c>
      <c r="M55" s="138"/>
      <c r="N55" s="451">
        <f t="shared" si="63"/>
        <v>0</v>
      </c>
      <c r="O55" s="453" t="str">
        <f t="shared" si="64"/>
        <v/>
      </c>
      <c r="P55" s="53"/>
      <c r="Q55" s="411"/>
      <c r="R55" s="411"/>
      <c r="S55" s="506">
        <f>Q55*S52</f>
        <v>0</v>
      </c>
      <c r="T55" s="138"/>
      <c r="U55" s="451">
        <f t="shared" si="65"/>
        <v>0</v>
      </c>
      <c r="V55" s="453" t="str">
        <f t="shared" si="66"/>
        <v/>
      </c>
      <c r="W55" s="53"/>
      <c r="X55" s="411"/>
      <c r="Y55" s="411"/>
      <c r="Z55" s="506">
        <f>X55*Z52</f>
        <v>0</v>
      </c>
      <c r="AA55" s="138"/>
      <c r="AB55" s="451">
        <f t="shared" si="67"/>
        <v>0</v>
      </c>
      <c r="AC55" s="453" t="str">
        <f t="shared" si="68"/>
        <v/>
      </c>
      <c r="AD55" s="53"/>
      <c r="AE55" s="411"/>
      <c r="AF55" s="411"/>
      <c r="AG55" s="506">
        <f>AE55*AG52</f>
        <v>0</v>
      </c>
      <c r="AH55" s="138"/>
      <c r="AI55" s="451">
        <f t="shared" si="69"/>
        <v>0</v>
      </c>
      <c r="AJ55" s="453" t="str">
        <f t="shared" si="70"/>
        <v/>
      </c>
      <c r="AK55" s="53"/>
      <c r="AL55" s="411"/>
      <c r="AM55" s="411"/>
      <c r="AN55" s="506">
        <f>AL55*AN52</f>
        <v>0</v>
      </c>
      <c r="AO55" s="138"/>
      <c r="AP55" s="451">
        <f t="shared" si="71"/>
        <v>0</v>
      </c>
      <c r="AQ55" s="453" t="str">
        <f t="shared" si="72"/>
        <v/>
      </c>
      <c r="AR55" s="454"/>
      <c r="AS55" s="454"/>
    </row>
    <row r="56" spans="1:45" ht="13.5" customHeight="1">
      <c r="A56" s="53"/>
      <c r="B56" s="627" t="s">
        <v>347</v>
      </c>
      <c r="C56" s="608"/>
      <c r="D56" s="600"/>
      <c r="E56" s="455"/>
      <c r="F56" s="456"/>
      <c r="G56" s="487"/>
      <c r="H56" s="488">
        <f>H54-H55</f>
        <v>42.516393622999999</v>
      </c>
      <c r="I56" s="457"/>
      <c r="J56" s="457"/>
      <c r="K56" s="457"/>
      <c r="L56" s="458">
        <f>L54-L55</f>
        <v>38.346599041999994</v>
      </c>
      <c r="M56" s="459"/>
      <c r="N56" s="460">
        <f t="shared" si="63"/>
        <v>-4.169794581000005</v>
      </c>
      <c r="O56" s="461">
        <f t="shared" si="64"/>
        <v>-9.8074982981253625E-2</v>
      </c>
      <c r="P56" s="53"/>
      <c r="Q56" s="457"/>
      <c r="R56" s="457"/>
      <c r="S56" s="458">
        <f>S54-S55</f>
        <v>34.737921442000001</v>
      </c>
      <c r="T56" s="459"/>
      <c r="U56" s="460">
        <f t="shared" si="65"/>
        <v>-3.6086775999999929</v>
      </c>
      <c r="V56" s="461">
        <f t="shared" si="66"/>
        <v>-9.4106848851119904E-2</v>
      </c>
      <c r="W56" s="53"/>
      <c r="X56" s="457"/>
      <c r="Y56" s="457"/>
      <c r="Z56" s="458">
        <f>Z54-Z55</f>
        <v>34.249015641999996</v>
      </c>
      <c r="AA56" s="459"/>
      <c r="AB56" s="460">
        <f t="shared" si="67"/>
        <v>-0.48890580000000483</v>
      </c>
      <c r="AC56" s="461">
        <f t="shared" si="68"/>
        <v>-1.4074123600524112E-2</v>
      </c>
      <c r="AD56" s="53"/>
      <c r="AE56" s="457"/>
      <c r="AF56" s="457"/>
      <c r="AG56" s="458">
        <f>AG54-AG55</f>
        <v>34.104353041999993</v>
      </c>
      <c r="AH56" s="459"/>
      <c r="AI56" s="460">
        <f t="shared" si="69"/>
        <v>-0.14466260000000375</v>
      </c>
      <c r="AJ56" s="461">
        <f t="shared" si="70"/>
        <v>-4.2238469424097022E-3</v>
      </c>
      <c r="AK56" s="53"/>
      <c r="AL56" s="457"/>
      <c r="AM56" s="457"/>
      <c r="AN56" s="458">
        <f>AN54-AN55</f>
        <v>34.224144341999995</v>
      </c>
      <c r="AO56" s="459"/>
      <c r="AP56" s="460">
        <f t="shared" si="71"/>
        <v>0.11979130000000282</v>
      </c>
      <c r="AQ56" s="461">
        <f t="shared" si="72"/>
        <v>3.5124929610152152E-3</v>
      </c>
      <c r="AR56" s="462"/>
      <c r="AS56" s="462"/>
    </row>
    <row r="57" spans="1:45" ht="8.25" customHeight="1">
      <c r="A57" s="53"/>
      <c r="B57" s="428"/>
      <c r="C57" s="555"/>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c r="AS57" s="437"/>
    </row>
    <row r="58" spans="1:45" ht="12.75" customHeight="1">
      <c r="A58" s="53"/>
      <c r="B58" s="508" t="s">
        <v>348</v>
      </c>
      <c r="C58" s="557"/>
      <c r="D58" s="509"/>
      <c r="E58" s="509"/>
      <c r="F58" s="510"/>
      <c r="G58" s="511"/>
      <c r="H58" s="512">
        <f>SUM(H49:H50,H42,H43:H45)</f>
        <v>21.945627099999999</v>
      </c>
      <c r="I58" s="513"/>
      <c r="J58" s="514"/>
      <c r="K58" s="514"/>
      <c r="L58" s="512">
        <f>SUM(L49:L50,L42,L43:L45)</f>
        <v>18.255543400000001</v>
      </c>
      <c r="M58" s="515"/>
      <c r="N58" s="516">
        <f t="shared" ref="N58:N62" si="73">L58-H58</f>
        <v>-3.6900836999999989</v>
      </c>
      <c r="O58" s="517">
        <f t="shared" ref="O58:O62" si="74">IF((H58)=0,"",(N58/H58))</f>
        <v>-0.16814665095626266</v>
      </c>
      <c r="P58" s="507"/>
      <c r="Q58" s="514"/>
      <c r="R58" s="514"/>
      <c r="S58" s="512">
        <f>SUM(S49:S50,S42,S43:S45)</f>
        <v>15.062023399999999</v>
      </c>
      <c r="T58" s="515"/>
      <c r="U58" s="516">
        <f t="shared" ref="U58:U62" si="75">S58-L58</f>
        <v>-3.1935200000000012</v>
      </c>
      <c r="V58" s="517">
        <f t="shared" ref="V58:V62" si="76">IF((L58)=0,"",(U58/L58))</f>
        <v>-0.17493426133784662</v>
      </c>
      <c r="W58" s="507"/>
      <c r="X58" s="514"/>
      <c r="Y58" s="514"/>
      <c r="Z58" s="512">
        <f>SUM(Z49:Z50,Z42,Z43:Z45)</f>
        <v>14.629363399999997</v>
      </c>
      <c r="AA58" s="515"/>
      <c r="AB58" s="516">
        <f t="shared" ref="AB58:AB62" si="77">Z58-S58</f>
        <v>-0.43266000000000204</v>
      </c>
      <c r="AC58" s="517">
        <f t="shared" ref="AC58:AC62" si="78">IF((S58)=0,"",(AB58/S58))</f>
        <v>-2.8725224261701921E-2</v>
      </c>
      <c r="AD58" s="507"/>
      <c r="AE58" s="514"/>
      <c r="AF58" s="514"/>
      <c r="AG58" s="512">
        <f>SUM(AG49:AG50,AG42,AG43:AG45)</f>
        <v>14.501343399999996</v>
      </c>
      <c r="AH58" s="515"/>
      <c r="AI58" s="516">
        <f t="shared" ref="AI58:AI62" si="79">AG58-Z58</f>
        <v>-0.12802000000000113</v>
      </c>
      <c r="AJ58" s="517">
        <f t="shared" ref="AJ58:AJ62" si="80">IF((Z58)=0,"",(AI58/Z58))</f>
        <v>-8.7508934257522885E-3</v>
      </c>
      <c r="AK58" s="507"/>
      <c r="AL58" s="514"/>
      <c r="AM58" s="514"/>
      <c r="AN58" s="512">
        <f>SUM(AN49:AN50,AN42,AN43:AN45)</f>
        <v>14.607353399999999</v>
      </c>
      <c r="AO58" s="515"/>
      <c r="AP58" s="516">
        <f t="shared" ref="AP58:AP62" si="81">AN58-AG58</f>
        <v>0.10601000000000305</v>
      </c>
      <c r="AQ58" s="517">
        <f t="shared" ref="AQ58:AQ62" si="82">IF((AG58)=0,"",(AP58/AG58))</f>
        <v>7.3103571907691721E-3</v>
      </c>
      <c r="AR58" s="445"/>
      <c r="AS58" s="445"/>
    </row>
    <row r="59" spans="1:45" ht="12.75" customHeight="1">
      <c r="A59" s="53"/>
      <c r="B59" s="519" t="s">
        <v>345</v>
      </c>
      <c r="C59" s="557"/>
      <c r="D59" s="509"/>
      <c r="E59" s="509"/>
      <c r="F59" s="510">
        <v>0.13</v>
      </c>
      <c r="G59" s="511"/>
      <c r="H59" s="520">
        <f>H58*F59</f>
        <v>2.8529315230000001</v>
      </c>
      <c r="I59" s="521"/>
      <c r="J59" s="510">
        <v>0.13</v>
      </c>
      <c r="K59" s="522"/>
      <c r="L59" s="523">
        <f>L58*J59</f>
        <v>2.3732206420000002</v>
      </c>
      <c r="M59" s="524"/>
      <c r="N59" s="525">
        <f t="shared" si="73"/>
        <v>-0.47971088099999992</v>
      </c>
      <c r="O59" s="526">
        <f t="shared" si="74"/>
        <v>-0.16814665095626269</v>
      </c>
      <c r="P59" s="507"/>
      <c r="Q59" s="510">
        <v>0.13</v>
      </c>
      <c r="R59" s="522"/>
      <c r="S59" s="523">
        <f>S58*Q59</f>
        <v>1.958063042</v>
      </c>
      <c r="T59" s="524"/>
      <c r="U59" s="525">
        <f t="shared" si="75"/>
        <v>-0.41515760000000013</v>
      </c>
      <c r="V59" s="526">
        <f t="shared" si="76"/>
        <v>-0.17493426133784659</v>
      </c>
      <c r="W59" s="507"/>
      <c r="X59" s="510">
        <v>0.13</v>
      </c>
      <c r="Y59" s="522"/>
      <c r="Z59" s="523">
        <f>Z58*X59</f>
        <v>1.9018172419999997</v>
      </c>
      <c r="AA59" s="524"/>
      <c r="AB59" s="525">
        <f t="shared" si="77"/>
        <v>-5.6245800000000346E-2</v>
      </c>
      <c r="AC59" s="526">
        <f t="shared" si="78"/>
        <v>-2.8725224261701959E-2</v>
      </c>
      <c r="AD59" s="507"/>
      <c r="AE59" s="510">
        <v>0.13</v>
      </c>
      <c r="AF59" s="522"/>
      <c r="AG59" s="523">
        <f>AG58*AE59</f>
        <v>1.8851746419999995</v>
      </c>
      <c r="AH59" s="524"/>
      <c r="AI59" s="525">
        <f t="shared" si="79"/>
        <v>-1.6642600000000174E-2</v>
      </c>
      <c r="AJ59" s="526">
        <f t="shared" si="80"/>
        <v>-8.7508934257523024E-3</v>
      </c>
      <c r="AK59" s="507"/>
      <c r="AL59" s="510">
        <v>0.13</v>
      </c>
      <c r="AM59" s="522"/>
      <c r="AN59" s="523">
        <f>AN58*AL59</f>
        <v>1.898955942</v>
      </c>
      <c r="AO59" s="524"/>
      <c r="AP59" s="525">
        <f t="shared" si="81"/>
        <v>1.378130000000044E-2</v>
      </c>
      <c r="AQ59" s="526">
        <f t="shared" si="82"/>
        <v>7.3103571907691955E-3</v>
      </c>
      <c r="AR59" s="397"/>
      <c r="AS59" s="397"/>
    </row>
    <row r="60" spans="1:45" ht="12.75" customHeight="1">
      <c r="A60" s="53"/>
      <c r="B60" s="528" t="s">
        <v>446</v>
      </c>
      <c r="C60" s="557"/>
      <c r="D60" s="509"/>
      <c r="E60" s="509"/>
      <c r="F60" s="529"/>
      <c r="G60" s="524"/>
      <c r="H60" s="520">
        <f>H58+H59</f>
        <v>24.798558622999998</v>
      </c>
      <c r="I60" s="521"/>
      <c r="J60" s="521"/>
      <c r="K60" s="521"/>
      <c r="L60" s="523">
        <f>L58+L59</f>
        <v>20.628764042</v>
      </c>
      <c r="M60" s="524"/>
      <c r="N60" s="525">
        <f t="shared" si="73"/>
        <v>-4.1697945809999979</v>
      </c>
      <c r="O60" s="526">
        <f t="shared" si="74"/>
        <v>-0.16814665095626263</v>
      </c>
      <c r="P60" s="507"/>
      <c r="Q60" s="521"/>
      <c r="R60" s="521"/>
      <c r="S60" s="523">
        <f>S58+S59</f>
        <v>17.020086442</v>
      </c>
      <c r="T60" s="524"/>
      <c r="U60" s="525">
        <f t="shared" si="75"/>
        <v>-3.6086776</v>
      </c>
      <c r="V60" s="526">
        <f t="shared" si="76"/>
        <v>-0.17493426133784656</v>
      </c>
      <c r="W60" s="507"/>
      <c r="X60" s="521"/>
      <c r="Y60" s="521"/>
      <c r="Z60" s="523">
        <f>Z58+Z59</f>
        <v>16.531180641999995</v>
      </c>
      <c r="AA60" s="524"/>
      <c r="AB60" s="525">
        <f t="shared" si="77"/>
        <v>-0.48890580000000483</v>
      </c>
      <c r="AC60" s="526">
        <f t="shared" si="78"/>
        <v>-2.8725224261702067E-2</v>
      </c>
      <c r="AD60" s="507"/>
      <c r="AE60" s="521"/>
      <c r="AF60" s="521"/>
      <c r="AG60" s="523">
        <f>AG58+AG59</f>
        <v>16.386518041999995</v>
      </c>
      <c r="AH60" s="524"/>
      <c r="AI60" s="525">
        <f t="shared" si="79"/>
        <v>-0.1446626000000002</v>
      </c>
      <c r="AJ60" s="526">
        <f t="shared" si="80"/>
        <v>-8.7508934257522243E-3</v>
      </c>
      <c r="AK60" s="507"/>
      <c r="AL60" s="521"/>
      <c r="AM60" s="521"/>
      <c r="AN60" s="523">
        <f>AN58+AN59</f>
        <v>16.506309341999998</v>
      </c>
      <c r="AO60" s="524"/>
      <c r="AP60" s="525">
        <f t="shared" si="81"/>
        <v>0.11979130000000282</v>
      </c>
      <c r="AQ60" s="526">
        <f t="shared" si="82"/>
        <v>7.310357190769134E-3</v>
      </c>
      <c r="AR60" s="397"/>
      <c r="AS60" s="397"/>
    </row>
    <row r="61" spans="1:45" ht="15.75" customHeight="1">
      <c r="A61" s="53"/>
      <c r="B61" s="636" t="s">
        <v>304</v>
      </c>
      <c r="C61" s="616"/>
      <c r="D61" s="616"/>
      <c r="E61" s="509"/>
      <c r="F61" s="529"/>
      <c r="G61" s="524"/>
      <c r="H61" s="530">
        <f>F61*H58</f>
        <v>0</v>
      </c>
      <c r="I61" s="521"/>
      <c r="J61" s="521"/>
      <c r="K61" s="521"/>
      <c r="L61" s="531">
        <f>J61*L58</f>
        <v>0</v>
      </c>
      <c r="M61" s="524"/>
      <c r="N61" s="532">
        <f t="shared" si="73"/>
        <v>0</v>
      </c>
      <c r="O61" s="533" t="str">
        <f t="shared" si="74"/>
        <v/>
      </c>
      <c r="P61" s="507"/>
      <c r="Q61" s="521"/>
      <c r="R61" s="521"/>
      <c r="S61" s="531">
        <f>Q61*S58</f>
        <v>0</v>
      </c>
      <c r="T61" s="524"/>
      <c r="U61" s="532">
        <f t="shared" si="75"/>
        <v>0</v>
      </c>
      <c r="V61" s="533" t="str">
        <f t="shared" si="76"/>
        <v/>
      </c>
      <c r="W61" s="507"/>
      <c r="X61" s="521"/>
      <c r="Y61" s="521"/>
      <c r="Z61" s="531">
        <f>X61*Z58</f>
        <v>0</v>
      </c>
      <c r="AA61" s="524"/>
      <c r="AB61" s="532">
        <f t="shared" si="77"/>
        <v>0</v>
      </c>
      <c r="AC61" s="533" t="str">
        <f t="shared" si="78"/>
        <v/>
      </c>
      <c r="AD61" s="507"/>
      <c r="AE61" s="521"/>
      <c r="AF61" s="521"/>
      <c r="AG61" s="531">
        <f>AE61*AG58</f>
        <v>0</v>
      </c>
      <c r="AH61" s="524"/>
      <c r="AI61" s="532">
        <f t="shared" si="79"/>
        <v>0</v>
      </c>
      <c r="AJ61" s="533" t="str">
        <f t="shared" si="80"/>
        <v/>
      </c>
      <c r="AK61" s="507"/>
      <c r="AL61" s="521"/>
      <c r="AM61" s="521"/>
      <c r="AN61" s="531">
        <f>AL61*AN58</f>
        <v>0</v>
      </c>
      <c r="AO61" s="524"/>
      <c r="AP61" s="532">
        <f t="shared" si="81"/>
        <v>0</v>
      </c>
      <c r="AQ61" s="533" t="str">
        <f t="shared" si="82"/>
        <v/>
      </c>
      <c r="AR61" s="454"/>
      <c r="AS61" s="454"/>
    </row>
    <row r="62" spans="1:45" ht="13.5" customHeight="1">
      <c r="A62" s="53"/>
      <c r="B62" s="637" t="s">
        <v>350</v>
      </c>
      <c r="C62" s="608"/>
      <c r="D62" s="600"/>
      <c r="E62" s="535"/>
      <c r="F62" s="536"/>
      <c r="G62" s="537"/>
      <c r="H62" s="538">
        <f>H60-H61</f>
        <v>24.798558622999998</v>
      </c>
      <c r="I62" s="539"/>
      <c r="J62" s="539"/>
      <c r="K62" s="539"/>
      <c r="L62" s="540">
        <f>L60-L61</f>
        <v>20.628764042</v>
      </c>
      <c r="M62" s="541"/>
      <c r="N62" s="542">
        <f t="shared" si="73"/>
        <v>-4.1697945809999979</v>
      </c>
      <c r="O62" s="543">
        <f t="shared" si="74"/>
        <v>-0.16814665095626263</v>
      </c>
      <c r="P62" s="507"/>
      <c r="Q62" s="539"/>
      <c r="R62" s="539"/>
      <c r="S62" s="540">
        <f>S60-S61</f>
        <v>17.020086442</v>
      </c>
      <c r="T62" s="541"/>
      <c r="U62" s="542">
        <f t="shared" si="75"/>
        <v>-3.6086776</v>
      </c>
      <c r="V62" s="543">
        <f t="shared" si="76"/>
        <v>-0.17493426133784656</v>
      </c>
      <c r="W62" s="507"/>
      <c r="X62" s="539"/>
      <c r="Y62" s="539"/>
      <c r="Z62" s="540">
        <f>Z60-Z61</f>
        <v>16.531180641999995</v>
      </c>
      <c r="AA62" s="541"/>
      <c r="AB62" s="542">
        <f t="shared" si="77"/>
        <v>-0.48890580000000483</v>
      </c>
      <c r="AC62" s="543">
        <f t="shared" si="78"/>
        <v>-2.8725224261702067E-2</v>
      </c>
      <c r="AD62" s="507"/>
      <c r="AE62" s="539"/>
      <c r="AF62" s="539"/>
      <c r="AG62" s="540">
        <f>AG60-AG61</f>
        <v>16.386518041999995</v>
      </c>
      <c r="AH62" s="541"/>
      <c r="AI62" s="542">
        <f t="shared" si="79"/>
        <v>-0.1446626000000002</v>
      </c>
      <c r="AJ62" s="543">
        <f t="shared" si="80"/>
        <v>-8.7508934257522243E-3</v>
      </c>
      <c r="AK62" s="507"/>
      <c r="AL62" s="539"/>
      <c r="AM62" s="539"/>
      <c r="AN62" s="540">
        <f>AN60-AN61</f>
        <v>16.506309341999998</v>
      </c>
      <c r="AO62" s="541"/>
      <c r="AP62" s="542">
        <f t="shared" si="81"/>
        <v>0.11979130000000282</v>
      </c>
      <c r="AQ62" s="543">
        <f t="shared" si="82"/>
        <v>7.310357190769134E-3</v>
      </c>
      <c r="AR62" s="462"/>
      <c r="AS62" s="462"/>
    </row>
    <row r="63" spans="1:45" ht="8.25" customHeight="1">
      <c r="A63" s="53"/>
      <c r="B63" s="428"/>
      <c r="C63" s="555"/>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c r="AS63" s="437"/>
    </row>
    <row r="64" spans="1:45" ht="12.75" customHeight="1">
      <c r="A64" s="53"/>
      <c r="B64" s="53"/>
      <c r="C64" s="549"/>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53"/>
    </row>
    <row r="65" spans="1:45" ht="12.75" customHeight="1">
      <c r="A65" s="53"/>
      <c r="B65" s="314" t="s">
        <v>351</v>
      </c>
      <c r="C65" s="549"/>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c r="AS65" s="53"/>
    </row>
    <row r="66" spans="1:45" ht="12.75" customHeight="1">
      <c r="A66" s="53"/>
      <c r="B66" s="53"/>
      <c r="C66" s="549"/>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row>
    <row r="67" spans="1:45" ht="15.75" customHeight="1">
      <c r="A67" s="473" t="s">
        <v>447</v>
      </c>
      <c r="B67" s="53"/>
      <c r="C67" s="549"/>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row>
    <row r="68" spans="1:45" ht="13.5" customHeight="1">
      <c r="A68" s="53"/>
      <c r="B68" s="53"/>
      <c r="C68" s="549"/>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row>
    <row r="69" spans="1:45" ht="8.25" customHeight="1">
      <c r="A69" s="53" t="s">
        <v>353</v>
      </c>
      <c r="B69" s="53"/>
      <c r="C69" s="549"/>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row>
    <row r="70" spans="1:45" ht="12.75" customHeight="1">
      <c r="A70" s="53" t="s">
        <v>354</v>
      </c>
      <c r="B70" s="53"/>
      <c r="C70" s="549"/>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row>
    <row r="71" spans="1:45" ht="12.75" customHeight="1">
      <c r="A71" s="53"/>
      <c r="B71" s="53"/>
      <c r="C71" s="549"/>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row>
    <row r="72" spans="1:45" ht="12.75" customHeight="1">
      <c r="A72" s="53" t="s">
        <v>355</v>
      </c>
      <c r="B72" s="53"/>
      <c r="C72" s="549"/>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row>
    <row r="73" spans="1:45" ht="12.75" customHeight="1">
      <c r="A73" s="53" t="s">
        <v>356</v>
      </c>
      <c r="B73" s="53"/>
      <c r="C73" s="549"/>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row>
    <row r="74" spans="1:45" ht="12.75" customHeight="1">
      <c r="A74" s="53"/>
      <c r="B74" s="53"/>
      <c r="C74" s="549"/>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row>
    <row r="75" spans="1:45" ht="12.75" customHeight="1">
      <c r="A75" s="53" t="s">
        <v>357</v>
      </c>
      <c r="B75" s="53"/>
      <c r="C75" s="549"/>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row>
    <row r="76" spans="1:45" ht="12.75" customHeight="1">
      <c r="A76" s="53" t="s">
        <v>358</v>
      </c>
      <c r="B76" s="53"/>
      <c r="C76" s="549"/>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row>
    <row r="77" spans="1:45" ht="12.75" customHeight="1">
      <c r="A77" s="53" t="s">
        <v>359</v>
      </c>
      <c r="B77" s="53"/>
      <c r="C77" s="549"/>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row>
    <row r="78" spans="1:45" ht="12.75" customHeight="1">
      <c r="A78" s="53" t="s">
        <v>360</v>
      </c>
      <c r="B78" s="53"/>
      <c r="C78" s="549"/>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row>
    <row r="79" spans="1:45" ht="12.75" customHeight="1">
      <c r="A79" s="53" t="s">
        <v>361</v>
      </c>
      <c r="B79" s="53"/>
      <c r="C79" s="549"/>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row>
    <row r="80" spans="1:45" ht="12.75" customHeight="1">
      <c r="A80" s="53"/>
      <c r="B80" s="53"/>
      <c r="C80" s="549"/>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row>
    <row r="81" spans="1:45" ht="12.75" customHeight="1">
      <c r="A81" s="474"/>
      <c r="B81" s="53" t="s">
        <v>362</v>
      </c>
      <c r="C81" s="549"/>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row>
    <row r="82" spans="1:45" ht="12.75" customHeight="1">
      <c r="A82" s="53"/>
      <c r="B82" s="53"/>
      <c r="C82" s="549"/>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row>
    <row r="83" spans="1:45" ht="12.75" customHeight="1">
      <c r="A83" s="53"/>
      <c r="B83" s="53" t="s">
        <v>363</v>
      </c>
      <c r="C83" s="549"/>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row>
    <row r="84" spans="1:45" ht="12.75" customHeight="1">
      <c r="A84" s="53"/>
      <c r="B84" s="53"/>
      <c r="C84" s="549"/>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row>
    <row r="85" spans="1:45" ht="12.75" customHeight="1">
      <c r="A85" s="53"/>
      <c r="B85" s="53"/>
      <c r="C85" s="549"/>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row>
    <row r="86" spans="1:45" ht="12.75" customHeight="1">
      <c r="A86" s="53"/>
      <c r="B86" s="53"/>
      <c r="C86" s="549"/>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row>
    <row r="87" spans="1:45" ht="12.75" customHeight="1">
      <c r="A87" s="53"/>
      <c r="B87" s="53"/>
      <c r="C87" s="549"/>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row>
    <row r="88" spans="1:45" ht="12.75" customHeight="1">
      <c r="A88" s="53"/>
      <c r="B88" s="53"/>
      <c r="C88" s="549"/>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row>
    <row r="89" spans="1:45" ht="12.75" customHeight="1">
      <c r="A89" s="53"/>
      <c r="B89" s="53"/>
      <c r="C89" s="549"/>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row>
    <row r="90" spans="1:45" ht="12.75" customHeight="1">
      <c r="A90" s="53"/>
      <c r="B90" s="53"/>
      <c r="C90" s="549"/>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row>
    <row r="91" spans="1:45" ht="12.75" customHeight="1">
      <c r="A91" s="53"/>
      <c r="B91" s="53"/>
      <c r="C91" s="549"/>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row>
    <row r="92" spans="1:45" ht="12.75" customHeight="1">
      <c r="A92" s="53"/>
      <c r="B92" s="53"/>
      <c r="C92" s="549"/>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row>
    <row r="93" spans="1:45" ht="12.75" customHeight="1">
      <c r="A93" s="53"/>
      <c r="B93" s="53"/>
      <c r="C93" s="549"/>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row>
    <row r="94" spans="1:45" ht="12.75" customHeight="1">
      <c r="A94" s="53"/>
      <c r="B94" s="53"/>
      <c r="C94" s="549"/>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row>
    <row r="95" spans="1:45" ht="12.75" customHeight="1">
      <c r="A95" s="53"/>
      <c r="B95" s="53"/>
      <c r="C95" s="549"/>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row>
    <row r="96" spans="1:45" ht="12.75" customHeight="1">
      <c r="A96" s="53"/>
      <c r="B96" s="53"/>
      <c r="C96" s="549"/>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row>
    <row r="97" spans="1:45" ht="12.75" customHeight="1">
      <c r="A97" s="53"/>
      <c r="B97" s="53"/>
      <c r="C97" s="549"/>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row>
    <row r="98" spans="1:45" ht="12.75" customHeight="1">
      <c r="A98" s="53"/>
      <c r="B98" s="53"/>
      <c r="C98" s="549"/>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row>
    <row r="99" spans="1:45" ht="12.75" customHeight="1">
      <c r="A99" s="53"/>
      <c r="B99" s="53"/>
      <c r="C99" s="549"/>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row>
    <row r="100" spans="1:45" ht="12.75" customHeight="1">
      <c r="A100" s="53"/>
      <c r="B100" s="53"/>
      <c r="C100" s="549"/>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row>
    <row r="101" spans="1:45" ht="12.75" customHeight="1">
      <c r="A101" s="53"/>
      <c r="B101" s="53"/>
      <c r="C101" s="549"/>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row>
    <row r="102" spans="1:45" ht="12.75" customHeight="1">
      <c r="A102" s="53"/>
      <c r="B102" s="53"/>
      <c r="C102" s="549"/>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row>
    <row r="103" spans="1:45" ht="12.75" customHeight="1">
      <c r="A103" s="53"/>
      <c r="B103" s="53"/>
      <c r="C103" s="549"/>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row>
    <row r="104" spans="1:45" ht="12.75" customHeight="1">
      <c r="A104" s="53"/>
      <c r="B104" s="53"/>
      <c r="C104" s="549"/>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row>
    <row r="105" spans="1:45" ht="12.75" customHeight="1">
      <c r="A105" s="53"/>
      <c r="B105" s="53"/>
      <c r="C105" s="549"/>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row>
    <row r="106" spans="1:45" ht="12.75" customHeight="1">
      <c r="A106" s="53"/>
      <c r="B106" s="53"/>
      <c r="C106" s="549"/>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row>
    <row r="107" spans="1:45" ht="12.75" customHeight="1">
      <c r="A107" s="53"/>
      <c r="B107" s="53"/>
      <c r="C107" s="549"/>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row>
    <row r="108" spans="1:45" ht="12.75" customHeight="1">
      <c r="A108" s="53"/>
      <c r="B108" s="53"/>
      <c r="C108" s="549"/>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row>
    <row r="109" spans="1:45" ht="12.75" customHeight="1">
      <c r="A109" s="53"/>
      <c r="B109" s="53"/>
      <c r="C109" s="549"/>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row>
    <row r="110" spans="1:45" ht="12.75" customHeight="1">
      <c r="A110" s="53"/>
      <c r="B110" s="53"/>
      <c r="C110" s="549"/>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row>
    <row r="111" spans="1:45" ht="12.75" customHeight="1">
      <c r="A111" s="53"/>
      <c r="B111" s="53"/>
      <c r="C111" s="549"/>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row>
    <row r="112" spans="1:45" ht="12.75" customHeight="1">
      <c r="A112" s="53"/>
      <c r="B112" s="53"/>
      <c r="C112" s="549"/>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row>
    <row r="113" spans="1:45" ht="12.75" customHeight="1">
      <c r="A113" s="53"/>
      <c r="B113" s="53"/>
      <c r="C113" s="549"/>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row>
    <row r="114" spans="1:45" ht="12.75" customHeight="1">
      <c r="A114" s="53"/>
      <c r="B114" s="53"/>
      <c r="C114" s="549"/>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row>
    <row r="115" spans="1:45" ht="12.75" customHeight="1">
      <c r="A115" s="53"/>
      <c r="B115" s="53"/>
      <c r="C115" s="549"/>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row>
    <row r="116" spans="1:45" ht="12.75" customHeight="1">
      <c r="A116" s="53"/>
      <c r="B116" s="53"/>
      <c r="C116" s="549"/>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row>
    <row r="117" spans="1:45" ht="12.75" customHeight="1">
      <c r="A117" s="53"/>
      <c r="B117" s="53"/>
      <c r="C117" s="549"/>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row>
    <row r="118" spans="1:45" ht="12.75" customHeight="1">
      <c r="A118" s="53"/>
      <c r="B118" s="53"/>
      <c r="C118" s="549"/>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row>
    <row r="119" spans="1:45" ht="12.75" customHeight="1">
      <c r="A119" s="53"/>
      <c r="B119" s="53"/>
      <c r="C119" s="549"/>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row>
    <row r="120" spans="1:45" ht="12.75" customHeight="1">
      <c r="A120" s="53"/>
      <c r="B120" s="53"/>
      <c r="C120" s="549"/>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row>
    <row r="121" spans="1:45" ht="12.75" customHeight="1">
      <c r="A121" s="53"/>
      <c r="B121" s="53"/>
      <c r="C121" s="549"/>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row>
    <row r="122" spans="1:45" ht="12.75" customHeight="1">
      <c r="A122" s="53"/>
      <c r="B122" s="53"/>
      <c r="C122" s="549"/>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row>
    <row r="123" spans="1:45" ht="12.75" customHeight="1">
      <c r="A123" s="53"/>
      <c r="B123" s="53"/>
      <c r="C123" s="549"/>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row>
    <row r="124" spans="1:45" ht="12.75" customHeight="1">
      <c r="A124" s="53"/>
      <c r="B124" s="53"/>
      <c r="C124" s="549"/>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row>
    <row r="125" spans="1:45" ht="12.75" customHeight="1">
      <c r="A125" s="53"/>
      <c r="B125" s="53"/>
      <c r="C125" s="549"/>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row>
    <row r="126" spans="1:45" ht="12.75" customHeight="1">
      <c r="A126" s="53"/>
      <c r="B126" s="53"/>
      <c r="C126" s="549"/>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row>
    <row r="127" spans="1:45" ht="12.75" customHeight="1">
      <c r="A127" s="53"/>
      <c r="B127" s="53"/>
      <c r="C127" s="549"/>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row>
    <row r="128" spans="1:45" ht="12.75" customHeight="1">
      <c r="A128" s="53"/>
      <c r="B128" s="53"/>
      <c r="C128" s="549"/>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row>
    <row r="129" spans="1:45" ht="12.75" customHeight="1">
      <c r="A129" s="53"/>
      <c r="B129" s="53"/>
      <c r="C129" s="549"/>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row>
    <row r="130" spans="1:45" ht="12.75" customHeight="1">
      <c r="A130" s="53"/>
      <c r="B130" s="53"/>
      <c r="C130" s="549"/>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row>
    <row r="131" spans="1:45" ht="12.75" customHeight="1">
      <c r="A131" s="53"/>
      <c r="B131" s="53"/>
      <c r="C131" s="549"/>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row>
    <row r="132" spans="1:45" ht="12.75" customHeight="1">
      <c r="A132" s="53"/>
      <c r="B132" s="53"/>
      <c r="C132" s="549"/>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row>
    <row r="133" spans="1:45" ht="12.75" customHeight="1">
      <c r="A133" s="53"/>
      <c r="B133" s="53"/>
      <c r="C133" s="549"/>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row>
    <row r="134" spans="1:45" ht="12.75" customHeight="1">
      <c r="A134" s="53"/>
      <c r="B134" s="53"/>
      <c r="C134" s="549"/>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row>
    <row r="135" spans="1:45" ht="12.75" customHeight="1">
      <c r="A135" s="53"/>
      <c r="B135" s="53"/>
      <c r="C135" s="549"/>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row>
    <row r="136" spans="1:45" ht="12.75" customHeight="1">
      <c r="A136" s="53"/>
      <c r="B136" s="53"/>
      <c r="C136" s="549"/>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row>
    <row r="137" spans="1:45" ht="12.75" customHeight="1">
      <c r="A137" s="53"/>
      <c r="B137" s="53"/>
      <c r="C137" s="549"/>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row>
    <row r="138" spans="1:45" ht="12.75" customHeight="1">
      <c r="A138" s="53"/>
      <c r="B138" s="53"/>
      <c r="C138" s="549"/>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row>
    <row r="139" spans="1:45" ht="12.75" customHeight="1">
      <c r="A139" s="53"/>
      <c r="B139" s="53"/>
      <c r="C139" s="549"/>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row>
    <row r="140" spans="1:45" ht="12.75" customHeight="1">
      <c r="A140" s="53"/>
      <c r="B140" s="53"/>
      <c r="C140" s="549"/>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row>
    <row r="141" spans="1:45" ht="12.75" customHeight="1">
      <c r="A141" s="53"/>
      <c r="B141" s="53"/>
      <c r="C141" s="549"/>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row>
    <row r="142" spans="1:45" ht="12.75" customHeight="1">
      <c r="A142" s="53"/>
      <c r="B142" s="53"/>
      <c r="C142" s="549"/>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row>
    <row r="143" spans="1:45" ht="12.75" customHeight="1">
      <c r="A143" s="53"/>
      <c r="B143" s="53"/>
      <c r="C143" s="549"/>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row>
    <row r="144" spans="1:45" ht="12.75" customHeight="1">
      <c r="A144" s="53"/>
      <c r="B144" s="53"/>
      <c r="C144" s="549"/>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row>
    <row r="145" spans="1:45" ht="12.75" customHeight="1">
      <c r="A145" s="53"/>
      <c r="B145" s="53"/>
      <c r="C145" s="549"/>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row>
    <row r="146" spans="1:45" ht="12.75" customHeight="1">
      <c r="A146" s="53"/>
      <c r="B146" s="53"/>
      <c r="C146" s="549"/>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row>
    <row r="147" spans="1:45" ht="12.75" customHeight="1">
      <c r="A147" s="53"/>
      <c r="B147" s="53"/>
      <c r="C147" s="549"/>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row>
    <row r="148" spans="1:45" ht="12.75" customHeight="1">
      <c r="A148" s="53"/>
      <c r="B148" s="53"/>
      <c r="C148" s="549"/>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row>
    <row r="149" spans="1:45" ht="12.75" customHeight="1">
      <c r="A149" s="53"/>
      <c r="B149" s="53"/>
      <c r="C149" s="549"/>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row>
    <row r="150" spans="1:45" ht="12.75" customHeight="1">
      <c r="A150" s="53"/>
      <c r="B150" s="53"/>
      <c r="C150" s="549"/>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row>
    <row r="151" spans="1:45" ht="12.75" customHeight="1">
      <c r="A151" s="53"/>
      <c r="B151" s="53"/>
      <c r="C151" s="549"/>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row>
    <row r="152" spans="1:45" ht="12.75" customHeight="1">
      <c r="A152" s="53"/>
      <c r="B152" s="53"/>
      <c r="C152" s="549"/>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row>
    <row r="153" spans="1:45" ht="12.75" customHeight="1">
      <c r="A153" s="53"/>
      <c r="B153" s="53"/>
      <c r="C153" s="549"/>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row>
    <row r="154" spans="1:45" ht="12.75" customHeight="1">
      <c r="A154" s="53"/>
      <c r="B154" s="53"/>
      <c r="C154" s="549"/>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row>
    <row r="155" spans="1:45" ht="12.75" customHeight="1">
      <c r="A155" s="53"/>
      <c r="B155" s="53"/>
      <c r="C155" s="549"/>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row>
    <row r="156" spans="1:45" ht="12.75" customHeight="1">
      <c r="A156" s="53"/>
      <c r="B156" s="53"/>
      <c r="C156" s="549"/>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row>
    <row r="157" spans="1:45" ht="12.75" customHeight="1">
      <c r="A157" s="53"/>
      <c r="B157" s="53"/>
      <c r="C157" s="549"/>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row>
    <row r="158" spans="1:45" ht="12.75" customHeight="1">
      <c r="A158" s="53"/>
      <c r="B158" s="53"/>
      <c r="C158" s="549"/>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row>
    <row r="159" spans="1:45" ht="12.75" customHeight="1">
      <c r="A159" s="53"/>
      <c r="B159" s="53"/>
      <c r="C159" s="549"/>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row>
    <row r="160" spans="1:45" ht="12.75" customHeight="1">
      <c r="A160" s="53"/>
      <c r="B160" s="53"/>
      <c r="C160" s="549"/>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row>
    <row r="161" spans="1:45" ht="12.75" customHeight="1">
      <c r="A161" s="53"/>
      <c r="B161" s="53"/>
      <c r="C161" s="549"/>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row>
    <row r="162" spans="1:45" ht="12.75" customHeight="1">
      <c r="A162" s="53"/>
      <c r="B162" s="53"/>
      <c r="C162" s="549"/>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row>
    <row r="163" spans="1:45" ht="12.75" customHeight="1">
      <c r="A163" s="53"/>
      <c r="B163" s="53"/>
      <c r="C163" s="549"/>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row>
    <row r="164" spans="1:45" ht="12.75" customHeight="1">
      <c r="A164" s="53"/>
      <c r="B164" s="53"/>
      <c r="C164" s="549"/>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row>
    <row r="165" spans="1:45" ht="12.75" customHeight="1">
      <c r="A165" s="53"/>
      <c r="B165" s="53"/>
      <c r="C165" s="549"/>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row>
    <row r="166" spans="1:45" ht="12.75" customHeight="1">
      <c r="A166" s="53"/>
      <c r="B166" s="53"/>
      <c r="C166" s="549"/>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row>
    <row r="167" spans="1:45" ht="12.75" customHeight="1">
      <c r="A167" s="53"/>
      <c r="B167" s="53"/>
      <c r="C167" s="549"/>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row>
    <row r="168" spans="1:45" ht="12.75" customHeight="1">
      <c r="A168" s="53"/>
      <c r="B168" s="53"/>
      <c r="C168" s="549"/>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row>
    <row r="169" spans="1:45" ht="12.75" customHeight="1">
      <c r="A169" s="53"/>
      <c r="B169" s="53"/>
      <c r="C169" s="549"/>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row>
    <row r="170" spans="1:45" ht="12.75" customHeight="1">
      <c r="A170" s="53"/>
      <c r="B170" s="53"/>
      <c r="C170" s="549"/>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row>
    <row r="171" spans="1:45" ht="12.75" customHeight="1">
      <c r="A171" s="53"/>
      <c r="B171" s="53"/>
      <c r="C171" s="549"/>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row>
    <row r="172" spans="1:45" ht="12.75" customHeight="1">
      <c r="A172" s="53"/>
      <c r="B172" s="53"/>
      <c r="C172" s="549"/>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row>
    <row r="173" spans="1:45" ht="12.75" customHeight="1">
      <c r="A173" s="53"/>
      <c r="B173" s="53"/>
      <c r="C173" s="549"/>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row>
    <row r="174" spans="1:45" ht="12.75" customHeight="1">
      <c r="A174" s="53"/>
      <c r="B174" s="53"/>
      <c r="C174" s="549"/>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row>
    <row r="175" spans="1:45" ht="12.75" customHeight="1">
      <c r="A175" s="53"/>
      <c r="B175" s="53"/>
      <c r="C175" s="549"/>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row>
    <row r="176" spans="1:45" ht="12.75" customHeight="1">
      <c r="A176" s="53"/>
      <c r="B176" s="53"/>
      <c r="C176" s="549"/>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row>
    <row r="177" spans="1:45" ht="12.75" customHeight="1">
      <c r="A177" s="53"/>
      <c r="B177" s="53"/>
      <c r="C177" s="549"/>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row>
    <row r="178" spans="1:45" ht="12.75" customHeight="1">
      <c r="A178" s="53"/>
      <c r="B178" s="53"/>
      <c r="C178" s="549"/>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row>
    <row r="179" spans="1:45" ht="12.75" customHeight="1">
      <c r="A179" s="53"/>
      <c r="B179" s="53"/>
      <c r="C179" s="549"/>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row>
    <row r="180" spans="1:45" ht="12.75" customHeight="1">
      <c r="A180" s="53"/>
      <c r="B180" s="53"/>
      <c r="C180" s="549"/>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row>
    <row r="181" spans="1:45" ht="12.75" customHeight="1">
      <c r="A181" s="53"/>
      <c r="B181" s="53"/>
      <c r="C181" s="549"/>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row>
    <row r="182" spans="1:45" ht="12.75" customHeight="1">
      <c r="A182" s="53"/>
      <c r="B182" s="53"/>
      <c r="C182" s="549"/>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row>
    <row r="183" spans="1:45" ht="12.75" customHeight="1">
      <c r="A183" s="53"/>
      <c r="B183" s="53"/>
      <c r="C183" s="549"/>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row>
    <row r="184" spans="1:45" ht="12.75" customHeight="1">
      <c r="A184" s="53"/>
      <c r="B184" s="53"/>
      <c r="C184" s="549"/>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row>
    <row r="185" spans="1:45" ht="12.75" customHeight="1">
      <c r="A185" s="53"/>
      <c r="B185" s="53"/>
      <c r="C185" s="549"/>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row>
    <row r="186" spans="1:45" ht="12.75" customHeight="1">
      <c r="A186" s="53"/>
      <c r="B186" s="53"/>
      <c r="C186" s="549"/>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row>
    <row r="187" spans="1:45" ht="12.75" customHeight="1">
      <c r="A187" s="53"/>
      <c r="B187" s="53"/>
      <c r="C187" s="549"/>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row>
    <row r="188" spans="1:45" ht="12.75" customHeight="1">
      <c r="A188" s="53"/>
      <c r="B188" s="53"/>
      <c r="C188" s="549"/>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row>
    <row r="189" spans="1:45" ht="12.75" customHeight="1">
      <c r="A189" s="53"/>
      <c r="B189" s="53"/>
      <c r="C189" s="549"/>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row>
    <row r="190" spans="1:45" ht="12.75" customHeight="1">
      <c r="A190" s="53"/>
      <c r="B190" s="53"/>
      <c r="C190" s="549"/>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row>
    <row r="191" spans="1:45" ht="12.75" customHeight="1">
      <c r="A191" s="53"/>
      <c r="B191" s="53"/>
      <c r="C191" s="549"/>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row>
    <row r="192" spans="1:45" ht="12.75" customHeight="1">
      <c r="A192" s="53"/>
      <c r="B192" s="53"/>
      <c r="C192" s="549"/>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9"/>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9"/>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9"/>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9"/>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9"/>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9"/>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9"/>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9"/>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9"/>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9"/>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9"/>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9"/>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9"/>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9"/>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9"/>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9"/>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9"/>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9"/>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9"/>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9"/>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9"/>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9"/>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9"/>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9"/>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9"/>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9"/>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9"/>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9"/>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9"/>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9"/>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9"/>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9"/>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9"/>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9"/>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9"/>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9"/>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9"/>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9"/>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9"/>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9"/>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9"/>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9"/>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9"/>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9"/>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9"/>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9"/>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9"/>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9"/>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9"/>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9"/>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9"/>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9"/>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9"/>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9"/>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9"/>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9"/>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9"/>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9"/>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9"/>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9"/>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9"/>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9"/>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9"/>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9"/>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9"/>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9"/>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9"/>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9"/>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9"/>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9"/>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9"/>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9"/>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9"/>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9"/>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9"/>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9"/>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9"/>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9"/>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9"/>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9"/>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9"/>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9"/>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9"/>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9"/>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9"/>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9"/>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9"/>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9"/>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9"/>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9"/>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9"/>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2500-000000000000}">
      <formula1>"TOU,non-TOU"</formula1>
    </dataValidation>
    <dataValidation type="list" allowBlank="1" showErrorMessage="1" sqref="E15:E28 E30:E38 E40:E41 E43:E51 E57 E63" xr:uid="{00000000-0002-0000-2500-000001000000}">
      <formula1>#REF!</formula1>
    </dataValidation>
    <dataValidation type="list" allowBlank="1" showInputMessage="1" showErrorMessage="1" prompt="Select Charge Unit - monthly, per kWh, per kW" sqref="D15:D28 D30:D38 D40:D41 D43:D51 D57 D63" xr:uid="{00000000-0002-0000-2500-000002000000}">
      <formula1>"Monthly,per kWh,per kW"</formula1>
    </dataValidation>
  </dataValidations>
  <pageMargins left="0.74803149606299213" right="0.74803149606299213" top="0.98425196850393704" bottom="0.98425196850393704" header="0" footer="0"/>
  <pageSetup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S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2.7109375" customWidth="1"/>
    <col min="6" max="6" width="10.7109375" customWidth="1"/>
    <col min="7" max="7" width="8.85546875" customWidth="1"/>
    <col min="8" max="8" width="11" customWidth="1"/>
    <col min="9" max="9" width="0.7109375" customWidth="1"/>
    <col min="10" max="10" width="10.42578125" customWidth="1"/>
    <col min="11" max="11" width="8.85546875" customWidth="1"/>
    <col min="12" max="12" width="11" customWidth="1"/>
    <col min="13" max="13" width="0.42578125" customWidth="1"/>
    <col min="14" max="14" width="9.42578125" customWidth="1"/>
    <col min="15" max="15" width="10" customWidth="1"/>
    <col min="16" max="16" width="0.7109375" customWidth="1"/>
    <col min="17" max="17" width="10.42578125" customWidth="1"/>
    <col min="18" max="18" width="8.85546875" customWidth="1"/>
    <col min="19" max="19" width="11" customWidth="1"/>
    <col min="20" max="20" width="0.42578125" customWidth="1"/>
    <col min="21" max="21" width="9.42578125" customWidth="1"/>
    <col min="22" max="22" width="10" customWidth="1"/>
    <col min="23" max="23" width="0.42578125" customWidth="1"/>
    <col min="24" max="24" width="10.42578125" customWidth="1"/>
    <col min="25" max="25" width="8.85546875" customWidth="1"/>
    <col min="26" max="26" width="11" customWidth="1"/>
    <col min="27" max="27" width="0.42578125" customWidth="1"/>
    <col min="28" max="28" width="9.42578125" customWidth="1"/>
    <col min="29" max="29" width="10" customWidth="1"/>
    <col min="30" max="30" width="2.140625" customWidth="1"/>
    <col min="31" max="31" width="10.42578125" customWidth="1"/>
    <col min="32" max="32" width="8.85546875" customWidth="1"/>
    <col min="33" max="33" width="11" customWidth="1"/>
    <col min="34" max="34" width="0.42578125" customWidth="1"/>
    <col min="35" max="35" width="9.42578125" customWidth="1"/>
    <col min="36" max="36" width="10" customWidth="1"/>
    <col min="37" max="37" width="0.7109375" customWidth="1"/>
    <col min="38" max="38" width="10.42578125" customWidth="1"/>
    <col min="39" max="39" width="8.85546875" customWidth="1"/>
    <col min="40" max="40" width="11" customWidth="1"/>
    <col min="41" max="41" width="0.7109375" customWidth="1"/>
    <col min="42" max="42" width="9.42578125" customWidth="1"/>
    <col min="43" max="43" width="10" customWidth="1"/>
    <col min="44" max="44" width="1.28515625" customWidth="1"/>
    <col min="45" max="45" width="10.85546875" customWidth="1"/>
  </cols>
  <sheetData>
    <row r="1" spans="1:45" ht="7.5" customHeight="1">
      <c r="A1" s="53"/>
      <c r="B1" s="53"/>
      <c r="C1" s="549"/>
      <c r="D1" s="53"/>
      <c r="E1" s="53"/>
      <c r="F1" s="53"/>
      <c r="G1" s="53"/>
      <c r="H1" s="53"/>
      <c r="I1" s="53"/>
      <c r="J1" s="53"/>
      <c r="K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row>
    <row r="2" spans="1:45" ht="18.75" customHeight="1">
      <c r="A2" s="53"/>
      <c r="B2" s="53"/>
      <c r="C2" s="550"/>
      <c r="D2" s="373"/>
      <c r="E2" s="373"/>
      <c r="F2" s="373" t="s">
        <v>320</v>
      </c>
      <c r="G2" s="373"/>
      <c r="H2" s="373"/>
      <c r="I2" s="373"/>
      <c r="J2" s="138"/>
      <c r="K2" s="6"/>
      <c r="L2" s="373"/>
      <c r="M2" s="373"/>
      <c r="N2" s="373"/>
      <c r="O2" s="37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row>
    <row r="3" spans="1:45" ht="18.75" customHeight="1">
      <c r="A3" s="53"/>
      <c r="B3" s="53"/>
      <c r="C3" s="550"/>
      <c r="D3" s="373"/>
      <c r="E3" s="373"/>
      <c r="F3" s="373" t="s">
        <v>322</v>
      </c>
      <c r="G3" s="373"/>
      <c r="H3" s="373"/>
      <c r="I3" s="373"/>
      <c r="J3" s="138"/>
      <c r="K3" s="6"/>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row>
    <row r="4" spans="1:45" ht="7.5" customHeight="1">
      <c r="A4" s="53"/>
      <c r="B4" s="53"/>
      <c r="C4" s="549"/>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row>
    <row r="5" spans="1:45" ht="7.5" customHeight="1">
      <c r="A5" s="53"/>
      <c r="B5" s="53"/>
      <c r="C5" s="549"/>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row>
    <row r="6" spans="1:45" ht="12.75" customHeight="1">
      <c r="A6" s="53"/>
      <c r="B6" s="327" t="s">
        <v>323</v>
      </c>
      <c r="C6" s="549"/>
      <c r="D6" s="375" t="s">
        <v>252</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row>
    <row r="7" spans="1:45" ht="15.75" customHeight="1">
      <c r="A7" s="53"/>
      <c r="B7" s="377"/>
      <c r="C7" s="549"/>
      <c r="D7" s="378"/>
      <c r="E7" s="378"/>
      <c r="F7" s="378"/>
      <c r="G7" s="378"/>
      <c r="H7" s="378"/>
      <c r="I7" s="378"/>
      <c r="J7" s="378"/>
      <c r="L7" s="570">
        <v>262</v>
      </c>
      <c r="M7" s="566" t="s">
        <v>448</v>
      </c>
      <c r="N7" s="378" t="s">
        <v>449</v>
      </c>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row>
    <row r="8" spans="1:45" ht="12.75" customHeight="1">
      <c r="A8" s="53"/>
      <c r="B8" s="327" t="s">
        <v>324</v>
      </c>
      <c r="C8" s="549"/>
      <c r="D8" s="379" t="s">
        <v>325</v>
      </c>
      <c r="E8" s="378"/>
      <c r="F8" s="378"/>
      <c r="G8" s="378"/>
      <c r="H8" s="378"/>
      <c r="I8" s="378"/>
      <c r="J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row>
    <row r="9" spans="1:45" ht="12.75" customHeight="1">
      <c r="A9" s="53"/>
      <c r="B9" s="377"/>
      <c r="C9" s="549"/>
      <c r="D9" s="314" t="s">
        <v>326</v>
      </c>
      <c r="E9" s="314"/>
      <c r="F9" s="380">
        <v>17860</v>
      </c>
      <c r="G9" s="314" t="s">
        <v>327</v>
      </c>
      <c r="H9" s="378"/>
      <c r="I9" s="378"/>
      <c r="J9" s="378"/>
      <c r="K9" s="378"/>
      <c r="L9" s="378"/>
      <c r="M9" s="378"/>
      <c r="N9" s="378"/>
      <c r="O9" s="378"/>
      <c r="P9" s="53"/>
      <c r="Q9" s="53"/>
      <c r="R9" s="138"/>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row>
    <row r="10" spans="1:45" ht="12.75" customHeight="1">
      <c r="A10" s="53"/>
      <c r="B10" s="53"/>
      <c r="C10" s="549"/>
      <c r="D10" s="53"/>
      <c r="E10" s="53"/>
      <c r="F10" s="380">
        <v>50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row>
    <row r="11" spans="1:45" ht="12.75" customHeight="1">
      <c r="A11" s="53"/>
      <c r="B11" s="53"/>
      <c r="C11" s="549"/>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c r="AS11" s="381"/>
    </row>
    <row r="12" spans="1:45" ht="12.75" customHeight="1">
      <c r="A12" s="53"/>
      <c r="B12" s="53"/>
      <c r="C12" s="549"/>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c r="AS12" s="560"/>
    </row>
    <row r="13" spans="1:45" ht="12.75" customHeight="1">
      <c r="A13" s="53"/>
      <c r="B13" s="53"/>
      <c r="C13" s="549"/>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c r="AS13" s="382"/>
    </row>
    <row r="14" spans="1:45" ht="12.75" customHeight="1">
      <c r="A14" s="53"/>
      <c r="B14" s="53"/>
      <c r="C14" s="549"/>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c r="AS14" s="382"/>
    </row>
    <row r="15" spans="1:45" ht="12.75" customHeight="1">
      <c r="A15" s="53"/>
      <c r="B15" s="328" t="s">
        <v>246</v>
      </c>
      <c r="C15" s="389" t="str">
        <f t="shared" ref="C15:C28" si="0">D$6&amp;"."&amp;B15</f>
        <v>Street Light.Monthly Service Charge</v>
      </c>
      <c r="D15" s="390" t="s">
        <v>335</v>
      </c>
      <c r="E15" s="328"/>
      <c r="F15" s="391">
        <f>IFERROR(VLOOKUP($C15,'Proposed Rates'!$B:$J,F$11,FALSE),0)</f>
        <v>1.1200000000000001</v>
      </c>
      <c r="G15" s="409">
        <f>$L$7</f>
        <v>262</v>
      </c>
      <c r="H15" s="394">
        <f t="shared" ref="H15:H28" si="1">G15*F15</f>
        <v>293.44000000000005</v>
      </c>
      <c r="I15" s="138"/>
      <c r="J15" s="391">
        <f>IFERROR(VLOOKUP($C15,'Proposed Rates'!$B:$J,J$11,FALSE),0)</f>
        <v>1.19</v>
      </c>
      <c r="K15" s="409">
        <f>$L$7</f>
        <v>262</v>
      </c>
      <c r="L15" s="394">
        <f t="shared" ref="L15:L28" si="2">K15*J15</f>
        <v>311.77999999999997</v>
      </c>
      <c r="M15" s="138"/>
      <c r="N15" s="395">
        <f t="shared" ref="N15:N34" si="3">L15-H15</f>
        <v>18.339999999999918</v>
      </c>
      <c r="O15" s="396">
        <f t="shared" ref="O15:O31" si="4">IF((H15)=0,"",(N15/H15))</f>
        <v>6.2499999999999709E-2</v>
      </c>
      <c r="P15" s="53"/>
      <c r="Q15" s="391">
        <f>IFERROR(VLOOKUP($C15,'Proposed Rates'!$B:$J,Q$11,FALSE),0)</f>
        <v>1.1599999999999999</v>
      </c>
      <c r="R15" s="409">
        <f>$L$7</f>
        <v>262</v>
      </c>
      <c r="S15" s="394">
        <f t="shared" ref="S15:S28" si="5">R15*Q15</f>
        <v>303.91999999999996</v>
      </c>
      <c r="T15" s="138"/>
      <c r="U15" s="395">
        <f t="shared" ref="U15:U31" si="6">S15-L15</f>
        <v>-7.8600000000000136</v>
      </c>
      <c r="V15" s="396">
        <f t="shared" ref="V15:V31" si="7">IF((L15)=0,"",(U15/L15))</f>
        <v>-2.5210084033613491E-2</v>
      </c>
      <c r="W15" s="53"/>
      <c r="X15" s="391">
        <f>IFERROR(VLOOKUP($C15,'Proposed Rates'!$B:$J,X$11,FALSE),0)</f>
        <v>1.21</v>
      </c>
      <c r="Y15" s="409">
        <f>$L$7</f>
        <v>262</v>
      </c>
      <c r="Z15" s="394">
        <f t="shared" ref="Z15:Z28" si="8">Y15*X15</f>
        <v>317.02</v>
      </c>
      <c r="AA15" s="138"/>
      <c r="AB15" s="395">
        <f t="shared" ref="AB15:AB34" si="9">Z15-S15</f>
        <v>13.100000000000023</v>
      </c>
      <c r="AC15" s="396">
        <f t="shared" ref="AC15:AC34" si="10">IF((S15)=0,"",(AB15/S15))</f>
        <v>4.3103448275862148E-2</v>
      </c>
      <c r="AD15" s="53"/>
      <c r="AE15" s="391">
        <f>IFERROR(VLOOKUP($C15,'Proposed Rates'!$B:$J,AE$11,FALSE),0)</f>
        <v>1.2</v>
      </c>
      <c r="AF15" s="409">
        <f>$L$7</f>
        <v>262</v>
      </c>
      <c r="AG15" s="394">
        <f t="shared" ref="AG15:AG28" si="11">AF15*AE15</f>
        <v>314.39999999999998</v>
      </c>
      <c r="AH15" s="138"/>
      <c r="AI15" s="395">
        <f t="shared" ref="AI15:AI37" si="12">AG15-Z15</f>
        <v>-2.6200000000000045</v>
      </c>
      <c r="AJ15" s="396">
        <f t="shared" ref="AJ15:AJ37" si="13">IF((Z15)=0,"",(AI15/Z15))</f>
        <v>-8.2644628099173695E-3</v>
      </c>
      <c r="AK15" s="53"/>
      <c r="AL15" s="391">
        <f>IFERROR(VLOOKUP($C15,'Proposed Rates'!$B:$J,AL$11,FALSE),0)</f>
        <v>1.21</v>
      </c>
      <c r="AM15" s="409">
        <f>$L$7</f>
        <v>262</v>
      </c>
      <c r="AN15" s="394">
        <f t="shared" ref="AN15:AN28" si="14">AM15*AL15</f>
        <v>317.02</v>
      </c>
      <c r="AO15" s="138"/>
      <c r="AP15" s="395">
        <f t="shared" ref="AP15:AP31" si="15">AN15-AG15</f>
        <v>2.6200000000000045</v>
      </c>
      <c r="AQ15" s="396">
        <f t="shared" ref="AQ15:AQ31" si="16">IF((AG15)=0,"",(AP15/AG15))</f>
        <v>8.3333333333333488E-3</v>
      </c>
      <c r="AR15" s="397"/>
      <c r="AS15" s="397"/>
    </row>
    <row r="16" spans="1:45" ht="12.75" customHeight="1">
      <c r="A16" s="53"/>
      <c r="B16" s="328" t="s">
        <v>336</v>
      </c>
      <c r="C16" s="389" t="str">
        <f t="shared" si="0"/>
        <v>Street Light.Smart Meter Rate Adder</v>
      </c>
      <c r="D16" s="390" t="s">
        <v>335</v>
      </c>
      <c r="E16" s="328"/>
      <c r="F16" s="391">
        <f>IFERROR(VLOOKUP($C16,'Proposed Rates'!$B:$J,F$11,FALSE),0)</f>
        <v>0</v>
      </c>
      <c r="G16" s="409">
        <f t="shared" ref="G16:G17" si="17">IF($D16="Monthly",1,IF($D16="per KW",$F$10,IF($D16="per kWh",$F$9,0)))</f>
        <v>1</v>
      </c>
      <c r="H16" s="394">
        <f t="shared" si="1"/>
        <v>0</v>
      </c>
      <c r="I16" s="138"/>
      <c r="J16" s="391">
        <f>IFERROR(VLOOKUP($C16,'Proposed Rates'!$B:$J,J$11,FALSE),0)</f>
        <v>0</v>
      </c>
      <c r="K16" s="409">
        <f t="shared" ref="K16:K17" si="18">IF($D16="Monthly",1,IF($D16="per KW",$F$10,IF($D16="per kWh",$F$9,0)))</f>
        <v>1</v>
      </c>
      <c r="L16" s="394">
        <f t="shared" si="2"/>
        <v>0</v>
      </c>
      <c r="M16" s="138"/>
      <c r="N16" s="395">
        <f t="shared" si="3"/>
        <v>0</v>
      </c>
      <c r="O16" s="396" t="str">
        <f t="shared" si="4"/>
        <v/>
      </c>
      <c r="P16" s="53"/>
      <c r="Q16" s="391">
        <f>IFERROR(VLOOKUP($C16,'Proposed Rates'!$B:$J,Q$11,FALSE),0)</f>
        <v>0</v>
      </c>
      <c r="R16" s="409">
        <f t="shared" ref="R16:R17" si="19">IF($D16="Monthly",1,IF($D16="per KW",$F$10,IF($D16="per kWh",$F$9,0)))</f>
        <v>1</v>
      </c>
      <c r="S16" s="394">
        <f t="shared" si="5"/>
        <v>0</v>
      </c>
      <c r="T16" s="138"/>
      <c r="U16" s="395">
        <f t="shared" si="6"/>
        <v>0</v>
      </c>
      <c r="V16" s="396" t="str">
        <f t="shared" si="7"/>
        <v/>
      </c>
      <c r="W16" s="53"/>
      <c r="X16" s="391">
        <f>IFERROR(VLOOKUP($C16,'Proposed Rates'!$B:$J,X$11,FALSE),0)</f>
        <v>0</v>
      </c>
      <c r="Y16" s="409">
        <f t="shared" ref="Y16:Y17" si="20">IF($D16="Monthly",1,IF($D16="per KW",$F$10,IF($D16="per kWh",$F$9,0)))</f>
        <v>1</v>
      </c>
      <c r="Z16" s="394">
        <f t="shared" si="8"/>
        <v>0</v>
      </c>
      <c r="AA16" s="138"/>
      <c r="AB16" s="395">
        <f t="shared" si="9"/>
        <v>0</v>
      </c>
      <c r="AC16" s="396" t="str">
        <f t="shared" si="10"/>
        <v/>
      </c>
      <c r="AD16" s="53"/>
      <c r="AE16" s="391">
        <f>IFERROR(VLOOKUP($C16,'Proposed Rates'!$B:$J,AE$11,FALSE),0)</f>
        <v>0</v>
      </c>
      <c r="AF16" s="409">
        <f t="shared" ref="AF16:AF17" si="21">IF($D16="Monthly",1,IF($D16="per KW",$F$10,IF($D16="per kWh",$F$9,0)))</f>
        <v>1</v>
      </c>
      <c r="AG16" s="394">
        <f t="shared" si="11"/>
        <v>0</v>
      </c>
      <c r="AH16" s="138"/>
      <c r="AI16" s="395">
        <f t="shared" si="12"/>
        <v>0</v>
      </c>
      <c r="AJ16" s="396" t="str">
        <f t="shared" si="13"/>
        <v/>
      </c>
      <c r="AK16" s="53"/>
      <c r="AL16" s="391">
        <f>IFERROR(VLOOKUP($C16,'Proposed Rates'!$B:$J,AL$11,FALSE),0)</f>
        <v>0</v>
      </c>
      <c r="AM16" s="409">
        <f t="shared" ref="AM16:AM17" si="22">IF($D16="Monthly",1,IF($D16="per KW",$F$10,IF($D16="per kWh",$F$9,0)))</f>
        <v>1</v>
      </c>
      <c r="AN16" s="394">
        <f t="shared" si="14"/>
        <v>0</v>
      </c>
      <c r="AO16" s="138"/>
      <c r="AP16" s="395">
        <f t="shared" si="15"/>
        <v>0</v>
      </c>
      <c r="AQ16" s="396" t="str">
        <f t="shared" si="16"/>
        <v/>
      </c>
      <c r="AR16" s="397"/>
      <c r="AS16" s="397"/>
    </row>
    <row r="17" spans="1:45" ht="12.75" customHeight="1">
      <c r="A17" s="53"/>
      <c r="B17" s="398" t="str">
        <f>'Proposed Rates'!C115</f>
        <v>Rate Rider Calculation for Forgone Revenue - variable</v>
      </c>
      <c r="C17" s="389" t="str">
        <f t="shared" si="0"/>
        <v>Street Light.Rate Rider Calculation for Forgone Revenue - variable</v>
      </c>
      <c r="D17" s="390" t="s">
        <v>406</v>
      </c>
      <c r="E17" s="328"/>
      <c r="F17" s="391">
        <f>IFERROR(VLOOKUP($C17,'Proposed Rates'!$B:$J,F$11,FALSE),0)</f>
        <v>0</v>
      </c>
      <c r="G17" s="409">
        <f t="shared" si="17"/>
        <v>50</v>
      </c>
      <c r="H17" s="394">
        <f t="shared" si="1"/>
        <v>0</v>
      </c>
      <c r="I17" s="138"/>
      <c r="J17" s="391">
        <f>IFERROR(VLOOKUP($C17,'Proposed Rates'!$B:$J,J$11,FALSE),0)</f>
        <v>0.20150000000000001</v>
      </c>
      <c r="K17" s="409">
        <f t="shared" si="18"/>
        <v>50</v>
      </c>
      <c r="L17" s="394">
        <f t="shared" si="2"/>
        <v>10.075000000000001</v>
      </c>
      <c r="M17" s="138"/>
      <c r="N17" s="395">
        <f t="shared" si="3"/>
        <v>10.075000000000001</v>
      </c>
      <c r="O17" s="396" t="str">
        <f t="shared" si="4"/>
        <v/>
      </c>
      <c r="P17" s="53"/>
      <c r="Q17" s="391">
        <f>IFERROR(VLOOKUP($C17,'Proposed Rates'!$B:$J,Q$11,FALSE),0)</f>
        <v>0.20150000000000001</v>
      </c>
      <c r="R17" s="409">
        <f t="shared" si="19"/>
        <v>50</v>
      </c>
      <c r="S17" s="394">
        <f t="shared" si="5"/>
        <v>10.075000000000001</v>
      </c>
      <c r="T17" s="138"/>
      <c r="U17" s="395">
        <f t="shared" si="6"/>
        <v>0</v>
      </c>
      <c r="V17" s="396">
        <f t="shared" si="7"/>
        <v>0</v>
      </c>
      <c r="W17" s="53"/>
      <c r="X17" s="391">
        <f>IFERROR(VLOOKUP($C17,'Proposed Rates'!$B:$J,X$11,FALSE),0)</f>
        <v>0</v>
      </c>
      <c r="Y17" s="409">
        <f t="shared" si="20"/>
        <v>50</v>
      </c>
      <c r="Z17" s="394">
        <f t="shared" si="8"/>
        <v>0</v>
      </c>
      <c r="AA17" s="138"/>
      <c r="AB17" s="395">
        <f t="shared" si="9"/>
        <v>-10.075000000000001</v>
      </c>
      <c r="AC17" s="396">
        <f t="shared" si="10"/>
        <v>-1</v>
      </c>
      <c r="AD17" s="53"/>
      <c r="AE17" s="391">
        <f>IFERROR(VLOOKUP($C17,'Proposed Rates'!$B:$J,AE$11,FALSE),0)</f>
        <v>0</v>
      </c>
      <c r="AF17" s="409">
        <f t="shared" si="21"/>
        <v>50</v>
      </c>
      <c r="AG17" s="394">
        <f t="shared" si="11"/>
        <v>0</v>
      </c>
      <c r="AH17" s="138"/>
      <c r="AI17" s="395">
        <f t="shared" si="12"/>
        <v>0</v>
      </c>
      <c r="AJ17" s="396" t="str">
        <f t="shared" si="13"/>
        <v/>
      </c>
      <c r="AK17" s="53"/>
      <c r="AL17" s="391">
        <f>IFERROR(VLOOKUP($C17,'Proposed Rates'!$B:$J,AL$11,FALSE),0)</f>
        <v>0</v>
      </c>
      <c r="AM17" s="409">
        <f t="shared" si="22"/>
        <v>50</v>
      </c>
      <c r="AN17" s="394">
        <f t="shared" si="14"/>
        <v>0</v>
      </c>
      <c r="AO17" s="138"/>
      <c r="AP17" s="395">
        <f t="shared" si="15"/>
        <v>0</v>
      </c>
      <c r="AQ17" s="396" t="str">
        <f t="shared" si="16"/>
        <v/>
      </c>
      <c r="AR17" s="397"/>
      <c r="AS17" s="397"/>
    </row>
    <row r="18" spans="1:45" ht="12.75" customHeight="1">
      <c r="A18" s="53"/>
      <c r="B18" s="398" t="str">
        <f>'Proposed Rates'!C128</f>
        <v>Rate Rider Calculation for Forgone Revenue - fixed</v>
      </c>
      <c r="C18" s="389" t="str">
        <f t="shared" si="0"/>
        <v>Street Light.Rate Rider Calculation for Forgone Revenue - fixed</v>
      </c>
      <c r="D18" s="390" t="s">
        <v>335</v>
      </c>
      <c r="E18" s="328"/>
      <c r="F18" s="391">
        <f>IFERROR(VLOOKUP($C18,'Proposed Rates'!$B:$J,F$11,FALSE),0)</f>
        <v>0</v>
      </c>
      <c r="G18" s="409">
        <f>$L$7</f>
        <v>262</v>
      </c>
      <c r="H18" s="394">
        <f t="shared" si="1"/>
        <v>0</v>
      </c>
      <c r="I18" s="138"/>
      <c r="J18" s="391">
        <f>IFERROR(VLOOKUP($C18,'Proposed Rates'!$B:$J,J$11,FALSE),0)</f>
        <v>0.03</v>
      </c>
      <c r="K18" s="409">
        <f>$L$7</f>
        <v>262</v>
      </c>
      <c r="L18" s="394">
        <f t="shared" si="2"/>
        <v>7.8599999999999994</v>
      </c>
      <c r="M18" s="138"/>
      <c r="N18" s="395">
        <f t="shared" si="3"/>
        <v>7.8599999999999994</v>
      </c>
      <c r="O18" s="396" t="str">
        <f t="shared" si="4"/>
        <v/>
      </c>
      <c r="P18" s="53"/>
      <c r="Q18" s="391">
        <f>IFERROR(VLOOKUP($C18,'Proposed Rates'!$B:$J,Q$11,FALSE),0)</f>
        <v>0.03</v>
      </c>
      <c r="R18" s="409">
        <f>$L$7</f>
        <v>262</v>
      </c>
      <c r="S18" s="394">
        <f t="shared" si="5"/>
        <v>7.8599999999999994</v>
      </c>
      <c r="T18" s="138"/>
      <c r="U18" s="395">
        <f t="shared" si="6"/>
        <v>0</v>
      </c>
      <c r="V18" s="396">
        <f t="shared" si="7"/>
        <v>0</v>
      </c>
      <c r="W18" s="53"/>
      <c r="X18" s="391">
        <f>IFERROR(VLOOKUP($C18,'Proposed Rates'!$B:$J,X$11,FALSE),0)</f>
        <v>0</v>
      </c>
      <c r="Y18" s="409">
        <f>$L$7</f>
        <v>262</v>
      </c>
      <c r="Z18" s="394">
        <f t="shared" si="8"/>
        <v>0</v>
      </c>
      <c r="AA18" s="138"/>
      <c r="AB18" s="395">
        <f t="shared" si="9"/>
        <v>-7.8599999999999994</v>
      </c>
      <c r="AC18" s="396">
        <f t="shared" si="10"/>
        <v>-1</v>
      </c>
      <c r="AD18" s="53"/>
      <c r="AE18" s="391">
        <f>IFERROR(VLOOKUP($C18,'Proposed Rates'!$B:$J,AE$11,FALSE),0)</f>
        <v>0</v>
      </c>
      <c r="AF18" s="409">
        <f>$L$7</f>
        <v>262</v>
      </c>
      <c r="AG18" s="394">
        <f t="shared" si="11"/>
        <v>0</v>
      </c>
      <c r="AH18" s="138"/>
      <c r="AI18" s="395">
        <f t="shared" si="12"/>
        <v>0</v>
      </c>
      <c r="AJ18" s="396" t="str">
        <f t="shared" si="13"/>
        <v/>
      </c>
      <c r="AK18" s="53"/>
      <c r="AL18" s="391">
        <f>IFERROR(VLOOKUP($C18,'Proposed Rates'!$B:$J,AL$11,FALSE),0)</f>
        <v>0</v>
      </c>
      <c r="AM18" s="409">
        <f>$L$7</f>
        <v>262</v>
      </c>
      <c r="AN18" s="394">
        <f t="shared" si="14"/>
        <v>0</v>
      </c>
      <c r="AO18" s="138"/>
      <c r="AP18" s="395">
        <f t="shared" si="15"/>
        <v>0</v>
      </c>
      <c r="AQ18" s="396" t="str">
        <f t="shared" si="16"/>
        <v/>
      </c>
      <c r="AR18" s="397"/>
      <c r="AS18" s="397"/>
    </row>
    <row r="19" spans="1:45" ht="12.75" customHeight="1">
      <c r="A19" s="53"/>
      <c r="B19" s="328" t="s">
        <v>62</v>
      </c>
      <c r="C19" s="389" t="str">
        <f t="shared" si="0"/>
        <v>Street Light.Distribution Volumetric Rate</v>
      </c>
      <c r="D19" s="390" t="s">
        <v>406</v>
      </c>
      <c r="E19" s="328"/>
      <c r="F19" s="408">
        <f>IFERROR(VLOOKUP($C19,'Proposed Rates'!$B:$J,F$11,FALSE),0)</f>
        <v>7.8163999999999998</v>
      </c>
      <c r="G19" s="409">
        <f t="shared" ref="G19:G28" si="23">IF($D19="Monthly",1,IF($D19="per KW",$F$10,IF($D19="per kWh",$F$9,0)))</f>
        <v>50</v>
      </c>
      <c r="H19" s="394">
        <f t="shared" si="1"/>
        <v>390.82</v>
      </c>
      <c r="I19" s="138"/>
      <c r="J19" s="408">
        <f>IFERROR(VLOOKUP($C19,'Proposed Rates'!$B:$J,J$11,FALSE),0)</f>
        <v>8.3054000000000006</v>
      </c>
      <c r="K19" s="409">
        <f t="shared" ref="K19:K28" si="24">IF($D19="Monthly",1,IF($D19="per KW",$F$10,IF($D19="per kWh",$F$9,0)))</f>
        <v>50</v>
      </c>
      <c r="L19" s="394">
        <f t="shared" si="2"/>
        <v>415.27000000000004</v>
      </c>
      <c r="M19" s="138"/>
      <c r="N19" s="395">
        <f t="shared" si="3"/>
        <v>24.450000000000045</v>
      </c>
      <c r="O19" s="396">
        <f t="shared" si="4"/>
        <v>6.2560769663783961E-2</v>
      </c>
      <c r="P19" s="53"/>
      <c r="Q19" s="408">
        <f>IFERROR(VLOOKUP($C19,'Proposed Rates'!$B:$J,Q$11,FALSE),0)</f>
        <v>8.0134000000000007</v>
      </c>
      <c r="R19" s="409">
        <f t="shared" ref="R19:R28" si="25">IF($D19="Monthly",1,IF($D19="per KW",$F$10,IF($D19="per kWh",$F$9,0)))</f>
        <v>50</v>
      </c>
      <c r="S19" s="394">
        <f t="shared" si="5"/>
        <v>400.67</v>
      </c>
      <c r="T19" s="138"/>
      <c r="U19" s="395">
        <f t="shared" si="6"/>
        <v>-14.600000000000023</v>
      </c>
      <c r="V19" s="396">
        <f t="shared" si="7"/>
        <v>-3.51578491102175E-2</v>
      </c>
      <c r="W19" s="53"/>
      <c r="X19" s="408">
        <f>IFERROR(VLOOKUP($C19,'Proposed Rates'!$B:$J,X$11,FALSE),0)</f>
        <v>8.4370999999999992</v>
      </c>
      <c r="Y19" s="409">
        <f t="shared" ref="Y19:Y28" si="26">IF($D19="Monthly",1,IF($D19="per KW",$F$10,IF($D19="per kWh",$F$9,0)))</f>
        <v>50</v>
      </c>
      <c r="Z19" s="394">
        <f t="shared" si="8"/>
        <v>421.85499999999996</v>
      </c>
      <c r="AA19" s="138"/>
      <c r="AB19" s="395">
        <f t="shared" si="9"/>
        <v>21.184999999999945</v>
      </c>
      <c r="AC19" s="396">
        <f t="shared" si="10"/>
        <v>5.2873936156936995E-2</v>
      </c>
      <c r="AD19" s="53"/>
      <c r="AE19" s="408">
        <f>IFERROR(VLOOKUP($C19,'Proposed Rates'!$B:$J,AE$11,FALSE),0)</f>
        <v>8.3188999999999993</v>
      </c>
      <c r="AF19" s="409">
        <f t="shared" ref="AF19:AF28" si="27">IF($D19="Monthly",1,IF($D19="per KW",$F$10,IF($D19="per kWh",$F$9,0)))</f>
        <v>50</v>
      </c>
      <c r="AG19" s="394">
        <f t="shared" si="11"/>
        <v>415.94499999999994</v>
      </c>
      <c r="AH19" s="138"/>
      <c r="AI19" s="395">
        <f t="shared" si="12"/>
        <v>-5.910000000000025</v>
      </c>
      <c r="AJ19" s="396">
        <f t="shared" si="13"/>
        <v>-1.4009553045477772E-2</v>
      </c>
      <c r="AK19" s="53"/>
      <c r="AL19" s="408">
        <f>IFERROR(VLOOKUP($C19,'Proposed Rates'!$B:$J,AL$11,FALSE),0)</f>
        <v>8.4146999999999998</v>
      </c>
      <c r="AM19" s="409">
        <f t="shared" ref="AM19:AM28" si="28">IF($D19="Monthly",1,IF($D19="per KW",$F$10,IF($D19="per kWh",$F$9,0)))</f>
        <v>50</v>
      </c>
      <c r="AN19" s="394">
        <f t="shared" si="14"/>
        <v>420.73500000000001</v>
      </c>
      <c r="AO19" s="138"/>
      <c r="AP19" s="395">
        <f t="shared" si="15"/>
        <v>4.7900000000000773</v>
      </c>
      <c r="AQ19" s="396">
        <f t="shared" si="16"/>
        <v>1.1515945617810235E-2</v>
      </c>
      <c r="AR19" s="397"/>
      <c r="AS19" s="397"/>
    </row>
    <row r="20" spans="1:45" ht="12.75" customHeight="1">
      <c r="A20" s="53"/>
      <c r="B20" s="328" t="s">
        <v>338</v>
      </c>
      <c r="C20" s="389" t="str">
        <f t="shared" si="0"/>
        <v>Street Light.Smart Meter Disposition Rider</v>
      </c>
      <c r="D20" s="390" t="s">
        <v>337</v>
      </c>
      <c r="E20" s="328"/>
      <c r="F20" s="391">
        <f>IFERROR(VLOOKUP($C20,'Proposed Rates'!$B:$J,F$11,FALSE),0)</f>
        <v>0</v>
      </c>
      <c r="G20" s="409">
        <f t="shared" si="23"/>
        <v>17860</v>
      </c>
      <c r="H20" s="394">
        <f t="shared" si="1"/>
        <v>0</v>
      </c>
      <c r="I20" s="138"/>
      <c r="J20" s="391">
        <f>IFERROR(VLOOKUP($C20,'Proposed Rates'!$B:$J,J$11,FALSE),0)</f>
        <v>0</v>
      </c>
      <c r="K20" s="409">
        <f t="shared" si="24"/>
        <v>17860</v>
      </c>
      <c r="L20" s="394">
        <f t="shared" si="2"/>
        <v>0</v>
      </c>
      <c r="M20" s="138"/>
      <c r="N20" s="395">
        <f t="shared" si="3"/>
        <v>0</v>
      </c>
      <c r="O20" s="396" t="str">
        <f t="shared" si="4"/>
        <v/>
      </c>
      <c r="P20" s="53"/>
      <c r="Q20" s="391">
        <f>IFERROR(VLOOKUP($C20,'Proposed Rates'!$B:$J,Q$11,FALSE),0)</f>
        <v>0</v>
      </c>
      <c r="R20" s="409">
        <f t="shared" si="25"/>
        <v>17860</v>
      </c>
      <c r="S20" s="394">
        <f t="shared" si="5"/>
        <v>0</v>
      </c>
      <c r="T20" s="138"/>
      <c r="U20" s="395">
        <f t="shared" si="6"/>
        <v>0</v>
      </c>
      <c r="V20" s="396" t="str">
        <f t="shared" si="7"/>
        <v/>
      </c>
      <c r="W20" s="53"/>
      <c r="X20" s="391">
        <f>IFERROR(VLOOKUP($C20,'Proposed Rates'!$B:$J,X$11,FALSE),0)</f>
        <v>0</v>
      </c>
      <c r="Y20" s="409">
        <f t="shared" si="26"/>
        <v>17860</v>
      </c>
      <c r="Z20" s="394">
        <f t="shared" si="8"/>
        <v>0</v>
      </c>
      <c r="AA20" s="138"/>
      <c r="AB20" s="395">
        <f t="shared" si="9"/>
        <v>0</v>
      </c>
      <c r="AC20" s="396" t="str">
        <f t="shared" si="10"/>
        <v/>
      </c>
      <c r="AD20" s="53"/>
      <c r="AE20" s="391">
        <f>IFERROR(VLOOKUP($C20,'Proposed Rates'!$B:$J,AE$11,FALSE),0)</f>
        <v>0</v>
      </c>
      <c r="AF20" s="409">
        <f t="shared" si="27"/>
        <v>17860</v>
      </c>
      <c r="AG20" s="394">
        <f t="shared" si="11"/>
        <v>0</v>
      </c>
      <c r="AH20" s="138"/>
      <c r="AI20" s="395">
        <f t="shared" si="12"/>
        <v>0</v>
      </c>
      <c r="AJ20" s="396" t="str">
        <f t="shared" si="13"/>
        <v/>
      </c>
      <c r="AK20" s="53"/>
      <c r="AL20" s="391">
        <f>IFERROR(VLOOKUP($C20,'Proposed Rates'!$B:$J,AL$11,FALSE),0)</f>
        <v>0</v>
      </c>
      <c r="AM20" s="409">
        <f t="shared" si="28"/>
        <v>17860</v>
      </c>
      <c r="AN20" s="394">
        <f t="shared" si="14"/>
        <v>0</v>
      </c>
      <c r="AO20" s="138"/>
      <c r="AP20" s="395">
        <f t="shared" si="15"/>
        <v>0</v>
      </c>
      <c r="AQ20" s="396" t="str">
        <f t="shared" si="16"/>
        <v/>
      </c>
      <c r="AR20" s="397"/>
      <c r="AS20" s="397"/>
    </row>
    <row r="21" spans="1:45" ht="12.75" customHeight="1">
      <c r="A21" s="53"/>
      <c r="B21" s="328" t="s">
        <v>269</v>
      </c>
      <c r="C21" s="389" t="str">
        <f t="shared" si="0"/>
        <v>Street Light.LRAM Rate Rider</v>
      </c>
      <c r="D21" s="390" t="s">
        <v>406</v>
      </c>
      <c r="E21" s="328"/>
      <c r="F21" s="408">
        <f>'Proposed Rates'!E82+'Proposed Rates'!E95</f>
        <v>4.8925000000000001</v>
      </c>
      <c r="G21" s="409">
        <f t="shared" si="23"/>
        <v>50</v>
      </c>
      <c r="H21" s="394">
        <f t="shared" si="1"/>
        <v>244.625</v>
      </c>
      <c r="I21" s="138"/>
      <c r="J21" s="408">
        <f>'Proposed Rates'!F82+'Proposed Rates'!F95</f>
        <v>3.8487999999999998</v>
      </c>
      <c r="K21" s="409">
        <f t="shared" si="24"/>
        <v>50</v>
      </c>
      <c r="L21" s="394">
        <f t="shared" si="2"/>
        <v>192.44</v>
      </c>
      <c r="M21" s="138"/>
      <c r="N21" s="395">
        <f t="shared" si="3"/>
        <v>-52.185000000000002</v>
      </c>
      <c r="O21" s="396">
        <f t="shared" si="4"/>
        <v>-0.21332652018395504</v>
      </c>
      <c r="P21" s="53"/>
      <c r="Q21" s="408">
        <f>'Proposed Rates'!G82+'Proposed Rates'!G95</f>
        <v>0</v>
      </c>
      <c r="R21" s="409">
        <f t="shared" si="25"/>
        <v>50</v>
      </c>
      <c r="S21" s="394">
        <f t="shared" si="5"/>
        <v>0</v>
      </c>
      <c r="T21" s="138"/>
      <c r="U21" s="395">
        <f t="shared" si="6"/>
        <v>-192.44</v>
      </c>
      <c r="V21" s="396">
        <f t="shared" si="7"/>
        <v>-1</v>
      </c>
      <c r="W21" s="53"/>
      <c r="X21" s="408">
        <f>IFERROR(VLOOKUP($C21,'Proposed Rates'!$B:$J,X$11,FALSE),0)</f>
        <v>0</v>
      </c>
      <c r="Y21" s="409">
        <f t="shared" si="26"/>
        <v>50</v>
      </c>
      <c r="Z21" s="394">
        <f t="shared" si="8"/>
        <v>0</v>
      </c>
      <c r="AA21" s="138"/>
      <c r="AB21" s="395">
        <f t="shared" si="9"/>
        <v>0</v>
      </c>
      <c r="AC21" s="396" t="str">
        <f t="shared" si="10"/>
        <v/>
      </c>
      <c r="AD21" s="53"/>
      <c r="AE21" s="408">
        <f>IFERROR(VLOOKUP($C21,'Proposed Rates'!$B:$J,AE$11,FALSE),0)</f>
        <v>0</v>
      </c>
      <c r="AF21" s="409">
        <f t="shared" si="27"/>
        <v>50</v>
      </c>
      <c r="AG21" s="394">
        <f t="shared" si="11"/>
        <v>0</v>
      </c>
      <c r="AH21" s="138"/>
      <c r="AI21" s="395">
        <f t="shared" si="12"/>
        <v>0</v>
      </c>
      <c r="AJ21" s="396" t="str">
        <f t="shared" si="13"/>
        <v/>
      </c>
      <c r="AK21" s="53"/>
      <c r="AL21" s="408">
        <f>IFERROR(VLOOKUP($C21,'Proposed Rates'!$B:$J,AL$11,FALSE),0)</f>
        <v>0</v>
      </c>
      <c r="AM21" s="409">
        <f t="shared" si="28"/>
        <v>50</v>
      </c>
      <c r="AN21" s="394">
        <f t="shared" si="14"/>
        <v>0</v>
      </c>
      <c r="AO21" s="138"/>
      <c r="AP21" s="395">
        <f t="shared" si="15"/>
        <v>0</v>
      </c>
      <c r="AQ21" s="396" t="str">
        <f t="shared" si="16"/>
        <v/>
      </c>
      <c r="AR21" s="397"/>
      <c r="AS21" s="397"/>
    </row>
    <row r="22" spans="1:45" ht="12.75" customHeight="1">
      <c r="A22" s="53"/>
      <c r="B22" s="398" t="s">
        <v>265</v>
      </c>
      <c r="C22" s="389" t="str">
        <f t="shared" si="0"/>
        <v>Street Light.Deferral/Variance Account Disposition Rate Rider Group 2</v>
      </c>
      <c r="D22" s="390" t="s">
        <v>406</v>
      </c>
      <c r="E22" s="328"/>
      <c r="F22" s="391">
        <f>IFERROR(VLOOKUP($C22,'Proposed Rates'!$B:$J,F$11,FALSE),0)</f>
        <v>0</v>
      </c>
      <c r="G22" s="409">
        <f t="shared" si="23"/>
        <v>50</v>
      </c>
      <c r="H22" s="394">
        <f t="shared" si="1"/>
        <v>0</v>
      </c>
      <c r="I22" s="138"/>
      <c r="J22" s="391">
        <f>IFERROR(VLOOKUP($C22,'Proposed Rates'!$B:$J,J$11,FALSE),0)</f>
        <v>-0.71650000000000003</v>
      </c>
      <c r="K22" s="409">
        <f t="shared" si="24"/>
        <v>50</v>
      </c>
      <c r="L22" s="394">
        <f t="shared" si="2"/>
        <v>-35.825000000000003</v>
      </c>
      <c r="M22" s="138"/>
      <c r="N22" s="395">
        <f t="shared" si="3"/>
        <v>-35.825000000000003</v>
      </c>
      <c r="O22" s="396" t="str">
        <f t="shared" si="4"/>
        <v/>
      </c>
      <c r="P22" s="53"/>
      <c r="Q22" s="391">
        <f>IFERROR(VLOOKUP($C22,'Proposed Rates'!$B:$J,Q$11,FALSE),0)</f>
        <v>0</v>
      </c>
      <c r="R22" s="409">
        <f t="shared" si="25"/>
        <v>50</v>
      </c>
      <c r="S22" s="394">
        <f t="shared" si="5"/>
        <v>0</v>
      </c>
      <c r="T22" s="138"/>
      <c r="U22" s="395">
        <f t="shared" si="6"/>
        <v>35.825000000000003</v>
      </c>
      <c r="V22" s="396">
        <f t="shared" si="7"/>
        <v>-1</v>
      </c>
      <c r="W22" s="53"/>
      <c r="X22" s="391">
        <f>IFERROR(VLOOKUP($C22,'Proposed Rates'!$B:$J,X$11,FALSE),0)</f>
        <v>0</v>
      </c>
      <c r="Y22" s="409">
        <f t="shared" si="26"/>
        <v>50</v>
      </c>
      <c r="Z22" s="394">
        <f t="shared" si="8"/>
        <v>0</v>
      </c>
      <c r="AA22" s="138"/>
      <c r="AB22" s="395">
        <f t="shared" si="9"/>
        <v>0</v>
      </c>
      <c r="AC22" s="396" t="str">
        <f t="shared" si="10"/>
        <v/>
      </c>
      <c r="AD22" s="53"/>
      <c r="AE22" s="391">
        <f>IFERROR(VLOOKUP($C22,'Proposed Rates'!$B:$J,AE$11,FALSE),0)</f>
        <v>0</v>
      </c>
      <c r="AF22" s="409">
        <f t="shared" si="27"/>
        <v>50</v>
      </c>
      <c r="AG22" s="394">
        <f t="shared" si="11"/>
        <v>0</v>
      </c>
      <c r="AH22" s="138"/>
      <c r="AI22" s="395">
        <f t="shared" si="12"/>
        <v>0</v>
      </c>
      <c r="AJ22" s="396" t="str">
        <f t="shared" si="13"/>
        <v/>
      </c>
      <c r="AK22" s="53"/>
      <c r="AL22" s="391">
        <f>IFERROR(VLOOKUP($C22,'Proposed Rates'!$B:$J,AL$11,FALSE),0)</f>
        <v>0</v>
      </c>
      <c r="AM22" s="409">
        <f t="shared" si="28"/>
        <v>50</v>
      </c>
      <c r="AN22" s="394">
        <f t="shared" si="14"/>
        <v>0</v>
      </c>
      <c r="AO22" s="138"/>
      <c r="AP22" s="395">
        <f t="shared" si="15"/>
        <v>0</v>
      </c>
      <c r="AQ22" s="396" t="str">
        <f t="shared" si="16"/>
        <v/>
      </c>
      <c r="AR22" s="397"/>
      <c r="AS22" s="397"/>
    </row>
    <row r="23" spans="1:45" ht="12.75" customHeight="1">
      <c r="A23" s="53"/>
      <c r="B23" s="398"/>
      <c r="C23" s="389" t="str">
        <f t="shared" si="0"/>
        <v>Street Light.</v>
      </c>
      <c r="D23" s="390"/>
      <c r="E23" s="328"/>
      <c r="F23" s="391">
        <f>IFERROR(VLOOKUP($C23,'Proposed Rates'!$B:$J,F$11,FALSE),0)</f>
        <v>0</v>
      </c>
      <c r="G23" s="409">
        <f t="shared" si="23"/>
        <v>0</v>
      </c>
      <c r="H23" s="394">
        <f t="shared" si="1"/>
        <v>0</v>
      </c>
      <c r="I23" s="138"/>
      <c r="J23" s="391">
        <f>IFERROR(VLOOKUP($C23,'Proposed Rates'!$B:$J,J$11,FALSE),0)</f>
        <v>0</v>
      </c>
      <c r="K23" s="409">
        <f t="shared" si="24"/>
        <v>0</v>
      </c>
      <c r="L23" s="394">
        <f t="shared" si="2"/>
        <v>0</v>
      </c>
      <c r="M23" s="138"/>
      <c r="N23" s="395">
        <f t="shared" si="3"/>
        <v>0</v>
      </c>
      <c r="O23" s="396" t="str">
        <f t="shared" si="4"/>
        <v/>
      </c>
      <c r="P23" s="53"/>
      <c r="Q23" s="391">
        <f>IFERROR(VLOOKUP($C23,'Proposed Rates'!$B:$J,Q$11,FALSE),0)</f>
        <v>0</v>
      </c>
      <c r="R23" s="409">
        <f t="shared" si="25"/>
        <v>0</v>
      </c>
      <c r="S23" s="394">
        <f t="shared" si="5"/>
        <v>0</v>
      </c>
      <c r="T23" s="138"/>
      <c r="U23" s="395">
        <f t="shared" si="6"/>
        <v>0</v>
      </c>
      <c r="V23" s="396" t="str">
        <f t="shared" si="7"/>
        <v/>
      </c>
      <c r="W23" s="53"/>
      <c r="X23" s="391">
        <f>IFERROR(VLOOKUP($C23,'Proposed Rates'!$B:$J,X$11,FALSE),0)</f>
        <v>0</v>
      </c>
      <c r="Y23" s="409">
        <f t="shared" si="26"/>
        <v>0</v>
      </c>
      <c r="Z23" s="394">
        <f t="shared" si="8"/>
        <v>0</v>
      </c>
      <c r="AA23" s="138"/>
      <c r="AB23" s="395">
        <f t="shared" si="9"/>
        <v>0</v>
      </c>
      <c r="AC23" s="396" t="str">
        <f t="shared" si="10"/>
        <v/>
      </c>
      <c r="AD23" s="53"/>
      <c r="AE23" s="391">
        <f>IFERROR(VLOOKUP($C23,'Proposed Rates'!$B:$J,AE$11,FALSE),0)</f>
        <v>0</v>
      </c>
      <c r="AF23" s="409">
        <f t="shared" si="27"/>
        <v>0</v>
      </c>
      <c r="AG23" s="394">
        <f t="shared" si="11"/>
        <v>0</v>
      </c>
      <c r="AH23" s="138"/>
      <c r="AI23" s="395">
        <f t="shared" si="12"/>
        <v>0</v>
      </c>
      <c r="AJ23" s="396" t="str">
        <f t="shared" si="13"/>
        <v/>
      </c>
      <c r="AK23" s="53"/>
      <c r="AL23" s="391">
        <f>IFERROR(VLOOKUP($C23,'Proposed Rates'!$B:$J,AL$11,FALSE),0)</f>
        <v>0</v>
      </c>
      <c r="AM23" s="409">
        <f t="shared" si="28"/>
        <v>0</v>
      </c>
      <c r="AN23" s="394">
        <f t="shared" si="14"/>
        <v>0</v>
      </c>
      <c r="AO23" s="138"/>
      <c r="AP23" s="395">
        <f t="shared" si="15"/>
        <v>0</v>
      </c>
      <c r="AQ23" s="396" t="str">
        <f t="shared" si="16"/>
        <v/>
      </c>
      <c r="AR23" s="397"/>
      <c r="AS23" s="397"/>
    </row>
    <row r="24" spans="1:45" ht="12.75" customHeight="1">
      <c r="A24" s="53"/>
      <c r="B24" s="398"/>
      <c r="C24" s="389" t="str">
        <f t="shared" si="0"/>
        <v>Street Light.</v>
      </c>
      <c r="D24" s="390"/>
      <c r="E24" s="328"/>
      <c r="F24" s="391">
        <f>IFERROR(VLOOKUP($C24,'Proposed Rates'!$B:$J,F$11,FALSE),0)</f>
        <v>0</v>
      </c>
      <c r="G24" s="409">
        <f t="shared" si="23"/>
        <v>0</v>
      </c>
      <c r="H24" s="394">
        <f t="shared" si="1"/>
        <v>0</v>
      </c>
      <c r="I24" s="138"/>
      <c r="J24" s="391">
        <f>IFERROR(VLOOKUP($C24,'Proposed Rates'!$B:$J,J$11,FALSE),0)</f>
        <v>0</v>
      </c>
      <c r="K24" s="409">
        <f t="shared" si="24"/>
        <v>0</v>
      </c>
      <c r="L24" s="394">
        <f t="shared" si="2"/>
        <v>0</v>
      </c>
      <c r="M24" s="138"/>
      <c r="N24" s="395">
        <f t="shared" si="3"/>
        <v>0</v>
      </c>
      <c r="O24" s="396" t="str">
        <f t="shared" si="4"/>
        <v/>
      </c>
      <c r="P24" s="53"/>
      <c r="Q24" s="391">
        <f>IFERROR(VLOOKUP($C24,'Proposed Rates'!$B:$J,Q$11,FALSE),0)</f>
        <v>0</v>
      </c>
      <c r="R24" s="409">
        <f t="shared" si="25"/>
        <v>0</v>
      </c>
      <c r="S24" s="394">
        <f t="shared" si="5"/>
        <v>0</v>
      </c>
      <c r="T24" s="138"/>
      <c r="U24" s="395">
        <f t="shared" si="6"/>
        <v>0</v>
      </c>
      <c r="V24" s="396" t="str">
        <f t="shared" si="7"/>
        <v/>
      </c>
      <c r="W24" s="53"/>
      <c r="X24" s="391">
        <f>IFERROR(VLOOKUP($C24,'Proposed Rates'!$B:$J,X$11,FALSE),0)</f>
        <v>0</v>
      </c>
      <c r="Y24" s="409">
        <f t="shared" si="26"/>
        <v>0</v>
      </c>
      <c r="Z24" s="394">
        <f t="shared" si="8"/>
        <v>0</v>
      </c>
      <c r="AA24" s="138"/>
      <c r="AB24" s="395">
        <f t="shared" si="9"/>
        <v>0</v>
      </c>
      <c r="AC24" s="396" t="str">
        <f t="shared" si="10"/>
        <v/>
      </c>
      <c r="AD24" s="53"/>
      <c r="AE24" s="391">
        <f>IFERROR(VLOOKUP($C24,'Proposed Rates'!$B:$J,AE$11,FALSE),0)</f>
        <v>0</v>
      </c>
      <c r="AF24" s="409">
        <f t="shared" si="27"/>
        <v>0</v>
      </c>
      <c r="AG24" s="394">
        <f t="shared" si="11"/>
        <v>0</v>
      </c>
      <c r="AH24" s="138"/>
      <c r="AI24" s="395">
        <f t="shared" si="12"/>
        <v>0</v>
      </c>
      <c r="AJ24" s="396" t="str">
        <f t="shared" si="13"/>
        <v/>
      </c>
      <c r="AK24" s="53"/>
      <c r="AL24" s="391">
        <f>IFERROR(VLOOKUP($C24,'Proposed Rates'!$B:$J,AL$11,FALSE),0)</f>
        <v>0</v>
      </c>
      <c r="AM24" s="409">
        <f t="shared" si="28"/>
        <v>0</v>
      </c>
      <c r="AN24" s="394">
        <f t="shared" si="14"/>
        <v>0</v>
      </c>
      <c r="AO24" s="138"/>
      <c r="AP24" s="395">
        <f t="shared" si="15"/>
        <v>0</v>
      </c>
      <c r="AQ24" s="396" t="str">
        <f t="shared" si="16"/>
        <v/>
      </c>
      <c r="AR24" s="397"/>
      <c r="AS24" s="397"/>
    </row>
    <row r="25" spans="1:45" ht="12.75" customHeight="1">
      <c r="A25" s="53"/>
      <c r="B25" s="398"/>
      <c r="C25" s="389" t="str">
        <f t="shared" si="0"/>
        <v>Street Light.</v>
      </c>
      <c r="D25" s="390"/>
      <c r="E25" s="328"/>
      <c r="F25" s="391">
        <f>IFERROR(VLOOKUP($C25,'Proposed Rates'!$B:$J,F$11,FALSE),0)</f>
        <v>0</v>
      </c>
      <c r="G25" s="409">
        <f t="shared" si="23"/>
        <v>0</v>
      </c>
      <c r="H25" s="394">
        <f t="shared" si="1"/>
        <v>0</v>
      </c>
      <c r="I25" s="138"/>
      <c r="J25" s="391">
        <f>IFERROR(VLOOKUP($C25,'Proposed Rates'!$B:$J,J$11,FALSE),0)</f>
        <v>0</v>
      </c>
      <c r="K25" s="409">
        <f t="shared" si="24"/>
        <v>0</v>
      </c>
      <c r="L25" s="394">
        <f t="shared" si="2"/>
        <v>0</v>
      </c>
      <c r="M25" s="138"/>
      <c r="N25" s="395">
        <f t="shared" si="3"/>
        <v>0</v>
      </c>
      <c r="O25" s="396" t="str">
        <f t="shared" si="4"/>
        <v/>
      </c>
      <c r="P25" s="53"/>
      <c r="Q25" s="391">
        <f>IFERROR(VLOOKUP($C25,'Proposed Rates'!$B:$J,Q$11,FALSE),0)</f>
        <v>0</v>
      </c>
      <c r="R25" s="409">
        <f t="shared" si="25"/>
        <v>0</v>
      </c>
      <c r="S25" s="394">
        <f t="shared" si="5"/>
        <v>0</v>
      </c>
      <c r="T25" s="138"/>
      <c r="U25" s="395">
        <f t="shared" si="6"/>
        <v>0</v>
      </c>
      <c r="V25" s="396" t="str">
        <f t="shared" si="7"/>
        <v/>
      </c>
      <c r="W25" s="53"/>
      <c r="X25" s="391">
        <f>IFERROR(VLOOKUP($C25,'Proposed Rates'!$B:$J,X$11,FALSE),0)</f>
        <v>0</v>
      </c>
      <c r="Y25" s="409">
        <f t="shared" si="26"/>
        <v>0</v>
      </c>
      <c r="Z25" s="394">
        <f t="shared" si="8"/>
        <v>0</v>
      </c>
      <c r="AA25" s="138"/>
      <c r="AB25" s="395">
        <f t="shared" si="9"/>
        <v>0</v>
      </c>
      <c r="AC25" s="396" t="str">
        <f t="shared" si="10"/>
        <v/>
      </c>
      <c r="AD25" s="53"/>
      <c r="AE25" s="391">
        <f>IFERROR(VLOOKUP($C25,'Proposed Rates'!$B:$J,AE$11,FALSE),0)</f>
        <v>0</v>
      </c>
      <c r="AF25" s="409">
        <f t="shared" si="27"/>
        <v>0</v>
      </c>
      <c r="AG25" s="394">
        <f t="shared" si="11"/>
        <v>0</v>
      </c>
      <c r="AH25" s="138"/>
      <c r="AI25" s="395">
        <f t="shared" si="12"/>
        <v>0</v>
      </c>
      <c r="AJ25" s="396" t="str">
        <f t="shared" si="13"/>
        <v/>
      </c>
      <c r="AK25" s="53"/>
      <c r="AL25" s="391">
        <f>IFERROR(VLOOKUP($C25,'Proposed Rates'!$B:$J,AL$11,FALSE),0)</f>
        <v>0</v>
      </c>
      <c r="AM25" s="409">
        <f t="shared" si="28"/>
        <v>0</v>
      </c>
      <c r="AN25" s="394">
        <f t="shared" si="14"/>
        <v>0</v>
      </c>
      <c r="AO25" s="138"/>
      <c r="AP25" s="395">
        <f t="shared" si="15"/>
        <v>0</v>
      </c>
      <c r="AQ25" s="396" t="str">
        <f t="shared" si="16"/>
        <v/>
      </c>
      <c r="AR25" s="397"/>
      <c r="AS25" s="397"/>
    </row>
    <row r="26" spans="1:45" ht="12.75" customHeight="1">
      <c r="A26" s="53"/>
      <c r="B26" s="398"/>
      <c r="C26" s="389" t="str">
        <f t="shared" si="0"/>
        <v>Street Light.</v>
      </c>
      <c r="D26" s="390"/>
      <c r="E26" s="328"/>
      <c r="F26" s="391">
        <f>IFERROR(VLOOKUP($C26,'Proposed Rates'!$B:$J,F$11,FALSE),0)</f>
        <v>0</v>
      </c>
      <c r="G26" s="409">
        <f t="shared" si="23"/>
        <v>0</v>
      </c>
      <c r="H26" s="394">
        <f t="shared" si="1"/>
        <v>0</v>
      </c>
      <c r="I26" s="138"/>
      <c r="J26" s="391">
        <f>IFERROR(VLOOKUP($C26,'Proposed Rates'!$B:$J,J$11,FALSE),0)</f>
        <v>0</v>
      </c>
      <c r="K26" s="409">
        <f t="shared" si="24"/>
        <v>0</v>
      </c>
      <c r="L26" s="394">
        <f t="shared" si="2"/>
        <v>0</v>
      </c>
      <c r="M26" s="138"/>
      <c r="N26" s="395">
        <f t="shared" si="3"/>
        <v>0</v>
      </c>
      <c r="O26" s="396" t="str">
        <f t="shared" si="4"/>
        <v/>
      </c>
      <c r="P26" s="53"/>
      <c r="Q26" s="391">
        <f>IFERROR(VLOOKUP($C26,'Proposed Rates'!$B:$J,Q$11,FALSE),0)</f>
        <v>0</v>
      </c>
      <c r="R26" s="409">
        <f t="shared" si="25"/>
        <v>0</v>
      </c>
      <c r="S26" s="394">
        <f t="shared" si="5"/>
        <v>0</v>
      </c>
      <c r="T26" s="138"/>
      <c r="U26" s="395">
        <f t="shared" si="6"/>
        <v>0</v>
      </c>
      <c r="V26" s="396" t="str">
        <f t="shared" si="7"/>
        <v/>
      </c>
      <c r="W26" s="53"/>
      <c r="X26" s="391">
        <f>IFERROR(VLOOKUP($C26,'Proposed Rates'!$B:$J,X$11,FALSE),0)</f>
        <v>0</v>
      </c>
      <c r="Y26" s="409">
        <f t="shared" si="26"/>
        <v>0</v>
      </c>
      <c r="Z26" s="394">
        <f t="shared" si="8"/>
        <v>0</v>
      </c>
      <c r="AA26" s="138"/>
      <c r="AB26" s="395">
        <f t="shared" si="9"/>
        <v>0</v>
      </c>
      <c r="AC26" s="396" t="str">
        <f t="shared" si="10"/>
        <v/>
      </c>
      <c r="AD26" s="53"/>
      <c r="AE26" s="391">
        <f>IFERROR(VLOOKUP($C26,'Proposed Rates'!$B:$J,AE$11,FALSE),0)</f>
        <v>0</v>
      </c>
      <c r="AF26" s="409">
        <f t="shared" si="27"/>
        <v>0</v>
      </c>
      <c r="AG26" s="394">
        <f t="shared" si="11"/>
        <v>0</v>
      </c>
      <c r="AH26" s="138"/>
      <c r="AI26" s="395">
        <f t="shared" si="12"/>
        <v>0</v>
      </c>
      <c r="AJ26" s="396" t="str">
        <f t="shared" si="13"/>
        <v/>
      </c>
      <c r="AK26" s="53"/>
      <c r="AL26" s="391">
        <f>IFERROR(VLOOKUP($C26,'Proposed Rates'!$B:$J,AL$11,FALSE),0)</f>
        <v>0</v>
      </c>
      <c r="AM26" s="409">
        <f t="shared" si="28"/>
        <v>0</v>
      </c>
      <c r="AN26" s="394">
        <f t="shared" si="14"/>
        <v>0</v>
      </c>
      <c r="AO26" s="138"/>
      <c r="AP26" s="395">
        <f t="shared" si="15"/>
        <v>0</v>
      </c>
      <c r="AQ26" s="396" t="str">
        <f t="shared" si="16"/>
        <v/>
      </c>
      <c r="AR26" s="397"/>
      <c r="AS26" s="397"/>
    </row>
    <row r="27" spans="1:45" ht="12.75" customHeight="1">
      <c r="A27" s="53"/>
      <c r="B27" s="398"/>
      <c r="C27" s="389" t="str">
        <f t="shared" si="0"/>
        <v>Street Light.</v>
      </c>
      <c r="D27" s="390"/>
      <c r="E27" s="328"/>
      <c r="F27" s="391">
        <f>IFERROR(VLOOKUP($C27,'Proposed Rates'!$B:$J,F$11,FALSE),0)</f>
        <v>0</v>
      </c>
      <c r="G27" s="409">
        <f t="shared" si="23"/>
        <v>0</v>
      </c>
      <c r="H27" s="394">
        <f t="shared" si="1"/>
        <v>0</v>
      </c>
      <c r="I27" s="138"/>
      <c r="J27" s="391">
        <f>IFERROR(VLOOKUP($C27,'Proposed Rates'!$B:$J,J$11,FALSE),0)</f>
        <v>0</v>
      </c>
      <c r="K27" s="409">
        <f t="shared" si="24"/>
        <v>0</v>
      </c>
      <c r="L27" s="394">
        <f t="shared" si="2"/>
        <v>0</v>
      </c>
      <c r="M27" s="138"/>
      <c r="N27" s="395">
        <f t="shared" si="3"/>
        <v>0</v>
      </c>
      <c r="O27" s="396" t="str">
        <f t="shared" si="4"/>
        <v/>
      </c>
      <c r="P27" s="53"/>
      <c r="Q27" s="391">
        <f>IFERROR(VLOOKUP($C27,'Proposed Rates'!$B:$J,Q$11,FALSE),0)</f>
        <v>0</v>
      </c>
      <c r="R27" s="409">
        <f t="shared" si="25"/>
        <v>0</v>
      </c>
      <c r="S27" s="394">
        <f t="shared" si="5"/>
        <v>0</v>
      </c>
      <c r="T27" s="138"/>
      <c r="U27" s="395">
        <f t="shared" si="6"/>
        <v>0</v>
      </c>
      <c r="V27" s="396" t="str">
        <f t="shared" si="7"/>
        <v/>
      </c>
      <c r="W27" s="53"/>
      <c r="X27" s="391">
        <f>IFERROR(VLOOKUP($C27,'Proposed Rates'!$B:$J,X$11,FALSE),0)</f>
        <v>0</v>
      </c>
      <c r="Y27" s="409">
        <f t="shared" si="26"/>
        <v>0</v>
      </c>
      <c r="Z27" s="394">
        <f t="shared" si="8"/>
        <v>0</v>
      </c>
      <c r="AA27" s="138"/>
      <c r="AB27" s="395">
        <f t="shared" si="9"/>
        <v>0</v>
      </c>
      <c r="AC27" s="396" t="str">
        <f t="shared" si="10"/>
        <v/>
      </c>
      <c r="AD27" s="53"/>
      <c r="AE27" s="391">
        <f>IFERROR(VLOOKUP($C27,'Proposed Rates'!$B:$J,AE$11,FALSE),0)</f>
        <v>0</v>
      </c>
      <c r="AF27" s="409">
        <f t="shared" si="27"/>
        <v>0</v>
      </c>
      <c r="AG27" s="394">
        <f t="shared" si="11"/>
        <v>0</v>
      </c>
      <c r="AH27" s="138"/>
      <c r="AI27" s="395">
        <f t="shared" si="12"/>
        <v>0</v>
      </c>
      <c r="AJ27" s="396" t="str">
        <f t="shared" si="13"/>
        <v/>
      </c>
      <c r="AK27" s="53"/>
      <c r="AL27" s="391">
        <f>IFERROR(VLOOKUP($C27,'Proposed Rates'!$B:$J,AL$11,FALSE),0)</f>
        <v>0</v>
      </c>
      <c r="AM27" s="409">
        <f t="shared" si="28"/>
        <v>0</v>
      </c>
      <c r="AN27" s="394">
        <f t="shared" si="14"/>
        <v>0</v>
      </c>
      <c r="AO27" s="138"/>
      <c r="AP27" s="395">
        <f t="shared" si="15"/>
        <v>0</v>
      </c>
      <c r="AQ27" s="396" t="str">
        <f t="shared" si="16"/>
        <v/>
      </c>
      <c r="AR27" s="397"/>
      <c r="AS27" s="397"/>
    </row>
    <row r="28" spans="1:45" ht="12.75" customHeight="1">
      <c r="A28" s="53"/>
      <c r="B28" s="398"/>
      <c r="C28" s="389" t="str">
        <f t="shared" si="0"/>
        <v>Street Light.</v>
      </c>
      <c r="D28" s="390"/>
      <c r="E28" s="328"/>
      <c r="F28" s="391">
        <f>IFERROR(VLOOKUP($C28,'Proposed Rates'!$B:$J,F$11,FALSE),0)</f>
        <v>0</v>
      </c>
      <c r="G28" s="409">
        <f t="shared" si="23"/>
        <v>0</v>
      </c>
      <c r="H28" s="394">
        <f t="shared" si="1"/>
        <v>0</v>
      </c>
      <c r="I28" s="138"/>
      <c r="J28" s="391">
        <f>IFERROR(VLOOKUP($C28,'Proposed Rates'!$B:$J,J$11,FALSE),0)</f>
        <v>0</v>
      </c>
      <c r="K28" s="409">
        <f t="shared" si="24"/>
        <v>0</v>
      </c>
      <c r="L28" s="394">
        <f t="shared" si="2"/>
        <v>0</v>
      </c>
      <c r="M28" s="138"/>
      <c r="N28" s="395">
        <f t="shared" si="3"/>
        <v>0</v>
      </c>
      <c r="O28" s="396" t="str">
        <f t="shared" si="4"/>
        <v/>
      </c>
      <c r="P28" s="53"/>
      <c r="Q28" s="391">
        <f>IFERROR(VLOOKUP($C28,'Proposed Rates'!$B:$J,Q$11,FALSE),0)</f>
        <v>0</v>
      </c>
      <c r="R28" s="409">
        <f t="shared" si="25"/>
        <v>0</v>
      </c>
      <c r="S28" s="394">
        <f t="shared" si="5"/>
        <v>0</v>
      </c>
      <c r="T28" s="138"/>
      <c r="U28" s="395">
        <f t="shared" si="6"/>
        <v>0</v>
      </c>
      <c r="V28" s="396" t="str">
        <f t="shared" si="7"/>
        <v/>
      </c>
      <c r="W28" s="53"/>
      <c r="X28" s="391">
        <f>IFERROR(VLOOKUP($C28,'Proposed Rates'!$B:$J,X$11,FALSE),0)</f>
        <v>0</v>
      </c>
      <c r="Y28" s="409">
        <f t="shared" si="26"/>
        <v>0</v>
      </c>
      <c r="Z28" s="394">
        <f t="shared" si="8"/>
        <v>0</v>
      </c>
      <c r="AA28" s="138"/>
      <c r="AB28" s="395">
        <f t="shared" si="9"/>
        <v>0</v>
      </c>
      <c r="AC28" s="396" t="str">
        <f t="shared" si="10"/>
        <v/>
      </c>
      <c r="AD28" s="53"/>
      <c r="AE28" s="391">
        <f>IFERROR(VLOOKUP($C28,'Proposed Rates'!$B:$J,AE$11,FALSE),0)</f>
        <v>0</v>
      </c>
      <c r="AF28" s="409">
        <f t="shared" si="27"/>
        <v>0</v>
      </c>
      <c r="AG28" s="394">
        <f t="shared" si="11"/>
        <v>0</v>
      </c>
      <c r="AH28" s="138"/>
      <c r="AI28" s="395">
        <f t="shared" si="12"/>
        <v>0</v>
      </c>
      <c r="AJ28" s="396" t="str">
        <f t="shared" si="13"/>
        <v/>
      </c>
      <c r="AK28" s="53"/>
      <c r="AL28" s="391">
        <f>IFERROR(VLOOKUP($C28,'Proposed Rates'!$B:$J,AL$11,FALSE),0)</f>
        <v>0</v>
      </c>
      <c r="AM28" s="409">
        <f t="shared" si="28"/>
        <v>0</v>
      </c>
      <c r="AN28" s="394">
        <f t="shared" si="14"/>
        <v>0</v>
      </c>
      <c r="AO28" s="138"/>
      <c r="AP28" s="395">
        <f t="shared" si="15"/>
        <v>0</v>
      </c>
      <c r="AQ28" s="396" t="str">
        <f t="shared" si="16"/>
        <v/>
      </c>
      <c r="AR28" s="397"/>
      <c r="AS28" s="397"/>
    </row>
    <row r="29" spans="1:45" ht="12.75" customHeight="1">
      <c r="A29" s="314"/>
      <c r="B29" s="399" t="s">
        <v>339</v>
      </c>
      <c r="C29" s="551"/>
      <c r="D29" s="400"/>
      <c r="E29" s="400"/>
      <c r="F29" s="401"/>
      <c r="G29" s="494"/>
      <c r="H29" s="403">
        <f>SUM(H15:H28)</f>
        <v>928.88499999999999</v>
      </c>
      <c r="I29" s="404"/>
      <c r="J29" s="401"/>
      <c r="K29" s="494"/>
      <c r="L29" s="403">
        <f>SUM(L15:L28)</f>
        <v>901.59999999999991</v>
      </c>
      <c r="M29" s="404"/>
      <c r="N29" s="405">
        <f t="shared" si="3"/>
        <v>-27.285000000000082</v>
      </c>
      <c r="O29" s="406">
        <f t="shared" si="4"/>
        <v>-2.9373926804717572E-2</v>
      </c>
      <c r="P29" s="314"/>
      <c r="Q29" s="401"/>
      <c r="R29" s="494"/>
      <c r="S29" s="403">
        <f>SUM(S15:S28)</f>
        <v>722.52499999999998</v>
      </c>
      <c r="T29" s="404"/>
      <c r="U29" s="405">
        <f t="shared" si="6"/>
        <v>-179.07499999999993</v>
      </c>
      <c r="V29" s="406">
        <f t="shared" si="7"/>
        <v>-0.19861912156166808</v>
      </c>
      <c r="W29" s="314"/>
      <c r="X29" s="401"/>
      <c r="Y29" s="494"/>
      <c r="Z29" s="403">
        <f>SUM(Z15:Z28)</f>
        <v>738.875</v>
      </c>
      <c r="AA29" s="404"/>
      <c r="AB29" s="405">
        <f t="shared" si="9"/>
        <v>16.350000000000023</v>
      </c>
      <c r="AC29" s="406">
        <f t="shared" si="10"/>
        <v>2.2628974775959342E-2</v>
      </c>
      <c r="AD29" s="314"/>
      <c r="AE29" s="401"/>
      <c r="AF29" s="494"/>
      <c r="AG29" s="403">
        <f>SUM(AG15:AG28)</f>
        <v>730.34499999999991</v>
      </c>
      <c r="AH29" s="404"/>
      <c r="AI29" s="405">
        <f t="shared" si="12"/>
        <v>-8.5300000000000864</v>
      </c>
      <c r="AJ29" s="406">
        <f t="shared" si="13"/>
        <v>-1.1544577905599845E-2</v>
      </c>
      <c r="AK29" s="314"/>
      <c r="AL29" s="401"/>
      <c r="AM29" s="494"/>
      <c r="AN29" s="403">
        <f>SUM(AN15:AN28)</f>
        <v>737.755</v>
      </c>
      <c r="AO29" s="404"/>
      <c r="AP29" s="405">
        <f t="shared" si="15"/>
        <v>7.4100000000000819</v>
      </c>
      <c r="AQ29" s="406">
        <f t="shared" si="16"/>
        <v>1.0145889956116743E-2</v>
      </c>
      <c r="AR29" s="407"/>
      <c r="AS29" s="407"/>
    </row>
    <row r="30" spans="1:45" ht="12.75" customHeight="1">
      <c r="A30" s="53"/>
      <c r="B30" s="398" t="s">
        <v>262</v>
      </c>
      <c r="C30" s="389" t="str">
        <f t="shared" ref="C30:C38" si="29">D$6&amp;"."&amp;B30</f>
        <v>Street Light.DVA Disposition Rate Rider Group 1 -2025</v>
      </c>
      <c r="D30" s="390" t="s">
        <v>406</v>
      </c>
      <c r="E30" s="328"/>
      <c r="F30" s="561">
        <f>IFERROR(VLOOKUP($C30,'Proposed Rates'!$B:$J,F$11,FALSE),0)</f>
        <v>4.1000000000000002E-2</v>
      </c>
      <c r="G30" s="409">
        <f t="shared" ref="G30:G36" si="30">IF($D30="Monthly",1,IF($D30="per KW",$F$10,IF($D30="per kWh",$F$9,0)))</f>
        <v>50</v>
      </c>
      <c r="H30" s="394">
        <f t="shared" ref="H30:H38" si="31">G30*F30</f>
        <v>2.0500000000000003</v>
      </c>
      <c r="I30" s="138"/>
      <c r="J30" s="561">
        <f>IFERROR(VLOOKUP($C30,'Proposed Rates'!$B:$J,J$11,FALSE),0)</f>
        <v>-0.3805</v>
      </c>
      <c r="K30" s="409">
        <f t="shared" ref="K30:K36" si="32">IF($D30="Monthly",1,IF($D30="per KW",$F$10,IF($D30="per kWh",$F$9,0)))</f>
        <v>50</v>
      </c>
      <c r="L30" s="394">
        <f t="shared" ref="L30:L38" si="33">K30*J30</f>
        <v>-19.024999999999999</v>
      </c>
      <c r="M30" s="138"/>
      <c r="N30" s="395">
        <f t="shared" si="3"/>
        <v>-21.074999999999999</v>
      </c>
      <c r="O30" s="396">
        <f t="shared" si="4"/>
        <v>-10.280487804878048</v>
      </c>
      <c r="P30" s="53"/>
      <c r="Q30" s="561">
        <f>IFERROR(VLOOKUP($C30,'Proposed Rates'!$B:$J,Q$11,FALSE),0)</f>
        <v>0</v>
      </c>
      <c r="R30" s="409">
        <f t="shared" ref="R30:R36" si="34">IF($D30="Monthly",1,IF($D30="per KW",$F$10,IF($D30="per kWh",$F$9,0)))</f>
        <v>50</v>
      </c>
      <c r="S30" s="394">
        <f t="shared" ref="S30:S38" si="35">R30*Q30</f>
        <v>0</v>
      </c>
      <c r="T30" s="138"/>
      <c r="U30" s="395">
        <f t="shared" si="6"/>
        <v>19.024999999999999</v>
      </c>
      <c r="V30" s="396">
        <f t="shared" si="7"/>
        <v>-1</v>
      </c>
      <c r="W30" s="53"/>
      <c r="X30" s="561">
        <f>IFERROR(VLOOKUP($C30,'Proposed Rates'!$B:$J,X$11,FALSE),0)</f>
        <v>0</v>
      </c>
      <c r="Y30" s="409">
        <f t="shared" ref="Y30:Y36" si="36">IF($D30="Monthly",1,IF($D30="per KW",$F$10,IF($D30="per kWh",$F$9,0)))</f>
        <v>50</v>
      </c>
      <c r="Z30" s="394">
        <f t="shared" ref="Z30:Z38" si="37">Y30*X30</f>
        <v>0</v>
      </c>
      <c r="AA30" s="138"/>
      <c r="AB30" s="395">
        <f t="shared" si="9"/>
        <v>0</v>
      </c>
      <c r="AC30" s="396" t="str">
        <f t="shared" si="10"/>
        <v/>
      </c>
      <c r="AD30" s="53"/>
      <c r="AE30" s="561">
        <f>IFERROR(VLOOKUP($C30,'Proposed Rates'!$B:$J,AE$11,FALSE),0)</f>
        <v>0</v>
      </c>
      <c r="AF30" s="409">
        <f t="shared" ref="AF30:AF36" si="38">IF($D30="Monthly",1,IF($D30="per KW",$F$10,IF($D30="per kWh",$F$9,0)))</f>
        <v>50</v>
      </c>
      <c r="AG30" s="394">
        <f t="shared" ref="AG30:AG38" si="39">AF30*AE30</f>
        <v>0</v>
      </c>
      <c r="AH30" s="138"/>
      <c r="AI30" s="395">
        <f t="shared" si="12"/>
        <v>0</v>
      </c>
      <c r="AJ30" s="396" t="str">
        <f t="shared" si="13"/>
        <v/>
      </c>
      <c r="AK30" s="53"/>
      <c r="AL30" s="561">
        <f>IFERROR(VLOOKUP($C30,'Proposed Rates'!$B:$J,AL$11,FALSE),0)</f>
        <v>0</v>
      </c>
      <c r="AM30" s="409">
        <f t="shared" ref="AM30:AM36" si="40">IF($D30="Monthly",1,IF($D30="per KW",$F$10,IF($D30="per kWh",$F$9,0)))</f>
        <v>50</v>
      </c>
      <c r="AN30" s="394">
        <f t="shared" ref="AN30:AN38" si="41">AM30*AL30</f>
        <v>0</v>
      </c>
      <c r="AO30" s="138"/>
      <c r="AP30" s="395">
        <f t="shared" si="15"/>
        <v>0</v>
      </c>
      <c r="AQ30" s="396" t="str">
        <f t="shared" si="16"/>
        <v/>
      </c>
      <c r="AR30" s="397"/>
      <c r="AS30" s="397"/>
    </row>
    <row r="31" spans="1:45" ht="12.75" customHeight="1">
      <c r="A31" s="53"/>
      <c r="B31" s="398" t="s">
        <v>264</v>
      </c>
      <c r="C31" s="389" t="str">
        <f t="shared" si="29"/>
        <v>Street Light.DVA Disposition Rate Rider Group 1 - 2024</v>
      </c>
      <c r="D31" s="390" t="s">
        <v>406</v>
      </c>
      <c r="E31" s="328"/>
      <c r="F31" s="391">
        <f>IFERROR(VLOOKUP($C31,'Proposed Rates'!$B:$J,F$11,FALSE),0)</f>
        <v>0</v>
      </c>
      <c r="G31" s="409">
        <f t="shared" si="30"/>
        <v>50</v>
      </c>
      <c r="H31" s="394">
        <f t="shared" si="31"/>
        <v>0</v>
      </c>
      <c r="I31" s="138"/>
      <c r="J31" s="391">
        <f>IFERROR(VLOOKUP($C31,'Proposed Rates'!$B:$J,J$11,FALSE),0)</f>
        <v>0</v>
      </c>
      <c r="K31" s="409">
        <f t="shared" si="32"/>
        <v>50</v>
      </c>
      <c r="L31" s="394">
        <f t="shared" si="33"/>
        <v>0</v>
      </c>
      <c r="M31" s="138"/>
      <c r="N31" s="395">
        <f t="shared" si="3"/>
        <v>0</v>
      </c>
      <c r="O31" s="396" t="str">
        <f t="shared" si="4"/>
        <v/>
      </c>
      <c r="P31" s="53"/>
      <c r="Q31" s="391">
        <f>IFERROR(VLOOKUP($C31,'Proposed Rates'!$B:$J,Q$11,FALSE),0)</f>
        <v>0</v>
      </c>
      <c r="R31" s="409">
        <f t="shared" si="34"/>
        <v>50</v>
      </c>
      <c r="S31" s="394">
        <f t="shared" si="35"/>
        <v>0</v>
      </c>
      <c r="T31" s="138"/>
      <c r="U31" s="395">
        <f t="shared" si="6"/>
        <v>0</v>
      </c>
      <c r="V31" s="396" t="str">
        <f t="shared" si="7"/>
        <v/>
      </c>
      <c r="W31" s="53"/>
      <c r="X31" s="391">
        <f>IFERROR(VLOOKUP($C31,'Proposed Rates'!$B:$J,X$11,FALSE),0)</f>
        <v>0</v>
      </c>
      <c r="Y31" s="409">
        <f t="shared" si="36"/>
        <v>50</v>
      </c>
      <c r="Z31" s="394">
        <f t="shared" si="37"/>
        <v>0</v>
      </c>
      <c r="AA31" s="138"/>
      <c r="AB31" s="395">
        <f t="shared" si="9"/>
        <v>0</v>
      </c>
      <c r="AC31" s="396" t="str">
        <f t="shared" si="10"/>
        <v/>
      </c>
      <c r="AD31" s="53"/>
      <c r="AE31" s="391">
        <f>IFERROR(VLOOKUP($C31,'Proposed Rates'!$B:$J,AE$11,FALSE),0)</f>
        <v>0</v>
      </c>
      <c r="AF31" s="409">
        <f t="shared" si="38"/>
        <v>50</v>
      </c>
      <c r="AG31" s="394">
        <f t="shared" si="39"/>
        <v>0</v>
      </c>
      <c r="AH31" s="138"/>
      <c r="AI31" s="395">
        <f t="shared" si="12"/>
        <v>0</v>
      </c>
      <c r="AJ31" s="396" t="str">
        <f t="shared" si="13"/>
        <v/>
      </c>
      <c r="AK31" s="53"/>
      <c r="AL31" s="391">
        <f>IFERROR(VLOOKUP($C31,'Proposed Rates'!$B:$J,AL$11,FALSE),0)</f>
        <v>0</v>
      </c>
      <c r="AM31" s="409">
        <f t="shared" si="40"/>
        <v>50</v>
      </c>
      <c r="AN31" s="394">
        <f t="shared" si="41"/>
        <v>0</v>
      </c>
      <c r="AO31" s="138"/>
      <c r="AP31" s="395">
        <f t="shared" si="15"/>
        <v>0</v>
      </c>
      <c r="AQ31" s="396" t="str">
        <f t="shared" si="16"/>
        <v/>
      </c>
      <c r="AR31" s="397"/>
      <c r="AS31" s="397"/>
    </row>
    <row r="32" spans="1:45" ht="12.75" customHeight="1">
      <c r="A32" s="53"/>
      <c r="B32" s="398" t="s">
        <v>272</v>
      </c>
      <c r="C32" s="389" t="str">
        <f t="shared" si="29"/>
        <v>Street Light.CBR Class B Rate Riders</v>
      </c>
      <c r="D32" s="390" t="s">
        <v>337</v>
      </c>
      <c r="E32" s="328"/>
      <c r="F32" s="408">
        <f>IFERROR(VLOOKUP($C32,'Proposed Rates'!$B:$J,F$11,FALSE),0)</f>
        <v>2.0000000000000001E-4</v>
      </c>
      <c r="G32" s="409">
        <f t="shared" si="30"/>
        <v>17860</v>
      </c>
      <c r="H32" s="394">
        <f t="shared" si="31"/>
        <v>3.5720000000000001</v>
      </c>
      <c r="I32" s="479"/>
      <c r="J32" s="408">
        <f>IFERROR(VLOOKUP($C32,'Proposed Rates'!$B:$J,J$11,FALSE),0)</f>
        <v>8.0000000000000004E-4</v>
      </c>
      <c r="K32" s="409">
        <f t="shared" si="32"/>
        <v>17860</v>
      </c>
      <c r="L32" s="394">
        <f t="shared" si="33"/>
        <v>14.288</v>
      </c>
      <c r="M32" s="411"/>
      <c r="N32" s="395">
        <f t="shared" si="3"/>
        <v>10.716000000000001</v>
      </c>
      <c r="O32" s="396"/>
      <c r="P32" s="53"/>
      <c r="Q32" s="408">
        <f>IFERROR(VLOOKUP($C32,'Proposed Rates'!$B:$J,Q$11,FALSE),0)</f>
        <v>0</v>
      </c>
      <c r="R32" s="409">
        <f t="shared" si="34"/>
        <v>17860</v>
      </c>
      <c r="S32" s="394">
        <f t="shared" si="35"/>
        <v>0</v>
      </c>
      <c r="T32" s="411"/>
      <c r="U32" s="395"/>
      <c r="V32" s="396"/>
      <c r="W32" s="53"/>
      <c r="X32" s="408">
        <f>IFERROR(VLOOKUP($C32,'Proposed Rates'!$B:$J,X$11,FALSE),0)</f>
        <v>0</v>
      </c>
      <c r="Y32" s="409">
        <f t="shared" si="36"/>
        <v>17860</v>
      </c>
      <c r="Z32" s="394">
        <f t="shared" si="37"/>
        <v>0</v>
      </c>
      <c r="AA32" s="138"/>
      <c r="AB32" s="395">
        <f t="shared" si="9"/>
        <v>0</v>
      </c>
      <c r="AC32" s="396" t="str">
        <f t="shared" si="10"/>
        <v/>
      </c>
      <c r="AD32" s="53"/>
      <c r="AE32" s="408">
        <f>IFERROR(VLOOKUP($C32,'Proposed Rates'!$B:$J,AE$11,FALSE),0)</f>
        <v>0</v>
      </c>
      <c r="AF32" s="409">
        <f t="shared" si="38"/>
        <v>17860</v>
      </c>
      <c r="AG32" s="394">
        <f t="shared" si="39"/>
        <v>0</v>
      </c>
      <c r="AH32" s="138"/>
      <c r="AI32" s="395">
        <f t="shared" si="12"/>
        <v>0</v>
      </c>
      <c r="AJ32" s="396" t="str">
        <f t="shared" si="13"/>
        <v/>
      </c>
      <c r="AK32" s="53"/>
      <c r="AL32" s="408">
        <f>IFERROR(VLOOKUP($C32,'Proposed Rates'!$B:$J,AL$11,FALSE),0)</f>
        <v>0</v>
      </c>
      <c r="AM32" s="409">
        <f t="shared" si="40"/>
        <v>17860</v>
      </c>
      <c r="AN32" s="394">
        <f t="shared" si="41"/>
        <v>0</v>
      </c>
      <c r="AO32" s="411"/>
      <c r="AP32" s="395"/>
      <c r="AQ32" s="396"/>
      <c r="AR32" s="397"/>
      <c r="AS32" s="397"/>
    </row>
    <row r="33" spans="1:45" ht="12.75" customHeight="1">
      <c r="A33" s="53"/>
      <c r="B33" s="398" t="s">
        <v>279</v>
      </c>
      <c r="C33" s="389" t="str">
        <f t="shared" si="29"/>
        <v>Street Light.GA Rate Riders</v>
      </c>
      <c r="D33" s="390" t="s">
        <v>337</v>
      </c>
      <c r="E33" s="328"/>
      <c r="F33" s="408">
        <f>IFERROR(VLOOKUP($C33,'Proposed Rates'!$B:$J,F$11,FALSE),0)</f>
        <v>3.8999999999999998E-3</v>
      </c>
      <c r="G33" s="409">
        <f t="shared" si="30"/>
        <v>17860</v>
      </c>
      <c r="H33" s="394">
        <f t="shared" si="31"/>
        <v>69.653999999999996</v>
      </c>
      <c r="I33" s="479"/>
      <c r="J33" s="408">
        <f>IFERROR(VLOOKUP($C33,'Proposed Rates'!$B:$J,J$11,FALSE),0)</f>
        <v>4.4999999999999997E-3</v>
      </c>
      <c r="K33" s="409">
        <f t="shared" si="32"/>
        <v>17860</v>
      </c>
      <c r="L33" s="394">
        <f t="shared" si="33"/>
        <v>80.36999999999999</v>
      </c>
      <c r="M33" s="411"/>
      <c r="N33" s="395">
        <f t="shared" si="3"/>
        <v>10.715999999999994</v>
      </c>
      <c r="O33" s="396">
        <f t="shared" ref="O33:O34" si="42">IF((H33)=0,"",(N33/H33))</f>
        <v>0.15384615384615377</v>
      </c>
      <c r="P33" s="53"/>
      <c r="Q33" s="408">
        <f>IFERROR(VLOOKUP($C33,'Proposed Rates'!$B:$J,Q$11,FALSE),0)</f>
        <v>4.4999999999999997E-3</v>
      </c>
      <c r="R33" s="409">
        <f t="shared" si="34"/>
        <v>17860</v>
      </c>
      <c r="S33" s="394">
        <f t="shared" si="35"/>
        <v>80.36999999999999</v>
      </c>
      <c r="T33" s="411"/>
      <c r="U33" s="395">
        <f t="shared" ref="U33:U34" si="43">S33-L33</f>
        <v>0</v>
      </c>
      <c r="V33" s="396">
        <f t="shared" ref="V33:V34" si="44">IF((L33)=0,"",(U33/L33))</f>
        <v>0</v>
      </c>
      <c r="W33" s="53"/>
      <c r="X33" s="408">
        <f>IFERROR(VLOOKUP($C33,'Proposed Rates'!$B:$J,X$11,FALSE),0)</f>
        <v>0</v>
      </c>
      <c r="Y33" s="409">
        <f t="shared" si="36"/>
        <v>17860</v>
      </c>
      <c r="Z33" s="394">
        <f t="shared" si="37"/>
        <v>0</v>
      </c>
      <c r="AA33" s="411"/>
      <c r="AB33" s="395">
        <f t="shared" si="9"/>
        <v>-80.36999999999999</v>
      </c>
      <c r="AC33" s="396">
        <f t="shared" si="10"/>
        <v>-1</v>
      </c>
      <c r="AD33" s="53"/>
      <c r="AE33" s="408">
        <f>IFERROR(VLOOKUP($C33,'Proposed Rates'!$B:$J,AE$11,FALSE),0)</f>
        <v>0</v>
      </c>
      <c r="AF33" s="409">
        <f t="shared" si="38"/>
        <v>17860</v>
      </c>
      <c r="AG33" s="394">
        <f t="shared" si="39"/>
        <v>0</v>
      </c>
      <c r="AH33" s="411"/>
      <c r="AI33" s="395">
        <f t="shared" si="12"/>
        <v>0</v>
      </c>
      <c r="AJ33" s="396" t="str">
        <f t="shared" si="13"/>
        <v/>
      </c>
      <c r="AK33" s="53"/>
      <c r="AL33" s="408">
        <f>IFERROR(VLOOKUP($C33,'Proposed Rates'!$B:$J,AL$11,FALSE),0)</f>
        <v>0</v>
      </c>
      <c r="AM33" s="409">
        <f t="shared" si="40"/>
        <v>17860</v>
      </c>
      <c r="AN33" s="394">
        <f t="shared" si="41"/>
        <v>0</v>
      </c>
      <c r="AO33" s="411"/>
      <c r="AP33" s="395">
        <f t="shared" ref="AP33:AP34" si="45">AN33-AG33</f>
        <v>0</v>
      </c>
      <c r="AQ33" s="396" t="str">
        <f t="shared" ref="AQ33:AQ34" si="46">IF((AG33)=0,"",(AP33/AG33))</f>
        <v/>
      </c>
      <c r="AR33" s="397"/>
      <c r="AS33" s="397"/>
    </row>
    <row r="34" spans="1:45" ht="12.75" customHeight="1">
      <c r="A34" s="53"/>
      <c r="B34" s="398" t="s">
        <v>282</v>
      </c>
      <c r="C34" s="389" t="str">
        <f t="shared" si="29"/>
        <v>Street Light.Total Deferral/Variance Account Rate RidersYr2</v>
      </c>
      <c r="D34" s="390" t="s">
        <v>406</v>
      </c>
      <c r="E34" s="328"/>
      <c r="F34" s="391">
        <f>IFERROR(VLOOKUP($C34,'Proposed Rates'!$B:$J,F$11,FALSE),0)</f>
        <v>0</v>
      </c>
      <c r="G34" s="409">
        <f t="shared" si="30"/>
        <v>50</v>
      </c>
      <c r="H34" s="394">
        <f t="shared" si="31"/>
        <v>0</v>
      </c>
      <c r="I34" s="479"/>
      <c r="J34" s="391">
        <f>IFERROR(VLOOKUP($C34,'Proposed Rates'!$B:$J,J$11,FALSE),0)</f>
        <v>0</v>
      </c>
      <c r="K34" s="409">
        <f t="shared" si="32"/>
        <v>50</v>
      </c>
      <c r="L34" s="394">
        <f t="shared" si="33"/>
        <v>0</v>
      </c>
      <c r="M34" s="411"/>
      <c r="N34" s="395">
        <f t="shared" si="3"/>
        <v>0</v>
      </c>
      <c r="O34" s="396" t="str">
        <f t="shared" si="42"/>
        <v/>
      </c>
      <c r="P34" s="53"/>
      <c r="Q34" s="391">
        <f>IFERROR(VLOOKUP($C34,'Proposed Rates'!$B:$J,Q$11,FALSE),0)</f>
        <v>0</v>
      </c>
      <c r="R34" s="409">
        <f t="shared" si="34"/>
        <v>50</v>
      </c>
      <c r="S34" s="394">
        <f t="shared" si="35"/>
        <v>0</v>
      </c>
      <c r="T34" s="411"/>
      <c r="U34" s="395">
        <f t="shared" si="43"/>
        <v>0</v>
      </c>
      <c r="V34" s="396" t="str">
        <f t="shared" si="44"/>
        <v/>
      </c>
      <c r="W34" s="53"/>
      <c r="X34" s="391">
        <f>IFERROR(VLOOKUP($C34,'Proposed Rates'!$B:$J,X$11,FALSE),0)</f>
        <v>0</v>
      </c>
      <c r="Y34" s="409">
        <f t="shared" si="36"/>
        <v>50</v>
      </c>
      <c r="Z34" s="394">
        <f t="shared" si="37"/>
        <v>0</v>
      </c>
      <c r="AA34" s="411"/>
      <c r="AB34" s="395">
        <f t="shared" si="9"/>
        <v>0</v>
      </c>
      <c r="AC34" s="396" t="str">
        <f t="shared" si="10"/>
        <v/>
      </c>
      <c r="AD34" s="53"/>
      <c r="AE34" s="391">
        <f>IFERROR(VLOOKUP($C34,'Proposed Rates'!$B:$J,AE$11,FALSE),0)</f>
        <v>0</v>
      </c>
      <c r="AF34" s="409">
        <f t="shared" si="38"/>
        <v>50</v>
      </c>
      <c r="AG34" s="394">
        <f t="shared" si="39"/>
        <v>0</v>
      </c>
      <c r="AH34" s="411"/>
      <c r="AI34" s="395">
        <f t="shared" si="12"/>
        <v>0</v>
      </c>
      <c r="AJ34" s="396" t="str">
        <f t="shared" si="13"/>
        <v/>
      </c>
      <c r="AK34" s="53"/>
      <c r="AL34" s="391">
        <f>IFERROR(VLOOKUP($C34,'Proposed Rates'!$B:$J,AL$11,FALSE),0)</f>
        <v>0</v>
      </c>
      <c r="AM34" s="409">
        <f t="shared" si="40"/>
        <v>50</v>
      </c>
      <c r="AN34" s="394">
        <f t="shared" si="41"/>
        <v>0</v>
      </c>
      <c r="AO34" s="411"/>
      <c r="AP34" s="395">
        <f t="shared" si="45"/>
        <v>0</v>
      </c>
      <c r="AQ34" s="396" t="str">
        <f t="shared" si="46"/>
        <v/>
      </c>
      <c r="AR34" s="397"/>
      <c r="AS34" s="397"/>
    </row>
    <row r="35" spans="1:45" ht="12.75" customHeight="1">
      <c r="A35" s="53"/>
      <c r="B35" s="398" t="s">
        <v>284</v>
      </c>
      <c r="C35" s="389" t="str">
        <f t="shared" si="29"/>
        <v>Street Light.Total Deferral/Variance Account Rate Riders</v>
      </c>
      <c r="D35" s="390" t="s">
        <v>406</v>
      </c>
      <c r="E35" s="328"/>
      <c r="F35" s="391">
        <f>IFERROR(VLOOKUP($C35,'Proposed Rates'!$B:$J,F$11,FALSE),0)</f>
        <v>0</v>
      </c>
      <c r="G35" s="409">
        <f t="shared" si="30"/>
        <v>50</v>
      </c>
      <c r="H35" s="394">
        <f t="shared" si="31"/>
        <v>0</v>
      </c>
      <c r="I35" s="138"/>
      <c r="J35" s="391">
        <f>IFERROR(VLOOKUP($C35,'Proposed Rates'!$B:$J,J$11,FALSE),0)</f>
        <v>0</v>
      </c>
      <c r="K35" s="409">
        <f t="shared" si="32"/>
        <v>50</v>
      </c>
      <c r="L35" s="394">
        <f t="shared" si="33"/>
        <v>0</v>
      </c>
      <c r="M35" s="138"/>
      <c r="N35" s="395"/>
      <c r="O35" s="396"/>
      <c r="P35" s="53"/>
      <c r="Q35" s="391">
        <f>IFERROR(VLOOKUP($C35,'Proposed Rates'!$B:$J,Q$11,FALSE),0)</f>
        <v>0</v>
      </c>
      <c r="R35" s="409">
        <f t="shared" si="34"/>
        <v>50</v>
      </c>
      <c r="S35" s="394">
        <f t="shared" si="35"/>
        <v>0</v>
      </c>
      <c r="T35" s="138"/>
      <c r="U35" s="395"/>
      <c r="V35" s="396"/>
      <c r="W35" s="53"/>
      <c r="X35" s="391">
        <f>IFERROR(VLOOKUP($C35,'Proposed Rates'!$B:$J,X$11,FALSE),0)</f>
        <v>0</v>
      </c>
      <c r="Y35" s="409">
        <f t="shared" si="36"/>
        <v>50</v>
      </c>
      <c r="Z35" s="394">
        <f t="shared" si="37"/>
        <v>0</v>
      </c>
      <c r="AA35" s="138"/>
      <c r="AB35" s="395"/>
      <c r="AC35" s="396"/>
      <c r="AD35" s="53"/>
      <c r="AE35" s="391">
        <f>IFERROR(VLOOKUP($C35,'Proposed Rates'!$B:$J,AE$11,FALSE),0)</f>
        <v>0</v>
      </c>
      <c r="AF35" s="409">
        <f t="shared" si="38"/>
        <v>50</v>
      </c>
      <c r="AG35" s="394">
        <f t="shared" si="39"/>
        <v>0</v>
      </c>
      <c r="AH35" s="138"/>
      <c r="AI35" s="395">
        <f t="shared" si="12"/>
        <v>0</v>
      </c>
      <c r="AJ35" s="396" t="str">
        <f t="shared" si="13"/>
        <v/>
      </c>
      <c r="AK35" s="53"/>
      <c r="AL35" s="391">
        <f>IFERROR(VLOOKUP($C35,'Proposed Rates'!$B:$J,AL$11,FALSE),0)</f>
        <v>0</v>
      </c>
      <c r="AM35" s="409">
        <f t="shared" si="40"/>
        <v>50</v>
      </c>
      <c r="AN35" s="394">
        <f t="shared" si="41"/>
        <v>0</v>
      </c>
      <c r="AO35" s="138"/>
      <c r="AP35" s="395"/>
      <c r="AQ35" s="396"/>
      <c r="AR35" s="397"/>
      <c r="AS35" s="397"/>
    </row>
    <row r="36" spans="1:45" ht="12.75" customHeight="1">
      <c r="A36" s="53"/>
      <c r="B36" s="328" t="s">
        <v>300</v>
      </c>
      <c r="C36" s="389" t="str">
        <f t="shared" si="29"/>
        <v>Street Light.Low Voltage Service Charge</v>
      </c>
      <c r="D36" s="390" t="s">
        <v>406</v>
      </c>
      <c r="E36" s="328"/>
      <c r="F36" s="412">
        <f>IFERROR(VLOOKUP($C36,'Proposed Rates'!$B:$J,F$11,FALSE),0)</f>
        <v>1.5640000000000001E-2</v>
      </c>
      <c r="G36" s="409">
        <f t="shared" si="30"/>
        <v>50</v>
      </c>
      <c r="H36" s="394">
        <f t="shared" si="31"/>
        <v>0.78200000000000003</v>
      </c>
      <c r="I36" s="138"/>
      <c r="J36" s="412">
        <f>IFERROR(VLOOKUP($C36,'Proposed Rates'!$B:$J,J$11,FALSE),0)</f>
        <v>1.099E-2</v>
      </c>
      <c r="K36" s="409">
        <f t="shared" si="32"/>
        <v>50</v>
      </c>
      <c r="L36" s="394">
        <f t="shared" si="33"/>
        <v>0.54949999999999999</v>
      </c>
      <c r="M36" s="138"/>
      <c r="N36" s="395">
        <f t="shared" ref="N36:N37" si="47">L36-H36</f>
        <v>-0.23250000000000004</v>
      </c>
      <c r="O36" s="396">
        <f t="shared" ref="O36:O37" si="48">IF((H36)=0,"",(N36/H36))</f>
        <v>-0.29731457800511513</v>
      </c>
      <c r="P36" s="53"/>
      <c r="Q36" s="412">
        <f>IFERROR(VLOOKUP($C36,'Proposed Rates'!$B:$J,Q$11,FALSE),0)</f>
        <v>1.1270000000000001E-2</v>
      </c>
      <c r="R36" s="409">
        <f t="shared" si="34"/>
        <v>50</v>
      </c>
      <c r="S36" s="394">
        <f t="shared" si="35"/>
        <v>0.5635</v>
      </c>
      <c r="T36" s="138"/>
      <c r="U36" s="395">
        <f t="shared" ref="U36:U37" si="49">S36-L36</f>
        <v>1.4000000000000012E-2</v>
      </c>
      <c r="V36" s="396">
        <f t="shared" ref="V36:V37" si="50">IF((L36)=0,"",(U36/L36))</f>
        <v>2.5477707006369449E-2</v>
      </c>
      <c r="W36" s="53"/>
      <c r="X36" s="412">
        <f>IFERROR(VLOOKUP($C36,'Proposed Rates'!$B:$J,X$11,FALSE),0)</f>
        <v>1.141E-2</v>
      </c>
      <c r="Y36" s="409">
        <f t="shared" si="36"/>
        <v>50</v>
      </c>
      <c r="Z36" s="394">
        <f t="shared" si="37"/>
        <v>0.57050000000000001</v>
      </c>
      <c r="AA36" s="138"/>
      <c r="AB36" s="395">
        <f t="shared" ref="AB36:AB37" si="51">Z36-S36</f>
        <v>7.0000000000000062E-3</v>
      </c>
      <c r="AC36" s="396">
        <f t="shared" ref="AC36:AC37" si="52">IF((S36)=0,"",(AB36/S36))</f>
        <v>1.2422360248447216E-2</v>
      </c>
      <c r="AD36" s="53"/>
      <c r="AE36" s="412">
        <f>IFERROR(VLOOKUP($C36,'Proposed Rates'!$B:$J,AE$11,FALSE),0)</f>
        <v>1.159E-2</v>
      </c>
      <c r="AF36" s="409">
        <f t="shared" si="38"/>
        <v>50</v>
      </c>
      <c r="AG36" s="394">
        <f t="shared" si="39"/>
        <v>0.57950000000000002</v>
      </c>
      <c r="AH36" s="138"/>
      <c r="AI36" s="395">
        <f t="shared" si="12"/>
        <v>9.000000000000008E-3</v>
      </c>
      <c r="AJ36" s="396">
        <f t="shared" si="13"/>
        <v>1.5775635407537261E-2</v>
      </c>
      <c r="AK36" s="53"/>
      <c r="AL36" s="412">
        <f>IFERROR(VLOOKUP($C36,'Proposed Rates'!$B:$J,AL$11,FALSE),0)</f>
        <v>1.18E-2</v>
      </c>
      <c r="AM36" s="409">
        <f t="shared" si="40"/>
        <v>50</v>
      </c>
      <c r="AN36" s="394">
        <f t="shared" si="41"/>
        <v>0.59</v>
      </c>
      <c r="AO36" s="138"/>
      <c r="AP36" s="395">
        <f t="shared" ref="AP36:AP37" si="53">AN36-AG36</f>
        <v>1.0499999999999954E-2</v>
      </c>
      <c r="AQ36" s="396">
        <f t="shared" ref="AQ36:AQ37" si="54">IF((AG36)=0,"",(AP36/AG36))</f>
        <v>1.8119068162208721E-2</v>
      </c>
      <c r="AR36" s="397"/>
      <c r="AS36" s="397"/>
    </row>
    <row r="37" spans="1:45" ht="12.75" customHeight="1">
      <c r="A37" s="53"/>
      <c r="B37" s="328" t="s">
        <v>341</v>
      </c>
      <c r="C37" s="389" t="str">
        <f t="shared" si="29"/>
        <v>Street Light.Line Losses on Cost of Power</v>
      </c>
      <c r="D37" s="390" t="s">
        <v>337</v>
      </c>
      <c r="E37" s="328"/>
      <c r="F37" s="414">
        <f>F46</f>
        <v>0.10453</v>
      </c>
      <c r="G37" s="501">
        <f>$F$9*(1+F$65)-$F$9</f>
        <v>603.66800000000148</v>
      </c>
      <c r="H37" s="394">
        <f t="shared" si="31"/>
        <v>63.101416040000153</v>
      </c>
      <c r="I37" s="138"/>
      <c r="J37" s="414">
        <f>J46</f>
        <v>0.10453</v>
      </c>
      <c r="K37" s="501">
        <f>$F$9*(1+J$65)-$F$9</f>
        <v>592.9519999999975</v>
      </c>
      <c r="L37" s="394">
        <f t="shared" si="33"/>
        <v>61.981272559999738</v>
      </c>
      <c r="M37" s="138"/>
      <c r="N37" s="395">
        <f t="shared" si="47"/>
        <v>-1.1201434800004151</v>
      </c>
      <c r="O37" s="396">
        <f t="shared" si="48"/>
        <v>-1.7751479289947362E-2</v>
      </c>
      <c r="P37" s="53"/>
      <c r="Q37" s="414">
        <f>Q46</f>
        <v>0.10453</v>
      </c>
      <c r="R37" s="501">
        <f>$F$9*(1+Q$65)-$F$9</f>
        <v>592.9519999999975</v>
      </c>
      <c r="S37" s="394">
        <f t="shared" si="35"/>
        <v>61.981272559999738</v>
      </c>
      <c r="T37" s="138"/>
      <c r="U37" s="395">
        <f t="shared" si="49"/>
        <v>0</v>
      </c>
      <c r="V37" s="396">
        <f t="shared" si="50"/>
        <v>0</v>
      </c>
      <c r="W37" s="53"/>
      <c r="X37" s="414">
        <f>X46</f>
        <v>0.10453</v>
      </c>
      <c r="Y37" s="501">
        <f>$F$9*(1+X$65)-$F$9</f>
        <v>592.9519999999975</v>
      </c>
      <c r="Z37" s="394">
        <f t="shared" si="37"/>
        <v>61.981272559999738</v>
      </c>
      <c r="AA37" s="138"/>
      <c r="AB37" s="395">
        <f t="shared" si="51"/>
        <v>0</v>
      </c>
      <c r="AC37" s="396">
        <f t="shared" si="52"/>
        <v>0</v>
      </c>
      <c r="AD37" s="53"/>
      <c r="AE37" s="414">
        <f>AE46</f>
        <v>0.10453</v>
      </c>
      <c r="AF37" s="501">
        <f>$F$9*(1+AE$65)-$F$9</f>
        <v>592.9519999999975</v>
      </c>
      <c r="AG37" s="394">
        <f t="shared" si="39"/>
        <v>61.981272559999738</v>
      </c>
      <c r="AH37" s="138"/>
      <c r="AI37" s="395">
        <f t="shared" si="12"/>
        <v>0</v>
      </c>
      <c r="AJ37" s="396">
        <f t="shared" si="13"/>
        <v>0</v>
      </c>
      <c r="AK37" s="53"/>
      <c r="AL37" s="414">
        <f>AL46</f>
        <v>0.10453</v>
      </c>
      <c r="AM37" s="501">
        <f>$F$9*(1+AL$65)-$F$9</f>
        <v>592.9519999999975</v>
      </c>
      <c r="AN37" s="394">
        <f t="shared" si="41"/>
        <v>61.981272559999738</v>
      </c>
      <c r="AO37" s="138"/>
      <c r="AP37" s="395">
        <f t="shared" si="53"/>
        <v>0</v>
      </c>
      <c r="AQ37" s="396">
        <f t="shared" si="54"/>
        <v>0</v>
      </c>
      <c r="AR37" s="397"/>
      <c r="AS37" s="397"/>
    </row>
    <row r="38" spans="1:45" ht="12.75" customHeight="1">
      <c r="A38" s="53"/>
      <c r="B38" s="328" t="s">
        <v>302</v>
      </c>
      <c r="C38" s="389" t="str">
        <f t="shared" si="29"/>
        <v>Street Light.Smart Meter Entity Charge</v>
      </c>
      <c r="D38" s="390" t="s">
        <v>335</v>
      </c>
      <c r="E38" s="328"/>
      <c r="F38" s="408">
        <f>IFERROR(VLOOKUP($C38,'Proposed Rates'!$B:$J,F$11,FALSE),0)</f>
        <v>0</v>
      </c>
      <c r="G38" s="409">
        <f>IF($D38="Monthly",1,IF($D38="per KW",$F$10,IF($D38="per kWh",$F$9,0)))</f>
        <v>1</v>
      </c>
      <c r="H38" s="394">
        <f t="shared" si="31"/>
        <v>0</v>
      </c>
      <c r="I38" s="138"/>
      <c r="J38" s="408">
        <f>IFERROR(VLOOKUP($C38,'Proposed Rates'!$B:$J,J$11,FALSE),0)</f>
        <v>0</v>
      </c>
      <c r="K38" s="409">
        <f>IF($D38="Monthly",1,IF($D38="per KW",$F$10,IF($D38="per kWh",$F$9,0)))</f>
        <v>1</v>
      </c>
      <c r="L38" s="394">
        <f t="shared" si="33"/>
        <v>0</v>
      </c>
      <c r="M38" s="138"/>
      <c r="N38" s="395"/>
      <c r="O38" s="396"/>
      <c r="P38" s="53"/>
      <c r="Q38" s="408">
        <f>IFERROR(VLOOKUP($C38,'Proposed Rates'!$B:$J,Q$11,FALSE),0)</f>
        <v>0</v>
      </c>
      <c r="R38" s="409">
        <f>IF($D38="Monthly",1,IF($D38="per KW",$F$10,IF($D38="per kWh",$F$9,0)))</f>
        <v>1</v>
      </c>
      <c r="S38" s="394">
        <f t="shared" si="35"/>
        <v>0</v>
      </c>
      <c r="T38" s="138"/>
      <c r="U38" s="395"/>
      <c r="V38" s="396"/>
      <c r="W38" s="53"/>
      <c r="X38" s="408">
        <f>IFERROR(VLOOKUP($C38,'Proposed Rates'!$B:$J,X$11,FALSE),0)</f>
        <v>0</v>
      </c>
      <c r="Y38" s="409">
        <f>IF($D38="Monthly",1,IF($D38="per KW",$F$10,IF($D38="per kWh",$F$9,0)))</f>
        <v>1</v>
      </c>
      <c r="Z38" s="394">
        <f t="shared" si="37"/>
        <v>0</v>
      </c>
      <c r="AA38" s="138"/>
      <c r="AB38" s="395"/>
      <c r="AC38" s="396"/>
      <c r="AD38" s="53"/>
      <c r="AE38" s="408">
        <f>IFERROR(VLOOKUP($C38,'Proposed Rates'!$B:$J,AE$11,FALSE),0)</f>
        <v>0</v>
      </c>
      <c r="AF38" s="409">
        <f>IF($D38="Monthly",1,IF($D38="per KW",$F$10,IF($D38="per kWh",$F$9,0)))</f>
        <v>1</v>
      </c>
      <c r="AG38" s="394">
        <f t="shared" si="39"/>
        <v>0</v>
      </c>
      <c r="AH38" s="138"/>
      <c r="AI38" s="395"/>
      <c r="AJ38" s="396"/>
      <c r="AK38" s="53"/>
      <c r="AL38" s="408">
        <f>IFERROR(VLOOKUP($C38,'Proposed Rates'!$B:$J,AL$11,FALSE),0)</f>
        <v>0</v>
      </c>
      <c r="AM38" s="409">
        <f>IF($D38="Monthly",1,IF($D38="per KW",$F$10,IF($D38="per kWh",$F$9,0)))</f>
        <v>1</v>
      </c>
      <c r="AN38" s="394">
        <f t="shared" si="41"/>
        <v>0</v>
      </c>
      <c r="AO38" s="138"/>
      <c r="AP38" s="395"/>
      <c r="AQ38" s="396"/>
      <c r="AR38" s="397"/>
      <c r="AS38" s="397"/>
    </row>
    <row r="39" spans="1:45" ht="12.75" customHeight="1">
      <c r="A39" s="53"/>
      <c r="B39" s="399" t="s">
        <v>342</v>
      </c>
      <c r="C39" s="553"/>
      <c r="D39" s="416"/>
      <c r="E39" s="416"/>
      <c r="F39" s="417"/>
      <c r="G39" s="495"/>
      <c r="H39" s="403">
        <f>SUM(H30:H38)+H29</f>
        <v>1068.0444160400002</v>
      </c>
      <c r="I39" s="419"/>
      <c r="J39" s="417"/>
      <c r="K39" s="495"/>
      <c r="L39" s="403">
        <f>SUM(L30:L38)+L29</f>
        <v>1039.7637725599996</v>
      </c>
      <c r="M39" s="419"/>
      <c r="N39" s="405">
        <f t="shared" ref="N39:N46" si="55">L39-H39</f>
        <v>-28.280643480000663</v>
      </c>
      <c r="O39" s="406">
        <f t="shared" ref="O39:O46" si="56">IF((H39)=0,"",(N39/H39))</f>
        <v>-2.6478902052460618E-2</v>
      </c>
      <c r="P39" s="53"/>
      <c r="Q39" s="417"/>
      <c r="R39" s="495"/>
      <c r="S39" s="403">
        <f>SUM(S30:S38)+S29</f>
        <v>865.43977255999971</v>
      </c>
      <c r="T39" s="419"/>
      <c r="U39" s="405">
        <f t="shared" ref="U39:U46" si="57">S39-L39</f>
        <v>-174.32399999999984</v>
      </c>
      <c r="V39" s="406">
        <f t="shared" ref="V39:V46" si="58">IF((L39)=0,"",(U39/L39))</f>
        <v>-0.16765731274787271</v>
      </c>
      <c r="W39" s="53"/>
      <c r="X39" s="417"/>
      <c r="Y39" s="495"/>
      <c r="Z39" s="403">
        <f>SUM(Z30:Z38)+Z29</f>
        <v>801.42677255999979</v>
      </c>
      <c r="AA39" s="419"/>
      <c r="AB39" s="405">
        <f t="shared" ref="AB39:AB46" si="59">Z39-S39</f>
        <v>-64.01299999999992</v>
      </c>
      <c r="AC39" s="406">
        <f t="shared" ref="AC39:AC46" si="60">IF((S39)=0,"",(AB39/S39))</f>
        <v>-7.3965863402195312E-2</v>
      </c>
      <c r="AD39" s="53"/>
      <c r="AE39" s="417"/>
      <c r="AF39" s="495"/>
      <c r="AG39" s="403">
        <f>SUM(AG30:AG38)+AG29</f>
        <v>792.9057725599996</v>
      </c>
      <c r="AH39" s="419"/>
      <c r="AI39" s="405">
        <f t="shared" ref="AI39:AI46" si="61">AG39-Z39</f>
        <v>-8.5210000000001855</v>
      </c>
      <c r="AJ39" s="406">
        <f t="shared" ref="AJ39:AJ46" si="62">IF((Z39)=0,"",(AI39/Z39))</f>
        <v>-1.0632287679611116E-2</v>
      </c>
      <c r="AK39" s="53"/>
      <c r="AL39" s="417"/>
      <c r="AM39" s="495"/>
      <c r="AN39" s="403">
        <f>SUM(AN30:AN38)+AN29</f>
        <v>800.32627255999978</v>
      </c>
      <c r="AO39" s="419"/>
      <c r="AP39" s="405">
        <f t="shared" ref="AP39:AP46" si="63">AN39-AG39</f>
        <v>7.4205000000001746</v>
      </c>
      <c r="AQ39" s="406">
        <f t="shared" ref="AQ39:AQ46" si="64">IF((AG39)=0,"",(AP39/AG39))</f>
        <v>9.3586151807699969E-3</v>
      </c>
      <c r="AR39" s="407"/>
      <c r="AS39" s="407"/>
    </row>
    <row r="40" spans="1:45" ht="12.75" customHeight="1">
      <c r="A40" s="53"/>
      <c r="B40" s="138" t="s">
        <v>285</v>
      </c>
      <c r="C40" s="389" t="str">
        <f t="shared" ref="C40:C41" si="65">D$6&amp;"."&amp;B40</f>
        <v>Street Light.RTSR - Network</v>
      </c>
      <c r="D40" s="420" t="s">
        <v>406</v>
      </c>
      <c r="E40" s="138"/>
      <c r="F40" s="408">
        <f>IFERROR(VLOOKUP($C40,'Proposed Rates'!$B:$J,F$11,FALSE),0)</f>
        <v>3.597</v>
      </c>
      <c r="G40" s="409">
        <f t="shared" ref="G40:G41" si="66">IF($D40="Monthly",1,IF($D40="per KW",$F$10,IF($D40="per kWh",$F$9,0)))</f>
        <v>50</v>
      </c>
      <c r="H40" s="394">
        <f t="shared" ref="H40:H41" si="67">G40*F40</f>
        <v>179.85</v>
      </c>
      <c r="I40" s="138"/>
      <c r="J40" s="408">
        <f>IFERROR(VLOOKUP($C40,'Proposed Rates'!$B:$J,J$11,FALSE),0)</f>
        <v>2.1576</v>
      </c>
      <c r="K40" s="409">
        <f t="shared" ref="K40:K41" si="68">IF($D40="Monthly",1,IF($D40="per KW",$F$10,IF($D40="per kWh",$F$9,0)))</f>
        <v>50</v>
      </c>
      <c r="L40" s="394">
        <f t="shared" ref="L40:L41" si="69">K40*J40</f>
        <v>107.88</v>
      </c>
      <c r="M40" s="138"/>
      <c r="N40" s="395">
        <f t="shared" si="55"/>
        <v>-71.97</v>
      </c>
      <c r="O40" s="396">
        <f t="shared" si="56"/>
        <v>-0.40016680567139284</v>
      </c>
      <c r="P40" s="53"/>
      <c r="Q40" s="408">
        <f>IFERROR(VLOOKUP($C40,'Proposed Rates'!$B:$J,Q$11,FALSE),0)</f>
        <v>2.1576</v>
      </c>
      <c r="R40" s="409">
        <f t="shared" ref="R40:R41" si="70">IF($D40="Monthly",1,IF($D40="per KW",$F$10,IF($D40="per kWh",$F$9,0)))</f>
        <v>50</v>
      </c>
      <c r="S40" s="394">
        <f t="shared" ref="S40:S41" si="71">R40*Q40</f>
        <v>107.88</v>
      </c>
      <c r="T40" s="138"/>
      <c r="U40" s="395">
        <f t="shared" si="57"/>
        <v>0</v>
      </c>
      <c r="V40" s="396">
        <f t="shared" si="58"/>
        <v>0</v>
      </c>
      <c r="W40" s="53"/>
      <c r="X40" s="408">
        <f>IFERROR(VLOOKUP($C40,'Proposed Rates'!$B:$J,X$11,FALSE),0)</f>
        <v>2.1576</v>
      </c>
      <c r="Y40" s="409">
        <f t="shared" ref="Y40:Y41" si="72">IF($D40="Monthly",1,IF($D40="per KW",$F$10,IF($D40="per kWh",$F$9,0)))</f>
        <v>50</v>
      </c>
      <c r="Z40" s="394">
        <f t="shared" ref="Z40:Z41" si="73">Y40*X40</f>
        <v>107.88</v>
      </c>
      <c r="AA40" s="138"/>
      <c r="AB40" s="395">
        <f t="shared" si="59"/>
        <v>0</v>
      </c>
      <c r="AC40" s="396">
        <f t="shared" si="60"/>
        <v>0</v>
      </c>
      <c r="AD40" s="53"/>
      <c r="AE40" s="408">
        <f>IFERROR(VLOOKUP($C40,'Proposed Rates'!$B:$J,AE$11,FALSE),0)</f>
        <v>2.1576</v>
      </c>
      <c r="AF40" s="409">
        <f t="shared" ref="AF40:AF41" si="74">IF($D40="Monthly",1,IF($D40="per KW",$F$10,IF($D40="per kWh",$F$9,0)))</f>
        <v>50</v>
      </c>
      <c r="AG40" s="394">
        <f t="shared" ref="AG40:AG41" si="75">AF40*AE40</f>
        <v>107.88</v>
      </c>
      <c r="AH40" s="138"/>
      <c r="AI40" s="395">
        <f t="shared" si="61"/>
        <v>0</v>
      </c>
      <c r="AJ40" s="396">
        <f t="shared" si="62"/>
        <v>0</v>
      </c>
      <c r="AK40" s="53"/>
      <c r="AL40" s="408">
        <f>IFERROR(VLOOKUP($C40,'Proposed Rates'!$B:$J,AL$11,FALSE),0)</f>
        <v>2.1576</v>
      </c>
      <c r="AM40" s="409">
        <f t="shared" ref="AM40:AM41" si="76">IF($D40="Monthly",1,IF($D40="per KW",$F$10,IF($D40="per kWh",$F$9,0)))</f>
        <v>50</v>
      </c>
      <c r="AN40" s="394">
        <f t="shared" ref="AN40:AN41" si="77">AM40*AL40</f>
        <v>107.88</v>
      </c>
      <c r="AO40" s="138"/>
      <c r="AP40" s="395">
        <f t="shared" si="63"/>
        <v>0</v>
      </c>
      <c r="AQ40" s="396">
        <f t="shared" si="64"/>
        <v>0</v>
      </c>
      <c r="AR40" s="397"/>
      <c r="AS40" s="397"/>
    </row>
    <row r="41" spans="1:45" ht="12.75" customHeight="1">
      <c r="A41" s="53"/>
      <c r="B41" s="138" t="s">
        <v>288</v>
      </c>
      <c r="C41" s="389" t="str">
        <f t="shared" si="65"/>
        <v>Street Light.RTSR - Line and Transformation Connection</v>
      </c>
      <c r="D41" s="420" t="s">
        <v>406</v>
      </c>
      <c r="E41" s="138"/>
      <c r="F41" s="408">
        <f>IFERROR(VLOOKUP($C41,'Proposed Rates'!$B:$J,F$11,FALSE),0)</f>
        <v>2.1377000000000002</v>
      </c>
      <c r="G41" s="409">
        <f t="shared" si="66"/>
        <v>50</v>
      </c>
      <c r="H41" s="394">
        <f t="shared" si="67"/>
        <v>106.88500000000001</v>
      </c>
      <c r="I41" s="138"/>
      <c r="J41" s="408">
        <f>IFERROR(VLOOKUP($C41,'Proposed Rates'!$B:$J,J$11,FALSE),0)</f>
        <v>1.2213000000000001</v>
      </c>
      <c r="K41" s="409">
        <f t="shared" si="68"/>
        <v>50</v>
      </c>
      <c r="L41" s="394">
        <f t="shared" si="69"/>
        <v>61.065000000000005</v>
      </c>
      <c r="M41" s="138"/>
      <c r="N41" s="395">
        <f t="shared" si="55"/>
        <v>-45.82</v>
      </c>
      <c r="O41" s="396">
        <f t="shared" si="56"/>
        <v>-0.4286850353183328</v>
      </c>
      <c r="P41" s="53"/>
      <c r="Q41" s="408">
        <f>IFERROR(VLOOKUP($C41,'Proposed Rates'!$B:$J,Q$11,FALSE),0)</f>
        <v>1.2213000000000001</v>
      </c>
      <c r="R41" s="409">
        <f t="shared" si="70"/>
        <v>50</v>
      </c>
      <c r="S41" s="394">
        <f t="shared" si="71"/>
        <v>61.065000000000005</v>
      </c>
      <c r="T41" s="138"/>
      <c r="U41" s="395">
        <f t="shared" si="57"/>
        <v>0</v>
      </c>
      <c r="V41" s="396">
        <f t="shared" si="58"/>
        <v>0</v>
      </c>
      <c r="W41" s="53"/>
      <c r="X41" s="408">
        <f>IFERROR(VLOOKUP($C41,'Proposed Rates'!$B:$J,X$11,FALSE),0)</f>
        <v>1.2213000000000001</v>
      </c>
      <c r="Y41" s="409">
        <f t="shared" si="72"/>
        <v>50</v>
      </c>
      <c r="Z41" s="394">
        <f t="shared" si="73"/>
        <v>61.065000000000005</v>
      </c>
      <c r="AA41" s="138"/>
      <c r="AB41" s="395">
        <f t="shared" si="59"/>
        <v>0</v>
      </c>
      <c r="AC41" s="396">
        <f t="shared" si="60"/>
        <v>0</v>
      </c>
      <c r="AD41" s="53"/>
      <c r="AE41" s="408">
        <f>IFERROR(VLOOKUP($C41,'Proposed Rates'!$B:$J,AE$11,FALSE),0)</f>
        <v>1.2213000000000001</v>
      </c>
      <c r="AF41" s="409">
        <f t="shared" si="74"/>
        <v>50</v>
      </c>
      <c r="AG41" s="394">
        <f t="shared" si="75"/>
        <v>61.065000000000005</v>
      </c>
      <c r="AH41" s="138"/>
      <c r="AI41" s="395">
        <f t="shared" si="61"/>
        <v>0</v>
      </c>
      <c r="AJ41" s="396">
        <f t="shared" si="62"/>
        <v>0</v>
      </c>
      <c r="AK41" s="53"/>
      <c r="AL41" s="408">
        <f>IFERROR(VLOOKUP($C41,'Proposed Rates'!$B:$J,AL$11,FALSE),0)</f>
        <v>1.2213000000000001</v>
      </c>
      <c r="AM41" s="409">
        <f t="shared" si="76"/>
        <v>50</v>
      </c>
      <c r="AN41" s="394">
        <f t="shared" si="77"/>
        <v>61.065000000000005</v>
      </c>
      <c r="AO41" s="138"/>
      <c r="AP41" s="395">
        <f t="shared" si="63"/>
        <v>0</v>
      </c>
      <c r="AQ41" s="396">
        <f t="shared" si="64"/>
        <v>0</v>
      </c>
      <c r="AR41" s="397"/>
      <c r="AS41" s="397"/>
    </row>
    <row r="42" spans="1:45" ht="12.75" customHeight="1">
      <c r="A42" s="53"/>
      <c r="B42" s="399" t="s">
        <v>343</v>
      </c>
      <c r="C42" s="554"/>
      <c r="D42" s="421"/>
      <c r="E42" s="421"/>
      <c r="F42" s="422"/>
      <c r="G42" s="495"/>
      <c r="H42" s="403">
        <f>SUM(H39:H41)</f>
        <v>1354.7794160400001</v>
      </c>
      <c r="I42" s="404"/>
      <c r="J42" s="422"/>
      <c r="K42" s="495"/>
      <c r="L42" s="403">
        <f>SUM(L39:L41)</f>
        <v>1208.7087725599995</v>
      </c>
      <c r="M42" s="404"/>
      <c r="N42" s="405">
        <f t="shared" si="55"/>
        <v>-146.07064348000063</v>
      </c>
      <c r="O42" s="406">
        <f t="shared" si="56"/>
        <v>-0.10781876499641758</v>
      </c>
      <c r="P42" s="53"/>
      <c r="Q42" s="422"/>
      <c r="R42" s="495"/>
      <c r="S42" s="403">
        <f>SUM(S39:S41)</f>
        <v>1034.3847725599996</v>
      </c>
      <c r="T42" s="404"/>
      <c r="U42" s="405">
        <f t="shared" si="57"/>
        <v>-174.32399999999984</v>
      </c>
      <c r="V42" s="406">
        <f t="shared" si="58"/>
        <v>-0.14422332654274378</v>
      </c>
      <c r="W42" s="53"/>
      <c r="X42" s="422"/>
      <c r="Y42" s="495"/>
      <c r="Z42" s="403">
        <f>SUM(Z39:Z41)</f>
        <v>970.37177255999984</v>
      </c>
      <c r="AA42" s="404"/>
      <c r="AB42" s="405">
        <f t="shared" si="59"/>
        <v>-64.012999999999806</v>
      </c>
      <c r="AC42" s="406">
        <f t="shared" si="60"/>
        <v>-6.188509508079279E-2</v>
      </c>
      <c r="AD42" s="53"/>
      <c r="AE42" s="422"/>
      <c r="AF42" s="495"/>
      <c r="AG42" s="403">
        <f>SUM(AG39:AG41)</f>
        <v>961.85077255999965</v>
      </c>
      <c r="AH42" s="404"/>
      <c r="AI42" s="405">
        <f t="shared" si="61"/>
        <v>-8.5210000000001855</v>
      </c>
      <c r="AJ42" s="406">
        <f t="shared" si="62"/>
        <v>-8.781170517275446E-3</v>
      </c>
      <c r="AK42" s="53"/>
      <c r="AL42" s="422"/>
      <c r="AM42" s="495"/>
      <c r="AN42" s="403">
        <f>SUM(AN39:AN41)</f>
        <v>969.27127255999983</v>
      </c>
      <c r="AO42" s="404"/>
      <c r="AP42" s="405">
        <f t="shared" si="63"/>
        <v>7.4205000000001746</v>
      </c>
      <c r="AQ42" s="406">
        <f t="shared" si="64"/>
        <v>7.7148142016357207E-3</v>
      </c>
      <c r="AR42" s="407"/>
      <c r="AS42" s="407"/>
    </row>
    <row r="43" spans="1:45" ht="12.75" customHeight="1">
      <c r="A43" s="53"/>
      <c r="B43" s="328" t="s">
        <v>289</v>
      </c>
      <c r="C43" s="389" t="str">
        <f t="shared" ref="C43:C45" si="78">D$6&amp;"."&amp;B43</f>
        <v>Street Light.Wholesale Market Service Charge (WMSC)</v>
      </c>
      <c r="D43" s="390" t="s">
        <v>337</v>
      </c>
      <c r="E43" s="328"/>
      <c r="F43" s="408">
        <f>IFERROR(VLOOKUP($C43,'Proposed Rates'!$B:$J,F$11,FALSE),0)</f>
        <v>4.4999999999999997E-3</v>
      </c>
      <c r="G43" s="568">
        <f t="shared" ref="G43:G44" si="79">$F$9+G$37</f>
        <v>18463.668000000001</v>
      </c>
      <c r="H43" s="394">
        <f t="shared" ref="H43:H46" si="80">G43*F43</f>
        <v>83.086506</v>
      </c>
      <c r="I43" s="138"/>
      <c r="J43" s="408">
        <f>IFERROR(VLOOKUP($C43,'Proposed Rates'!$B:$J,J$11,FALSE),0)</f>
        <v>4.7000000000000002E-3</v>
      </c>
      <c r="K43" s="568">
        <f t="shared" ref="K43:K44" si="81">$F$9+K$37</f>
        <v>18452.951999999997</v>
      </c>
      <c r="L43" s="394">
        <f t="shared" ref="L43:L46" si="82">K43*J43</f>
        <v>86.728874399999995</v>
      </c>
      <c r="M43" s="138"/>
      <c r="N43" s="395">
        <f t="shared" si="55"/>
        <v>3.6423683999999952</v>
      </c>
      <c r="O43" s="396">
        <f t="shared" si="56"/>
        <v>4.38382665892822E-2</v>
      </c>
      <c r="P43" s="53"/>
      <c r="Q43" s="408">
        <f>IFERROR(VLOOKUP($C43,'Proposed Rates'!$B:$J,Q$11,FALSE),0)</f>
        <v>4.7000000000000002E-3</v>
      </c>
      <c r="R43" s="568">
        <f t="shared" ref="R43:R44" si="83">$F$9+R$37</f>
        <v>18452.951999999997</v>
      </c>
      <c r="S43" s="394">
        <f t="shared" ref="S43:S46" si="84">R43*Q43</f>
        <v>86.728874399999995</v>
      </c>
      <c r="T43" s="138"/>
      <c r="U43" s="395">
        <f t="shared" si="57"/>
        <v>0</v>
      </c>
      <c r="V43" s="396">
        <f t="shared" si="58"/>
        <v>0</v>
      </c>
      <c r="W43" s="53"/>
      <c r="X43" s="408">
        <f>IFERROR(VLOOKUP($C43,'Proposed Rates'!$B:$J,X$11,FALSE),0)</f>
        <v>4.7000000000000002E-3</v>
      </c>
      <c r="Y43" s="568">
        <f t="shared" ref="Y43:Y44" si="85">$F$9+Y$37</f>
        <v>18452.951999999997</v>
      </c>
      <c r="Z43" s="394">
        <f t="shared" ref="Z43:Z46" si="86">Y43*X43</f>
        <v>86.728874399999995</v>
      </c>
      <c r="AA43" s="138"/>
      <c r="AB43" s="395">
        <f t="shared" si="59"/>
        <v>0</v>
      </c>
      <c r="AC43" s="396">
        <f t="shared" si="60"/>
        <v>0</v>
      </c>
      <c r="AD43" s="53"/>
      <c r="AE43" s="408">
        <f>IFERROR(VLOOKUP($C43,'Proposed Rates'!$B:$J,AE$11,FALSE),0)</f>
        <v>4.7000000000000002E-3</v>
      </c>
      <c r="AF43" s="568">
        <f t="shared" ref="AF43:AF44" si="87">$F$9+AF$37</f>
        <v>18452.951999999997</v>
      </c>
      <c r="AG43" s="394">
        <f t="shared" ref="AG43:AG46" si="88">AF43*AE43</f>
        <v>86.728874399999995</v>
      </c>
      <c r="AH43" s="138"/>
      <c r="AI43" s="395">
        <f t="shared" si="61"/>
        <v>0</v>
      </c>
      <c r="AJ43" s="396">
        <f t="shared" si="62"/>
        <v>0</v>
      </c>
      <c r="AK43" s="53"/>
      <c r="AL43" s="408">
        <f>IFERROR(VLOOKUP($C43,'Proposed Rates'!$B:$J,AL$11,FALSE),0)</f>
        <v>4.7000000000000002E-3</v>
      </c>
      <c r="AM43" s="568">
        <f t="shared" ref="AM43:AM44" si="89">$F$9+AM$37</f>
        <v>18452.951999999997</v>
      </c>
      <c r="AN43" s="394">
        <f t="shared" ref="AN43:AN46" si="90">AM43*AL43</f>
        <v>86.728874399999995</v>
      </c>
      <c r="AO43" s="138"/>
      <c r="AP43" s="395">
        <f t="shared" si="63"/>
        <v>0</v>
      </c>
      <c r="AQ43" s="396">
        <f t="shared" si="64"/>
        <v>0</v>
      </c>
      <c r="AR43" s="397"/>
      <c r="AS43" s="397"/>
    </row>
    <row r="44" spans="1:45" ht="12.75" customHeight="1">
      <c r="A44" s="53"/>
      <c r="B44" s="328" t="s">
        <v>290</v>
      </c>
      <c r="C44" s="389" t="str">
        <f t="shared" si="78"/>
        <v>Street Light.Rural and Remote Rate Protection (RRRP)</v>
      </c>
      <c r="D44" s="390" t="s">
        <v>337</v>
      </c>
      <c r="E44" s="328"/>
      <c r="F44" s="408">
        <f>IFERROR(VLOOKUP($C44,'Proposed Rates'!$B:$J,F$11,FALSE),0)</f>
        <v>1.5E-3</v>
      </c>
      <c r="G44" s="568">
        <f t="shared" si="79"/>
        <v>18463.668000000001</v>
      </c>
      <c r="H44" s="394">
        <f t="shared" si="80"/>
        <v>27.695502000000001</v>
      </c>
      <c r="I44" s="138"/>
      <c r="J44" s="408">
        <f>IFERROR(VLOOKUP($C44,'Proposed Rates'!$B:$J,J$11,FALSE),0)</f>
        <v>5.9999999999999995E-4</v>
      </c>
      <c r="K44" s="568">
        <f t="shared" si="81"/>
        <v>18452.951999999997</v>
      </c>
      <c r="L44" s="394">
        <f t="shared" si="82"/>
        <v>11.071771199999997</v>
      </c>
      <c r="M44" s="138"/>
      <c r="N44" s="395">
        <f t="shared" si="55"/>
        <v>-16.623730800000004</v>
      </c>
      <c r="O44" s="396">
        <f t="shared" si="56"/>
        <v>-0.60023215322112611</v>
      </c>
      <c r="P44" s="53"/>
      <c r="Q44" s="408">
        <f>IFERROR(VLOOKUP($C44,'Proposed Rates'!$B:$J,Q$11,FALSE),0)</f>
        <v>5.9999999999999995E-4</v>
      </c>
      <c r="R44" s="568">
        <f t="shared" si="83"/>
        <v>18452.951999999997</v>
      </c>
      <c r="S44" s="394">
        <f t="shared" si="84"/>
        <v>11.071771199999997</v>
      </c>
      <c r="T44" s="138"/>
      <c r="U44" s="395">
        <f t="shared" si="57"/>
        <v>0</v>
      </c>
      <c r="V44" s="396">
        <f t="shared" si="58"/>
        <v>0</v>
      </c>
      <c r="W44" s="53"/>
      <c r="X44" s="408">
        <f>IFERROR(VLOOKUP($C44,'Proposed Rates'!$B:$J,X$11,FALSE),0)</f>
        <v>5.9999999999999995E-4</v>
      </c>
      <c r="Y44" s="568">
        <f t="shared" si="85"/>
        <v>18452.951999999997</v>
      </c>
      <c r="Z44" s="394">
        <f t="shared" si="86"/>
        <v>11.071771199999997</v>
      </c>
      <c r="AA44" s="138"/>
      <c r="AB44" s="395">
        <f t="shared" si="59"/>
        <v>0</v>
      </c>
      <c r="AC44" s="396">
        <f t="shared" si="60"/>
        <v>0</v>
      </c>
      <c r="AD44" s="53"/>
      <c r="AE44" s="408">
        <f>IFERROR(VLOOKUP($C44,'Proposed Rates'!$B:$J,AE$11,FALSE),0)</f>
        <v>5.9999999999999995E-4</v>
      </c>
      <c r="AF44" s="568">
        <f t="shared" si="87"/>
        <v>18452.951999999997</v>
      </c>
      <c r="AG44" s="394">
        <f t="shared" si="88"/>
        <v>11.071771199999997</v>
      </c>
      <c r="AH44" s="138"/>
      <c r="AI44" s="395">
        <f t="shared" si="61"/>
        <v>0</v>
      </c>
      <c r="AJ44" s="396">
        <f t="shared" si="62"/>
        <v>0</v>
      </c>
      <c r="AK44" s="53"/>
      <c r="AL44" s="408">
        <f>IFERROR(VLOOKUP($C44,'Proposed Rates'!$B:$J,AL$11,FALSE),0)</f>
        <v>5.9999999999999995E-4</v>
      </c>
      <c r="AM44" s="568">
        <f t="shared" si="89"/>
        <v>18452.951999999997</v>
      </c>
      <c r="AN44" s="394">
        <f t="shared" si="90"/>
        <v>11.071771199999997</v>
      </c>
      <c r="AO44" s="138"/>
      <c r="AP44" s="395">
        <f t="shared" si="63"/>
        <v>0</v>
      </c>
      <c r="AQ44" s="396">
        <f t="shared" si="64"/>
        <v>0</v>
      </c>
      <c r="AR44" s="397"/>
      <c r="AS44" s="397"/>
    </row>
    <row r="45" spans="1:45" ht="12.75" customHeight="1">
      <c r="A45" s="53"/>
      <c r="B45" s="328" t="s">
        <v>291</v>
      </c>
      <c r="C45" s="389" t="str">
        <f t="shared" si="78"/>
        <v>Street Light.Standard Supply Service Charge</v>
      </c>
      <c r="D45" s="390" t="s">
        <v>335</v>
      </c>
      <c r="E45" s="328"/>
      <c r="F45" s="408">
        <f>IFERROR(VLOOKUP($C45,'Proposed Rates'!$B:$J,F$11,FALSE),0)</f>
        <v>0.25</v>
      </c>
      <c r="G45" s="411">
        <v>1</v>
      </c>
      <c r="H45" s="394">
        <f t="shared" si="80"/>
        <v>0.25</v>
      </c>
      <c r="I45" s="138"/>
      <c r="J45" s="408">
        <f>IFERROR(VLOOKUP($C45,'Proposed Rates'!$B:$J,J$11,FALSE),0)</f>
        <v>0.25</v>
      </c>
      <c r="K45" s="411">
        <v>1</v>
      </c>
      <c r="L45" s="394">
        <f t="shared" si="82"/>
        <v>0.25</v>
      </c>
      <c r="M45" s="138"/>
      <c r="N45" s="395">
        <f t="shared" si="55"/>
        <v>0</v>
      </c>
      <c r="O45" s="396">
        <f t="shared" si="56"/>
        <v>0</v>
      </c>
      <c r="P45" s="53"/>
      <c r="Q45" s="408">
        <f>IFERROR(VLOOKUP($C45,'Proposed Rates'!$B:$J,Q$11,FALSE),0)</f>
        <v>0.25</v>
      </c>
      <c r="R45" s="411">
        <v>1</v>
      </c>
      <c r="S45" s="394">
        <f t="shared" si="84"/>
        <v>0.25</v>
      </c>
      <c r="T45" s="138"/>
      <c r="U45" s="395">
        <f t="shared" si="57"/>
        <v>0</v>
      </c>
      <c r="V45" s="396">
        <f t="shared" si="58"/>
        <v>0</v>
      </c>
      <c r="W45" s="53"/>
      <c r="X45" s="408">
        <f>IFERROR(VLOOKUP($C45,'Proposed Rates'!$B:$J,X$11,FALSE),0)</f>
        <v>0.25</v>
      </c>
      <c r="Y45" s="411">
        <v>1</v>
      </c>
      <c r="Z45" s="394">
        <f t="shared" si="86"/>
        <v>0.25</v>
      </c>
      <c r="AA45" s="138"/>
      <c r="AB45" s="395">
        <f t="shared" si="59"/>
        <v>0</v>
      </c>
      <c r="AC45" s="396">
        <f t="shared" si="60"/>
        <v>0</v>
      </c>
      <c r="AD45" s="53"/>
      <c r="AE45" s="408">
        <f>IFERROR(VLOOKUP($C45,'Proposed Rates'!$B:$J,AE$11,FALSE),0)</f>
        <v>0.25</v>
      </c>
      <c r="AF45" s="411">
        <v>1</v>
      </c>
      <c r="AG45" s="394">
        <f t="shared" si="88"/>
        <v>0.25</v>
      </c>
      <c r="AH45" s="138"/>
      <c r="AI45" s="395">
        <f t="shared" si="61"/>
        <v>0</v>
      </c>
      <c r="AJ45" s="396">
        <f t="shared" si="62"/>
        <v>0</v>
      </c>
      <c r="AK45" s="53"/>
      <c r="AL45" s="408">
        <f>IFERROR(VLOOKUP($C45,'Proposed Rates'!$B:$J,AL$11,FALSE),0)</f>
        <v>0.25</v>
      </c>
      <c r="AM45" s="411">
        <v>1</v>
      </c>
      <c r="AN45" s="394">
        <f t="shared" si="90"/>
        <v>0.25</v>
      </c>
      <c r="AO45" s="138"/>
      <c r="AP45" s="395">
        <f t="shared" si="63"/>
        <v>0</v>
      </c>
      <c r="AQ45" s="396">
        <f t="shared" si="64"/>
        <v>0</v>
      </c>
      <c r="AR45" s="397"/>
      <c r="AS45" s="397"/>
    </row>
    <row r="46" spans="1:45" ht="15.75" customHeight="1">
      <c r="A46" s="53"/>
      <c r="B46" s="328" t="s">
        <v>298</v>
      </c>
      <c r="C46" s="389" t="str">
        <f>B46</f>
        <v>Average IESO Wholesale Market Price</v>
      </c>
      <c r="D46" s="390" t="s">
        <v>337</v>
      </c>
      <c r="E46" s="328"/>
      <c r="F46" s="408">
        <f>IFERROR(VLOOKUP($C46,'Proposed Rates'!$B:$J,F$11,FALSE),0)</f>
        <v>0.10453</v>
      </c>
      <c r="G46" s="569">
        <f>$F$9</f>
        <v>17860</v>
      </c>
      <c r="H46" s="394">
        <f t="shared" si="80"/>
        <v>1866.9058</v>
      </c>
      <c r="I46" s="138"/>
      <c r="J46" s="408">
        <f>IFERROR(VLOOKUP($C46,'Proposed Rates'!$B:$J,J$11,FALSE),0)</f>
        <v>0.10453</v>
      </c>
      <c r="K46" s="569">
        <f>$F$9</f>
        <v>17860</v>
      </c>
      <c r="L46" s="394">
        <f t="shared" si="82"/>
        <v>1866.9058</v>
      </c>
      <c r="M46" s="138"/>
      <c r="N46" s="395">
        <f t="shared" si="55"/>
        <v>0</v>
      </c>
      <c r="O46" s="396">
        <f t="shared" si="56"/>
        <v>0</v>
      </c>
      <c r="P46" s="53"/>
      <c r="Q46" s="408">
        <f>IFERROR(VLOOKUP($C46,'Proposed Rates'!$B:$J,Q$11,FALSE),0)</f>
        <v>0.10453</v>
      </c>
      <c r="R46" s="569">
        <f>$F$9</f>
        <v>17860</v>
      </c>
      <c r="S46" s="394">
        <f t="shared" si="84"/>
        <v>1866.9058</v>
      </c>
      <c r="T46" s="138"/>
      <c r="U46" s="395">
        <f t="shared" si="57"/>
        <v>0</v>
      </c>
      <c r="V46" s="396">
        <f t="shared" si="58"/>
        <v>0</v>
      </c>
      <c r="W46" s="53"/>
      <c r="X46" s="408">
        <f>IFERROR(VLOOKUP($C46,'Proposed Rates'!$B:$J,X$11,FALSE),0)</f>
        <v>0.10453</v>
      </c>
      <c r="Y46" s="569">
        <f>$F$9</f>
        <v>17860</v>
      </c>
      <c r="Z46" s="394">
        <f t="shared" si="86"/>
        <v>1866.9058</v>
      </c>
      <c r="AA46" s="138"/>
      <c r="AB46" s="395">
        <f t="shared" si="59"/>
        <v>0</v>
      </c>
      <c r="AC46" s="396">
        <f t="shared" si="60"/>
        <v>0</v>
      </c>
      <c r="AD46" s="53"/>
      <c r="AE46" s="408">
        <f>IFERROR(VLOOKUP($C46,'Proposed Rates'!$B:$J,AE$11,FALSE),0)</f>
        <v>0.10453</v>
      </c>
      <c r="AF46" s="569">
        <f>$F$9</f>
        <v>17860</v>
      </c>
      <c r="AG46" s="394">
        <f t="shared" si="88"/>
        <v>1866.9058</v>
      </c>
      <c r="AH46" s="138"/>
      <c r="AI46" s="395">
        <f t="shared" si="61"/>
        <v>0</v>
      </c>
      <c r="AJ46" s="396">
        <f t="shared" si="62"/>
        <v>0</v>
      </c>
      <c r="AK46" s="53"/>
      <c r="AL46" s="408">
        <f>IFERROR(VLOOKUP($C46,'Proposed Rates'!$B:$J,AL$11,FALSE),0)</f>
        <v>0.10453</v>
      </c>
      <c r="AM46" s="569">
        <f>$F$9</f>
        <v>17860</v>
      </c>
      <c r="AN46" s="394">
        <f t="shared" si="90"/>
        <v>1866.9058</v>
      </c>
      <c r="AO46" s="138"/>
      <c r="AP46" s="395">
        <f t="shared" si="63"/>
        <v>0</v>
      </c>
      <c r="AQ46" s="396">
        <f t="shared" si="64"/>
        <v>0</v>
      </c>
      <c r="AR46" s="397"/>
      <c r="AS46" s="397"/>
    </row>
    <row r="47" spans="1:45" ht="15.75" customHeight="1">
      <c r="A47" s="53"/>
      <c r="B47" s="328"/>
      <c r="C47" s="389" t="str">
        <f t="shared" ref="C47:C50" si="91">D$6&amp;"."&amp;B47</f>
        <v>Street Light.</v>
      </c>
      <c r="D47" s="390"/>
      <c r="E47" s="328"/>
      <c r="F47" s="424"/>
      <c r="G47" s="569"/>
      <c r="H47" s="394"/>
      <c r="I47" s="138"/>
      <c r="J47" s="424"/>
      <c r="K47" s="569"/>
      <c r="L47" s="394"/>
      <c r="M47" s="138"/>
      <c r="N47" s="395"/>
      <c r="O47" s="396"/>
      <c r="P47" s="53"/>
      <c r="Q47" s="424"/>
      <c r="R47" s="569"/>
      <c r="S47" s="394"/>
      <c r="T47" s="138"/>
      <c r="U47" s="395"/>
      <c r="V47" s="396"/>
      <c r="W47" s="53"/>
      <c r="X47" s="424"/>
      <c r="Y47" s="569"/>
      <c r="Z47" s="394"/>
      <c r="AA47" s="138"/>
      <c r="AB47" s="395"/>
      <c r="AC47" s="396"/>
      <c r="AD47" s="53"/>
      <c r="AE47" s="424"/>
      <c r="AF47" s="569"/>
      <c r="AG47" s="394"/>
      <c r="AH47" s="138"/>
      <c r="AI47" s="395"/>
      <c r="AJ47" s="396"/>
      <c r="AK47" s="53"/>
      <c r="AL47" s="424"/>
      <c r="AM47" s="569"/>
      <c r="AN47" s="394"/>
      <c r="AO47" s="138"/>
      <c r="AP47" s="395"/>
      <c r="AQ47" s="396"/>
      <c r="AR47" s="397"/>
      <c r="AS47" s="397"/>
    </row>
    <row r="48" spans="1:45" ht="15.75" customHeight="1">
      <c r="A48" s="53"/>
      <c r="B48" s="328"/>
      <c r="C48" s="389" t="str">
        <f t="shared" si="91"/>
        <v>Street Light.</v>
      </c>
      <c r="D48" s="390"/>
      <c r="E48" s="328"/>
      <c r="F48" s="424"/>
      <c r="G48" s="569"/>
      <c r="H48" s="394"/>
      <c r="I48" s="138"/>
      <c r="J48" s="424"/>
      <c r="K48" s="569"/>
      <c r="L48" s="394"/>
      <c r="M48" s="138"/>
      <c r="N48" s="395"/>
      <c r="O48" s="396"/>
      <c r="P48" s="53"/>
      <c r="Q48" s="424"/>
      <c r="R48" s="569"/>
      <c r="S48" s="394"/>
      <c r="T48" s="138"/>
      <c r="U48" s="395"/>
      <c r="V48" s="396"/>
      <c r="W48" s="53"/>
      <c r="X48" s="424"/>
      <c r="Y48" s="569"/>
      <c r="Z48" s="394"/>
      <c r="AA48" s="138"/>
      <c r="AB48" s="395"/>
      <c r="AC48" s="396"/>
      <c r="AD48" s="53"/>
      <c r="AE48" s="424"/>
      <c r="AF48" s="569"/>
      <c r="AG48" s="394"/>
      <c r="AH48" s="138"/>
      <c r="AI48" s="395"/>
      <c r="AJ48" s="396"/>
      <c r="AK48" s="53"/>
      <c r="AL48" s="424"/>
      <c r="AM48" s="569"/>
      <c r="AN48" s="394"/>
      <c r="AO48" s="138"/>
      <c r="AP48" s="395"/>
      <c r="AQ48" s="396"/>
      <c r="AR48" s="397"/>
      <c r="AS48" s="397"/>
    </row>
    <row r="49" spans="1:45" ht="15.75" customHeight="1">
      <c r="A49" s="53"/>
      <c r="B49" s="328"/>
      <c r="C49" s="389" t="str">
        <f t="shared" si="91"/>
        <v>Street Light.</v>
      </c>
      <c r="D49" s="390"/>
      <c r="E49" s="328"/>
      <c r="F49" s="424"/>
      <c r="G49" s="569"/>
      <c r="H49" s="394"/>
      <c r="I49" s="138"/>
      <c r="J49" s="424"/>
      <c r="K49" s="569"/>
      <c r="L49" s="394"/>
      <c r="M49" s="138"/>
      <c r="N49" s="395"/>
      <c r="O49" s="396"/>
      <c r="P49" s="53"/>
      <c r="Q49" s="424"/>
      <c r="R49" s="569"/>
      <c r="S49" s="394"/>
      <c r="T49" s="138"/>
      <c r="U49" s="395"/>
      <c r="V49" s="396"/>
      <c r="W49" s="53"/>
      <c r="X49" s="424"/>
      <c r="Y49" s="569"/>
      <c r="Z49" s="394"/>
      <c r="AA49" s="138"/>
      <c r="AB49" s="395"/>
      <c r="AC49" s="396"/>
      <c r="AD49" s="53"/>
      <c r="AE49" s="424"/>
      <c r="AF49" s="569"/>
      <c r="AG49" s="394"/>
      <c r="AH49" s="138"/>
      <c r="AI49" s="395"/>
      <c r="AJ49" s="396"/>
      <c r="AK49" s="53"/>
      <c r="AL49" s="424"/>
      <c r="AM49" s="569"/>
      <c r="AN49" s="394"/>
      <c r="AO49" s="138"/>
      <c r="AP49" s="395"/>
      <c r="AQ49" s="396"/>
      <c r="AR49" s="397"/>
      <c r="AS49" s="397"/>
    </row>
    <row r="50" spans="1:45" ht="15.75" customHeight="1">
      <c r="A50" s="53"/>
      <c r="B50" s="328"/>
      <c r="C50" s="389" t="str">
        <f t="shared" si="91"/>
        <v>Street Light.</v>
      </c>
      <c r="D50" s="390"/>
      <c r="E50" s="328"/>
      <c r="F50" s="424"/>
      <c r="G50" s="569"/>
      <c r="H50" s="394"/>
      <c r="I50" s="138"/>
      <c r="J50" s="424"/>
      <c r="K50" s="569"/>
      <c r="L50" s="394"/>
      <c r="M50" s="138"/>
      <c r="N50" s="395"/>
      <c r="O50" s="396"/>
      <c r="P50" s="53"/>
      <c r="Q50" s="424"/>
      <c r="R50" s="569"/>
      <c r="S50" s="394"/>
      <c r="T50" s="138"/>
      <c r="U50" s="395"/>
      <c r="V50" s="396"/>
      <c r="W50" s="53"/>
      <c r="X50" s="424"/>
      <c r="Y50" s="569"/>
      <c r="Z50" s="394"/>
      <c r="AA50" s="138"/>
      <c r="AB50" s="395"/>
      <c r="AC50" s="396"/>
      <c r="AD50" s="53"/>
      <c r="AE50" s="424"/>
      <c r="AF50" s="569"/>
      <c r="AG50" s="394"/>
      <c r="AH50" s="138"/>
      <c r="AI50" s="395"/>
      <c r="AJ50" s="396"/>
      <c r="AK50" s="53"/>
      <c r="AL50" s="424"/>
      <c r="AM50" s="569"/>
      <c r="AN50" s="394"/>
      <c r="AO50" s="138"/>
      <c r="AP50" s="395"/>
      <c r="AQ50" s="396"/>
      <c r="AR50" s="397"/>
      <c r="AS50" s="397"/>
    </row>
    <row r="51" spans="1:45" ht="15.75" customHeight="1">
      <c r="A51" s="53"/>
      <c r="B51" s="428"/>
      <c r="C51" s="555"/>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c r="AS51" s="437"/>
    </row>
    <row r="52" spans="1:45" ht="12.75" customHeight="1">
      <c r="A52" s="53"/>
      <c r="B52" s="438" t="s">
        <v>344</v>
      </c>
      <c r="C52" s="556"/>
      <c r="D52" s="328"/>
      <c r="E52" s="328"/>
      <c r="F52" s="439"/>
      <c r="G52" s="483"/>
      <c r="H52" s="441">
        <f>SUM(H43:H48,H42)</f>
        <v>3332.71722404</v>
      </c>
      <c r="I52" s="476"/>
      <c r="J52" s="440"/>
      <c r="K52" s="440"/>
      <c r="L52" s="441">
        <f>SUM(L43:L48,L42)</f>
        <v>3173.6652181599993</v>
      </c>
      <c r="M52" s="443"/>
      <c r="N52" s="442">
        <f t="shared" ref="N52:N56" si="92">L52-H52</f>
        <v>-159.05200588000071</v>
      </c>
      <c r="O52" s="444">
        <f t="shared" ref="O52:O56" si="93">IF((H52)=0,"",(N52/H52))</f>
        <v>-4.772442280212242E-2</v>
      </c>
      <c r="P52" s="53"/>
      <c r="Q52" s="440"/>
      <c r="R52" s="440"/>
      <c r="S52" s="441">
        <f>SUM(S43:S48,S42)</f>
        <v>2999.3412181599997</v>
      </c>
      <c r="T52" s="443"/>
      <c r="U52" s="442">
        <f t="shared" ref="U52:U56" si="94">S52-L52</f>
        <v>-174.32399999999961</v>
      </c>
      <c r="V52" s="444">
        <f t="shared" ref="V52:V56" si="95">IF((L52)=0,"",(U52/L52))</f>
        <v>-5.4928288907885411E-2</v>
      </c>
      <c r="W52" s="53"/>
      <c r="X52" s="440"/>
      <c r="Y52" s="440"/>
      <c r="Z52" s="441">
        <f>SUM(Z43:Z48,Z42)</f>
        <v>2935.3282181599998</v>
      </c>
      <c r="AA52" s="443"/>
      <c r="AB52" s="442">
        <f t="shared" ref="AB52:AB56" si="96">Z52-S52</f>
        <v>-64.01299999999992</v>
      </c>
      <c r="AC52" s="444">
        <f t="shared" ref="AC52:AC56" si="97">IF((S52)=0,"",(AB52/S52))</f>
        <v>-2.1342353318262956E-2</v>
      </c>
      <c r="AD52" s="53"/>
      <c r="AE52" s="440"/>
      <c r="AF52" s="440"/>
      <c r="AG52" s="441">
        <f>SUM(AG43:AG48,AG42)</f>
        <v>2926.8072181599996</v>
      </c>
      <c r="AH52" s="443"/>
      <c r="AI52" s="442">
        <f t="shared" ref="AI52:AI56" si="98">AG52-Z52</f>
        <v>-8.5210000000001855</v>
      </c>
      <c r="AJ52" s="444">
        <f t="shared" ref="AJ52:AJ56" si="99">IF((Z52)=0,"",(AI52/Z52))</f>
        <v>-2.9029121674650558E-3</v>
      </c>
      <c r="AK52" s="53"/>
      <c r="AL52" s="440"/>
      <c r="AM52" s="440"/>
      <c r="AN52" s="441">
        <f>SUM(AN43:AN48,AN42)</f>
        <v>2934.2277181599998</v>
      </c>
      <c r="AO52" s="443"/>
      <c r="AP52" s="442">
        <f t="shared" ref="AP52:AP56" si="100">AN52-AG52</f>
        <v>7.4205000000001746</v>
      </c>
      <c r="AQ52" s="444">
        <f t="shared" ref="AQ52:AQ56" si="101">IF((AG52)=0,"",(AP52/AG52))</f>
        <v>2.5353566008577879E-3</v>
      </c>
      <c r="AR52" s="445"/>
      <c r="AS52" s="445"/>
    </row>
    <row r="53" spans="1:45" ht="12.75" customHeight="1">
      <c r="A53" s="53"/>
      <c r="B53" s="446" t="s">
        <v>345</v>
      </c>
      <c r="C53" s="556"/>
      <c r="D53" s="328"/>
      <c r="E53" s="328"/>
      <c r="F53" s="439">
        <v>0.13</v>
      </c>
      <c r="G53" s="138"/>
      <c r="H53" s="484">
        <f>H52*F53</f>
        <v>433.25323912520003</v>
      </c>
      <c r="I53" s="411"/>
      <c r="J53" s="447">
        <v>0.13</v>
      </c>
      <c r="K53" s="411"/>
      <c r="L53" s="394">
        <f>L52*J53</f>
        <v>412.57647836079991</v>
      </c>
      <c r="M53" s="138"/>
      <c r="N53" s="395">
        <f t="shared" si="92"/>
        <v>-20.676760764400115</v>
      </c>
      <c r="O53" s="396">
        <f t="shared" si="93"/>
        <v>-4.7724422802122468E-2</v>
      </c>
      <c r="P53" s="53"/>
      <c r="Q53" s="447">
        <v>0.13</v>
      </c>
      <c r="R53" s="411"/>
      <c r="S53" s="394">
        <f>S52*Q53</f>
        <v>389.91435836079995</v>
      </c>
      <c r="T53" s="138"/>
      <c r="U53" s="395">
        <f t="shared" si="94"/>
        <v>-22.662119999999959</v>
      </c>
      <c r="V53" s="396">
        <f t="shared" si="95"/>
        <v>-5.4928288907885432E-2</v>
      </c>
      <c r="W53" s="53"/>
      <c r="X53" s="447">
        <v>0.13</v>
      </c>
      <c r="Y53" s="411"/>
      <c r="Z53" s="394">
        <f>Z52*X53</f>
        <v>381.59266836079996</v>
      </c>
      <c r="AA53" s="138"/>
      <c r="AB53" s="395">
        <f t="shared" si="96"/>
        <v>-8.3216899999999896</v>
      </c>
      <c r="AC53" s="396">
        <f t="shared" si="97"/>
        <v>-2.1342353318262956E-2</v>
      </c>
      <c r="AD53" s="53"/>
      <c r="AE53" s="447">
        <v>0.13</v>
      </c>
      <c r="AF53" s="411"/>
      <c r="AG53" s="394">
        <f>AG52*AE53</f>
        <v>380.48493836079996</v>
      </c>
      <c r="AH53" s="138"/>
      <c r="AI53" s="395">
        <f t="shared" si="98"/>
        <v>-1.1077300000000037</v>
      </c>
      <c r="AJ53" s="396">
        <f t="shared" si="99"/>
        <v>-2.9029121674650025E-3</v>
      </c>
      <c r="AK53" s="53"/>
      <c r="AL53" s="447">
        <v>0.13</v>
      </c>
      <c r="AM53" s="411"/>
      <c r="AN53" s="394">
        <f>AN52*AL53</f>
        <v>381.44960336079998</v>
      </c>
      <c r="AO53" s="138"/>
      <c r="AP53" s="395">
        <f t="shared" si="100"/>
        <v>0.96466500000002497</v>
      </c>
      <c r="AQ53" s="396">
        <f t="shared" si="101"/>
        <v>2.535356600857794E-3</v>
      </c>
      <c r="AR53" s="397"/>
      <c r="AS53" s="397"/>
    </row>
    <row r="54" spans="1:45" ht="12.75" customHeight="1">
      <c r="A54" s="53"/>
      <c r="B54" s="448" t="s">
        <v>450</v>
      </c>
      <c r="C54" s="556"/>
      <c r="D54" s="328"/>
      <c r="E54" s="328"/>
      <c r="F54" s="449"/>
      <c r="G54" s="138"/>
      <c r="H54" s="484">
        <f>H52+H53</f>
        <v>3765.9704631652003</v>
      </c>
      <c r="I54" s="411"/>
      <c r="J54" s="411"/>
      <c r="K54" s="411"/>
      <c r="L54" s="394">
        <f>L52+L53</f>
        <v>3586.2416965207995</v>
      </c>
      <c r="M54" s="138"/>
      <c r="N54" s="395">
        <f t="shared" si="92"/>
        <v>-179.72876664440082</v>
      </c>
      <c r="O54" s="396">
        <f t="shared" si="93"/>
        <v>-4.772442280212242E-2</v>
      </c>
      <c r="P54" s="53"/>
      <c r="Q54" s="411"/>
      <c r="R54" s="411"/>
      <c r="S54" s="394">
        <f>S52+S53</f>
        <v>3389.2555765207999</v>
      </c>
      <c r="T54" s="138"/>
      <c r="U54" s="395">
        <f t="shared" si="94"/>
        <v>-196.98611999999957</v>
      </c>
      <c r="V54" s="396">
        <f t="shared" si="95"/>
        <v>-5.4928288907885404E-2</v>
      </c>
      <c r="W54" s="53"/>
      <c r="X54" s="411"/>
      <c r="Y54" s="411"/>
      <c r="Z54" s="394">
        <f>Z52+Z53</f>
        <v>3316.9208865207997</v>
      </c>
      <c r="AA54" s="138"/>
      <c r="AB54" s="395">
        <f t="shared" si="96"/>
        <v>-72.334690000000137</v>
      </c>
      <c r="AC54" s="396">
        <f t="shared" si="97"/>
        <v>-2.1342353318263018E-2</v>
      </c>
      <c r="AD54" s="53"/>
      <c r="AE54" s="411"/>
      <c r="AF54" s="411"/>
      <c r="AG54" s="394">
        <f>AG52+AG53</f>
        <v>3307.2921565207994</v>
      </c>
      <c r="AH54" s="138"/>
      <c r="AI54" s="395">
        <f t="shared" si="98"/>
        <v>-9.6287300000003597</v>
      </c>
      <c r="AJ54" s="396">
        <f t="shared" si="99"/>
        <v>-2.9029121674651014E-3</v>
      </c>
      <c r="AK54" s="53"/>
      <c r="AL54" s="411"/>
      <c r="AM54" s="411"/>
      <c r="AN54" s="394">
        <f>AN52+AN53</f>
        <v>3315.6773215207995</v>
      </c>
      <c r="AO54" s="138"/>
      <c r="AP54" s="395">
        <f t="shared" si="100"/>
        <v>8.3851650000001428</v>
      </c>
      <c r="AQ54" s="396">
        <f t="shared" si="101"/>
        <v>2.5353566008577714E-3</v>
      </c>
      <c r="AR54" s="397"/>
      <c r="AS54" s="397"/>
    </row>
    <row r="55" spans="1:45" ht="15.75" customHeight="1">
      <c r="A55" s="53"/>
      <c r="B55" s="626" t="s">
        <v>304</v>
      </c>
      <c r="C55" s="616"/>
      <c r="D55" s="616"/>
      <c r="E55" s="328"/>
      <c r="F55" s="449"/>
      <c r="G55" s="138"/>
      <c r="H55" s="486">
        <f>F55*H52</f>
        <v>0</v>
      </c>
      <c r="I55" s="411"/>
      <c r="J55" s="411"/>
      <c r="K55" s="411"/>
      <c r="L55" s="506">
        <f>J55*L52</f>
        <v>0</v>
      </c>
      <c r="M55" s="138"/>
      <c r="N55" s="451">
        <f t="shared" si="92"/>
        <v>0</v>
      </c>
      <c r="O55" s="453" t="str">
        <f t="shared" si="93"/>
        <v/>
      </c>
      <c r="P55" s="53"/>
      <c r="Q55" s="411"/>
      <c r="R55" s="411"/>
      <c r="S55" s="506">
        <f>Q55*S52</f>
        <v>0</v>
      </c>
      <c r="T55" s="138"/>
      <c r="U55" s="451">
        <f t="shared" si="94"/>
        <v>0</v>
      </c>
      <c r="V55" s="453" t="str">
        <f t="shared" si="95"/>
        <v/>
      </c>
      <c r="W55" s="53"/>
      <c r="X55" s="411"/>
      <c r="Y55" s="411"/>
      <c r="Z55" s="506">
        <f>X55*Z52</f>
        <v>0</v>
      </c>
      <c r="AA55" s="138"/>
      <c r="AB55" s="451">
        <f t="shared" si="96"/>
        <v>0</v>
      </c>
      <c r="AC55" s="453" t="str">
        <f t="shared" si="97"/>
        <v/>
      </c>
      <c r="AD55" s="53"/>
      <c r="AE55" s="411"/>
      <c r="AF55" s="411"/>
      <c r="AG55" s="506">
        <f>AE55*AG52</f>
        <v>0</v>
      </c>
      <c r="AH55" s="138"/>
      <c r="AI55" s="451">
        <f t="shared" si="98"/>
        <v>0</v>
      </c>
      <c r="AJ55" s="453" t="str">
        <f t="shared" si="99"/>
        <v/>
      </c>
      <c r="AK55" s="53"/>
      <c r="AL55" s="411"/>
      <c r="AM55" s="411"/>
      <c r="AN55" s="506">
        <f>AL55*AN52</f>
        <v>0</v>
      </c>
      <c r="AO55" s="138"/>
      <c r="AP55" s="451">
        <f t="shared" si="100"/>
        <v>0</v>
      </c>
      <c r="AQ55" s="453" t="str">
        <f t="shared" si="101"/>
        <v/>
      </c>
      <c r="AR55" s="454"/>
      <c r="AS55" s="454"/>
    </row>
    <row r="56" spans="1:45" ht="13.5" customHeight="1">
      <c r="A56" s="53"/>
      <c r="B56" s="627" t="s">
        <v>347</v>
      </c>
      <c r="C56" s="608"/>
      <c r="D56" s="600"/>
      <c r="E56" s="455"/>
      <c r="F56" s="456"/>
      <c r="G56" s="487"/>
      <c r="H56" s="488">
        <f>H54-H55</f>
        <v>3765.9704631652003</v>
      </c>
      <c r="I56" s="457"/>
      <c r="J56" s="457"/>
      <c r="K56" s="457"/>
      <c r="L56" s="458">
        <f>L54-L55</f>
        <v>3586.2416965207995</v>
      </c>
      <c r="M56" s="459"/>
      <c r="N56" s="460">
        <f t="shared" si="92"/>
        <v>-179.72876664440082</v>
      </c>
      <c r="O56" s="461">
        <f t="shared" si="93"/>
        <v>-4.772442280212242E-2</v>
      </c>
      <c r="P56" s="53"/>
      <c r="Q56" s="457"/>
      <c r="R56" s="457"/>
      <c r="S56" s="458">
        <f>S54-S55</f>
        <v>3389.2555765207999</v>
      </c>
      <c r="T56" s="459"/>
      <c r="U56" s="460">
        <f t="shared" si="94"/>
        <v>-196.98611999999957</v>
      </c>
      <c r="V56" s="461">
        <f t="shared" si="95"/>
        <v>-5.4928288907885404E-2</v>
      </c>
      <c r="W56" s="53"/>
      <c r="X56" s="457"/>
      <c r="Y56" s="457"/>
      <c r="Z56" s="458">
        <f>Z54-Z55</f>
        <v>3316.9208865207997</v>
      </c>
      <c r="AA56" s="459"/>
      <c r="AB56" s="460">
        <f t="shared" si="96"/>
        <v>-72.334690000000137</v>
      </c>
      <c r="AC56" s="461">
        <f t="shared" si="97"/>
        <v>-2.1342353318263018E-2</v>
      </c>
      <c r="AD56" s="53"/>
      <c r="AE56" s="457"/>
      <c r="AF56" s="457"/>
      <c r="AG56" s="458">
        <f>AG54-AG55</f>
        <v>3307.2921565207994</v>
      </c>
      <c r="AH56" s="459"/>
      <c r="AI56" s="460">
        <f t="shared" si="98"/>
        <v>-9.6287300000003597</v>
      </c>
      <c r="AJ56" s="461">
        <f t="shared" si="99"/>
        <v>-2.9029121674651014E-3</v>
      </c>
      <c r="AK56" s="53"/>
      <c r="AL56" s="457"/>
      <c r="AM56" s="457"/>
      <c r="AN56" s="458">
        <f>AN54-AN55</f>
        <v>3315.6773215207995</v>
      </c>
      <c r="AO56" s="459"/>
      <c r="AP56" s="460">
        <f t="shared" si="100"/>
        <v>8.3851650000001428</v>
      </c>
      <c r="AQ56" s="461">
        <f t="shared" si="101"/>
        <v>2.5353566008577714E-3</v>
      </c>
      <c r="AR56" s="462"/>
      <c r="AS56" s="462"/>
    </row>
    <row r="57" spans="1:45" ht="8.25" customHeight="1">
      <c r="A57" s="53"/>
      <c r="B57" s="428"/>
      <c r="C57" s="555"/>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c r="AS57" s="437"/>
    </row>
    <row r="58" spans="1:45" ht="12.75" customHeight="1">
      <c r="A58" s="53"/>
      <c r="B58" s="508" t="s">
        <v>348</v>
      </c>
      <c r="C58" s="557"/>
      <c r="D58" s="509"/>
      <c r="E58" s="509"/>
      <c r="F58" s="510"/>
      <c r="G58" s="511"/>
      <c r="H58" s="512">
        <f>SUM(H49:H50,H42,H43:H45)</f>
        <v>1465.8114240400002</v>
      </c>
      <c r="I58" s="513"/>
      <c r="J58" s="514"/>
      <c r="K58" s="514"/>
      <c r="L58" s="512">
        <f>SUM(L49:L50,L42,L43:L45)</f>
        <v>1306.7594181599995</v>
      </c>
      <c r="M58" s="515"/>
      <c r="N58" s="516">
        <f t="shared" ref="N58:N62" si="102">L58-H58</f>
        <v>-159.05200588000071</v>
      </c>
      <c r="O58" s="517">
        <f t="shared" ref="O58:O62" si="103">IF((H58)=0,"",(N58/H58))</f>
        <v>-0.10850782254215831</v>
      </c>
      <c r="P58" s="507"/>
      <c r="Q58" s="514"/>
      <c r="R58" s="514"/>
      <c r="S58" s="512">
        <f>SUM(S49:S50,S42,S43:S45)</f>
        <v>1132.4354181599997</v>
      </c>
      <c r="T58" s="515"/>
      <c r="U58" s="516">
        <f t="shared" ref="U58:U62" si="104">S58-L58</f>
        <v>-174.32399999999984</v>
      </c>
      <c r="V58" s="517">
        <f t="shared" ref="V58:V62" si="105">IF((L58)=0,"",(U58/L58))</f>
        <v>-0.13340175519489206</v>
      </c>
      <c r="W58" s="507"/>
      <c r="X58" s="514"/>
      <c r="Y58" s="514"/>
      <c r="Z58" s="512">
        <f>SUM(Z49:Z50,Z42,Z43:Z45)</f>
        <v>1068.4224181599998</v>
      </c>
      <c r="AA58" s="515"/>
      <c r="AB58" s="516">
        <f t="shared" ref="AB58:AB62" si="106">Z58-S58</f>
        <v>-64.01299999999992</v>
      </c>
      <c r="AC58" s="517">
        <f t="shared" ref="AC58:AC62" si="107">IF((S58)=0,"",(AB58/S58))</f>
        <v>-5.6526843803604565E-2</v>
      </c>
      <c r="AD58" s="507"/>
      <c r="AE58" s="514"/>
      <c r="AF58" s="514"/>
      <c r="AG58" s="512">
        <f>SUM(AG49:AG50,AG42,AG43:AG45)</f>
        <v>1059.9014181599996</v>
      </c>
      <c r="AH58" s="515"/>
      <c r="AI58" s="516">
        <f t="shared" ref="AI58:AI62" si="108">AG58-Z58</f>
        <v>-8.5210000000001855</v>
      </c>
      <c r="AJ58" s="517">
        <f t="shared" ref="AJ58:AJ62" si="109">IF((Z58)=0,"",(AI58/Z58))</f>
        <v>-7.9753100039540153E-3</v>
      </c>
      <c r="AK58" s="507"/>
      <c r="AL58" s="514"/>
      <c r="AM58" s="514"/>
      <c r="AN58" s="512">
        <f>SUM(AN49:AN50,AN42,AN43:AN45)</f>
        <v>1067.3219181599998</v>
      </c>
      <c r="AO58" s="515"/>
      <c r="AP58" s="516">
        <f t="shared" ref="AP58:AP62" si="110">AN58-AG58</f>
        <v>7.4205000000001746</v>
      </c>
      <c r="AQ58" s="517">
        <f t="shared" ref="AQ58:AQ62" si="111">IF((AG58)=0,"",(AP58/AG58))</f>
        <v>7.0011228146880334E-3</v>
      </c>
      <c r="AR58" s="445"/>
      <c r="AS58" s="445"/>
    </row>
    <row r="59" spans="1:45" ht="12.75" customHeight="1">
      <c r="A59" s="53"/>
      <c r="B59" s="519" t="s">
        <v>345</v>
      </c>
      <c r="C59" s="557"/>
      <c r="D59" s="509"/>
      <c r="E59" s="509"/>
      <c r="F59" s="510">
        <v>0.13</v>
      </c>
      <c r="G59" s="511"/>
      <c r="H59" s="520">
        <f>H58*F59</f>
        <v>190.55548512520005</v>
      </c>
      <c r="I59" s="521"/>
      <c r="J59" s="510">
        <v>0.13</v>
      </c>
      <c r="K59" s="522"/>
      <c r="L59" s="523">
        <f>L58*J59</f>
        <v>169.87872436079994</v>
      </c>
      <c r="M59" s="524"/>
      <c r="N59" s="525">
        <f t="shared" si="102"/>
        <v>-20.676760764400115</v>
      </c>
      <c r="O59" s="526">
        <f t="shared" si="103"/>
        <v>-0.10850782254215842</v>
      </c>
      <c r="P59" s="507"/>
      <c r="Q59" s="510">
        <v>0.13</v>
      </c>
      <c r="R59" s="522"/>
      <c r="S59" s="523">
        <f>S58*Q59</f>
        <v>147.21660436079998</v>
      </c>
      <c r="T59" s="524"/>
      <c r="U59" s="525">
        <f t="shared" si="104"/>
        <v>-22.662119999999959</v>
      </c>
      <c r="V59" s="526">
        <f t="shared" si="105"/>
        <v>-0.13340175519489195</v>
      </c>
      <c r="W59" s="507"/>
      <c r="X59" s="510">
        <v>0.13</v>
      </c>
      <c r="Y59" s="522"/>
      <c r="Z59" s="523">
        <f>Z58*X59</f>
        <v>138.89491436079999</v>
      </c>
      <c r="AA59" s="524"/>
      <c r="AB59" s="525">
        <f t="shared" si="106"/>
        <v>-8.3216899999999896</v>
      </c>
      <c r="AC59" s="526">
        <f t="shared" si="107"/>
        <v>-5.6526843803604558E-2</v>
      </c>
      <c r="AD59" s="507"/>
      <c r="AE59" s="510">
        <v>0.13</v>
      </c>
      <c r="AF59" s="522"/>
      <c r="AG59" s="523">
        <f>AG58*AE59</f>
        <v>137.78718436079996</v>
      </c>
      <c r="AH59" s="524"/>
      <c r="AI59" s="525">
        <f t="shared" si="108"/>
        <v>-1.1077300000000321</v>
      </c>
      <c r="AJ59" s="526">
        <f t="shared" si="109"/>
        <v>-7.9753100039540708E-3</v>
      </c>
      <c r="AK59" s="507"/>
      <c r="AL59" s="510">
        <v>0.13</v>
      </c>
      <c r="AM59" s="522"/>
      <c r="AN59" s="523">
        <f>AN58*AL59</f>
        <v>138.75184936079998</v>
      </c>
      <c r="AO59" s="524"/>
      <c r="AP59" s="525">
        <f t="shared" si="110"/>
        <v>0.96466500000002497</v>
      </c>
      <c r="AQ59" s="526">
        <f t="shared" si="111"/>
        <v>7.0011228146880499E-3</v>
      </c>
      <c r="AR59" s="397"/>
      <c r="AS59" s="397"/>
    </row>
    <row r="60" spans="1:45" ht="12.75" customHeight="1">
      <c r="A60" s="53"/>
      <c r="B60" s="528" t="s">
        <v>451</v>
      </c>
      <c r="C60" s="557"/>
      <c r="D60" s="509"/>
      <c r="E60" s="509"/>
      <c r="F60" s="529"/>
      <c r="G60" s="524"/>
      <c r="H60" s="520">
        <f>H58+H59</f>
        <v>1656.3669091652002</v>
      </c>
      <c r="I60" s="521"/>
      <c r="J60" s="521"/>
      <c r="K60" s="521"/>
      <c r="L60" s="523">
        <f>L58+L59</f>
        <v>1476.6381425207994</v>
      </c>
      <c r="M60" s="524"/>
      <c r="N60" s="525">
        <f t="shared" si="102"/>
        <v>-179.72876664440082</v>
      </c>
      <c r="O60" s="526">
        <f t="shared" si="103"/>
        <v>-0.10850782254215832</v>
      </c>
      <c r="P60" s="507"/>
      <c r="Q60" s="521"/>
      <c r="R60" s="521"/>
      <c r="S60" s="523">
        <f>S58+S59</f>
        <v>1279.6520225207996</v>
      </c>
      <c r="T60" s="524"/>
      <c r="U60" s="525">
        <f t="shared" si="104"/>
        <v>-196.9861199999998</v>
      </c>
      <c r="V60" s="526">
        <f t="shared" si="105"/>
        <v>-0.13340175519489206</v>
      </c>
      <c r="W60" s="507"/>
      <c r="X60" s="521"/>
      <c r="Y60" s="521"/>
      <c r="Z60" s="523">
        <f>Z58+Z59</f>
        <v>1207.3173325207997</v>
      </c>
      <c r="AA60" s="524"/>
      <c r="AB60" s="525">
        <f t="shared" si="106"/>
        <v>-72.33468999999991</v>
      </c>
      <c r="AC60" s="526">
        <f t="shared" si="107"/>
        <v>-5.6526843803604565E-2</v>
      </c>
      <c r="AD60" s="507"/>
      <c r="AE60" s="521"/>
      <c r="AF60" s="521"/>
      <c r="AG60" s="523">
        <f>AG58+AG59</f>
        <v>1197.6886025207996</v>
      </c>
      <c r="AH60" s="524"/>
      <c r="AI60" s="525">
        <f t="shared" si="108"/>
        <v>-9.6287300000001323</v>
      </c>
      <c r="AJ60" s="526">
        <f t="shared" si="109"/>
        <v>-7.9753100039539511E-3</v>
      </c>
      <c r="AK60" s="507"/>
      <c r="AL60" s="521"/>
      <c r="AM60" s="521"/>
      <c r="AN60" s="523">
        <f>AN58+AN59</f>
        <v>1206.0737675207997</v>
      </c>
      <c r="AO60" s="524"/>
      <c r="AP60" s="525">
        <f t="shared" si="110"/>
        <v>8.3851650000001428</v>
      </c>
      <c r="AQ60" s="526">
        <f t="shared" si="111"/>
        <v>7.0011228146879875E-3</v>
      </c>
      <c r="AR60" s="397"/>
      <c r="AS60" s="397"/>
    </row>
    <row r="61" spans="1:45" ht="15.75" customHeight="1">
      <c r="A61" s="53"/>
      <c r="B61" s="636" t="s">
        <v>304</v>
      </c>
      <c r="C61" s="616"/>
      <c r="D61" s="616"/>
      <c r="E61" s="509"/>
      <c r="F61" s="529"/>
      <c r="G61" s="524"/>
      <c r="H61" s="530">
        <f>F61*H58</f>
        <v>0</v>
      </c>
      <c r="I61" s="521"/>
      <c r="J61" s="521"/>
      <c r="K61" s="521"/>
      <c r="L61" s="531">
        <f>J61*L58</f>
        <v>0</v>
      </c>
      <c r="M61" s="524"/>
      <c r="N61" s="532">
        <f t="shared" si="102"/>
        <v>0</v>
      </c>
      <c r="O61" s="533" t="str">
        <f t="shared" si="103"/>
        <v/>
      </c>
      <c r="P61" s="507"/>
      <c r="Q61" s="521"/>
      <c r="R61" s="521"/>
      <c r="S61" s="531">
        <f>Q61*S58</f>
        <v>0</v>
      </c>
      <c r="T61" s="524"/>
      <c r="U61" s="532">
        <f t="shared" si="104"/>
        <v>0</v>
      </c>
      <c r="V61" s="533" t="str">
        <f t="shared" si="105"/>
        <v/>
      </c>
      <c r="W61" s="507"/>
      <c r="X61" s="521"/>
      <c r="Y61" s="521"/>
      <c r="Z61" s="531">
        <f>X61*Z58</f>
        <v>0</v>
      </c>
      <c r="AA61" s="524"/>
      <c r="AB61" s="532">
        <f t="shared" si="106"/>
        <v>0</v>
      </c>
      <c r="AC61" s="533" t="str">
        <f t="shared" si="107"/>
        <v/>
      </c>
      <c r="AD61" s="507"/>
      <c r="AE61" s="521"/>
      <c r="AF61" s="521"/>
      <c r="AG61" s="531">
        <f>AE61*AG58</f>
        <v>0</v>
      </c>
      <c r="AH61" s="524"/>
      <c r="AI61" s="532">
        <f t="shared" si="108"/>
        <v>0</v>
      </c>
      <c r="AJ61" s="533" t="str">
        <f t="shared" si="109"/>
        <v/>
      </c>
      <c r="AK61" s="507"/>
      <c r="AL61" s="521"/>
      <c r="AM61" s="521"/>
      <c r="AN61" s="531">
        <f>AL61*AN58</f>
        <v>0</v>
      </c>
      <c r="AO61" s="524"/>
      <c r="AP61" s="532">
        <f t="shared" si="110"/>
        <v>0</v>
      </c>
      <c r="AQ61" s="533" t="str">
        <f t="shared" si="111"/>
        <v/>
      </c>
      <c r="AR61" s="454"/>
      <c r="AS61" s="454"/>
    </row>
    <row r="62" spans="1:45" ht="13.5" customHeight="1">
      <c r="A62" s="53"/>
      <c r="B62" s="637" t="s">
        <v>350</v>
      </c>
      <c r="C62" s="608"/>
      <c r="D62" s="600"/>
      <c r="E62" s="535"/>
      <c r="F62" s="536"/>
      <c r="G62" s="537"/>
      <c r="H62" s="538">
        <f>H60-H61</f>
        <v>1656.3669091652002</v>
      </c>
      <c r="I62" s="539"/>
      <c r="J62" s="539"/>
      <c r="K62" s="539"/>
      <c r="L62" s="540">
        <f>L60-L61</f>
        <v>1476.6381425207994</v>
      </c>
      <c r="M62" s="541"/>
      <c r="N62" s="542">
        <f t="shared" si="102"/>
        <v>-179.72876664440082</v>
      </c>
      <c r="O62" s="543">
        <f t="shared" si="103"/>
        <v>-0.10850782254215832</v>
      </c>
      <c r="P62" s="507"/>
      <c r="Q62" s="539"/>
      <c r="R62" s="539"/>
      <c r="S62" s="540">
        <f>S60-S61</f>
        <v>1279.6520225207996</v>
      </c>
      <c r="T62" s="541"/>
      <c r="U62" s="542">
        <f t="shared" si="104"/>
        <v>-196.9861199999998</v>
      </c>
      <c r="V62" s="543">
        <f t="shared" si="105"/>
        <v>-0.13340175519489206</v>
      </c>
      <c r="W62" s="507"/>
      <c r="X62" s="539"/>
      <c r="Y62" s="539"/>
      <c r="Z62" s="540">
        <f>Z60-Z61</f>
        <v>1207.3173325207997</v>
      </c>
      <c r="AA62" s="541"/>
      <c r="AB62" s="542">
        <f t="shared" si="106"/>
        <v>-72.33468999999991</v>
      </c>
      <c r="AC62" s="543">
        <f t="shared" si="107"/>
        <v>-5.6526843803604565E-2</v>
      </c>
      <c r="AD62" s="507"/>
      <c r="AE62" s="539"/>
      <c r="AF62" s="539"/>
      <c r="AG62" s="540">
        <f>AG60-AG61</f>
        <v>1197.6886025207996</v>
      </c>
      <c r="AH62" s="541"/>
      <c r="AI62" s="542">
        <f t="shared" si="108"/>
        <v>-9.6287300000001323</v>
      </c>
      <c r="AJ62" s="543">
        <f t="shared" si="109"/>
        <v>-7.9753100039539511E-3</v>
      </c>
      <c r="AK62" s="507"/>
      <c r="AL62" s="539"/>
      <c r="AM62" s="539"/>
      <c r="AN62" s="540">
        <f>AN60-AN61</f>
        <v>1206.0737675207997</v>
      </c>
      <c r="AO62" s="541"/>
      <c r="AP62" s="542">
        <f t="shared" si="110"/>
        <v>8.3851650000001428</v>
      </c>
      <c r="AQ62" s="543">
        <f t="shared" si="111"/>
        <v>7.0011228146879875E-3</v>
      </c>
      <c r="AR62" s="462"/>
      <c r="AS62" s="462"/>
    </row>
    <row r="63" spans="1:45" ht="8.25" customHeight="1">
      <c r="A63" s="53"/>
      <c r="B63" s="428"/>
      <c r="C63" s="555"/>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c r="AS63" s="437"/>
    </row>
    <row r="64" spans="1:45" ht="12.75" customHeight="1">
      <c r="A64" s="53"/>
      <c r="B64" s="53"/>
      <c r="C64" s="549"/>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c r="AS64" s="53"/>
    </row>
    <row r="65" spans="1:45" ht="12.75" customHeight="1">
      <c r="A65" s="53"/>
      <c r="B65" s="314" t="s">
        <v>351</v>
      </c>
      <c r="C65" s="549"/>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c r="AS65" s="53"/>
    </row>
    <row r="66" spans="1:45" ht="12.75" customHeight="1">
      <c r="A66" s="53"/>
      <c r="B66" s="53"/>
      <c r="C66" s="549"/>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row>
    <row r="67" spans="1:45" ht="15.75" customHeight="1">
      <c r="A67" s="473" t="s">
        <v>452</v>
      </c>
      <c r="B67" s="53"/>
      <c r="C67" s="549"/>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row>
    <row r="68" spans="1:45" ht="13.5" customHeight="1">
      <c r="A68" s="53"/>
      <c r="B68" s="53"/>
      <c r="C68" s="549"/>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row>
    <row r="69" spans="1:45" ht="8.25" customHeight="1">
      <c r="A69" s="53" t="s">
        <v>353</v>
      </c>
      <c r="B69" s="53"/>
      <c r="C69" s="549"/>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row>
    <row r="70" spans="1:45" ht="12.75" customHeight="1">
      <c r="A70" s="53" t="s">
        <v>354</v>
      </c>
      <c r="B70" s="53"/>
      <c r="C70" s="549"/>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row>
    <row r="71" spans="1:45" ht="12.75" customHeight="1">
      <c r="A71" s="53"/>
      <c r="B71" s="53"/>
      <c r="C71" s="549"/>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row>
    <row r="72" spans="1:45" ht="12.75" customHeight="1">
      <c r="A72" s="53" t="s">
        <v>355</v>
      </c>
      <c r="B72" s="53"/>
      <c r="C72" s="549"/>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row>
    <row r="73" spans="1:45" ht="12.75" customHeight="1">
      <c r="A73" s="53" t="s">
        <v>356</v>
      </c>
      <c r="B73" s="53"/>
      <c r="C73" s="549"/>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row>
    <row r="74" spans="1:45" ht="12.75" customHeight="1">
      <c r="A74" s="53"/>
      <c r="B74" s="53"/>
      <c r="C74" s="549"/>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row>
    <row r="75" spans="1:45" ht="12.75" customHeight="1">
      <c r="A75" s="53" t="s">
        <v>357</v>
      </c>
      <c r="B75" s="53"/>
      <c r="C75" s="549"/>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row>
    <row r="76" spans="1:45" ht="12.75" customHeight="1">
      <c r="A76" s="53" t="s">
        <v>358</v>
      </c>
      <c r="B76" s="53"/>
      <c r="C76" s="549"/>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row>
    <row r="77" spans="1:45" ht="12.75" customHeight="1">
      <c r="A77" s="53" t="s">
        <v>359</v>
      </c>
      <c r="B77" s="53"/>
      <c r="C77" s="549"/>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row>
    <row r="78" spans="1:45" ht="12.75" customHeight="1">
      <c r="A78" s="53" t="s">
        <v>360</v>
      </c>
      <c r="B78" s="53"/>
      <c r="C78" s="549"/>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row>
    <row r="79" spans="1:45" ht="12.75" customHeight="1">
      <c r="A79" s="53" t="s">
        <v>361</v>
      </c>
      <c r="B79" s="53"/>
      <c r="C79" s="549"/>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row>
    <row r="80" spans="1:45" ht="12.75" customHeight="1">
      <c r="A80" s="53"/>
      <c r="B80" s="53"/>
      <c r="C80" s="549"/>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row>
    <row r="81" spans="1:45" ht="12.75" customHeight="1">
      <c r="A81" s="474"/>
      <c r="B81" s="53" t="s">
        <v>362</v>
      </c>
      <c r="C81" s="549"/>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row>
    <row r="82" spans="1:45" ht="12.75" customHeight="1">
      <c r="A82" s="53"/>
      <c r="B82" s="53"/>
      <c r="C82" s="549"/>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row>
    <row r="83" spans="1:45" ht="12.75" customHeight="1">
      <c r="A83" s="53"/>
      <c r="B83" s="53" t="s">
        <v>363</v>
      </c>
      <c r="C83" s="549"/>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row>
    <row r="84" spans="1:45" ht="12.75" customHeight="1">
      <c r="A84" s="53"/>
      <c r="B84" s="53"/>
      <c r="C84" s="549"/>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row>
    <row r="85" spans="1:45" ht="12.75" customHeight="1">
      <c r="A85" s="53"/>
      <c r="B85" s="53"/>
      <c r="C85" s="549"/>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row>
    <row r="86" spans="1:45" ht="12.75" customHeight="1">
      <c r="A86" s="53"/>
      <c r="B86" s="53"/>
      <c r="C86" s="549"/>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row>
    <row r="87" spans="1:45" ht="12.75" customHeight="1">
      <c r="A87" s="53"/>
      <c r="B87" s="53"/>
      <c r="C87" s="549"/>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row>
    <row r="88" spans="1:45" ht="12.75" customHeight="1">
      <c r="A88" s="53"/>
      <c r="B88" s="53"/>
      <c r="C88" s="549"/>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row>
    <row r="89" spans="1:45" ht="12.75" customHeight="1">
      <c r="A89" s="53"/>
      <c r="B89" s="53"/>
      <c r="C89" s="549"/>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row>
    <row r="90" spans="1:45" ht="12.75" customHeight="1">
      <c r="A90" s="53"/>
      <c r="B90" s="53"/>
      <c r="C90" s="549"/>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row>
    <row r="91" spans="1:45" ht="12.75" customHeight="1">
      <c r="A91" s="53"/>
      <c r="B91" s="53"/>
      <c r="C91" s="549"/>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row>
    <row r="92" spans="1:45" ht="12.75" customHeight="1">
      <c r="A92" s="53"/>
      <c r="B92" s="53"/>
      <c r="C92" s="549"/>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row>
    <row r="93" spans="1:45" ht="12.75" customHeight="1">
      <c r="A93" s="53"/>
      <c r="B93" s="53"/>
      <c r="C93" s="549"/>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row>
    <row r="94" spans="1:45" ht="12.75" customHeight="1">
      <c r="A94" s="53"/>
      <c r="B94" s="53"/>
      <c r="C94" s="549"/>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row>
    <row r="95" spans="1:45" ht="12.75" customHeight="1">
      <c r="A95" s="53"/>
      <c r="B95" s="53"/>
      <c r="C95" s="549"/>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row>
    <row r="96" spans="1:45" ht="12.75" customHeight="1">
      <c r="A96" s="53"/>
      <c r="B96" s="53"/>
      <c r="C96" s="549"/>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row>
    <row r="97" spans="1:45" ht="12.75" customHeight="1">
      <c r="A97" s="53"/>
      <c r="B97" s="53"/>
      <c r="C97" s="549"/>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c r="AS97" s="53"/>
    </row>
    <row r="98" spans="1:45" ht="12.75" customHeight="1">
      <c r="A98" s="53"/>
      <c r="B98" s="53"/>
      <c r="C98" s="549"/>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c r="AS98" s="53"/>
    </row>
    <row r="99" spans="1:45" ht="12.75" customHeight="1">
      <c r="A99" s="53"/>
      <c r="B99" s="53"/>
      <c r="C99" s="549"/>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row>
    <row r="100" spans="1:45" ht="12.75" customHeight="1">
      <c r="A100" s="53"/>
      <c r="B100" s="53"/>
      <c r="C100" s="549"/>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c r="AS100" s="53"/>
    </row>
    <row r="101" spans="1:45" ht="12.75" customHeight="1">
      <c r="A101" s="53"/>
      <c r="B101" s="53"/>
      <c r="C101" s="549"/>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row>
    <row r="102" spans="1:45" ht="12.75" customHeight="1">
      <c r="A102" s="53"/>
      <c r="B102" s="53"/>
      <c r="C102" s="549"/>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c r="AS102" s="53"/>
    </row>
    <row r="103" spans="1:45" ht="12.75" customHeight="1">
      <c r="A103" s="53"/>
      <c r="B103" s="53"/>
      <c r="C103" s="549"/>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row>
    <row r="104" spans="1:45" ht="12.75" customHeight="1">
      <c r="A104" s="53"/>
      <c r="B104" s="53"/>
      <c r="C104" s="549"/>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row>
    <row r="105" spans="1:45" ht="12.75" customHeight="1">
      <c r="A105" s="53"/>
      <c r="B105" s="53"/>
      <c r="C105" s="549"/>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c r="AS105" s="53"/>
    </row>
    <row r="106" spans="1:45" ht="12.75" customHeight="1">
      <c r="A106" s="53"/>
      <c r="B106" s="53"/>
      <c r="C106" s="549"/>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row>
    <row r="107" spans="1:45" ht="12.75" customHeight="1">
      <c r="A107" s="53"/>
      <c r="B107" s="53"/>
      <c r="C107" s="549"/>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row>
    <row r="108" spans="1:45" ht="12.75" customHeight="1">
      <c r="A108" s="53"/>
      <c r="B108" s="53"/>
      <c r="C108" s="549"/>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row>
    <row r="109" spans="1:45" ht="12.75" customHeight="1">
      <c r="A109" s="53"/>
      <c r="B109" s="53"/>
      <c r="C109" s="549"/>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row>
    <row r="110" spans="1:45" ht="12.75" customHeight="1">
      <c r="A110" s="53"/>
      <c r="B110" s="53"/>
      <c r="C110" s="549"/>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row>
    <row r="111" spans="1:45" ht="12.75" customHeight="1">
      <c r="A111" s="53"/>
      <c r="B111" s="53"/>
      <c r="C111" s="549"/>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row>
    <row r="112" spans="1:45" ht="12.75" customHeight="1">
      <c r="A112" s="53"/>
      <c r="B112" s="53"/>
      <c r="C112" s="549"/>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row>
    <row r="113" spans="1:45" ht="12.75" customHeight="1">
      <c r="A113" s="53"/>
      <c r="B113" s="53"/>
      <c r="C113" s="549"/>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c r="AS113" s="53"/>
    </row>
    <row r="114" spans="1:45" ht="12.75" customHeight="1">
      <c r="A114" s="53"/>
      <c r="B114" s="53"/>
      <c r="C114" s="549"/>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row>
    <row r="115" spans="1:45" ht="12.75" customHeight="1">
      <c r="A115" s="53"/>
      <c r="B115" s="53"/>
      <c r="C115" s="549"/>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c r="AS115" s="53"/>
    </row>
    <row r="116" spans="1:45" ht="12.75" customHeight="1">
      <c r="A116" s="53"/>
      <c r="B116" s="53"/>
      <c r="C116" s="549"/>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c r="AS116" s="53"/>
    </row>
    <row r="117" spans="1:45" ht="12.75" customHeight="1">
      <c r="A117" s="53"/>
      <c r="B117" s="53"/>
      <c r="C117" s="549"/>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c r="AS117" s="53"/>
    </row>
    <row r="118" spans="1:45" ht="12.75" customHeight="1">
      <c r="A118" s="53"/>
      <c r="B118" s="53"/>
      <c r="C118" s="549"/>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row>
    <row r="119" spans="1:45" ht="12.75" customHeight="1">
      <c r="A119" s="53"/>
      <c r="B119" s="53"/>
      <c r="C119" s="549"/>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c r="AS119" s="53"/>
    </row>
    <row r="120" spans="1:45" ht="12.75" customHeight="1">
      <c r="A120" s="53"/>
      <c r="B120" s="53"/>
      <c r="C120" s="549"/>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row>
    <row r="121" spans="1:45" ht="12.75" customHeight="1">
      <c r="A121" s="53"/>
      <c r="B121" s="53"/>
      <c r="C121" s="549"/>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row>
    <row r="122" spans="1:45" ht="12.75" customHeight="1">
      <c r="A122" s="53"/>
      <c r="B122" s="53"/>
      <c r="C122" s="549"/>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row>
    <row r="123" spans="1:45" ht="12.75" customHeight="1">
      <c r="A123" s="53"/>
      <c r="B123" s="53"/>
      <c r="C123" s="549"/>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row>
    <row r="124" spans="1:45" ht="12.75" customHeight="1">
      <c r="A124" s="53"/>
      <c r="B124" s="53"/>
      <c r="C124" s="549"/>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row>
    <row r="125" spans="1:45" ht="12.75" customHeight="1">
      <c r="A125" s="53"/>
      <c r="B125" s="53"/>
      <c r="C125" s="549"/>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row>
    <row r="126" spans="1:45" ht="12.75" customHeight="1">
      <c r="A126" s="53"/>
      <c r="B126" s="53"/>
      <c r="C126" s="549"/>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row>
    <row r="127" spans="1:45" ht="12.75" customHeight="1">
      <c r="A127" s="53"/>
      <c r="B127" s="53"/>
      <c r="C127" s="549"/>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row>
    <row r="128" spans="1:45" ht="12.75" customHeight="1">
      <c r="A128" s="53"/>
      <c r="B128" s="53"/>
      <c r="C128" s="549"/>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row>
    <row r="129" spans="1:45" ht="12.75" customHeight="1">
      <c r="A129" s="53"/>
      <c r="B129" s="53"/>
      <c r="C129" s="549"/>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row>
    <row r="130" spans="1:45" ht="12.75" customHeight="1">
      <c r="A130" s="53"/>
      <c r="B130" s="53"/>
      <c r="C130" s="549"/>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row>
    <row r="131" spans="1:45" ht="12.75" customHeight="1">
      <c r="A131" s="53"/>
      <c r="B131" s="53"/>
      <c r="C131" s="549"/>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row>
    <row r="132" spans="1:45" ht="12.75" customHeight="1">
      <c r="A132" s="53"/>
      <c r="B132" s="53"/>
      <c r="C132" s="549"/>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row>
    <row r="133" spans="1:45" ht="12.75" customHeight="1">
      <c r="A133" s="53"/>
      <c r="B133" s="53"/>
      <c r="C133" s="549"/>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row>
    <row r="134" spans="1:45" ht="12.75" customHeight="1">
      <c r="A134" s="53"/>
      <c r="B134" s="53"/>
      <c r="C134" s="549"/>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row>
    <row r="135" spans="1:45" ht="12.75" customHeight="1">
      <c r="A135" s="53"/>
      <c r="B135" s="53"/>
      <c r="C135" s="549"/>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row>
    <row r="136" spans="1:45" ht="12.75" customHeight="1">
      <c r="A136" s="53"/>
      <c r="B136" s="53"/>
      <c r="C136" s="549"/>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row>
    <row r="137" spans="1:45" ht="12.75" customHeight="1">
      <c r="A137" s="53"/>
      <c r="B137" s="53"/>
      <c r="C137" s="549"/>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row>
    <row r="138" spans="1:45" ht="12.75" customHeight="1">
      <c r="A138" s="53"/>
      <c r="B138" s="53"/>
      <c r="C138" s="549"/>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row>
    <row r="139" spans="1:45" ht="12.75" customHeight="1">
      <c r="A139" s="53"/>
      <c r="B139" s="53"/>
      <c r="C139" s="549"/>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row>
    <row r="140" spans="1:45" ht="12.75" customHeight="1">
      <c r="A140" s="53"/>
      <c r="B140" s="53"/>
      <c r="C140" s="549"/>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row>
    <row r="141" spans="1:45" ht="12.75" customHeight="1">
      <c r="A141" s="53"/>
      <c r="B141" s="53"/>
      <c r="C141" s="549"/>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row>
    <row r="142" spans="1:45" ht="12.75" customHeight="1">
      <c r="A142" s="53"/>
      <c r="B142" s="53"/>
      <c r="C142" s="549"/>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row>
    <row r="143" spans="1:45" ht="12.75" customHeight="1">
      <c r="A143" s="53"/>
      <c r="B143" s="53"/>
      <c r="C143" s="549"/>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c r="AS143" s="53"/>
    </row>
    <row r="144" spans="1:45" ht="12.75" customHeight="1">
      <c r="A144" s="53"/>
      <c r="B144" s="53"/>
      <c r="C144" s="549"/>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row>
    <row r="145" spans="1:45" ht="12.75" customHeight="1">
      <c r="A145" s="53"/>
      <c r="B145" s="53"/>
      <c r="C145" s="549"/>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c r="AS145" s="53"/>
    </row>
    <row r="146" spans="1:45" ht="12.75" customHeight="1">
      <c r="A146" s="53"/>
      <c r="B146" s="53"/>
      <c r="C146" s="549"/>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c r="AS146" s="53"/>
    </row>
    <row r="147" spans="1:45" ht="12.75" customHeight="1">
      <c r="A147" s="53"/>
      <c r="B147" s="53"/>
      <c r="C147" s="549"/>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c r="AS147" s="53"/>
    </row>
    <row r="148" spans="1:45" ht="12.75" customHeight="1">
      <c r="A148" s="53"/>
      <c r="B148" s="53"/>
      <c r="C148" s="549"/>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row>
    <row r="149" spans="1:45" ht="12.75" customHeight="1">
      <c r="A149" s="53"/>
      <c r="B149" s="53"/>
      <c r="C149" s="549"/>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c r="AS149" s="53"/>
    </row>
    <row r="150" spans="1:45" ht="12.75" customHeight="1">
      <c r="A150" s="53"/>
      <c r="B150" s="53"/>
      <c r="C150" s="549"/>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c r="AS150" s="53"/>
    </row>
    <row r="151" spans="1:45" ht="12.75" customHeight="1">
      <c r="A151" s="53"/>
      <c r="B151" s="53"/>
      <c r="C151" s="549"/>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row>
    <row r="152" spans="1:45" ht="12.75" customHeight="1">
      <c r="A152" s="53"/>
      <c r="B152" s="53"/>
      <c r="C152" s="549"/>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row>
    <row r="153" spans="1:45" ht="12.75" customHeight="1">
      <c r="A153" s="53"/>
      <c r="B153" s="53"/>
      <c r="C153" s="549"/>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row>
    <row r="154" spans="1:45" ht="12.75" customHeight="1">
      <c r="A154" s="53"/>
      <c r="B154" s="53"/>
      <c r="C154" s="549"/>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c r="AS154" s="53"/>
    </row>
    <row r="155" spans="1:45" ht="12.75" customHeight="1">
      <c r="A155" s="53"/>
      <c r="B155" s="53"/>
      <c r="C155" s="549"/>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c r="AS155" s="53"/>
    </row>
    <row r="156" spans="1:45" ht="12.75" customHeight="1">
      <c r="A156" s="53"/>
      <c r="B156" s="53"/>
      <c r="C156" s="549"/>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c r="AS156" s="53"/>
    </row>
    <row r="157" spans="1:45" ht="12.75" customHeight="1">
      <c r="A157" s="53"/>
      <c r="B157" s="53"/>
      <c r="C157" s="549"/>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c r="AS157" s="53"/>
    </row>
    <row r="158" spans="1:45" ht="12.75" customHeight="1">
      <c r="A158" s="53"/>
      <c r="B158" s="53"/>
      <c r="C158" s="549"/>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c r="AS158" s="53"/>
    </row>
    <row r="159" spans="1:45" ht="12.75" customHeight="1">
      <c r="A159" s="53"/>
      <c r="B159" s="53"/>
      <c r="C159" s="549"/>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c r="AS159" s="53"/>
    </row>
    <row r="160" spans="1:45" ht="12.75" customHeight="1">
      <c r="A160" s="53"/>
      <c r="B160" s="53"/>
      <c r="C160" s="549"/>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row>
    <row r="161" spans="1:45" ht="12.75" customHeight="1">
      <c r="A161" s="53"/>
      <c r="B161" s="53"/>
      <c r="C161" s="549"/>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row>
    <row r="162" spans="1:45" ht="12.75" customHeight="1">
      <c r="A162" s="53"/>
      <c r="B162" s="53"/>
      <c r="C162" s="549"/>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c r="AS162" s="53"/>
    </row>
    <row r="163" spans="1:45" ht="12.75" customHeight="1">
      <c r="A163" s="53"/>
      <c r="B163" s="53"/>
      <c r="C163" s="549"/>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c r="AS163" s="53"/>
    </row>
    <row r="164" spans="1:45" ht="12.75" customHeight="1">
      <c r="A164" s="53"/>
      <c r="B164" s="53"/>
      <c r="C164" s="549"/>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c r="AS164" s="53"/>
    </row>
    <row r="165" spans="1:45" ht="12.75" customHeight="1">
      <c r="A165" s="53"/>
      <c r="B165" s="53"/>
      <c r="C165" s="549"/>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c r="AS165" s="53"/>
    </row>
    <row r="166" spans="1:45" ht="12.75" customHeight="1">
      <c r="A166" s="53"/>
      <c r="B166" s="53"/>
      <c r="C166" s="549"/>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c r="AS166" s="53"/>
    </row>
    <row r="167" spans="1:45" ht="12.75" customHeight="1">
      <c r="A167" s="53"/>
      <c r="B167" s="53"/>
      <c r="C167" s="549"/>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c r="AS167" s="53"/>
    </row>
    <row r="168" spans="1:45" ht="12.75" customHeight="1">
      <c r="A168" s="53"/>
      <c r="B168" s="53"/>
      <c r="C168" s="549"/>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c r="AS168" s="53"/>
    </row>
    <row r="169" spans="1:45" ht="12.75" customHeight="1">
      <c r="A169" s="53"/>
      <c r="B169" s="53"/>
      <c r="C169" s="549"/>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row>
    <row r="170" spans="1:45" ht="12.75" customHeight="1">
      <c r="A170" s="53"/>
      <c r="B170" s="53"/>
      <c r="C170" s="549"/>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c r="AS170" s="53"/>
    </row>
    <row r="171" spans="1:45" ht="12.75" customHeight="1">
      <c r="A171" s="53"/>
      <c r="B171" s="53"/>
      <c r="C171" s="549"/>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c r="AS171" s="53"/>
    </row>
    <row r="172" spans="1:45" ht="12.75" customHeight="1">
      <c r="A172" s="53"/>
      <c r="B172" s="53"/>
      <c r="C172" s="549"/>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c r="AS172" s="53"/>
    </row>
    <row r="173" spans="1:45" ht="12.75" customHeight="1">
      <c r="A173" s="53"/>
      <c r="B173" s="53"/>
      <c r="C173" s="549"/>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c r="AS173" s="53"/>
    </row>
    <row r="174" spans="1:45" ht="12.75" customHeight="1">
      <c r="A174" s="53"/>
      <c r="B174" s="53"/>
      <c r="C174" s="549"/>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row>
    <row r="175" spans="1:45" ht="12.75" customHeight="1">
      <c r="A175" s="53"/>
      <c r="B175" s="53"/>
      <c r="C175" s="549"/>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row>
    <row r="176" spans="1:45" ht="12.75" customHeight="1">
      <c r="A176" s="53"/>
      <c r="B176" s="53"/>
      <c r="C176" s="549"/>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row>
    <row r="177" spans="1:45" ht="12.75" customHeight="1">
      <c r="A177" s="53"/>
      <c r="B177" s="53"/>
      <c r="C177" s="549"/>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c r="AS177" s="53"/>
    </row>
    <row r="178" spans="1:45" ht="12.75" customHeight="1">
      <c r="A178" s="53"/>
      <c r="B178" s="53"/>
      <c r="C178" s="549"/>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c r="AS178" s="53"/>
    </row>
    <row r="179" spans="1:45" ht="12.75" customHeight="1">
      <c r="A179" s="53"/>
      <c r="B179" s="53"/>
      <c r="C179" s="549"/>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row>
    <row r="180" spans="1:45" ht="12.75" customHeight="1">
      <c r="A180" s="53"/>
      <c r="B180" s="53"/>
      <c r="C180" s="549"/>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c r="AS180" s="53"/>
    </row>
    <row r="181" spans="1:45" ht="12.75" customHeight="1">
      <c r="A181" s="53"/>
      <c r="B181" s="53"/>
      <c r="C181" s="549"/>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row>
    <row r="182" spans="1:45" ht="12.75" customHeight="1">
      <c r="A182" s="53"/>
      <c r="B182" s="53"/>
      <c r="C182" s="549"/>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row>
    <row r="183" spans="1:45" ht="12.75" customHeight="1">
      <c r="A183" s="53"/>
      <c r="B183" s="53"/>
      <c r="C183" s="549"/>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row>
    <row r="184" spans="1:45" ht="12.75" customHeight="1">
      <c r="A184" s="53"/>
      <c r="B184" s="53"/>
      <c r="C184" s="549"/>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row>
    <row r="185" spans="1:45" ht="12.75" customHeight="1">
      <c r="A185" s="53"/>
      <c r="B185" s="53"/>
      <c r="C185" s="549"/>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c r="AS185" s="53"/>
    </row>
    <row r="186" spans="1:45" ht="12.75" customHeight="1">
      <c r="A186" s="53"/>
      <c r="B186" s="53"/>
      <c r="C186" s="549"/>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row>
    <row r="187" spans="1:45" ht="12.75" customHeight="1">
      <c r="A187" s="53"/>
      <c r="B187" s="53"/>
      <c r="C187" s="549"/>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c r="AS187" s="53"/>
    </row>
    <row r="188" spans="1:45" ht="12.75" customHeight="1">
      <c r="A188" s="53"/>
      <c r="B188" s="53"/>
      <c r="C188" s="549"/>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row>
    <row r="189" spans="1:45" ht="12.75" customHeight="1">
      <c r="A189" s="53"/>
      <c r="B189" s="53"/>
      <c r="C189" s="549"/>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row>
    <row r="190" spans="1:45" ht="12.75" customHeight="1">
      <c r="A190" s="53"/>
      <c r="B190" s="53"/>
      <c r="C190" s="549"/>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row>
    <row r="191" spans="1:45" ht="12.75" customHeight="1">
      <c r="A191" s="53"/>
      <c r="B191" s="53"/>
      <c r="C191" s="549"/>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row>
    <row r="192" spans="1:45" ht="12.75" customHeight="1">
      <c r="A192" s="53"/>
      <c r="B192" s="53"/>
      <c r="C192" s="549"/>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75" customHeight="1">
      <c r="A193" s="53"/>
      <c r="B193" s="53"/>
      <c r="C193" s="549"/>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75" customHeight="1">
      <c r="A194" s="53"/>
      <c r="B194" s="53"/>
      <c r="C194" s="549"/>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75" customHeight="1">
      <c r="A195" s="53"/>
      <c r="B195" s="53"/>
      <c r="C195" s="549"/>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75" customHeight="1">
      <c r="A196" s="53"/>
      <c r="B196" s="53"/>
      <c r="C196" s="549"/>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75" customHeight="1">
      <c r="A197" s="53"/>
      <c r="B197" s="53"/>
      <c r="C197" s="549"/>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75" customHeight="1">
      <c r="A198" s="53"/>
      <c r="B198" s="53"/>
      <c r="C198" s="549"/>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75" customHeight="1">
      <c r="A199" s="53"/>
      <c r="B199" s="53"/>
      <c r="C199" s="549"/>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75" customHeight="1">
      <c r="A200" s="53"/>
      <c r="B200" s="53"/>
      <c r="C200" s="549"/>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75" customHeight="1">
      <c r="A201" s="53"/>
      <c r="B201" s="53"/>
      <c r="C201" s="549"/>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75" customHeight="1">
      <c r="A202" s="53"/>
      <c r="B202" s="53"/>
      <c r="C202" s="549"/>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75" customHeight="1">
      <c r="A203" s="53"/>
      <c r="B203" s="53"/>
      <c r="C203" s="549"/>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75" customHeight="1">
      <c r="A204" s="53"/>
      <c r="B204" s="53"/>
      <c r="C204" s="549"/>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75" customHeight="1">
      <c r="A205" s="53"/>
      <c r="B205" s="53"/>
      <c r="C205" s="549"/>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75" customHeight="1">
      <c r="A206" s="53"/>
      <c r="B206" s="53"/>
      <c r="C206" s="549"/>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75" customHeight="1">
      <c r="A207" s="53"/>
      <c r="B207" s="53"/>
      <c r="C207" s="549"/>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75" customHeight="1">
      <c r="A208" s="53"/>
      <c r="B208" s="53"/>
      <c r="C208" s="549"/>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75" customHeight="1">
      <c r="A209" s="53"/>
      <c r="B209" s="53"/>
      <c r="C209" s="549"/>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75" customHeight="1">
      <c r="A210" s="53"/>
      <c r="B210" s="53"/>
      <c r="C210" s="549"/>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75" customHeight="1">
      <c r="A211" s="53"/>
      <c r="B211" s="53"/>
      <c r="C211" s="549"/>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75" customHeight="1">
      <c r="A212" s="53"/>
      <c r="B212" s="53"/>
      <c r="C212" s="549"/>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75" customHeight="1">
      <c r="A213" s="53"/>
      <c r="B213" s="53"/>
      <c r="C213" s="549"/>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75" customHeight="1">
      <c r="A214" s="53"/>
      <c r="B214" s="53"/>
      <c r="C214" s="549"/>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75" customHeight="1">
      <c r="A215" s="53"/>
      <c r="B215" s="53"/>
      <c r="C215" s="549"/>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75" customHeight="1">
      <c r="A216" s="53"/>
      <c r="B216" s="53"/>
      <c r="C216" s="549"/>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75" customHeight="1">
      <c r="A217" s="53"/>
      <c r="B217" s="53"/>
      <c r="C217" s="549"/>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75" customHeight="1">
      <c r="A218" s="53"/>
      <c r="B218" s="53"/>
      <c r="C218" s="549"/>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75" customHeight="1">
      <c r="A219" s="53"/>
      <c r="B219" s="53"/>
      <c r="C219" s="549"/>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75" customHeight="1">
      <c r="A220" s="53"/>
      <c r="B220" s="53"/>
      <c r="C220" s="549"/>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75" customHeight="1">
      <c r="A221" s="53"/>
      <c r="B221" s="53"/>
      <c r="C221" s="549"/>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75" customHeight="1">
      <c r="A222" s="53"/>
      <c r="B222" s="53"/>
      <c r="C222" s="549"/>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75" customHeight="1">
      <c r="A223" s="53"/>
      <c r="B223" s="53"/>
      <c r="C223" s="549"/>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75" customHeight="1">
      <c r="A224" s="53"/>
      <c r="B224" s="53"/>
      <c r="C224" s="549"/>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75" customHeight="1">
      <c r="A225" s="53"/>
      <c r="B225" s="53"/>
      <c r="C225" s="549"/>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75" customHeight="1">
      <c r="A226" s="53"/>
      <c r="B226" s="53"/>
      <c r="C226" s="549"/>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75" customHeight="1">
      <c r="A227" s="53"/>
      <c r="B227" s="53"/>
      <c r="C227" s="549"/>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75" customHeight="1">
      <c r="A228" s="53"/>
      <c r="B228" s="53"/>
      <c r="C228" s="549"/>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75" customHeight="1">
      <c r="A229" s="53"/>
      <c r="B229" s="53"/>
      <c r="C229" s="549"/>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75" customHeight="1">
      <c r="A230" s="53"/>
      <c r="B230" s="53"/>
      <c r="C230" s="549"/>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75" customHeight="1">
      <c r="A231" s="53"/>
      <c r="B231" s="53"/>
      <c r="C231" s="549"/>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75" customHeight="1">
      <c r="A232" s="53"/>
      <c r="B232" s="53"/>
      <c r="C232" s="549"/>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75" customHeight="1">
      <c r="A233" s="53"/>
      <c r="B233" s="53"/>
      <c r="C233" s="549"/>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75" customHeight="1">
      <c r="A234" s="53"/>
      <c r="B234" s="53"/>
      <c r="C234" s="549"/>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75" customHeight="1">
      <c r="A235" s="53"/>
      <c r="B235" s="53"/>
      <c r="C235" s="549"/>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75" customHeight="1">
      <c r="A236" s="53"/>
      <c r="B236" s="53"/>
      <c r="C236" s="549"/>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75" customHeight="1">
      <c r="A237" s="53"/>
      <c r="B237" s="53"/>
      <c r="C237" s="549"/>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75" customHeight="1">
      <c r="A238" s="53"/>
      <c r="B238" s="53"/>
      <c r="C238" s="549"/>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75" customHeight="1">
      <c r="A239" s="53"/>
      <c r="B239" s="53"/>
      <c r="C239" s="549"/>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75" customHeight="1">
      <c r="A240" s="53"/>
      <c r="B240" s="53"/>
      <c r="C240" s="549"/>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75" customHeight="1">
      <c r="A241" s="53"/>
      <c r="B241" s="53"/>
      <c r="C241" s="549"/>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75" customHeight="1">
      <c r="A242" s="53"/>
      <c r="B242" s="53"/>
      <c r="C242" s="549"/>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75" customHeight="1">
      <c r="A243" s="53"/>
      <c r="B243" s="53"/>
      <c r="C243" s="549"/>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75" customHeight="1">
      <c r="A244" s="53"/>
      <c r="B244" s="53"/>
      <c r="C244" s="549"/>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75" customHeight="1">
      <c r="A245" s="53"/>
      <c r="B245" s="53"/>
      <c r="C245" s="549"/>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75" customHeight="1">
      <c r="A246" s="53"/>
      <c r="B246" s="53"/>
      <c r="C246" s="549"/>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75" customHeight="1">
      <c r="A247" s="53"/>
      <c r="B247" s="53"/>
      <c r="C247" s="549"/>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75" customHeight="1">
      <c r="A248" s="53"/>
      <c r="B248" s="53"/>
      <c r="C248" s="549"/>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75" customHeight="1">
      <c r="A249" s="53"/>
      <c r="B249" s="53"/>
      <c r="C249" s="549"/>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75" customHeight="1">
      <c r="A250" s="53"/>
      <c r="B250" s="53"/>
      <c r="C250" s="549"/>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75" customHeight="1">
      <c r="A251" s="53"/>
      <c r="B251" s="53"/>
      <c r="C251" s="549"/>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75" customHeight="1">
      <c r="A252" s="53"/>
      <c r="B252" s="53"/>
      <c r="C252" s="549"/>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75" customHeight="1">
      <c r="A253" s="53"/>
      <c r="B253" s="53"/>
      <c r="C253" s="549"/>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75" customHeight="1">
      <c r="A254" s="53"/>
      <c r="B254" s="53"/>
      <c r="C254" s="549"/>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75" customHeight="1">
      <c r="A255" s="53"/>
      <c r="B255" s="53"/>
      <c r="C255" s="549"/>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75" customHeight="1">
      <c r="A256" s="53"/>
      <c r="B256" s="53"/>
      <c r="C256" s="549"/>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75" customHeight="1">
      <c r="A257" s="53"/>
      <c r="B257" s="53"/>
      <c r="C257" s="549"/>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75" customHeight="1">
      <c r="A258" s="53"/>
      <c r="B258" s="53"/>
      <c r="C258" s="549"/>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75" customHeight="1">
      <c r="A259" s="53"/>
      <c r="B259" s="53"/>
      <c r="C259" s="549"/>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75" customHeight="1">
      <c r="A260" s="53"/>
      <c r="B260" s="53"/>
      <c r="C260" s="549"/>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75" customHeight="1">
      <c r="A261" s="53"/>
      <c r="B261" s="53"/>
      <c r="C261" s="549"/>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75" customHeight="1">
      <c r="A262" s="53"/>
      <c r="B262" s="53"/>
      <c r="C262" s="549"/>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75" customHeight="1">
      <c r="A263" s="53"/>
      <c r="B263" s="53"/>
      <c r="C263" s="549"/>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75" customHeight="1">
      <c r="A264" s="53"/>
      <c r="B264" s="53"/>
      <c r="C264" s="549"/>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75" customHeight="1">
      <c r="A265" s="53"/>
      <c r="B265" s="53"/>
      <c r="C265" s="549"/>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75" customHeight="1">
      <c r="A266" s="53"/>
      <c r="B266" s="53"/>
      <c r="C266" s="549"/>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75" customHeight="1">
      <c r="A267" s="53"/>
      <c r="B267" s="53"/>
      <c r="C267" s="549"/>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75" customHeight="1">
      <c r="A268" s="53"/>
      <c r="B268" s="53"/>
      <c r="C268" s="549"/>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75" customHeight="1">
      <c r="A269" s="53"/>
      <c r="B269" s="53"/>
      <c r="C269" s="549"/>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75" customHeight="1">
      <c r="A270" s="53"/>
      <c r="B270" s="53"/>
      <c r="C270" s="549"/>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75" customHeight="1">
      <c r="A271" s="53"/>
      <c r="B271" s="53"/>
      <c r="C271" s="549"/>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75" customHeight="1">
      <c r="A272" s="53"/>
      <c r="B272" s="53"/>
      <c r="C272" s="549"/>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75" customHeight="1">
      <c r="A273" s="53"/>
      <c r="B273" s="53"/>
      <c r="C273" s="549"/>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75" customHeight="1">
      <c r="A274" s="53"/>
      <c r="B274" s="53"/>
      <c r="C274" s="549"/>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75" customHeight="1">
      <c r="A275" s="53"/>
      <c r="B275" s="53"/>
      <c r="C275" s="549"/>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75" customHeight="1">
      <c r="A276" s="53"/>
      <c r="B276" s="53"/>
      <c r="C276" s="549"/>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75" customHeight="1">
      <c r="A277" s="53"/>
      <c r="B277" s="53"/>
      <c r="C277" s="549"/>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75" customHeight="1">
      <c r="A278" s="53"/>
      <c r="B278" s="53"/>
      <c r="C278" s="549"/>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75" customHeight="1">
      <c r="A279" s="53"/>
      <c r="B279" s="53"/>
      <c r="C279" s="549"/>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75" customHeight="1">
      <c r="A280" s="53"/>
      <c r="B280" s="53"/>
      <c r="C280" s="549"/>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75" customHeight="1">
      <c r="A281" s="53"/>
      <c r="B281" s="53"/>
      <c r="C281" s="549"/>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75" customHeight="1">
      <c r="A282" s="53"/>
      <c r="B282" s="53"/>
      <c r="C282" s="549"/>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75" customHeight="1">
      <c r="A283" s="53"/>
      <c r="B283" s="53"/>
      <c r="C283" s="549"/>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I13:AI14"/>
    <mergeCell ref="AJ13:AJ14"/>
    <mergeCell ref="AP13:AP14"/>
    <mergeCell ref="AQ13:AQ14"/>
    <mergeCell ref="F12:H12"/>
    <mergeCell ref="J12:L12"/>
    <mergeCell ref="Q12:S12"/>
    <mergeCell ref="U12:V12"/>
    <mergeCell ref="X12:Z12"/>
    <mergeCell ref="AB12:AC12"/>
    <mergeCell ref="B62:D62"/>
    <mergeCell ref="U13:U14"/>
    <mergeCell ref="V13:V14"/>
    <mergeCell ref="AB13:AB14"/>
    <mergeCell ref="AC13:AC14"/>
    <mergeCell ref="D13:D14"/>
    <mergeCell ref="N13:N14"/>
    <mergeCell ref="O13:O14"/>
    <mergeCell ref="B55:D55"/>
    <mergeCell ref="B56:D56"/>
    <mergeCell ref="B61:D61"/>
    <mergeCell ref="AE12:AG12"/>
    <mergeCell ref="AI12:AJ12"/>
    <mergeCell ref="AL12:AN12"/>
    <mergeCell ref="AP12:AQ12"/>
    <mergeCell ref="N12:O12"/>
  </mergeCells>
  <dataValidations count="3">
    <dataValidation type="list" allowBlank="1" showErrorMessage="1" sqref="D8" xr:uid="{00000000-0002-0000-2600-000000000000}">
      <formula1>"TOU,non-TOU"</formula1>
    </dataValidation>
    <dataValidation type="list" allowBlank="1" showErrorMessage="1" sqref="E15:E28 E30:E38 E40:E41 E43:E51 E57 E63" xr:uid="{00000000-0002-0000-2600-000001000000}">
      <formula1>#REF!</formula1>
    </dataValidation>
    <dataValidation type="list" allowBlank="1" showInputMessage="1" showErrorMessage="1" prompt="Select Charge Unit - monthly, per kWh, per kW" sqref="D15:D28 D30:D38 D40:D41 D43:D51 D57 D63" xr:uid="{00000000-0002-0000-2600-000002000000}">
      <formula1>"Monthly,per kWh,per kW"</formula1>
    </dataValidation>
  </dataValidations>
  <pageMargins left="0.74803149606299213" right="0.74803149606299213" top="0.98425196850393704" bottom="0.98425196850393704"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52"/>
  <sheetViews>
    <sheetView workbookViewId="0"/>
  </sheetViews>
  <sheetFormatPr defaultColWidth="12.5703125" defaultRowHeight="15" customHeight="1"/>
  <cols>
    <col min="1" max="1" width="66.42578125" customWidth="1"/>
    <col min="2" max="2" width="2.42578125" customWidth="1"/>
    <col min="3" max="3" width="10.42578125" customWidth="1"/>
    <col min="4" max="4" width="9.42578125" customWidth="1"/>
    <col min="5" max="24" width="9.140625" customWidth="1"/>
  </cols>
  <sheetData>
    <row r="1" spans="1:26" ht="23.25" customHeight="1">
      <c r="A1" s="588" t="s">
        <v>26</v>
      </c>
      <c r="B1" s="589"/>
      <c r="C1" s="589"/>
      <c r="D1" s="590"/>
      <c r="E1" s="54"/>
      <c r="F1" s="54"/>
      <c r="G1" s="54"/>
      <c r="H1" s="54"/>
      <c r="I1" s="54"/>
      <c r="J1" s="54"/>
      <c r="K1" s="54"/>
      <c r="L1" s="54"/>
      <c r="M1" s="54"/>
      <c r="N1" s="54"/>
      <c r="O1" s="54"/>
      <c r="P1" s="54"/>
      <c r="Q1" s="54"/>
      <c r="R1" s="54"/>
      <c r="S1" s="54"/>
      <c r="T1" s="54"/>
      <c r="U1" s="54"/>
      <c r="V1" s="54"/>
      <c r="W1" s="54"/>
      <c r="X1" s="54"/>
      <c r="Y1" s="54"/>
      <c r="Z1" s="54"/>
    </row>
    <row r="2" spans="1:26" ht="18" customHeight="1">
      <c r="A2" s="591" t="s">
        <v>225</v>
      </c>
      <c r="B2" s="589"/>
      <c r="C2" s="589"/>
      <c r="D2" s="590"/>
      <c r="E2" s="54"/>
      <c r="F2" s="54"/>
      <c r="G2" s="54"/>
      <c r="H2" s="54"/>
      <c r="I2" s="54"/>
      <c r="J2" s="54"/>
      <c r="K2" s="54"/>
      <c r="L2" s="54"/>
      <c r="M2" s="54"/>
      <c r="N2" s="54"/>
      <c r="O2" s="54"/>
      <c r="P2" s="54"/>
      <c r="Q2" s="54"/>
      <c r="R2" s="54"/>
      <c r="S2" s="54"/>
      <c r="T2" s="54"/>
      <c r="U2" s="54"/>
      <c r="V2" s="54"/>
      <c r="W2" s="54"/>
      <c r="X2" s="54"/>
      <c r="Y2" s="54"/>
      <c r="Z2" s="54"/>
    </row>
    <row r="3" spans="1:26" ht="15.75" customHeight="1">
      <c r="A3" s="592" t="s">
        <v>226</v>
      </c>
      <c r="B3" s="589"/>
      <c r="C3" s="589"/>
      <c r="D3" s="590"/>
      <c r="E3" s="54"/>
      <c r="F3" s="54"/>
      <c r="G3" s="54"/>
      <c r="H3" s="54"/>
      <c r="I3" s="54"/>
      <c r="J3" s="54"/>
      <c r="K3" s="54"/>
      <c r="L3" s="54"/>
      <c r="M3" s="54"/>
      <c r="N3" s="54"/>
      <c r="O3" s="54"/>
      <c r="P3" s="54"/>
      <c r="Q3" s="54"/>
      <c r="R3" s="54"/>
      <c r="S3" s="54"/>
      <c r="T3" s="54"/>
      <c r="U3" s="54"/>
      <c r="V3" s="54"/>
      <c r="W3" s="54"/>
      <c r="X3" s="54"/>
      <c r="Y3" s="54"/>
      <c r="Z3" s="54"/>
    </row>
    <row r="4" spans="1:26" ht="11.25" customHeight="1">
      <c r="A4" s="593" t="s">
        <v>30</v>
      </c>
      <c r="B4" s="589"/>
      <c r="C4" s="589"/>
      <c r="D4" s="590"/>
      <c r="E4" s="54"/>
      <c r="F4" s="54"/>
      <c r="G4" s="54"/>
      <c r="H4" s="54"/>
      <c r="I4" s="54"/>
      <c r="J4" s="54"/>
      <c r="K4" s="54"/>
      <c r="L4" s="54"/>
      <c r="M4" s="54"/>
      <c r="N4" s="54"/>
      <c r="O4" s="54"/>
      <c r="P4" s="54"/>
      <c r="Q4" s="54"/>
      <c r="R4" s="54"/>
      <c r="S4" s="54"/>
      <c r="T4" s="54"/>
      <c r="U4" s="54"/>
      <c r="V4" s="54"/>
      <c r="W4" s="54"/>
      <c r="X4" s="54"/>
      <c r="Y4" s="54"/>
      <c r="Z4" s="54"/>
    </row>
    <row r="5" spans="1:26" ht="11.25" customHeight="1">
      <c r="A5" s="593" t="s">
        <v>31</v>
      </c>
      <c r="B5" s="589"/>
      <c r="C5" s="589"/>
      <c r="D5" s="590"/>
      <c r="E5" s="54"/>
      <c r="F5" s="54"/>
      <c r="G5" s="54"/>
      <c r="H5" s="54"/>
      <c r="I5" s="54"/>
      <c r="J5" s="54"/>
      <c r="K5" s="54"/>
      <c r="L5" s="54"/>
      <c r="M5" s="54"/>
      <c r="N5" s="54"/>
      <c r="O5" s="54"/>
      <c r="P5" s="54"/>
      <c r="Q5" s="54"/>
      <c r="R5" s="54"/>
      <c r="S5" s="54"/>
      <c r="T5" s="54"/>
      <c r="U5" s="54"/>
      <c r="V5" s="54"/>
      <c r="W5" s="54"/>
      <c r="X5" s="54"/>
      <c r="Y5" s="54"/>
      <c r="Z5" s="54"/>
    </row>
    <row r="6" spans="1:26" ht="11.25" customHeight="1">
      <c r="A6" s="594" t="s">
        <v>32</v>
      </c>
      <c r="B6" s="589"/>
      <c r="C6" s="589"/>
      <c r="D6" s="590"/>
      <c r="E6" s="54"/>
      <c r="F6" s="54"/>
      <c r="G6" s="54"/>
      <c r="H6" s="54"/>
      <c r="I6" s="54"/>
      <c r="J6" s="54"/>
      <c r="K6" s="54"/>
      <c r="L6" s="54"/>
      <c r="M6" s="54"/>
      <c r="N6" s="54"/>
      <c r="O6" s="54"/>
      <c r="P6" s="54"/>
      <c r="Q6" s="54"/>
      <c r="R6" s="54"/>
      <c r="S6" s="54"/>
      <c r="T6" s="54"/>
      <c r="U6" s="54"/>
      <c r="V6" s="54"/>
      <c r="W6" s="54"/>
      <c r="X6" s="54"/>
      <c r="Y6" s="54"/>
      <c r="Z6" s="54"/>
    </row>
    <row r="7" spans="1:26" ht="18.75" customHeight="1">
      <c r="A7" s="595" t="s">
        <v>33</v>
      </c>
      <c r="B7" s="589"/>
      <c r="C7" s="589"/>
      <c r="D7" s="590"/>
      <c r="E7" s="54"/>
      <c r="F7" s="54"/>
      <c r="G7" s="54"/>
      <c r="H7" s="54"/>
      <c r="I7" s="54"/>
      <c r="J7" s="54"/>
      <c r="K7" s="54"/>
      <c r="L7" s="54"/>
      <c r="M7" s="54"/>
      <c r="N7" s="54"/>
      <c r="O7" s="54"/>
      <c r="P7" s="54"/>
      <c r="Q7" s="54"/>
      <c r="R7" s="54"/>
      <c r="S7" s="54"/>
      <c r="T7" s="54"/>
      <c r="U7" s="54"/>
      <c r="V7" s="54"/>
      <c r="W7" s="54"/>
      <c r="X7" s="54"/>
      <c r="Y7" s="54"/>
      <c r="Z7" s="54"/>
    </row>
    <row r="8" spans="1:26" ht="72" customHeight="1">
      <c r="A8" s="596" t="s">
        <v>34</v>
      </c>
      <c r="B8" s="589"/>
      <c r="C8" s="589"/>
      <c r="D8" s="590"/>
      <c r="E8" s="54"/>
      <c r="F8" s="54"/>
      <c r="G8" s="54"/>
      <c r="H8" s="54"/>
      <c r="I8" s="54"/>
      <c r="J8" s="54"/>
      <c r="K8" s="54"/>
      <c r="L8" s="54"/>
      <c r="M8" s="54"/>
      <c r="N8" s="54"/>
      <c r="O8" s="54"/>
      <c r="P8" s="54"/>
      <c r="Q8" s="54"/>
      <c r="R8" s="54"/>
      <c r="S8" s="54"/>
      <c r="T8" s="54"/>
      <c r="U8" s="54"/>
      <c r="V8" s="54"/>
      <c r="W8" s="54"/>
      <c r="X8" s="54"/>
      <c r="Y8" s="54"/>
      <c r="Z8" s="54"/>
    </row>
    <row r="9" spans="1:26" ht="6.75" customHeight="1">
      <c r="A9" s="55"/>
      <c r="B9" s="55"/>
      <c r="C9" s="55"/>
      <c r="D9" s="56"/>
      <c r="E9" s="54"/>
      <c r="F9" s="54"/>
      <c r="G9" s="54"/>
      <c r="H9" s="54"/>
      <c r="I9" s="54"/>
      <c r="J9" s="54"/>
      <c r="K9" s="54"/>
      <c r="L9" s="54"/>
      <c r="M9" s="54"/>
      <c r="N9" s="54"/>
      <c r="O9" s="54"/>
      <c r="P9" s="54"/>
      <c r="Q9" s="54"/>
      <c r="R9" s="54"/>
      <c r="S9" s="54"/>
      <c r="T9" s="54"/>
      <c r="U9" s="54"/>
      <c r="V9" s="54"/>
      <c r="W9" s="54"/>
      <c r="X9" s="54"/>
      <c r="Y9" s="54"/>
      <c r="Z9" s="54"/>
    </row>
    <row r="10" spans="1:26" ht="11.25" customHeight="1">
      <c r="A10" s="597" t="s">
        <v>35</v>
      </c>
      <c r="B10" s="589"/>
      <c r="C10" s="589"/>
      <c r="D10" s="590"/>
      <c r="E10" s="54"/>
      <c r="F10" s="54"/>
      <c r="G10" s="54"/>
      <c r="H10" s="54"/>
      <c r="I10" s="54"/>
      <c r="J10" s="54"/>
      <c r="K10" s="54"/>
      <c r="L10" s="54"/>
      <c r="M10" s="54"/>
      <c r="N10" s="54"/>
      <c r="O10" s="54"/>
      <c r="P10" s="54"/>
      <c r="Q10" s="54"/>
      <c r="R10" s="54"/>
      <c r="S10" s="54"/>
      <c r="T10" s="54"/>
      <c r="U10" s="54"/>
      <c r="V10" s="54"/>
      <c r="W10" s="54"/>
      <c r="X10" s="54"/>
      <c r="Y10" s="54"/>
      <c r="Z10" s="54"/>
    </row>
    <row r="11" spans="1:26" ht="6.75" customHeight="1">
      <c r="A11" s="57"/>
      <c r="B11" s="58"/>
      <c r="C11" s="58"/>
      <c r="D11" s="59"/>
      <c r="E11" s="54"/>
      <c r="F11" s="54"/>
      <c r="G11" s="54"/>
      <c r="H11" s="54"/>
      <c r="I11" s="54"/>
      <c r="J11" s="54"/>
      <c r="K11" s="54"/>
      <c r="L11" s="54"/>
      <c r="M11" s="54"/>
      <c r="N11" s="54"/>
      <c r="O11" s="54"/>
      <c r="P11" s="54"/>
      <c r="Q11" s="54"/>
      <c r="R11" s="54"/>
      <c r="S11" s="54"/>
      <c r="T11" s="54"/>
      <c r="U11" s="54"/>
      <c r="V11" s="54"/>
      <c r="W11" s="54"/>
      <c r="X11" s="54"/>
      <c r="Y11" s="54"/>
      <c r="Z11" s="54"/>
    </row>
    <row r="12" spans="1:26" ht="36" customHeight="1">
      <c r="A12" s="596" t="s">
        <v>36</v>
      </c>
      <c r="B12" s="589"/>
      <c r="C12" s="589"/>
      <c r="D12" s="590"/>
      <c r="E12" s="54"/>
      <c r="F12" s="54"/>
      <c r="G12" s="54"/>
      <c r="H12" s="54"/>
      <c r="I12" s="54"/>
      <c r="J12" s="54"/>
      <c r="K12" s="54"/>
      <c r="L12" s="54"/>
      <c r="M12" s="54"/>
      <c r="N12" s="54"/>
      <c r="O12" s="54"/>
      <c r="P12" s="54"/>
      <c r="Q12" s="54"/>
      <c r="R12" s="54"/>
      <c r="S12" s="54"/>
      <c r="T12" s="54"/>
      <c r="U12" s="54"/>
      <c r="V12" s="54"/>
      <c r="W12" s="54"/>
      <c r="X12" s="54"/>
      <c r="Y12" s="54"/>
      <c r="Z12" s="54"/>
    </row>
    <row r="13" spans="1:26" ht="6.75" customHeight="1">
      <c r="A13" s="55"/>
      <c r="B13" s="55"/>
      <c r="C13" s="55"/>
      <c r="D13" s="56"/>
      <c r="E13" s="54"/>
      <c r="F13" s="54"/>
      <c r="G13" s="54"/>
      <c r="H13" s="54"/>
      <c r="I13" s="54"/>
      <c r="J13" s="54"/>
      <c r="K13" s="54"/>
      <c r="L13" s="54"/>
      <c r="M13" s="54"/>
      <c r="N13" s="54"/>
      <c r="O13" s="54"/>
      <c r="P13" s="54"/>
      <c r="Q13" s="54"/>
      <c r="R13" s="54"/>
      <c r="S13" s="54"/>
      <c r="T13" s="54"/>
      <c r="U13" s="54"/>
      <c r="V13" s="54"/>
      <c r="W13" s="54"/>
      <c r="X13" s="54"/>
      <c r="Y13" s="54"/>
      <c r="Z13" s="54"/>
    </row>
    <row r="14" spans="1:26" ht="48" customHeight="1">
      <c r="A14" s="596" t="s">
        <v>37</v>
      </c>
      <c r="B14" s="589"/>
      <c r="C14" s="589"/>
      <c r="D14" s="590"/>
      <c r="E14" s="54"/>
      <c r="F14" s="54"/>
      <c r="G14" s="54"/>
      <c r="H14" s="54"/>
      <c r="I14" s="54"/>
      <c r="J14" s="54"/>
      <c r="K14" s="54"/>
      <c r="L14" s="54"/>
      <c r="M14" s="54"/>
      <c r="N14" s="54"/>
      <c r="O14" s="54"/>
      <c r="P14" s="54"/>
      <c r="Q14" s="54"/>
      <c r="R14" s="54"/>
      <c r="S14" s="54"/>
      <c r="T14" s="54"/>
      <c r="U14" s="54"/>
      <c r="V14" s="54"/>
      <c r="W14" s="54"/>
      <c r="X14" s="54"/>
      <c r="Y14" s="54"/>
      <c r="Z14" s="54"/>
    </row>
    <row r="15" spans="1:26" ht="6.75" customHeight="1">
      <c r="A15" s="55"/>
      <c r="B15" s="55"/>
      <c r="C15" s="55"/>
      <c r="D15" s="56"/>
      <c r="E15" s="54"/>
      <c r="F15" s="54"/>
      <c r="G15" s="54"/>
      <c r="H15" s="54"/>
      <c r="I15" s="54"/>
      <c r="J15" s="54"/>
      <c r="K15" s="54"/>
      <c r="L15" s="54"/>
      <c r="M15" s="54"/>
      <c r="N15" s="54"/>
      <c r="O15" s="54"/>
      <c r="P15" s="54"/>
      <c r="Q15" s="54"/>
      <c r="R15" s="54"/>
      <c r="S15" s="54"/>
      <c r="T15" s="54"/>
      <c r="U15" s="54"/>
      <c r="V15" s="54"/>
      <c r="W15" s="54"/>
      <c r="X15" s="54"/>
      <c r="Y15" s="54"/>
      <c r="Z15" s="54"/>
    </row>
    <row r="16" spans="1:26" ht="48" customHeight="1">
      <c r="A16" s="596" t="s">
        <v>38</v>
      </c>
      <c r="B16" s="589"/>
      <c r="C16" s="589"/>
      <c r="D16" s="590"/>
      <c r="E16" s="54"/>
      <c r="F16" s="54"/>
      <c r="G16" s="54"/>
      <c r="H16" s="54"/>
      <c r="I16" s="54"/>
      <c r="J16" s="54"/>
      <c r="K16" s="54"/>
      <c r="L16" s="54"/>
      <c r="M16" s="54"/>
      <c r="N16" s="54"/>
      <c r="O16" s="54"/>
      <c r="P16" s="54"/>
      <c r="Q16" s="54"/>
      <c r="R16" s="54"/>
      <c r="S16" s="54"/>
      <c r="T16" s="54"/>
      <c r="U16" s="54"/>
      <c r="V16" s="54"/>
      <c r="W16" s="54"/>
      <c r="X16" s="54"/>
      <c r="Y16" s="54"/>
      <c r="Z16" s="54"/>
    </row>
    <row r="17" spans="1:26" ht="6.75" customHeight="1">
      <c r="A17" s="55"/>
      <c r="B17" s="55"/>
      <c r="C17" s="55"/>
      <c r="D17" s="56"/>
      <c r="E17" s="54"/>
      <c r="F17" s="54"/>
      <c r="G17" s="54"/>
      <c r="H17" s="54"/>
      <c r="I17" s="54"/>
      <c r="J17" s="54"/>
      <c r="K17" s="54"/>
      <c r="L17" s="54"/>
      <c r="M17" s="54"/>
      <c r="N17" s="54"/>
      <c r="O17" s="54"/>
      <c r="P17" s="54"/>
      <c r="Q17" s="54"/>
      <c r="R17" s="54"/>
      <c r="S17" s="54"/>
      <c r="T17" s="54"/>
      <c r="U17" s="54"/>
      <c r="V17" s="54"/>
      <c r="W17" s="54"/>
      <c r="X17" s="54"/>
      <c r="Y17" s="54"/>
      <c r="Z17" s="54"/>
    </row>
    <row r="18" spans="1:26" ht="36" customHeight="1">
      <c r="A18" s="596" t="s">
        <v>39</v>
      </c>
      <c r="B18" s="589"/>
      <c r="C18" s="589"/>
      <c r="D18" s="590"/>
      <c r="E18" s="54"/>
      <c r="F18" s="54"/>
      <c r="G18" s="54"/>
      <c r="H18" s="54"/>
      <c r="I18" s="54"/>
      <c r="J18" s="54"/>
      <c r="K18" s="54"/>
      <c r="L18" s="54"/>
      <c r="M18" s="54"/>
      <c r="N18" s="54"/>
      <c r="O18" s="54"/>
      <c r="P18" s="54"/>
      <c r="Q18" s="54"/>
      <c r="R18" s="54"/>
      <c r="S18" s="54"/>
      <c r="T18" s="54"/>
      <c r="U18" s="54"/>
      <c r="V18" s="54"/>
      <c r="W18" s="54"/>
      <c r="X18" s="54"/>
      <c r="Y18" s="54"/>
      <c r="Z18" s="54"/>
    </row>
    <row r="19" spans="1:26" ht="6.75" customHeight="1">
      <c r="A19" s="55"/>
      <c r="B19" s="55"/>
      <c r="C19" s="55"/>
      <c r="D19" s="56"/>
      <c r="E19" s="54"/>
      <c r="F19" s="54"/>
      <c r="G19" s="54"/>
      <c r="H19" s="54"/>
      <c r="I19" s="54"/>
      <c r="J19" s="54"/>
      <c r="K19" s="54"/>
      <c r="L19" s="54"/>
      <c r="M19" s="54"/>
      <c r="N19" s="54"/>
      <c r="O19" s="54"/>
      <c r="P19" s="54"/>
      <c r="Q19" s="54"/>
      <c r="R19" s="54"/>
      <c r="S19" s="54"/>
      <c r="T19" s="54"/>
      <c r="U19" s="54"/>
      <c r="V19" s="54"/>
      <c r="W19" s="54"/>
      <c r="X19" s="54"/>
      <c r="Y19" s="54"/>
      <c r="Z19" s="54"/>
    </row>
    <row r="20" spans="1:26" ht="15" customHeight="1">
      <c r="A20" s="598" t="s">
        <v>40</v>
      </c>
      <c r="B20" s="589"/>
      <c r="C20" s="589"/>
      <c r="D20" s="590"/>
      <c r="E20" s="54"/>
      <c r="F20" s="54"/>
      <c r="G20" s="54"/>
      <c r="H20" s="54"/>
      <c r="I20" s="54"/>
      <c r="J20" s="54"/>
      <c r="K20" s="54"/>
      <c r="L20" s="54"/>
      <c r="M20" s="54"/>
      <c r="N20" s="54"/>
      <c r="O20" s="54"/>
      <c r="P20" s="54"/>
      <c r="Q20" s="54"/>
      <c r="R20" s="54"/>
      <c r="S20" s="54"/>
      <c r="T20" s="54"/>
      <c r="U20" s="54"/>
      <c r="V20" s="54"/>
      <c r="W20" s="54"/>
      <c r="X20" s="54"/>
      <c r="Y20" s="54"/>
      <c r="Z20" s="54"/>
    </row>
    <row r="21" spans="1:26" ht="6" customHeight="1">
      <c r="A21" s="60"/>
      <c r="B21" s="61"/>
      <c r="C21" s="61"/>
      <c r="D21" s="62"/>
      <c r="E21" s="54"/>
      <c r="F21" s="54"/>
      <c r="G21" s="54"/>
      <c r="H21" s="54"/>
      <c r="I21" s="54"/>
      <c r="J21" s="54"/>
      <c r="K21" s="54"/>
      <c r="L21" s="54"/>
      <c r="M21" s="54"/>
      <c r="N21" s="54"/>
      <c r="O21" s="54"/>
      <c r="P21" s="54"/>
      <c r="Q21" s="54"/>
      <c r="R21" s="54"/>
      <c r="S21" s="54"/>
      <c r="T21" s="54"/>
      <c r="U21" s="54"/>
      <c r="V21" s="54"/>
      <c r="W21" s="54"/>
      <c r="X21" s="54"/>
      <c r="Y21" s="54"/>
      <c r="Z21" s="54"/>
    </row>
    <row r="22" spans="1:26" ht="11.25" customHeight="1">
      <c r="A22" s="63" t="s">
        <v>41</v>
      </c>
      <c r="B22" s="64"/>
      <c r="C22" s="65" t="s">
        <v>42</v>
      </c>
      <c r="D22" s="290">
        <f>'Proposed Rates'!G8</f>
        <v>41.1</v>
      </c>
      <c r="E22" s="54"/>
      <c r="F22" s="54"/>
      <c r="G22" s="54"/>
      <c r="H22" s="54"/>
      <c r="I22" s="54"/>
      <c r="J22" s="54"/>
      <c r="K22" s="54"/>
      <c r="L22" s="54"/>
      <c r="M22" s="54"/>
      <c r="N22" s="54"/>
      <c r="O22" s="54"/>
      <c r="P22" s="54"/>
      <c r="Q22" s="54"/>
      <c r="R22" s="54"/>
      <c r="S22" s="54"/>
      <c r="T22" s="54"/>
      <c r="U22" s="54"/>
      <c r="V22" s="54"/>
      <c r="W22" s="54"/>
      <c r="X22" s="54"/>
      <c r="Y22" s="54"/>
      <c r="Z22" s="54"/>
    </row>
    <row r="23" spans="1:26" ht="11.25" customHeight="1">
      <c r="A23" s="599" t="s">
        <v>43</v>
      </c>
      <c r="B23" s="600"/>
      <c r="C23" s="67" t="s">
        <v>42</v>
      </c>
      <c r="D23" s="68">
        <f>'Proposed Rates'!G129</f>
        <v>1.84</v>
      </c>
      <c r="E23" s="54"/>
      <c r="F23" s="54"/>
      <c r="G23" s="54"/>
      <c r="H23" s="54"/>
      <c r="I23" s="54"/>
      <c r="J23" s="54"/>
      <c r="K23" s="54"/>
      <c r="L23" s="54"/>
      <c r="M23" s="54"/>
      <c r="N23" s="54"/>
      <c r="O23" s="54"/>
      <c r="P23" s="54"/>
      <c r="Q23" s="54"/>
      <c r="R23" s="54"/>
      <c r="S23" s="54"/>
      <c r="T23" s="54"/>
      <c r="U23" s="54"/>
      <c r="V23" s="54"/>
      <c r="W23" s="54"/>
      <c r="X23" s="54"/>
      <c r="Y23" s="54"/>
      <c r="Z23" s="54"/>
    </row>
    <row r="24" spans="1:26" ht="15" customHeight="1">
      <c r="A24" s="63" t="s">
        <v>44</v>
      </c>
      <c r="B24" s="64"/>
      <c r="C24" s="65" t="s">
        <v>42</v>
      </c>
      <c r="D24" s="291">
        <f>'Proposed Rates'!G90</f>
        <v>0</v>
      </c>
      <c r="E24" s="54"/>
      <c r="F24" s="54"/>
      <c r="G24" s="54"/>
      <c r="H24" s="54"/>
      <c r="I24" s="54"/>
      <c r="J24" s="54"/>
      <c r="K24" s="54"/>
      <c r="L24" s="54"/>
      <c r="M24" s="54"/>
      <c r="N24" s="54"/>
      <c r="O24" s="54"/>
      <c r="P24" s="54"/>
      <c r="Q24" s="54"/>
      <c r="R24" s="54"/>
      <c r="S24" s="54"/>
      <c r="T24" s="54"/>
      <c r="U24" s="54"/>
      <c r="V24" s="54"/>
      <c r="W24" s="54"/>
      <c r="X24" s="54"/>
      <c r="Y24" s="54"/>
      <c r="Z24" s="54"/>
    </row>
    <row r="25" spans="1:26" ht="15" customHeight="1">
      <c r="A25" s="63" t="s">
        <v>45</v>
      </c>
      <c r="B25" s="64"/>
      <c r="C25" s="65" t="s">
        <v>42</v>
      </c>
      <c r="D25" s="291">
        <f>'Proposed Rates'!G64</f>
        <v>0</v>
      </c>
      <c r="E25" s="54"/>
      <c r="F25" s="54"/>
      <c r="G25" s="54"/>
      <c r="H25" s="54"/>
      <c r="I25" s="54"/>
      <c r="J25" s="54"/>
      <c r="K25" s="54"/>
      <c r="L25" s="54"/>
      <c r="M25" s="54"/>
      <c r="N25" s="54"/>
      <c r="O25" s="54"/>
      <c r="P25" s="54"/>
      <c r="Q25" s="54"/>
      <c r="R25" s="54"/>
      <c r="S25" s="54"/>
      <c r="T25" s="54"/>
      <c r="U25" s="54"/>
      <c r="V25" s="54"/>
      <c r="W25" s="54"/>
      <c r="X25" s="54"/>
      <c r="Y25" s="54"/>
      <c r="Z25" s="54"/>
    </row>
    <row r="26" spans="1:26" ht="11.25" customHeight="1">
      <c r="A26" s="63" t="s">
        <v>46</v>
      </c>
      <c r="B26" s="64"/>
      <c r="C26" s="65" t="s">
        <v>42</v>
      </c>
      <c r="D26" s="292">
        <f>'Proposed Rates'!G280</f>
        <v>0.42</v>
      </c>
      <c r="E26" s="54"/>
      <c r="F26" s="54"/>
      <c r="G26" s="54"/>
      <c r="H26" s="54"/>
      <c r="I26" s="54"/>
      <c r="J26" s="54"/>
      <c r="K26" s="54"/>
      <c r="L26" s="54"/>
      <c r="M26" s="54"/>
      <c r="N26" s="54"/>
      <c r="O26" s="54"/>
      <c r="P26" s="54"/>
      <c r="Q26" s="54"/>
      <c r="R26" s="54"/>
      <c r="S26" s="54"/>
      <c r="T26" s="54"/>
      <c r="U26" s="54"/>
      <c r="V26" s="54"/>
      <c r="W26" s="54"/>
      <c r="X26" s="54"/>
      <c r="Y26" s="54"/>
      <c r="Z26" s="54"/>
    </row>
    <row r="27" spans="1:26" ht="11.25" customHeight="1">
      <c r="A27" s="63" t="s">
        <v>47</v>
      </c>
      <c r="B27" s="64"/>
      <c r="C27" s="65" t="s">
        <v>48</v>
      </c>
      <c r="D27" s="293">
        <f>'Proposed Rates'!G267</f>
        <v>6.9999999999999994E-5</v>
      </c>
      <c r="E27" s="54"/>
      <c r="F27" s="54"/>
      <c r="G27" s="54"/>
      <c r="H27" s="54"/>
      <c r="I27" s="54"/>
      <c r="J27" s="54"/>
      <c r="K27" s="54"/>
      <c r="L27" s="54"/>
      <c r="M27" s="54"/>
      <c r="N27" s="54"/>
      <c r="O27" s="54"/>
      <c r="P27" s="54"/>
      <c r="Q27" s="54"/>
      <c r="R27" s="54"/>
      <c r="S27" s="54"/>
      <c r="T27" s="54"/>
      <c r="U27" s="54"/>
      <c r="V27" s="54"/>
      <c r="W27" s="54"/>
      <c r="X27" s="54"/>
      <c r="Y27" s="54"/>
      <c r="Z27" s="54"/>
    </row>
    <row r="28" spans="1:26" ht="15" customHeight="1">
      <c r="A28" s="63" t="s">
        <v>49</v>
      </c>
      <c r="B28" s="64"/>
      <c r="C28" s="65" t="s">
        <v>48</v>
      </c>
      <c r="D28" s="291">
        <f>'Proposed Rates'!G37</f>
        <v>0</v>
      </c>
      <c r="E28" s="54"/>
      <c r="F28" s="54"/>
      <c r="G28" s="54"/>
      <c r="H28" s="54"/>
      <c r="I28" s="54"/>
      <c r="J28" s="54"/>
      <c r="K28" s="54"/>
      <c r="L28" s="54"/>
      <c r="M28" s="54"/>
      <c r="N28" s="54"/>
      <c r="O28" s="54"/>
      <c r="P28" s="54"/>
      <c r="Q28" s="54"/>
      <c r="R28" s="54"/>
      <c r="S28" s="54"/>
      <c r="T28" s="54"/>
      <c r="U28" s="54"/>
      <c r="V28" s="54"/>
      <c r="W28" s="54"/>
      <c r="X28" s="54"/>
      <c r="Y28" s="54"/>
      <c r="Z28" s="54"/>
    </row>
    <row r="29" spans="1:26" ht="15" customHeight="1">
      <c r="A29" s="63" t="s">
        <v>227</v>
      </c>
      <c r="B29" s="64"/>
      <c r="C29" s="65" t="s">
        <v>48</v>
      </c>
      <c r="D29" s="291">
        <f>'Proposed Rates'!G145</f>
        <v>4.4999999999999997E-3</v>
      </c>
      <c r="E29" s="54"/>
      <c r="F29" s="54"/>
      <c r="G29" s="54"/>
      <c r="H29" s="54"/>
      <c r="I29" s="54"/>
      <c r="J29" s="54"/>
      <c r="K29" s="54"/>
      <c r="L29" s="54"/>
      <c r="M29" s="54"/>
      <c r="N29" s="54"/>
      <c r="O29" s="54"/>
      <c r="P29" s="54"/>
      <c r="Q29" s="54"/>
      <c r="R29" s="54"/>
      <c r="S29" s="54"/>
      <c r="T29" s="54"/>
      <c r="U29" s="54"/>
      <c r="V29" s="54"/>
      <c r="W29" s="54"/>
      <c r="X29" s="54"/>
      <c r="Y29" s="54"/>
      <c r="Z29" s="54"/>
    </row>
    <row r="30" spans="1:26" ht="11.25" customHeight="1">
      <c r="A30" s="63" t="s">
        <v>52</v>
      </c>
      <c r="B30" s="64"/>
      <c r="C30" s="65" t="s">
        <v>48</v>
      </c>
      <c r="D30" s="291">
        <f>'Proposed Rates'!G186</f>
        <v>1.38E-2</v>
      </c>
      <c r="E30" s="54"/>
      <c r="F30" s="54"/>
      <c r="G30" s="54"/>
      <c r="H30" s="54"/>
      <c r="I30" s="54"/>
      <c r="J30" s="54"/>
      <c r="K30" s="54"/>
      <c r="L30" s="54"/>
      <c r="M30" s="54"/>
      <c r="N30" s="54"/>
      <c r="O30" s="54"/>
      <c r="P30" s="54"/>
      <c r="Q30" s="54"/>
      <c r="R30" s="54"/>
      <c r="S30" s="54"/>
      <c r="T30" s="54"/>
      <c r="U30" s="54"/>
      <c r="V30" s="54"/>
      <c r="W30" s="54"/>
      <c r="X30" s="54"/>
      <c r="Y30" s="54"/>
      <c r="Z30" s="54"/>
    </row>
    <row r="31" spans="1:26" ht="11.25" customHeight="1">
      <c r="A31" s="63" t="s">
        <v>53</v>
      </c>
      <c r="B31" s="64"/>
      <c r="C31" s="65" t="s">
        <v>48</v>
      </c>
      <c r="D31" s="291">
        <f>'Proposed Rates'!G201</f>
        <v>7.7999999999999996E-3</v>
      </c>
      <c r="E31" s="54"/>
      <c r="F31" s="54"/>
      <c r="G31" s="54"/>
      <c r="H31" s="54"/>
      <c r="I31" s="54"/>
      <c r="J31" s="54"/>
      <c r="K31" s="54"/>
      <c r="L31" s="54"/>
      <c r="M31" s="54"/>
      <c r="N31" s="54"/>
      <c r="O31" s="54"/>
      <c r="P31" s="54"/>
      <c r="Q31" s="54"/>
      <c r="R31" s="54"/>
      <c r="S31" s="54"/>
      <c r="T31" s="54"/>
      <c r="U31" s="54"/>
      <c r="V31" s="54"/>
      <c r="W31" s="54"/>
      <c r="X31" s="54"/>
      <c r="Y31" s="54"/>
      <c r="Z31" s="54"/>
    </row>
    <row r="32" spans="1:26" ht="6.75" customHeight="1">
      <c r="A32" s="65"/>
      <c r="B32" s="65"/>
      <c r="C32" s="65"/>
      <c r="D32" s="74"/>
      <c r="E32" s="54"/>
      <c r="F32" s="54"/>
      <c r="G32" s="54"/>
      <c r="H32" s="54"/>
      <c r="I32" s="54"/>
      <c r="J32" s="54"/>
      <c r="K32" s="54"/>
      <c r="L32" s="54"/>
      <c r="M32" s="54"/>
      <c r="N32" s="54"/>
      <c r="O32" s="54"/>
      <c r="P32" s="54"/>
      <c r="Q32" s="54"/>
      <c r="R32" s="54"/>
      <c r="S32" s="54"/>
      <c r="T32" s="54"/>
      <c r="U32" s="54"/>
      <c r="V32" s="54"/>
      <c r="W32" s="54"/>
      <c r="X32" s="54"/>
      <c r="Y32" s="54"/>
      <c r="Z32" s="54"/>
    </row>
    <row r="33" spans="1:26" ht="15" customHeight="1">
      <c r="A33" s="75" t="s">
        <v>54</v>
      </c>
      <c r="B33" s="64"/>
      <c r="C33" s="65"/>
      <c r="D33" s="74"/>
      <c r="E33" s="54"/>
      <c r="F33" s="54"/>
      <c r="G33" s="54"/>
      <c r="H33" s="54"/>
      <c r="I33" s="54"/>
      <c r="J33" s="54"/>
      <c r="K33" s="54"/>
      <c r="L33" s="54"/>
      <c r="M33" s="54"/>
      <c r="N33" s="54"/>
      <c r="O33" s="54"/>
      <c r="P33" s="54"/>
      <c r="Q33" s="54"/>
      <c r="R33" s="54"/>
      <c r="S33" s="54"/>
      <c r="T33" s="54"/>
      <c r="U33" s="54"/>
      <c r="V33" s="54"/>
      <c r="W33" s="54"/>
      <c r="X33" s="54"/>
      <c r="Y33" s="54"/>
      <c r="Z33" s="54"/>
    </row>
    <row r="34" spans="1:26" ht="6.75" customHeight="1">
      <c r="A34" s="60"/>
      <c r="B34" s="65"/>
      <c r="C34" s="65"/>
      <c r="D34" s="74"/>
      <c r="E34" s="54"/>
      <c r="F34" s="54"/>
      <c r="G34" s="54"/>
      <c r="H34" s="54"/>
      <c r="I34" s="54"/>
      <c r="J34" s="54"/>
      <c r="K34" s="54"/>
      <c r="L34" s="54"/>
      <c r="M34" s="54"/>
      <c r="N34" s="54"/>
      <c r="O34" s="54"/>
      <c r="P34" s="54"/>
      <c r="Q34" s="54"/>
      <c r="R34" s="54"/>
      <c r="S34" s="54"/>
      <c r="T34" s="54"/>
      <c r="U34" s="54"/>
      <c r="V34" s="54"/>
      <c r="W34" s="54"/>
      <c r="X34" s="54"/>
      <c r="Y34" s="54"/>
      <c r="Z34" s="54"/>
    </row>
    <row r="35" spans="1:26" ht="11.25" customHeight="1">
      <c r="A35" s="63" t="s">
        <v>55</v>
      </c>
      <c r="B35" s="64"/>
      <c r="C35" s="65" t="s">
        <v>48</v>
      </c>
      <c r="D35" s="74">
        <v>4.1000000000000003E-3</v>
      </c>
      <c r="E35" s="54"/>
      <c r="F35" s="54"/>
      <c r="G35" s="54"/>
      <c r="H35" s="54"/>
      <c r="I35" s="54"/>
      <c r="J35" s="54"/>
      <c r="K35" s="54"/>
      <c r="L35" s="54"/>
      <c r="M35" s="54"/>
      <c r="N35" s="54"/>
      <c r="O35" s="54"/>
      <c r="P35" s="54"/>
      <c r="Q35" s="54"/>
      <c r="R35" s="54"/>
      <c r="S35" s="54"/>
      <c r="T35" s="54"/>
      <c r="U35" s="54"/>
      <c r="V35" s="54"/>
      <c r="W35" s="54"/>
      <c r="X35" s="54"/>
      <c r="Y35" s="54"/>
      <c r="Z35" s="54"/>
    </row>
    <row r="36" spans="1:26" ht="11.25" customHeight="1">
      <c r="A36" s="63" t="s">
        <v>56</v>
      </c>
      <c r="B36" s="64"/>
      <c r="C36" s="65" t="s">
        <v>48</v>
      </c>
      <c r="D36" s="69">
        <f>'Proposed Rates'!G216-'2026'!D37</f>
        <v>5.9999999999999984E-4</v>
      </c>
      <c r="E36" s="54"/>
      <c r="F36" s="54"/>
      <c r="G36" s="54"/>
      <c r="H36" s="54"/>
      <c r="I36" s="54"/>
      <c r="J36" s="54"/>
      <c r="K36" s="54"/>
      <c r="L36" s="54"/>
      <c r="M36" s="54"/>
      <c r="N36" s="54"/>
      <c r="O36" s="54"/>
      <c r="P36" s="54"/>
      <c r="Q36" s="54"/>
      <c r="R36" s="54"/>
      <c r="S36" s="54"/>
      <c r="T36" s="54"/>
      <c r="U36" s="54"/>
      <c r="V36" s="54"/>
      <c r="W36" s="54"/>
      <c r="X36" s="54"/>
      <c r="Y36" s="54"/>
      <c r="Z36" s="54"/>
    </row>
    <row r="37" spans="1:26" ht="11.25" customHeight="1">
      <c r="A37" s="63" t="s">
        <v>57</v>
      </c>
      <c r="B37" s="64"/>
      <c r="C37" s="65" t="s">
        <v>48</v>
      </c>
      <c r="D37" s="69">
        <f>'Proposed Rates'!G229</f>
        <v>5.9999999999999995E-4</v>
      </c>
      <c r="E37" s="54"/>
      <c r="F37" s="54"/>
      <c r="G37" s="54"/>
      <c r="H37" s="54"/>
      <c r="I37" s="54"/>
      <c r="J37" s="54"/>
      <c r="K37" s="54"/>
      <c r="L37" s="54"/>
      <c r="M37" s="54"/>
      <c r="N37" s="54"/>
      <c r="O37" s="54"/>
      <c r="P37" s="54"/>
      <c r="Q37" s="54"/>
      <c r="R37" s="54"/>
      <c r="S37" s="54"/>
      <c r="T37" s="54"/>
      <c r="U37" s="54"/>
      <c r="V37" s="54"/>
      <c r="W37" s="54"/>
      <c r="X37" s="54"/>
      <c r="Y37" s="54"/>
      <c r="Z37" s="54"/>
    </row>
    <row r="38" spans="1:26" ht="11.25" customHeight="1">
      <c r="A38" s="63" t="s">
        <v>58</v>
      </c>
      <c r="B38" s="64"/>
      <c r="C38" s="65" t="s">
        <v>42</v>
      </c>
      <c r="D38" s="69">
        <f>'Proposed Rates'!G243</f>
        <v>0.25</v>
      </c>
      <c r="E38" s="54"/>
      <c r="F38" s="54"/>
      <c r="G38" s="54"/>
      <c r="H38" s="54"/>
      <c r="I38" s="54"/>
      <c r="J38" s="54"/>
      <c r="K38" s="54"/>
      <c r="L38" s="54"/>
      <c r="M38" s="54"/>
      <c r="N38" s="54"/>
      <c r="O38" s="54"/>
      <c r="P38" s="54"/>
      <c r="Q38" s="54"/>
      <c r="R38" s="54"/>
      <c r="S38" s="54"/>
      <c r="T38" s="54"/>
      <c r="U38" s="54"/>
      <c r="V38" s="54"/>
      <c r="W38" s="54"/>
      <c r="X38" s="54"/>
      <c r="Y38" s="54"/>
      <c r="Z38" s="54"/>
    </row>
    <row r="39" spans="1:26" ht="4.5" customHeight="1">
      <c r="A39" s="63"/>
      <c r="B39" s="64"/>
      <c r="C39" s="65"/>
      <c r="D39" s="74"/>
      <c r="E39" s="54"/>
      <c r="F39" s="54"/>
      <c r="G39" s="54"/>
      <c r="H39" s="54"/>
      <c r="I39" s="54"/>
      <c r="J39" s="54"/>
      <c r="K39" s="54"/>
      <c r="L39" s="54"/>
      <c r="M39" s="54"/>
      <c r="N39" s="54"/>
      <c r="O39" s="54"/>
      <c r="P39" s="54"/>
      <c r="Q39" s="54"/>
      <c r="R39" s="54"/>
      <c r="S39" s="54"/>
      <c r="T39" s="54"/>
      <c r="U39" s="54"/>
      <c r="V39" s="54"/>
      <c r="W39" s="54"/>
      <c r="X39" s="54"/>
      <c r="Y39" s="54"/>
      <c r="Z39" s="54"/>
    </row>
    <row r="40" spans="1:26" ht="23.25" customHeight="1">
      <c r="A40" s="588" t="str">
        <f>$A$1</f>
        <v>Hydro Ottawa Limited</v>
      </c>
      <c r="B40" s="589"/>
      <c r="C40" s="589"/>
      <c r="D40" s="590"/>
      <c r="E40" s="54"/>
      <c r="F40" s="54"/>
      <c r="G40" s="54"/>
      <c r="H40" s="54"/>
      <c r="I40" s="54"/>
      <c r="J40" s="54"/>
      <c r="K40" s="54"/>
      <c r="L40" s="54"/>
      <c r="M40" s="54"/>
      <c r="N40" s="54"/>
      <c r="O40" s="54"/>
      <c r="P40" s="54"/>
      <c r="Q40" s="54"/>
      <c r="R40" s="54"/>
      <c r="S40" s="54"/>
      <c r="T40" s="54"/>
      <c r="U40" s="54"/>
      <c r="V40" s="54"/>
      <c r="W40" s="54"/>
      <c r="X40" s="54"/>
      <c r="Y40" s="54"/>
      <c r="Z40" s="54"/>
    </row>
    <row r="41" spans="1:26" ht="18" customHeight="1">
      <c r="A41" s="591" t="str">
        <f>$A$2</f>
        <v>PROPOSED - TARIFF OF RATES AND CHARGES</v>
      </c>
      <c r="B41" s="589"/>
      <c r="C41" s="589"/>
      <c r="D41" s="590"/>
      <c r="E41" s="54"/>
      <c r="F41" s="54"/>
      <c r="G41" s="54"/>
      <c r="H41" s="54"/>
      <c r="I41" s="54"/>
      <c r="J41" s="54"/>
      <c r="K41" s="54"/>
      <c r="L41" s="54"/>
      <c r="M41" s="54"/>
      <c r="N41" s="54"/>
      <c r="O41" s="54"/>
      <c r="P41" s="54"/>
      <c r="Q41" s="54"/>
      <c r="R41" s="54"/>
      <c r="S41" s="54"/>
      <c r="T41" s="54"/>
      <c r="U41" s="54"/>
      <c r="V41" s="54"/>
      <c r="W41" s="54"/>
      <c r="X41" s="54"/>
      <c r="Y41" s="54"/>
      <c r="Z41" s="54"/>
    </row>
    <row r="42" spans="1:26" ht="15.75" customHeight="1">
      <c r="A42" s="592" t="str">
        <f>$A$3</f>
        <v>Effective and Implementation Date January 1, 2027</v>
      </c>
      <c r="B42" s="589"/>
      <c r="C42" s="589"/>
      <c r="D42" s="590"/>
      <c r="E42" s="54"/>
      <c r="F42" s="54"/>
      <c r="G42" s="54"/>
      <c r="H42" s="54"/>
      <c r="I42" s="54"/>
      <c r="J42" s="54"/>
      <c r="K42" s="54"/>
      <c r="L42" s="54"/>
      <c r="M42" s="54"/>
      <c r="N42" s="54"/>
      <c r="O42" s="54"/>
      <c r="P42" s="54"/>
      <c r="Q42" s="54"/>
      <c r="R42" s="54"/>
      <c r="S42" s="54"/>
      <c r="T42" s="54"/>
      <c r="U42" s="54"/>
      <c r="V42" s="54"/>
      <c r="W42" s="54"/>
      <c r="X42" s="54"/>
      <c r="Y42" s="54"/>
      <c r="Z42" s="54"/>
    </row>
    <row r="43" spans="1:26" ht="11.25" customHeight="1">
      <c r="A43" s="593" t="str">
        <f>$A$4</f>
        <v>This schedule supersedes and replaces all previously</v>
      </c>
      <c r="B43" s="589"/>
      <c r="C43" s="589"/>
      <c r="D43" s="590"/>
      <c r="E43" s="54"/>
      <c r="F43" s="54"/>
      <c r="G43" s="54"/>
      <c r="H43" s="54"/>
      <c r="I43" s="54"/>
      <c r="J43" s="54"/>
      <c r="K43" s="54"/>
      <c r="L43" s="54"/>
      <c r="M43" s="54"/>
      <c r="N43" s="54"/>
      <c r="O43" s="54"/>
      <c r="P43" s="54"/>
      <c r="Q43" s="54"/>
      <c r="R43" s="54"/>
      <c r="S43" s="54"/>
      <c r="T43" s="54"/>
      <c r="U43" s="54"/>
      <c r="V43" s="54"/>
      <c r="W43" s="54"/>
      <c r="X43" s="54"/>
      <c r="Y43" s="54"/>
      <c r="Z43" s="54"/>
    </row>
    <row r="44" spans="1:26" ht="11.25" customHeight="1">
      <c r="A44" s="593" t="str">
        <f>$A$5</f>
        <v>approved schedules of Rates, Charges and Loss Factors</v>
      </c>
      <c r="B44" s="589"/>
      <c r="C44" s="589"/>
      <c r="D44" s="590"/>
      <c r="E44" s="54"/>
      <c r="F44" s="54"/>
      <c r="G44" s="54"/>
      <c r="H44" s="54"/>
      <c r="I44" s="54"/>
      <c r="J44" s="54"/>
      <c r="K44" s="54"/>
      <c r="L44" s="54"/>
      <c r="M44" s="54"/>
      <c r="N44" s="54"/>
      <c r="O44" s="54"/>
      <c r="P44" s="54"/>
      <c r="Q44" s="54"/>
      <c r="R44" s="54"/>
      <c r="S44" s="54"/>
      <c r="T44" s="54"/>
      <c r="U44" s="54"/>
      <c r="V44" s="54"/>
      <c r="W44" s="54"/>
      <c r="X44" s="54"/>
      <c r="Y44" s="54"/>
      <c r="Z44" s="54"/>
    </row>
    <row r="45" spans="1:26" ht="11.25" customHeight="1">
      <c r="A45" s="594" t="str">
        <f>$A$6</f>
        <v>EB-2024-0115</v>
      </c>
      <c r="B45" s="589"/>
      <c r="C45" s="589"/>
      <c r="D45" s="590"/>
      <c r="E45" s="54"/>
      <c r="F45" s="54"/>
      <c r="G45" s="54"/>
      <c r="H45" s="54"/>
      <c r="I45" s="54"/>
      <c r="J45" s="54"/>
      <c r="K45" s="54"/>
      <c r="L45" s="54"/>
      <c r="M45" s="54"/>
      <c r="N45" s="54"/>
      <c r="O45" s="54"/>
      <c r="P45" s="54"/>
      <c r="Q45" s="54"/>
      <c r="R45" s="54"/>
      <c r="S45" s="54"/>
      <c r="T45" s="54"/>
      <c r="U45" s="54"/>
      <c r="V45" s="54"/>
      <c r="W45" s="54"/>
      <c r="X45" s="54"/>
      <c r="Y45" s="54"/>
      <c r="Z45" s="54"/>
    </row>
    <row r="46" spans="1:26" ht="15.75" customHeight="1">
      <c r="A46" s="595" t="s">
        <v>59</v>
      </c>
      <c r="B46" s="589"/>
      <c r="C46" s="589"/>
      <c r="D46" s="590"/>
      <c r="E46" s="54"/>
      <c r="F46" s="54"/>
      <c r="G46" s="54"/>
      <c r="H46" s="54"/>
      <c r="I46" s="54"/>
      <c r="J46" s="54"/>
      <c r="K46" s="54"/>
      <c r="L46" s="54"/>
      <c r="M46" s="54"/>
      <c r="N46" s="54"/>
      <c r="O46" s="54"/>
      <c r="P46" s="54"/>
      <c r="Q46" s="54"/>
      <c r="R46" s="54"/>
      <c r="S46" s="54"/>
      <c r="T46" s="54"/>
      <c r="U46" s="54"/>
      <c r="V46" s="54"/>
      <c r="W46" s="54"/>
      <c r="X46" s="54"/>
      <c r="Y46" s="54"/>
      <c r="Z46" s="54"/>
    </row>
    <row r="47" spans="1:26" ht="48" customHeight="1">
      <c r="A47" s="596" t="s">
        <v>60</v>
      </c>
      <c r="B47" s="589"/>
      <c r="C47" s="589"/>
      <c r="D47" s="590"/>
      <c r="E47" s="54"/>
      <c r="F47" s="54"/>
      <c r="G47" s="54"/>
      <c r="H47" s="54"/>
      <c r="I47" s="54"/>
      <c r="J47" s="54"/>
      <c r="K47" s="54"/>
      <c r="L47" s="54"/>
      <c r="M47" s="54"/>
      <c r="N47" s="54"/>
      <c r="O47" s="54"/>
      <c r="P47" s="54"/>
      <c r="Q47" s="54"/>
      <c r="R47" s="54"/>
      <c r="S47" s="54"/>
      <c r="T47" s="54"/>
      <c r="U47" s="54"/>
      <c r="V47" s="54"/>
      <c r="W47" s="54"/>
      <c r="X47" s="54"/>
      <c r="Y47" s="54"/>
      <c r="Z47" s="54"/>
    </row>
    <row r="48" spans="1:26" ht="6.75" customHeight="1">
      <c r="A48" s="55"/>
      <c r="B48" s="55"/>
      <c r="C48" s="55"/>
      <c r="D48" s="56"/>
      <c r="E48" s="54"/>
      <c r="F48" s="54"/>
      <c r="G48" s="54"/>
      <c r="H48" s="54"/>
      <c r="I48" s="54"/>
      <c r="J48" s="54"/>
      <c r="K48" s="54"/>
      <c r="L48" s="54"/>
      <c r="M48" s="54"/>
      <c r="N48" s="54"/>
      <c r="O48" s="54"/>
      <c r="P48" s="54"/>
      <c r="Q48" s="54"/>
      <c r="R48" s="54"/>
      <c r="S48" s="54"/>
      <c r="T48" s="54"/>
      <c r="U48" s="54"/>
      <c r="V48" s="54"/>
      <c r="W48" s="54"/>
      <c r="X48" s="54"/>
      <c r="Y48" s="54"/>
      <c r="Z48" s="54"/>
    </row>
    <row r="49" spans="1:26" ht="11.25" customHeight="1">
      <c r="A49" s="597" t="s">
        <v>35</v>
      </c>
      <c r="B49" s="589"/>
      <c r="C49" s="589"/>
      <c r="D49" s="590"/>
      <c r="E49" s="54"/>
      <c r="F49" s="54"/>
      <c r="G49" s="54"/>
      <c r="H49" s="54"/>
      <c r="I49" s="54"/>
      <c r="J49" s="54"/>
      <c r="K49" s="54"/>
      <c r="L49" s="54"/>
      <c r="M49" s="54"/>
      <c r="N49" s="54"/>
      <c r="O49" s="54"/>
      <c r="P49" s="54"/>
      <c r="Q49" s="54"/>
      <c r="R49" s="54"/>
      <c r="S49" s="54"/>
      <c r="T49" s="54"/>
      <c r="U49" s="54"/>
      <c r="V49" s="54"/>
      <c r="W49" s="54"/>
      <c r="X49" s="54"/>
      <c r="Y49" s="54"/>
      <c r="Z49" s="54"/>
    </row>
    <row r="50" spans="1:26" ht="6.75" customHeight="1">
      <c r="A50" s="57"/>
      <c r="B50" s="58"/>
      <c r="C50" s="58"/>
      <c r="D50" s="59"/>
      <c r="E50" s="54"/>
      <c r="F50" s="54"/>
      <c r="G50" s="54"/>
      <c r="H50" s="54"/>
      <c r="I50" s="54"/>
      <c r="J50" s="54"/>
      <c r="K50" s="54"/>
      <c r="L50" s="54"/>
      <c r="M50" s="54"/>
      <c r="N50" s="54"/>
      <c r="O50" s="54"/>
      <c r="P50" s="54"/>
      <c r="Q50" s="54"/>
      <c r="R50" s="54"/>
      <c r="S50" s="54"/>
      <c r="T50" s="54"/>
      <c r="U50" s="54"/>
      <c r="V50" s="54"/>
      <c r="W50" s="54"/>
      <c r="X50" s="54"/>
      <c r="Y50" s="54"/>
      <c r="Z50" s="54"/>
    </row>
    <row r="51" spans="1:26" ht="36" customHeight="1">
      <c r="A51" s="596" t="s">
        <v>36</v>
      </c>
      <c r="B51" s="589"/>
      <c r="C51" s="589"/>
      <c r="D51" s="590"/>
      <c r="E51" s="54"/>
      <c r="F51" s="54"/>
      <c r="G51" s="54"/>
      <c r="H51" s="54"/>
      <c r="I51" s="54"/>
      <c r="J51" s="54"/>
      <c r="K51" s="54"/>
      <c r="L51" s="54"/>
      <c r="M51" s="54"/>
      <c r="N51" s="54"/>
      <c r="O51" s="54"/>
      <c r="P51" s="54"/>
      <c r="Q51" s="54"/>
      <c r="R51" s="54"/>
      <c r="S51" s="54"/>
      <c r="T51" s="54"/>
      <c r="U51" s="54"/>
      <c r="V51" s="54"/>
      <c r="W51" s="54"/>
      <c r="X51" s="54"/>
      <c r="Y51" s="54"/>
      <c r="Z51" s="54"/>
    </row>
    <row r="52" spans="1:26" ht="6.75" customHeight="1">
      <c r="A52" s="55"/>
      <c r="B52" s="55"/>
      <c r="C52" s="55"/>
      <c r="D52" s="56"/>
      <c r="E52" s="54"/>
      <c r="F52" s="54"/>
      <c r="G52" s="54"/>
      <c r="H52" s="54"/>
      <c r="I52" s="54"/>
      <c r="J52" s="54"/>
      <c r="K52" s="54"/>
      <c r="L52" s="54"/>
      <c r="M52" s="54"/>
      <c r="N52" s="54"/>
      <c r="O52" s="54"/>
      <c r="P52" s="54"/>
      <c r="Q52" s="54"/>
      <c r="R52" s="54"/>
      <c r="S52" s="54"/>
      <c r="T52" s="54"/>
      <c r="U52" s="54"/>
      <c r="V52" s="54"/>
      <c r="W52" s="54"/>
      <c r="X52" s="54"/>
      <c r="Y52" s="54"/>
      <c r="Z52" s="54"/>
    </row>
    <row r="53" spans="1:26" ht="48" customHeight="1">
      <c r="A53" s="596" t="s">
        <v>37</v>
      </c>
      <c r="B53" s="589"/>
      <c r="C53" s="589"/>
      <c r="D53" s="590"/>
      <c r="E53" s="54"/>
      <c r="F53" s="54"/>
      <c r="G53" s="54"/>
      <c r="H53" s="54"/>
      <c r="I53" s="54"/>
      <c r="J53" s="54"/>
      <c r="K53" s="54"/>
      <c r="L53" s="54"/>
      <c r="M53" s="54"/>
      <c r="N53" s="54"/>
      <c r="O53" s="54"/>
      <c r="P53" s="54"/>
      <c r="Q53" s="54"/>
      <c r="R53" s="54"/>
      <c r="S53" s="54"/>
      <c r="T53" s="54"/>
      <c r="U53" s="54"/>
      <c r="V53" s="54"/>
      <c r="W53" s="54"/>
      <c r="X53" s="54"/>
      <c r="Y53" s="54"/>
      <c r="Z53" s="54"/>
    </row>
    <row r="54" spans="1:26" ht="6.75" customHeight="1">
      <c r="A54" s="55"/>
      <c r="B54" s="55"/>
      <c r="C54" s="55"/>
      <c r="D54" s="56"/>
      <c r="E54" s="54"/>
      <c r="F54" s="54"/>
      <c r="G54" s="54"/>
      <c r="H54" s="54"/>
      <c r="I54" s="54"/>
      <c r="J54" s="54"/>
      <c r="K54" s="54"/>
      <c r="L54" s="54"/>
      <c r="M54" s="54"/>
      <c r="N54" s="54"/>
      <c r="O54" s="54"/>
      <c r="P54" s="54"/>
      <c r="Q54" s="54"/>
      <c r="R54" s="54"/>
      <c r="S54" s="54"/>
      <c r="T54" s="54"/>
      <c r="U54" s="54"/>
      <c r="V54" s="54"/>
      <c r="W54" s="54"/>
      <c r="X54" s="54"/>
      <c r="Y54" s="54"/>
      <c r="Z54" s="54"/>
    </row>
    <row r="55" spans="1:26" ht="48" customHeight="1">
      <c r="A55" s="596" t="s">
        <v>38</v>
      </c>
      <c r="B55" s="589"/>
      <c r="C55" s="589"/>
      <c r="D55" s="590"/>
      <c r="E55" s="54"/>
      <c r="F55" s="54"/>
      <c r="G55" s="54"/>
      <c r="H55" s="54"/>
      <c r="I55" s="54"/>
      <c r="J55" s="54"/>
      <c r="K55" s="54"/>
      <c r="L55" s="54"/>
      <c r="M55" s="54"/>
      <c r="N55" s="54"/>
      <c r="O55" s="54"/>
      <c r="P55" s="54"/>
      <c r="Q55" s="54"/>
      <c r="R55" s="54"/>
      <c r="S55" s="54"/>
      <c r="T55" s="54"/>
      <c r="U55" s="54"/>
      <c r="V55" s="54"/>
      <c r="W55" s="54"/>
      <c r="X55" s="54"/>
      <c r="Y55" s="54"/>
      <c r="Z55" s="54"/>
    </row>
    <row r="56" spans="1:26" ht="6.75" customHeight="1">
      <c r="A56" s="55"/>
      <c r="B56" s="55"/>
      <c r="C56" s="55"/>
      <c r="D56" s="56"/>
      <c r="E56" s="54"/>
      <c r="F56" s="54"/>
      <c r="G56" s="54"/>
      <c r="H56" s="54"/>
      <c r="I56" s="54"/>
      <c r="J56" s="54"/>
      <c r="K56" s="54"/>
      <c r="L56" s="54"/>
      <c r="M56" s="54"/>
      <c r="N56" s="54"/>
      <c r="O56" s="54"/>
      <c r="P56" s="54"/>
      <c r="Q56" s="54"/>
      <c r="R56" s="54"/>
      <c r="S56" s="54"/>
      <c r="T56" s="54"/>
      <c r="U56" s="54"/>
      <c r="V56" s="54"/>
      <c r="W56" s="54"/>
      <c r="X56" s="54"/>
      <c r="Y56" s="54"/>
      <c r="Z56" s="54"/>
    </row>
    <row r="57" spans="1:26" ht="36" customHeight="1">
      <c r="A57" s="596" t="s">
        <v>61</v>
      </c>
      <c r="B57" s="589"/>
      <c r="C57" s="589"/>
      <c r="D57" s="590"/>
      <c r="E57" s="54"/>
      <c r="F57" s="54"/>
      <c r="G57" s="54"/>
      <c r="H57" s="54"/>
      <c r="I57" s="54"/>
      <c r="J57" s="54"/>
      <c r="K57" s="54"/>
      <c r="L57" s="54"/>
      <c r="M57" s="54"/>
      <c r="N57" s="54"/>
      <c r="O57" s="54"/>
      <c r="P57" s="54"/>
      <c r="Q57" s="54"/>
      <c r="R57" s="54"/>
      <c r="S57" s="54"/>
      <c r="T57" s="54"/>
      <c r="U57" s="54"/>
      <c r="V57" s="54"/>
      <c r="W57" s="54"/>
      <c r="X57" s="54"/>
      <c r="Y57" s="54"/>
      <c r="Z57" s="54"/>
    </row>
    <row r="58" spans="1:26" ht="6.75" customHeight="1">
      <c r="A58" s="55"/>
      <c r="B58" s="55"/>
      <c r="C58" s="55"/>
      <c r="D58" s="56"/>
      <c r="E58" s="54"/>
      <c r="F58" s="54"/>
      <c r="G58" s="54"/>
      <c r="H58" s="54"/>
      <c r="I58" s="54"/>
      <c r="J58" s="54"/>
      <c r="K58" s="54"/>
      <c r="L58" s="54"/>
      <c r="M58" s="54"/>
      <c r="N58" s="54"/>
      <c r="O58" s="54"/>
      <c r="P58" s="54"/>
      <c r="Q58" s="54"/>
      <c r="R58" s="54"/>
      <c r="S58" s="54"/>
      <c r="T58" s="54"/>
      <c r="U58" s="54"/>
      <c r="V58" s="54"/>
      <c r="W58" s="54"/>
      <c r="X58" s="54"/>
      <c r="Y58" s="54"/>
      <c r="Z58" s="54"/>
    </row>
    <row r="59" spans="1:26" ht="15" customHeight="1">
      <c r="A59" s="598" t="s">
        <v>40</v>
      </c>
      <c r="B59" s="589"/>
      <c r="C59" s="589"/>
      <c r="D59" s="590"/>
      <c r="E59" s="54"/>
      <c r="F59" s="54"/>
      <c r="G59" s="54"/>
      <c r="H59" s="54"/>
      <c r="I59" s="54"/>
      <c r="J59" s="54"/>
      <c r="K59" s="54"/>
      <c r="L59" s="54"/>
      <c r="M59" s="54"/>
      <c r="N59" s="54"/>
      <c r="O59" s="54"/>
      <c r="P59" s="54"/>
      <c r="Q59" s="54"/>
      <c r="R59" s="54"/>
      <c r="S59" s="54"/>
      <c r="T59" s="54"/>
      <c r="U59" s="54"/>
      <c r="V59" s="54"/>
      <c r="W59" s="54"/>
      <c r="X59" s="54"/>
      <c r="Y59" s="54"/>
      <c r="Z59" s="54"/>
    </row>
    <row r="60" spans="1:26" ht="6.75" customHeight="1">
      <c r="A60" s="60"/>
      <c r="B60" s="61"/>
      <c r="C60" s="61"/>
      <c r="D60" s="62"/>
      <c r="E60" s="54"/>
      <c r="F60" s="54"/>
      <c r="G60" s="54"/>
      <c r="H60" s="54"/>
      <c r="I60" s="54"/>
      <c r="J60" s="54"/>
      <c r="K60" s="54"/>
      <c r="L60" s="54"/>
      <c r="M60" s="54"/>
      <c r="N60" s="54"/>
      <c r="O60" s="54"/>
      <c r="P60" s="54"/>
      <c r="Q60" s="54"/>
      <c r="R60" s="54"/>
      <c r="S60" s="54"/>
      <c r="T60" s="54"/>
      <c r="U60" s="54"/>
      <c r="V60" s="54"/>
      <c r="W60" s="54"/>
      <c r="X60" s="54"/>
      <c r="Y60" s="54"/>
      <c r="Z60" s="54"/>
    </row>
    <row r="61" spans="1:26" ht="12" customHeight="1">
      <c r="A61" s="63" t="s">
        <v>41</v>
      </c>
      <c r="B61" s="64"/>
      <c r="C61" s="65" t="s">
        <v>42</v>
      </c>
      <c r="D61" s="290">
        <f>'Proposed Rates'!G9</f>
        <v>27.42</v>
      </c>
      <c r="E61" s="54"/>
      <c r="F61" s="54"/>
      <c r="G61" s="54"/>
      <c r="H61" s="54"/>
      <c r="I61" s="54"/>
      <c r="J61" s="54"/>
      <c r="K61" s="54"/>
      <c r="L61" s="54"/>
      <c r="M61" s="54"/>
      <c r="N61" s="54"/>
      <c r="O61" s="54"/>
      <c r="P61" s="54"/>
      <c r="Q61" s="54"/>
      <c r="R61" s="54"/>
      <c r="S61" s="54"/>
      <c r="T61" s="54"/>
      <c r="U61" s="54"/>
      <c r="V61" s="54"/>
      <c r="W61" s="54"/>
      <c r="X61" s="54"/>
      <c r="Y61" s="54"/>
      <c r="Z61" s="54"/>
    </row>
    <row r="62" spans="1:26" ht="12" customHeight="1">
      <c r="A62" s="599" t="s">
        <v>43</v>
      </c>
      <c r="B62" s="600"/>
      <c r="C62" s="67" t="s">
        <v>42</v>
      </c>
      <c r="D62" s="68">
        <f>'Proposed Rates'!G130</f>
        <v>0.99</v>
      </c>
      <c r="E62" s="54"/>
      <c r="F62" s="54"/>
      <c r="G62" s="54"/>
      <c r="H62" s="54"/>
      <c r="I62" s="54"/>
      <c r="J62" s="54"/>
      <c r="K62" s="54"/>
      <c r="L62" s="54"/>
      <c r="M62" s="54"/>
      <c r="N62" s="54"/>
      <c r="O62" s="54"/>
      <c r="P62" s="54"/>
      <c r="Q62" s="54"/>
      <c r="R62" s="54"/>
      <c r="S62" s="54"/>
      <c r="T62" s="54"/>
      <c r="U62" s="54"/>
      <c r="V62" s="54"/>
      <c r="W62" s="54"/>
      <c r="X62" s="54"/>
      <c r="Y62" s="54"/>
      <c r="Z62" s="54"/>
    </row>
    <row r="63" spans="1:26" ht="12" customHeight="1">
      <c r="A63" s="63" t="s">
        <v>46</v>
      </c>
      <c r="B63" s="64"/>
      <c r="C63" s="65" t="s">
        <v>42</v>
      </c>
      <c r="D63" s="292">
        <f>'Proposed Rates'!G281</f>
        <v>0.42</v>
      </c>
      <c r="E63" s="54"/>
      <c r="F63" s="54"/>
      <c r="G63" s="54"/>
      <c r="H63" s="54"/>
      <c r="I63" s="54"/>
      <c r="J63" s="54"/>
      <c r="K63" s="54"/>
      <c r="L63" s="54"/>
      <c r="M63" s="54"/>
      <c r="N63" s="54"/>
      <c r="O63" s="54"/>
      <c r="P63" s="54"/>
      <c r="Q63" s="54"/>
      <c r="R63" s="54"/>
      <c r="S63" s="54"/>
      <c r="T63" s="54"/>
      <c r="U63" s="54"/>
      <c r="V63" s="54"/>
      <c r="W63" s="54"/>
      <c r="X63" s="54"/>
      <c r="Y63" s="54"/>
      <c r="Z63" s="54"/>
    </row>
    <row r="64" spans="1:26" ht="12" customHeight="1">
      <c r="A64" s="63" t="s">
        <v>62</v>
      </c>
      <c r="B64" s="64"/>
      <c r="C64" s="65" t="s">
        <v>48</v>
      </c>
      <c r="D64" s="291">
        <f>'Proposed Rates'!G22</f>
        <v>3.5499999999999997E-2</v>
      </c>
      <c r="E64" s="54"/>
      <c r="F64" s="54"/>
      <c r="G64" s="54"/>
      <c r="H64" s="54"/>
      <c r="I64" s="54"/>
      <c r="J64" s="54"/>
      <c r="K64" s="54"/>
      <c r="L64" s="54"/>
      <c r="M64" s="54"/>
      <c r="N64" s="54"/>
      <c r="O64" s="54"/>
      <c r="P64" s="54"/>
      <c r="Q64" s="54"/>
      <c r="R64" s="54"/>
      <c r="S64" s="54"/>
      <c r="T64" s="54"/>
      <c r="U64" s="54"/>
      <c r="V64" s="54"/>
      <c r="W64" s="54"/>
      <c r="X64" s="54"/>
      <c r="Y64" s="54"/>
      <c r="Z64" s="54"/>
    </row>
    <row r="65" spans="1:26" ht="12" customHeight="1">
      <c r="A65" s="63" t="s">
        <v>47</v>
      </c>
      <c r="B65" s="64"/>
      <c r="C65" s="65" t="s">
        <v>48</v>
      </c>
      <c r="D65" s="293">
        <f>'Proposed Rates'!G268</f>
        <v>6.0000000000000002E-5</v>
      </c>
      <c r="E65" s="54"/>
      <c r="F65" s="54"/>
      <c r="G65" s="54"/>
      <c r="H65" s="54"/>
      <c r="I65" s="54"/>
      <c r="J65" s="54"/>
      <c r="K65" s="54"/>
      <c r="L65" s="54"/>
      <c r="M65" s="54"/>
      <c r="N65" s="54"/>
      <c r="O65" s="54"/>
      <c r="P65" s="54"/>
      <c r="Q65" s="54"/>
      <c r="R65" s="54"/>
      <c r="S65" s="54"/>
      <c r="T65" s="54"/>
      <c r="U65" s="54"/>
      <c r="V65" s="54"/>
      <c r="W65" s="54"/>
      <c r="X65" s="54"/>
      <c r="Y65" s="54"/>
      <c r="Z65" s="54"/>
    </row>
    <row r="66" spans="1:26" ht="15" customHeight="1">
      <c r="A66" s="63" t="s">
        <v>49</v>
      </c>
      <c r="B66" s="64"/>
      <c r="C66" s="65" t="s">
        <v>48</v>
      </c>
      <c r="D66" s="291">
        <f>'Proposed Rates'!G38</f>
        <v>0</v>
      </c>
      <c r="E66" s="54"/>
      <c r="F66" s="54"/>
      <c r="G66" s="54"/>
      <c r="H66" s="54"/>
      <c r="I66" s="54"/>
      <c r="J66" s="54"/>
      <c r="K66" s="54"/>
      <c r="L66" s="54"/>
      <c r="M66" s="54"/>
      <c r="N66" s="54"/>
      <c r="O66" s="54"/>
      <c r="P66" s="54"/>
      <c r="Q66" s="54"/>
      <c r="R66" s="54"/>
      <c r="S66" s="54"/>
      <c r="T66" s="54"/>
      <c r="U66" s="54"/>
      <c r="V66" s="54"/>
      <c r="W66" s="54"/>
      <c r="X66" s="54"/>
      <c r="Y66" s="54"/>
      <c r="Z66" s="54"/>
    </row>
    <row r="67" spans="1:26" ht="15" customHeight="1">
      <c r="A67" s="63" t="s">
        <v>45</v>
      </c>
      <c r="B67" s="64"/>
      <c r="C67" s="65" t="s">
        <v>48</v>
      </c>
      <c r="D67" s="291">
        <f>'Proposed Rates'!G65</f>
        <v>0</v>
      </c>
      <c r="E67" s="54"/>
      <c r="F67" s="54"/>
      <c r="G67" s="54"/>
      <c r="H67" s="54"/>
      <c r="I67" s="54"/>
      <c r="J67" s="54"/>
      <c r="K67" s="54"/>
      <c r="L67" s="54"/>
      <c r="M67" s="54"/>
      <c r="N67" s="54"/>
      <c r="O67" s="54"/>
      <c r="P67" s="54"/>
      <c r="Q67" s="54"/>
      <c r="R67" s="54"/>
      <c r="S67" s="54"/>
      <c r="T67" s="54"/>
      <c r="U67" s="54"/>
      <c r="V67" s="54"/>
      <c r="W67" s="54"/>
      <c r="X67" s="54"/>
      <c r="Y67" s="54"/>
      <c r="Z67" s="54"/>
    </row>
    <row r="68" spans="1:26" ht="15" customHeight="1">
      <c r="A68" s="63" t="s">
        <v>227</v>
      </c>
      <c r="B68" s="64"/>
      <c r="C68" s="65" t="s">
        <v>48</v>
      </c>
      <c r="D68" s="291">
        <f>'Proposed Rates'!G146</f>
        <v>4.4999999999999997E-3</v>
      </c>
      <c r="E68" s="54"/>
      <c r="F68" s="54"/>
      <c r="G68" s="54"/>
      <c r="H68" s="54"/>
      <c r="I68" s="54"/>
      <c r="J68" s="54"/>
      <c r="K68" s="54"/>
      <c r="L68" s="54"/>
      <c r="M68" s="54"/>
      <c r="N68" s="54"/>
      <c r="O68" s="54"/>
      <c r="P68" s="54"/>
      <c r="Q68" s="54"/>
      <c r="R68" s="54"/>
      <c r="S68" s="54"/>
      <c r="T68" s="54"/>
      <c r="U68" s="54"/>
      <c r="V68" s="54"/>
      <c r="W68" s="54"/>
      <c r="X68" s="54"/>
      <c r="Y68" s="54"/>
      <c r="Z68" s="54"/>
    </row>
    <row r="69" spans="1:26" ht="15" customHeight="1">
      <c r="A69" s="599" t="s">
        <v>43</v>
      </c>
      <c r="B69" s="600"/>
      <c r="C69" s="67" t="s">
        <v>48</v>
      </c>
      <c r="D69" s="72">
        <f>'Proposed Rates'!G117</f>
        <v>1.4E-3</v>
      </c>
      <c r="E69" s="54"/>
      <c r="F69" s="54"/>
      <c r="G69" s="54"/>
      <c r="H69" s="54"/>
      <c r="I69" s="54"/>
      <c r="J69" s="54"/>
      <c r="K69" s="54"/>
      <c r="L69" s="54"/>
      <c r="M69" s="54"/>
      <c r="N69" s="54"/>
      <c r="O69" s="54"/>
      <c r="P69" s="54"/>
      <c r="Q69" s="54"/>
      <c r="R69" s="54"/>
      <c r="S69" s="54"/>
      <c r="T69" s="54"/>
      <c r="U69" s="54"/>
      <c r="V69" s="54"/>
      <c r="W69" s="54"/>
      <c r="X69" s="54"/>
      <c r="Y69" s="54"/>
      <c r="Z69" s="54"/>
    </row>
    <row r="70" spans="1:26" ht="12" customHeight="1">
      <c r="A70" s="63" t="s">
        <v>52</v>
      </c>
      <c r="B70" s="64"/>
      <c r="C70" s="65" t="s">
        <v>48</v>
      </c>
      <c r="D70" s="291">
        <f>'Proposed Rates'!G187</f>
        <v>1.0699999999999999E-2</v>
      </c>
      <c r="E70" s="54"/>
      <c r="F70" s="54"/>
      <c r="G70" s="54"/>
      <c r="H70" s="54"/>
      <c r="I70" s="54"/>
      <c r="J70" s="54"/>
      <c r="K70" s="54"/>
      <c r="L70" s="54"/>
      <c r="M70" s="54"/>
      <c r="N70" s="54"/>
      <c r="O70" s="54"/>
      <c r="P70" s="54"/>
      <c r="Q70" s="54"/>
      <c r="R70" s="54"/>
      <c r="S70" s="54"/>
      <c r="T70" s="54"/>
      <c r="U70" s="54"/>
      <c r="V70" s="54"/>
      <c r="W70" s="54"/>
      <c r="X70" s="54"/>
      <c r="Y70" s="54"/>
      <c r="Z70" s="54"/>
    </row>
    <row r="71" spans="1:26" ht="12" customHeight="1">
      <c r="A71" s="63" t="s">
        <v>53</v>
      </c>
      <c r="B71" s="65"/>
      <c r="C71" s="65" t="s">
        <v>48</v>
      </c>
      <c r="D71" s="291">
        <f>'Proposed Rates'!G202</f>
        <v>6.1000000000000004E-3</v>
      </c>
      <c r="E71" s="54"/>
      <c r="F71" s="54"/>
      <c r="G71" s="54"/>
      <c r="H71" s="54"/>
      <c r="I71" s="54"/>
      <c r="J71" s="54"/>
      <c r="K71" s="54"/>
      <c r="L71" s="54"/>
      <c r="M71" s="54"/>
      <c r="N71" s="54"/>
      <c r="O71" s="54"/>
      <c r="P71" s="54"/>
      <c r="Q71" s="54"/>
      <c r="R71" s="54"/>
      <c r="S71" s="54"/>
      <c r="T71" s="54"/>
      <c r="U71" s="54"/>
      <c r="V71" s="54"/>
      <c r="W71" s="54"/>
      <c r="X71" s="54"/>
      <c r="Y71" s="54"/>
      <c r="Z71" s="54"/>
    </row>
    <row r="72" spans="1:26" ht="15.75" customHeight="1">
      <c r="A72" s="65"/>
      <c r="B72" s="64"/>
      <c r="C72" s="65"/>
      <c r="D72" s="294"/>
      <c r="E72" s="54"/>
      <c r="F72" s="54"/>
      <c r="G72" s="54"/>
      <c r="H72" s="54"/>
      <c r="I72" s="54"/>
      <c r="J72" s="54"/>
      <c r="K72" s="54"/>
      <c r="L72" s="54"/>
      <c r="M72" s="54"/>
      <c r="N72" s="54"/>
      <c r="O72" s="54"/>
      <c r="P72" s="54"/>
      <c r="Q72" s="54"/>
      <c r="R72" s="54"/>
      <c r="S72" s="54"/>
      <c r="T72" s="54"/>
      <c r="U72" s="54"/>
      <c r="V72" s="54"/>
      <c r="W72" s="54"/>
      <c r="X72" s="54"/>
      <c r="Y72" s="54"/>
      <c r="Z72" s="54"/>
    </row>
    <row r="73" spans="1:26" ht="15.75" customHeight="1">
      <c r="A73" s="75" t="s">
        <v>54</v>
      </c>
      <c r="B73" s="65"/>
      <c r="C73" s="65"/>
      <c r="D73" s="294"/>
      <c r="E73" s="54"/>
      <c r="F73" s="54"/>
      <c r="G73" s="54"/>
      <c r="H73" s="54"/>
      <c r="I73" s="54"/>
      <c r="J73" s="54"/>
      <c r="K73" s="54"/>
      <c r="L73" s="54"/>
      <c r="M73" s="54"/>
      <c r="N73" s="54"/>
      <c r="O73" s="54"/>
      <c r="P73" s="54"/>
      <c r="Q73" s="54"/>
      <c r="R73" s="54"/>
      <c r="S73" s="54"/>
      <c r="T73" s="54"/>
      <c r="U73" s="54"/>
      <c r="V73" s="54"/>
      <c r="W73" s="54"/>
      <c r="X73" s="54"/>
      <c r="Y73" s="54"/>
      <c r="Z73" s="54"/>
    </row>
    <row r="74" spans="1:26" ht="11.25" customHeight="1">
      <c r="A74" s="60"/>
      <c r="B74" s="64"/>
      <c r="C74" s="65"/>
      <c r="D74" s="294"/>
      <c r="E74" s="54"/>
      <c r="F74" s="54"/>
      <c r="G74" s="54"/>
      <c r="H74" s="54"/>
      <c r="I74" s="54"/>
      <c r="J74" s="54"/>
      <c r="K74" s="54"/>
      <c r="L74" s="54"/>
      <c r="M74" s="54"/>
      <c r="N74" s="54"/>
      <c r="O74" s="54"/>
      <c r="P74" s="54"/>
      <c r="Q74" s="54"/>
      <c r="R74" s="54"/>
      <c r="S74" s="54"/>
      <c r="T74" s="54"/>
      <c r="U74" s="54"/>
      <c r="V74" s="54"/>
      <c r="W74" s="54"/>
      <c r="X74" s="54"/>
      <c r="Y74" s="54"/>
      <c r="Z74" s="54"/>
    </row>
    <row r="75" spans="1:26" ht="12" customHeight="1">
      <c r="A75" s="63" t="s">
        <v>55</v>
      </c>
      <c r="B75" s="64"/>
      <c r="C75" s="65" t="s">
        <v>48</v>
      </c>
      <c r="D75" s="294">
        <f>$D$35</f>
        <v>4.1000000000000003E-3</v>
      </c>
      <c r="E75" s="54"/>
      <c r="F75" s="54"/>
      <c r="G75" s="54"/>
      <c r="H75" s="54"/>
      <c r="I75" s="54"/>
      <c r="J75" s="54"/>
      <c r="K75" s="54"/>
      <c r="L75" s="54"/>
      <c r="M75" s="54"/>
      <c r="N75" s="54"/>
      <c r="O75" s="54"/>
      <c r="P75" s="54"/>
      <c r="Q75" s="54"/>
      <c r="R75" s="54"/>
      <c r="S75" s="54"/>
      <c r="T75" s="54"/>
      <c r="U75" s="54"/>
      <c r="V75" s="54"/>
      <c r="W75" s="54"/>
      <c r="X75" s="54"/>
      <c r="Y75" s="54"/>
      <c r="Z75" s="54"/>
    </row>
    <row r="76" spans="1:26" ht="12" customHeight="1">
      <c r="A76" s="63" t="s">
        <v>56</v>
      </c>
      <c r="B76" s="64"/>
      <c r="C76" s="65" t="s">
        <v>48</v>
      </c>
      <c r="D76" s="291">
        <f>'Proposed Rates'!G217-'2026'!D80</f>
        <v>5.9999999999999984E-4</v>
      </c>
      <c r="E76" s="54"/>
      <c r="F76" s="54"/>
      <c r="G76" s="54"/>
      <c r="H76" s="54"/>
      <c r="I76" s="54"/>
      <c r="J76" s="54"/>
      <c r="K76" s="54"/>
      <c r="L76" s="54"/>
      <c r="M76" s="54"/>
      <c r="N76" s="54"/>
      <c r="O76" s="54"/>
      <c r="P76" s="54"/>
      <c r="Q76" s="54"/>
      <c r="R76" s="54"/>
      <c r="S76" s="54"/>
      <c r="T76" s="54"/>
      <c r="U76" s="54"/>
      <c r="V76" s="54"/>
      <c r="W76" s="54"/>
      <c r="X76" s="54"/>
      <c r="Y76" s="54"/>
      <c r="Z76" s="54"/>
    </row>
    <row r="77" spans="1:26" ht="12" customHeight="1">
      <c r="A77" s="63" t="s">
        <v>57</v>
      </c>
      <c r="B77" s="64"/>
      <c r="C77" s="65" t="s">
        <v>48</v>
      </c>
      <c r="D77" s="291">
        <f>'Proposed Rates'!G230</f>
        <v>5.9999999999999995E-4</v>
      </c>
      <c r="E77" s="54"/>
      <c r="F77" s="54"/>
      <c r="G77" s="54"/>
      <c r="H77" s="54"/>
      <c r="I77" s="54"/>
      <c r="J77" s="54"/>
      <c r="K77" s="54"/>
      <c r="L77" s="54"/>
      <c r="M77" s="54"/>
      <c r="N77" s="54"/>
      <c r="O77" s="54"/>
      <c r="P77" s="54"/>
      <c r="Q77" s="54"/>
      <c r="R77" s="54"/>
      <c r="S77" s="54"/>
      <c r="T77" s="54"/>
      <c r="U77" s="54"/>
      <c r="V77" s="54"/>
      <c r="W77" s="54"/>
      <c r="X77" s="54"/>
      <c r="Y77" s="54"/>
      <c r="Z77" s="54"/>
    </row>
    <row r="78" spans="1:26" ht="12" customHeight="1">
      <c r="A78" s="63" t="s">
        <v>58</v>
      </c>
      <c r="B78" s="64"/>
      <c r="C78" s="65" t="s">
        <v>42</v>
      </c>
      <c r="D78" s="291">
        <f>'Proposed Rates'!G244</f>
        <v>0.25</v>
      </c>
      <c r="E78" s="76"/>
      <c r="F78" s="76"/>
      <c r="G78" s="76"/>
      <c r="H78" s="76"/>
      <c r="I78" s="76"/>
      <c r="J78" s="76"/>
      <c r="K78" s="76"/>
      <c r="L78" s="76"/>
      <c r="M78" s="76"/>
      <c r="N78" s="76"/>
      <c r="O78" s="76"/>
      <c r="P78" s="76"/>
      <c r="Q78" s="76"/>
      <c r="R78" s="76"/>
      <c r="S78" s="76"/>
      <c r="T78" s="76"/>
      <c r="U78" s="76"/>
      <c r="V78" s="76"/>
      <c r="W78" s="76"/>
      <c r="X78" s="76"/>
      <c r="Y78" s="76"/>
      <c r="Z78" s="76"/>
    </row>
    <row r="79" spans="1:26" ht="9" customHeight="1">
      <c r="A79" s="80"/>
      <c r="B79" s="64"/>
      <c r="C79" s="81"/>
      <c r="D79" s="294"/>
      <c r="E79" s="295"/>
      <c r="F79" s="295"/>
      <c r="G79" s="295"/>
      <c r="H79" s="295"/>
      <c r="I79" s="295"/>
      <c r="J79" s="295"/>
      <c r="K79" s="295"/>
      <c r="L79" s="295"/>
      <c r="M79" s="295"/>
      <c r="N79" s="295"/>
      <c r="O79" s="295"/>
      <c r="P79" s="295"/>
      <c r="Q79" s="295"/>
      <c r="R79" s="295"/>
      <c r="S79" s="295"/>
      <c r="T79" s="295"/>
      <c r="U79" s="295"/>
      <c r="V79" s="295"/>
      <c r="W79" s="295"/>
      <c r="X79" s="295"/>
      <c r="Y79" s="295"/>
      <c r="Z79" s="295"/>
    </row>
    <row r="80" spans="1:26" ht="23.25" customHeight="1">
      <c r="A80" s="588" t="str">
        <f>$A$1</f>
        <v>Hydro Ottawa Limited</v>
      </c>
      <c r="B80" s="589"/>
      <c r="C80" s="589"/>
      <c r="D80" s="590"/>
      <c r="E80" s="54"/>
      <c r="F80" s="54"/>
      <c r="G80" s="54"/>
      <c r="H80" s="54"/>
      <c r="I80" s="54"/>
      <c r="J80" s="54"/>
      <c r="K80" s="54"/>
      <c r="L80" s="54"/>
      <c r="M80" s="54"/>
      <c r="N80" s="54"/>
      <c r="O80" s="54"/>
      <c r="P80" s="54"/>
      <c r="Q80" s="54"/>
      <c r="R80" s="54"/>
      <c r="S80" s="54"/>
      <c r="T80" s="54"/>
      <c r="U80" s="54"/>
      <c r="V80" s="54"/>
      <c r="W80" s="54"/>
      <c r="X80" s="54"/>
      <c r="Y80" s="54"/>
      <c r="Z80" s="54"/>
    </row>
    <row r="81" spans="1:26" ht="18" customHeight="1">
      <c r="A81" s="591" t="str">
        <f>$A$2</f>
        <v>PROPOSED - TARIFF OF RATES AND CHARGES</v>
      </c>
      <c r="B81" s="589"/>
      <c r="C81" s="589"/>
      <c r="D81" s="590"/>
      <c r="E81" s="54"/>
      <c r="F81" s="54"/>
      <c r="G81" s="54"/>
      <c r="H81" s="54"/>
      <c r="I81" s="54"/>
      <c r="J81" s="54"/>
      <c r="K81" s="54"/>
      <c r="L81" s="54"/>
      <c r="M81" s="54"/>
      <c r="N81" s="54"/>
      <c r="O81" s="54"/>
      <c r="P81" s="54"/>
      <c r="Q81" s="54"/>
      <c r="R81" s="54"/>
      <c r="S81" s="54"/>
      <c r="T81" s="54"/>
      <c r="U81" s="54"/>
      <c r="V81" s="54"/>
      <c r="W81" s="54"/>
      <c r="X81" s="54"/>
      <c r="Y81" s="54"/>
      <c r="Z81" s="54"/>
    </row>
    <row r="82" spans="1:26" ht="15.75" customHeight="1">
      <c r="A82" s="592" t="str">
        <f>$A$3</f>
        <v>Effective and Implementation Date January 1, 2027</v>
      </c>
      <c r="B82" s="589"/>
      <c r="C82" s="589"/>
      <c r="D82" s="590"/>
      <c r="E82" s="54"/>
      <c r="F82" s="54"/>
      <c r="G82" s="54"/>
      <c r="H82" s="54"/>
      <c r="I82" s="54"/>
      <c r="J82" s="54"/>
      <c r="K82" s="54"/>
      <c r="L82" s="54"/>
      <c r="M82" s="54"/>
      <c r="N82" s="54"/>
      <c r="O82" s="54"/>
      <c r="P82" s="54"/>
      <c r="Q82" s="54"/>
      <c r="R82" s="54"/>
      <c r="S82" s="54"/>
      <c r="T82" s="54"/>
      <c r="U82" s="54"/>
      <c r="V82" s="54"/>
      <c r="W82" s="54"/>
      <c r="X82" s="54"/>
      <c r="Y82" s="54"/>
      <c r="Z82" s="54"/>
    </row>
    <row r="83" spans="1:26" ht="11.25" customHeight="1">
      <c r="A83" s="593" t="str">
        <f>$A$4</f>
        <v>This schedule supersedes and replaces all previously</v>
      </c>
      <c r="B83" s="589"/>
      <c r="C83" s="589"/>
      <c r="D83" s="590"/>
      <c r="E83" s="54"/>
      <c r="F83" s="54"/>
      <c r="G83" s="54"/>
      <c r="H83" s="54"/>
      <c r="I83" s="54"/>
      <c r="J83" s="54"/>
      <c r="K83" s="54"/>
      <c r="L83" s="54"/>
      <c r="M83" s="54"/>
      <c r="N83" s="54"/>
      <c r="O83" s="54"/>
      <c r="P83" s="54"/>
      <c r="Q83" s="54"/>
      <c r="R83" s="54"/>
      <c r="S83" s="54"/>
      <c r="T83" s="54"/>
      <c r="U83" s="54"/>
      <c r="V83" s="54"/>
      <c r="W83" s="54"/>
      <c r="X83" s="54"/>
      <c r="Y83" s="54"/>
      <c r="Z83" s="54"/>
    </row>
    <row r="84" spans="1:26" ht="11.25" customHeight="1">
      <c r="A84" s="593" t="str">
        <f>$A$5</f>
        <v>approved schedules of Rates, Charges and Loss Factors</v>
      </c>
      <c r="B84" s="589"/>
      <c r="C84" s="589"/>
      <c r="D84" s="590"/>
      <c r="E84" s="54"/>
      <c r="F84" s="54"/>
      <c r="G84" s="54"/>
      <c r="H84" s="54"/>
      <c r="I84" s="54"/>
      <c r="J84" s="54"/>
      <c r="K84" s="54"/>
      <c r="L84" s="54"/>
      <c r="M84" s="54"/>
      <c r="N84" s="54"/>
      <c r="O84" s="54"/>
      <c r="P84" s="54"/>
      <c r="Q84" s="54"/>
      <c r="R84" s="54"/>
      <c r="S84" s="54"/>
      <c r="T84" s="54"/>
      <c r="U84" s="54"/>
      <c r="V84" s="54"/>
      <c r="W84" s="54"/>
      <c r="X84" s="54"/>
      <c r="Y84" s="54"/>
      <c r="Z84" s="54"/>
    </row>
    <row r="85" spans="1:26" ht="11.25" customHeight="1">
      <c r="A85" s="594" t="str">
        <f>$A$6</f>
        <v>EB-2024-0115</v>
      </c>
      <c r="B85" s="589"/>
      <c r="C85" s="589"/>
      <c r="D85" s="590"/>
      <c r="E85" s="54"/>
      <c r="F85" s="54"/>
      <c r="G85" s="54"/>
      <c r="H85" s="54"/>
      <c r="I85" s="54"/>
      <c r="J85" s="54"/>
      <c r="K85" s="54"/>
      <c r="L85" s="54"/>
      <c r="M85" s="54"/>
      <c r="N85" s="54"/>
      <c r="O85" s="54"/>
      <c r="P85" s="54"/>
      <c r="Q85" s="54"/>
      <c r="R85" s="54"/>
      <c r="S85" s="54"/>
      <c r="T85" s="54"/>
      <c r="U85" s="54"/>
      <c r="V85" s="54"/>
      <c r="W85" s="54"/>
      <c r="X85" s="54"/>
      <c r="Y85" s="54"/>
      <c r="Z85" s="54"/>
    </row>
    <row r="86" spans="1:26" ht="15.75" customHeight="1">
      <c r="A86" s="595" t="s">
        <v>64</v>
      </c>
      <c r="B86" s="589"/>
      <c r="C86" s="589"/>
      <c r="D86" s="590"/>
      <c r="E86" s="76"/>
      <c r="F86" s="76"/>
      <c r="G86" s="76"/>
      <c r="H86" s="76"/>
      <c r="I86" s="76"/>
      <c r="J86" s="76"/>
      <c r="K86" s="76"/>
      <c r="L86" s="76"/>
      <c r="M86" s="76"/>
      <c r="N86" s="76"/>
      <c r="O86" s="76"/>
      <c r="P86" s="76"/>
      <c r="Q86" s="76"/>
      <c r="R86" s="76"/>
      <c r="S86" s="76"/>
      <c r="T86" s="76"/>
      <c r="U86" s="76"/>
      <c r="V86" s="76"/>
      <c r="W86" s="76"/>
      <c r="X86" s="76"/>
      <c r="Y86" s="76"/>
      <c r="Z86" s="76"/>
    </row>
    <row r="87" spans="1:26" ht="48" customHeight="1">
      <c r="A87" s="596" t="s">
        <v>65</v>
      </c>
      <c r="B87" s="589"/>
      <c r="C87" s="589"/>
      <c r="D87" s="590"/>
      <c r="E87" s="54"/>
      <c r="F87" s="54"/>
      <c r="G87" s="54"/>
      <c r="H87" s="54"/>
      <c r="I87" s="54"/>
      <c r="J87" s="54"/>
      <c r="K87" s="54"/>
      <c r="L87" s="54"/>
      <c r="M87" s="54"/>
      <c r="N87" s="54"/>
      <c r="O87" s="54"/>
      <c r="P87" s="54"/>
      <c r="Q87" s="54"/>
      <c r="R87" s="54"/>
      <c r="S87" s="54"/>
      <c r="T87" s="54"/>
      <c r="U87" s="54"/>
      <c r="V87" s="54"/>
      <c r="W87" s="54"/>
      <c r="X87" s="54"/>
      <c r="Y87" s="54"/>
      <c r="Z87" s="54"/>
    </row>
    <row r="88" spans="1:26" ht="6.75" customHeight="1">
      <c r="A88" s="55"/>
      <c r="B88" s="55"/>
      <c r="C88" s="55"/>
      <c r="D88" s="56"/>
      <c r="E88" s="54"/>
      <c r="F88" s="54"/>
      <c r="G88" s="54"/>
      <c r="H88" s="54"/>
      <c r="I88" s="54"/>
      <c r="J88" s="54"/>
      <c r="K88" s="54"/>
      <c r="L88" s="54"/>
      <c r="M88" s="54"/>
      <c r="N88" s="54"/>
      <c r="O88" s="54"/>
      <c r="P88" s="54"/>
      <c r="Q88" s="54"/>
      <c r="R88" s="54"/>
      <c r="S88" s="54"/>
      <c r="T88" s="54"/>
      <c r="U88" s="54"/>
      <c r="V88" s="54"/>
      <c r="W88" s="54"/>
      <c r="X88" s="54"/>
      <c r="Y88" s="54"/>
      <c r="Z88" s="54"/>
    </row>
    <row r="89" spans="1:26" ht="11.25" customHeight="1">
      <c r="A89" s="597" t="s">
        <v>35</v>
      </c>
      <c r="B89" s="589"/>
      <c r="C89" s="589"/>
      <c r="D89" s="590"/>
      <c r="E89" s="54"/>
      <c r="F89" s="54"/>
      <c r="G89" s="54"/>
      <c r="H89" s="54"/>
      <c r="I89" s="54"/>
      <c r="J89" s="54"/>
      <c r="K89" s="54"/>
      <c r="L89" s="54"/>
      <c r="M89" s="54"/>
      <c r="N89" s="54"/>
      <c r="O89" s="54"/>
      <c r="P89" s="54"/>
      <c r="Q89" s="54"/>
      <c r="R89" s="54"/>
      <c r="S89" s="54"/>
      <c r="T89" s="54"/>
      <c r="U89" s="54"/>
      <c r="V89" s="54"/>
      <c r="W89" s="54"/>
      <c r="X89" s="54"/>
      <c r="Y89" s="54"/>
      <c r="Z89" s="54"/>
    </row>
    <row r="90" spans="1:26" ht="6.75" customHeight="1">
      <c r="A90" s="57"/>
      <c r="B90" s="58"/>
      <c r="C90" s="58"/>
      <c r="D90" s="59"/>
      <c r="E90" s="54"/>
      <c r="F90" s="54"/>
      <c r="G90" s="54"/>
      <c r="H90" s="54"/>
      <c r="I90" s="54"/>
      <c r="J90" s="54"/>
      <c r="K90" s="54"/>
      <c r="L90" s="54"/>
      <c r="M90" s="54"/>
      <c r="N90" s="54"/>
      <c r="O90" s="54"/>
      <c r="P90" s="54"/>
      <c r="Q90" s="54"/>
      <c r="R90" s="54"/>
      <c r="S90" s="54"/>
      <c r="T90" s="54"/>
      <c r="U90" s="54"/>
      <c r="V90" s="54"/>
      <c r="W90" s="54"/>
      <c r="X90" s="54"/>
      <c r="Y90" s="54"/>
      <c r="Z90" s="54"/>
    </row>
    <row r="91" spans="1:26" ht="36" customHeight="1">
      <c r="A91" s="596" t="s">
        <v>36</v>
      </c>
      <c r="B91" s="589"/>
      <c r="C91" s="589"/>
      <c r="D91" s="590"/>
      <c r="E91" s="54"/>
      <c r="F91" s="54"/>
      <c r="G91" s="54"/>
      <c r="H91" s="54"/>
      <c r="I91" s="54"/>
      <c r="J91" s="54"/>
      <c r="K91" s="54"/>
      <c r="L91" s="54"/>
      <c r="M91" s="54"/>
      <c r="N91" s="54"/>
      <c r="O91" s="54"/>
      <c r="P91" s="54"/>
      <c r="Q91" s="54"/>
      <c r="R91" s="54"/>
      <c r="S91" s="54"/>
      <c r="T91" s="54"/>
      <c r="U91" s="54"/>
      <c r="V91" s="54"/>
      <c r="W91" s="54"/>
      <c r="X91" s="54"/>
      <c r="Y91" s="54"/>
      <c r="Z91" s="54"/>
    </row>
    <row r="92" spans="1:26" ht="6.75" customHeight="1">
      <c r="A92" s="55"/>
      <c r="B92" s="55"/>
      <c r="C92" s="55"/>
      <c r="D92" s="56"/>
      <c r="E92" s="54"/>
      <c r="F92" s="54"/>
      <c r="G92" s="54"/>
      <c r="H92" s="54"/>
      <c r="I92" s="54"/>
      <c r="J92" s="54"/>
      <c r="K92" s="54"/>
      <c r="L92" s="54"/>
      <c r="M92" s="54"/>
      <c r="N92" s="54"/>
      <c r="O92" s="54"/>
      <c r="P92" s="54"/>
      <c r="Q92" s="54"/>
      <c r="R92" s="54"/>
      <c r="S92" s="54"/>
      <c r="T92" s="54"/>
      <c r="U92" s="54"/>
      <c r="V92" s="54"/>
      <c r="W92" s="54"/>
      <c r="X92" s="54"/>
      <c r="Y92" s="54"/>
      <c r="Z92" s="54"/>
    </row>
    <row r="93" spans="1:26" ht="48" customHeight="1">
      <c r="A93" s="596" t="s">
        <v>37</v>
      </c>
      <c r="B93" s="589"/>
      <c r="C93" s="589"/>
      <c r="D93" s="590"/>
      <c r="E93" s="54"/>
      <c r="F93" s="54"/>
      <c r="G93" s="54"/>
      <c r="H93" s="54"/>
      <c r="I93" s="54"/>
      <c r="J93" s="54"/>
      <c r="K93" s="54"/>
      <c r="L93" s="54"/>
      <c r="M93" s="54"/>
      <c r="N93" s="54"/>
      <c r="O93" s="54"/>
      <c r="P93" s="54"/>
      <c r="Q93" s="54"/>
      <c r="R93" s="54"/>
      <c r="S93" s="54"/>
      <c r="T93" s="54"/>
      <c r="U93" s="54"/>
      <c r="V93" s="54"/>
      <c r="W93" s="54"/>
      <c r="X93" s="54"/>
      <c r="Y93" s="54"/>
      <c r="Z93" s="54"/>
    </row>
    <row r="94" spans="1:26" ht="6.75" customHeight="1">
      <c r="A94" s="55"/>
      <c r="B94" s="55"/>
      <c r="C94" s="55"/>
      <c r="D94" s="56"/>
      <c r="E94" s="54"/>
      <c r="F94" s="54"/>
      <c r="G94" s="54"/>
      <c r="H94" s="54"/>
      <c r="I94" s="54"/>
      <c r="J94" s="54"/>
      <c r="K94" s="54"/>
      <c r="L94" s="54"/>
      <c r="M94" s="54"/>
      <c r="N94" s="54"/>
      <c r="O94" s="54"/>
      <c r="P94" s="54"/>
      <c r="Q94" s="54"/>
      <c r="R94" s="54"/>
      <c r="S94" s="54"/>
      <c r="T94" s="54"/>
      <c r="U94" s="54"/>
      <c r="V94" s="54"/>
      <c r="W94" s="54"/>
      <c r="X94" s="54"/>
      <c r="Y94" s="54"/>
      <c r="Z94" s="54"/>
    </row>
    <row r="95" spans="1:26" ht="48" customHeight="1">
      <c r="A95" s="596" t="s">
        <v>38</v>
      </c>
      <c r="B95" s="589"/>
      <c r="C95" s="589"/>
      <c r="D95" s="590"/>
      <c r="E95" s="54"/>
      <c r="F95" s="54"/>
      <c r="G95" s="54"/>
      <c r="H95" s="54"/>
      <c r="I95" s="54"/>
      <c r="J95" s="54"/>
      <c r="K95" s="54"/>
      <c r="L95" s="54"/>
      <c r="M95" s="54"/>
      <c r="N95" s="54"/>
      <c r="O95" s="54"/>
      <c r="P95" s="54"/>
      <c r="Q95" s="54"/>
      <c r="R95" s="54"/>
      <c r="S95" s="54"/>
      <c r="T95" s="54"/>
      <c r="U95" s="54"/>
      <c r="V95" s="54"/>
      <c r="W95" s="54"/>
      <c r="X95" s="54"/>
      <c r="Y95" s="54"/>
      <c r="Z95" s="54"/>
    </row>
    <row r="96" spans="1:26" ht="6.75" customHeight="1">
      <c r="A96" s="55"/>
      <c r="B96" s="55"/>
      <c r="C96" s="55"/>
      <c r="D96" s="56"/>
      <c r="E96" s="54"/>
      <c r="F96" s="54"/>
      <c r="G96" s="54"/>
      <c r="H96" s="54"/>
      <c r="I96" s="54"/>
      <c r="J96" s="54"/>
      <c r="K96" s="54"/>
      <c r="L96" s="54"/>
      <c r="M96" s="54"/>
      <c r="N96" s="54"/>
      <c r="O96" s="54"/>
      <c r="P96" s="54"/>
      <c r="Q96" s="54"/>
      <c r="R96" s="54"/>
      <c r="S96" s="54"/>
      <c r="T96" s="54"/>
      <c r="U96" s="54"/>
      <c r="V96" s="54"/>
      <c r="W96" s="54"/>
      <c r="X96" s="54"/>
      <c r="Y96" s="54"/>
      <c r="Z96" s="54"/>
    </row>
    <row r="97" spans="1:26" ht="96" customHeight="1">
      <c r="A97" s="596" t="s">
        <v>66</v>
      </c>
      <c r="B97" s="589"/>
      <c r="C97" s="589"/>
      <c r="D97" s="590"/>
      <c r="E97" s="54"/>
      <c r="F97" s="54"/>
      <c r="G97" s="54"/>
      <c r="H97" s="54"/>
      <c r="I97" s="54"/>
      <c r="J97" s="54"/>
      <c r="K97" s="54"/>
      <c r="L97" s="54"/>
      <c r="M97" s="54"/>
      <c r="N97" s="54"/>
      <c r="O97" s="54"/>
      <c r="P97" s="54"/>
      <c r="Q97" s="54"/>
      <c r="R97" s="54"/>
      <c r="S97" s="54"/>
      <c r="T97" s="54"/>
      <c r="U97" s="54"/>
      <c r="V97" s="54"/>
      <c r="W97" s="54"/>
      <c r="X97" s="54"/>
      <c r="Y97" s="54"/>
      <c r="Z97" s="54"/>
    </row>
    <row r="98" spans="1:26" ht="96" customHeight="1">
      <c r="A98" s="596" t="s">
        <v>67</v>
      </c>
      <c r="B98" s="589"/>
      <c r="C98" s="589"/>
      <c r="D98" s="590"/>
      <c r="E98" s="54"/>
      <c r="F98" s="54"/>
      <c r="G98" s="54"/>
      <c r="H98" s="54"/>
      <c r="I98" s="54"/>
      <c r="J98" s="54"/>
      <c r="K98" s="54"/>
      <c r="L98" s="54"/>
      <c r="M98" s="54"/>
      <c r="N98" s="54"/>
      <c r="O98" s="54"/>
      <c r="P98" s="54"/>
      <c r="Q98" s="54"/>
      <c r="R98" s="54"/>
      <c r="S98" s="54"/>
      <c r="T98" s="54"/>
      <c r="U98" s="54"/>
      <c r="V98" s="54"/>
      <c r="W98" s="54"/>
      <c r="X98" s="54"/>
      <c r="Y98" s="54"/>
      <c r="Z98" s="54"/>
    </row>
    <row r="99" spans="1:26" ht="36" customHeight="1">
      <c r="A99" s="596" t="s">
        <v>39</v>
      </c>
      <c r="B99" s="589"/>
      <c r="C99" s="589"/>
      <c r="D99" s="590"/>
      <c r="E99" s="54"/>
      <c r="F99" s="54"/>
      <c r="G99" s="54"/>
      <c r="H99" s="54"/>
      <c r="I99" s="54"/>
      <c r="J99" s="54"/>
      <c r="K99" s="54"/>
      <c r="L99" s="54"/>
      <c r="M99" s="54"/>
      <c r="N99" s="54"/>
      <c r="O99" s="54"/>
      <c r="P99" s="54"/>
      <c r="Q99" s="54"/>
      <c r="R99" s="54"/>
      <c r="S99" s="54"/>
      <c r="T99" s="54"/>
      <c r="U99" s="54"/>
      <c r="V99" s="54"/>
      <c r="W99" s="54"/>
      <c r="X99" s="54"/>
      <c r="Y99" s="54"/>
      <c r="Z99" s="54"/>
    </row>
    <row r="100" spans="1:26" ht="24" customHeight="1">
      <c r="A100" s="601" t="s">
        <v>68</v>
      </c>
      <c r="B100" s="589"/>
      <c r="C100" s="589"/>
      <c r="D100" s="590"/>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6.75" customHeight="1">
      <c r="A101" s="78"/>
      <c r="B101" s="78"/>
      <c r="C101" s="78"/>
      <c r="D101" s="79"/>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5" customHeight="1">
      <c r="A102" s="598" t="s">
        <v>40</v>
      </c>
      <c r="B102" s="589"/>
      <c r="C102" s="589"/>
      <c r="D102" s="590"/>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6.75" customHeight="1">
      <c r="A103" s="60"/>
      <c r="B103" s="61"/>
      <c r="C103" s="61"/>
      <c r="D103" s="62"/>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 customHeight="1">
      <c r="A104" s="63" t="s">
        <v>41</v>
      </c>
      <c r="B104" s="64"/>
      <c r="C104" s="65" t="s">
        <v>42</v>
      </c>
      <c r="D104" s="290">
        <f>'Proposed Rates'!G10</f>
        <v>200</v>
      </c>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 customHeight="1">
      <c r="A105" s="599" t="s">
        <v>43</v>
      </c>
      <c r="B105" s="600"/>
      <c r="C105" s="67" t="s">
        <v>42</v>
      </c>
      <c r="D105" s="68">
        <f>'Proposed Rates'!G131</f>
        <v>-0.62</v>
      </c>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 customHeight="1">
      <c r="A106" s="63" t="s">
        <v>62</v>
      </c>
      <c r="B106" s="64"/>
      <c r="C106" s="65" t="s">
        <v>69</v>
      </c>
      <c r="D106" s="291">
        <f>'Proposed Rates'!G23</f>
        <v>8.0783000000000005</v>
      </c>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 customHeight="1">
      <c r="A107" s="63" t="s">
        <v>47</v>
      </c>
      <c r="B107" s="64"/>
      <c r="C107" s="65" t="s">
        <v>69</v>
      </c>
      <c r="D107" s="293">
        <f>'Proposed Rates'!G269</f>
        <v>2.392E-2</v>
      </c>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5" customHeight="1">
      <c r="A108" s="63" t="s">
        <v>49</v>
      </c>
      <c r="B108" s="64"/>
      <c r="C108" s="65" t="s">
        <v>69</v>
      </c>
      <c r="D108" s="291">
        <f>'Proposed Rates'!G39</f>
        <v>0</v>
      </c>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5" customHeight="1">
      <c r="A109" s="63" t="s">
        <v>45</v>
      </c>
      <c r="B109" s="64"/>
      <c r="C109" s="65" t="s">
        <v>69</v>
      </c>
      <c r="D109" s="291">
        <f>'Proposed Rates'!G66</f>
        <v>0</v>
      </c>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5" customHeight="1">
      <c r="A110" s="63" t="s">
        <v>44</v>
      </c>
      <c r="B110" s="64"/>
      <c r="C110" s="65" t="s">
        <v>69</v>
      </c>
      <c r="D110" s="291">
        <f>'Proposed Rates'!G92</f>
        <v>2.9499999999999998E-2</v>
      </c>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5" customHeight="1">
      <c r="A111" s="63" t="s">
        <v>227</v>
      </c>
      <c r="B111" s="64"/>
      <c r="C111" s="65" t="s">
        <v>48</v>
      </c>
      <c r="D111" s="291">
        <f>'Proposed Rates'!G148</f>
        <v>4.4999999999999997E-3</v>
      </c>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5" customHeight="1">
      <c r="A112" s="63" t="s">
        <v>70</v>
      </c>
      <c r="B112" s="64"/>
      <c r="C112" s="65" t="s">
        <v>48</v>
      </c>
      <c r="D112" s="291">
        <f>'Proposed Rates'!G161</f>
        <v>0</v>
      </c>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5" customHeight="1">
      <c r="A113" s="599" t="s">
        <v>43</v>
      </c>
      <c r="B113" s="600"/>
      <c r="C113" s="67" t="s">
        <v>69</v>
      </c>
      <c r="D113" s="72">
        <f>'Proposed Rates'!G118</f>
        <v>0.45269999999999999</v>
      </c>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2" customHeight="1">
      <c r="A114" s="63" t="s">
        <v>52</v>
      </c>
      <c r="B114" s="64"/>
      <c r="C114" s="65" t="s">
        <v>69</v>
      </c>
      <c r="D114" s="291">
        <f>'Proposed Rates'!G188</f>
        <v>4.5787000000000004</v>
      </c>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2" customHeight="1">
      <c r="A115" s="63" t="s">
        <v>71</v>
      </c>
      <c r="B115" s="64"/>
      <c r="C115" s="65" t="s">
        <v>69</v>
      </c>
      <c r="D115" s="291">
        <f>'Proposed Rates'!G189</f>
        <v>0.77839999999999998</v>
      </c>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2" customHeight="1">
      <c r="A116" s="63" t="s">
        <v>53</v>
      </c>
      <c r="B116" s="64"/>
      <c r="C116" s="65" t="s">
        <v>69</v>
      </c>
      <c r="D116" s="291">
        <f>'Proposed Rates'!G203</f>
        <v>2.5918000000000001</v>
      </c>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 customHeight="1">
      <c r="A117" s="63" t="s">
        <v>72</v>
      </c>
      <c r="B117" s="64"/>
      <c r="C117" s="65" t="s">
        <v>69</v>
      </c>
      <c r="D117" s="291">
        <f>'Proposed Rates'!G204</f>
        <v>0.44059999999999999</v>
      </c>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6.75" customHeight="1">
      <c r="A118" s="65"/>
      <c r="B118" s="65"/>
      <c r="C118" s="65"/>
      <c r="D118" s="294"/>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5" customHeight="1">
      <c r="A119" s="75" t="s">
        <v>54</v>
      </c>
      <c r="B119" s="64"/>
      <c r="C119" s="65"/>
      <c r="D119" s="294"/>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6.75" customHeight="1">
      <c r="A120" s="60"/>
      <c r="B120" s="65"/>
      <c r="C120" s="65"/>
      <c r="D120" s="294"/>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2" customHeight="1">
      <c r="A121" s="63" t="s">
        <v>55</v>
      </c>
      <c r="B121" s="64"/>
      <c r="C121" s="65" t="s">
        <v>48</v>
      </c>
      <c r="D121" s="294">
        <f>$D$35</f>
        <v>4.1000000000000003E-3</v>
      </c>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2" customHeight="1">
      <c r="A122" s="63" t="s">
        <v>56</v>
      </c>
      <c r="B122" s="64"/>
      <c r="C122" s="65" t="s">
        <v>48</v>
      </c>
      <c r="D122" s="291">
        <f>'Proposed Rates'!G218-'2026'!D127</f>
        <v>5.9999999999999984E-4</v>
      </c>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2" customHeight="1">
      <c r="A123" s="63" t="s">
        <v>57</v>
      </c>
      <c r="B123" s="64"/>
      <c r="C123" s="65" t="s">
        <v>48</v>
      </c>
      <c r="D123" s="291">
        <f>'Proposed Rates'!G231</f>
        <v>5.9999999999999995E-4</v>
      </c>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2" customHeight="1">
      <c r="A124" s="63" t="s">
        <v>58</v>
      </c>
      <c r="B124" s="64"/>
      <c r="C124" s="65" t="s">
        <v>42</v>
      </c>
      <c r="D124" s="291">
        <f>'Proposed Rates'!G245</f>
        <v>0.25</v>
      </c>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2" customHeight="1">
      <c r="A125" s="63"/>
      <c r="B125" s="64"/>
      <c r="C125" s="65"/>
      <c r="D125" s="7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2" customHeight="1">
      <c r="A126" s="63" t="s">
        <v>228</v>
      </c>
      <c r="B126" s="64"/>
      <c r="C126" s="65"/>
      <c r="D126" s="74"/>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2" customHeight="1">
      <c r="A127" s="63" t="s">
        <v>74</v>
      </c>
      <c r="B127" s="64"/>
      <c r="C127" s="65"/>
      <c r="D127" s="74"/>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2" customHeight="1">
      <c r="A128" s="63" t="s">
        <v>75</v>
      </c>
      <c r="B128" s="64"/>
      <c r="C128" s="65"/>
      <c r="D128" s="74"/>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2" customHeight="1">
      <c r="A129" s="63"/>
      <c r="B129" s="64"/>
      <c r="C129" s="65"/>
      <c r="D129" s="74"/>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23.25" customHeight="1">
      <c r="A130" s="588" t="str">
        <f>$A$1</f>
        <v>Hydro Ottawa Limited</v>
      </c>
      <c r="B130" s="589"/>
      <c r="C130" s="589"/>
      <c r="D130" s="590"/>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8" customHeight="1">
      <c r="A131" s="591" t="str">
        <f>$A$2</f>
        <v>PROPOSED - TARIFF OF RATES AND CHARGES</v>
      </c>
      <c r="B131" s="589"/>
      <c r="C131" s="589"/>
      <c r="D131" s="590"/>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5.75" customHeight="1">
      <c r="A132" s="592" t="str">
        <f>$A$3</f>
        <v>Effective and Implementation Date January 1, 2027</v>
      </c>
      <c r="B132" s="589"/>
      <c r="C132" s="589"/>
      <c r="D132" s="590"/>
      <c r="E132" s="54"/>
      <c r="F132" s="54"/>
      <c r="G132" s="54"/>
      <c r="H132" s="54"/>
      <c r="I132" s="54"/>
      <c r="J132" s="54"/>
      <c r="K132" s="54"/>
      <c r="L132" s="54"/>
      <c r="M132" s="54"/>
      <c r="N132" s="54"/>
      <c r="O132" s="54"/>
      <c r="P132" s="54"/>
      <c r="Q132" s="54"/>
      <c r="R132" s="54"/>
      <c r="S132" s="54"/>
      <c r="T132" s="54"/>
      <c r="U132" s="54"/>
      <c r="V132" s="54"/>
      <c r="W132" s="54"/>
      <c r="X132" s="54"/>
      <c r="Y132" s="54"/>
      <c r="Z132" s="54"/>
    </row>
    <row r="133" spans="1:26" ht="11.25" customHeight="1">
      <c r="A133" s="593" t="str">
        <f>$A$4</f>
        <v>This schedule supersedes and replaces all previously</v>
      </c>
      <c r="B133" s="589"/>
      <c r="C133" s="589"/>
      <c r="D133" s="590"/>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11.25" customHeight="1">
      <c r="A134" s="593" t="str">
        <f>$A$5</f>
        <v>approved schedules of Rates, Charges and Loss Factors</v>
      </c>
      <c r="B134" s="589"/>
      <c r="C134" s="589"/>
      <c r="D134" s="590"/>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1.25" customHeight="1">
      <c r="A135" s="594" t="str">
        <f>$A$6</f>
        <v>EB-2024-0115</v>
      </c>
      <c r="B135" s="589"/>
      <c r="C135" s="589"/>
      <c r="D135" s="590"/>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18.75" customHeight="1">
      <c r="A136" s="595" t="s">
        <v>76</v>
      </c>
      <c r="B136" s="589"/>
      <c r="C136" s="589"/>
      <c r="D136" s="590"/>
      <c r="E136" s="76"/>
      <c r="F136" s="76"/>
      <c r="G136" s="76"/>
      <c r="H136" s="76"/>
      <c r="I136" s="76"/>
      <c r="J136" s="76"/>
      <c r="K136" s="76"/>
      <c r="L136" s="76"/>
      <c r="M136" s="76"/>
      <c r="N136" s="76"/>
      <c r="O136" s="76"/>
      <c r="P136" s="76"/>
      <c r="Q136" s="76"/>
      <c r="R136" s="76"/>
      <c r="S136" s="76"/>
      <c r="T136" s="76"/>
      <c r="U136" s="76"/>
      <c r="V136" s="76"/>
      <c r="W136" s="76"/>
      <c r="X136" s="76"/>
      <c r="Y136" s="76"/>
      <c r="Z136" s="76"/>
    </row>
    <row r="137" spans="1:26" ht="48" customHeight="1">
      <c r="A137" s="596" t="s">
        <v>77</v>
      </c>
      <c r="B137" s="589"/>
      <c r="C137" s="589"/>
      <c r="D137" s="590"/>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6.75" customHeight="1">
      <c r="A138" s="55"/>
      <c r="B138" s="55"/>
      <c r="C138" s="55"/>
      <c r="D138" s="56"/>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11.25" customHeight="1">
      <c r="A139" s="597" t="s">
        <v>35</v>
      </c>
      <c r="B139" s="589"/>
      <c r="C139" s="589"/>
      <c r="D139" s="590"/>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6.75" customHeight="1">
      <c r="A140" s="57"/>
      <c r="B140" s="58"/>
      <c r="C140" s="58"/>
      <c r="D140" s="59"/>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36" customHeight="1">
      <c r="A141" s="596" t="s">
        <v>36</v>
      </c>
      <c r="B141" s="589"/>
      <c r="C141" s="589"/>
      <c r="D141" s="590"/>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6.75" customHeight="1">
      <c r="A142" s="55"/>
      <c r="B142" s="55"/>
      <c r="C142" s="55"/>
      <c r="D142" s="56"/>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48" customHeight="1">
      <c r="A143" s="596" t="s">
        <v>78</v>
      </c>
      <c r="B143" s="589"/>
      <c r="C143" s="589"/>
      <c r="D143" s="590"/>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6.75" customHeight="1">
      <c r="A144" s="55"/>
      <c r="B144" s="55"/>
      <c r="C144" s="55"/>
      <c r="D144" s="56"/>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48" customHeight="1">
      <c r="A145" s="596" t="s">
        <v>38</v>
      </c>
      <c r="B145" s="589"/>
      <c r="C145" s="589"/>
      <c r="D145" s="590"/>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6.75" customHeight="1">
      <c r="A146" s="55"/>
      <c r="B146" s="55"/>
      <c r="C146" s="55"/>
      <c r="D146" s="56"/>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96" customHeight="1">
      <c r="A147" s="596" t="s">
        <v>66</v>
      </c>
      <c r="B147" s="589"/>
      <c r="C147" s="589"/>
      <c r="D147" s="590"/>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96" customHeight="1">
      <c r="A148" s="596" t="s">
        <v>67</v>
      </c>
      <c r="B148" s="589"/>
      <c r="C148" s="589"/>
      <c r="D148" s="590"/>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36" customHeight="1">
      <c r="A149" s="596" t="s">
        <v>39</v>
      </c>
      <c r="B149" s="589"/>
      <c r="C149" s="589"/>
      <c r="D149" s="590"/>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24" customHeight="1">
      <c r="A150" s="601" t="s">
        <v>68</v>
      </c>
      <c r="B150" s="589"/>
      <c r="C150" s="589"/>
      <c r="D150" s="590"/>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6.75" customHeight="1">
      <c r="A151" s="78"/>
      <c r="B151" s="78"/>
      <c r="C151" s="78"/>
      <c r="D151" s="79"/>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5" customHeight="1">
      <c r="A152" s="598" t="s">
        <v>40</v>
      </c>
      <c r="B152" s="589"/>
      <c r="C152" s="589"/>
      <c r="D152" s="590"/>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6.75" customHeight="1">
      <c r="A153" s="60"/>
      <c r="B153" s="61"/>
      <c r="C153" s="61"/>
      <c r="D153" s="62"/>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2" customHeight="1">
      <c r="A154" s="63" t="s">
        <v>41</v>
      </c>
      <c r="B154" s="64"/>
      <c r="C154" s="65" t="s">
        <v>42</v>
      </c>
      <c r="D154" s="290">
        <f>'Proposed Rates'!G11</f>
        <v>4126.75</v>
      </c>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2" customHeight="1">
      <c r="A155" s="599" t="s">
        <v>43</v>
      </c>
      <c r="B155" s="600"/>
      <c r="C155" s="67" t="s">
        <v>42</v>
      </c>
      <c r="D155" s="68">
        <f>'Proposed Rates'!G132</f>
        <v>-12</v>
      </c>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2" customHeight="1">
      <c r="A156" s="63" t="s">
        <v>62</v>
      </c>
      <c r="B156" s="64"/>
      <c r="C156" s="65" t="s">
        <v>69</v>
      </c>
      <c r="D156" s="291">
        <f>'Proposed Rates'!G24</f>
        <v>7.7595000000000001</v>
      </c>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2" customHeight="1">
      <c r="A157" s="63" t="s">
        <v>47</v>
      </c>
      <c r="B157" s="64"/>
      <c r="C157" s="65" t="s">
        <v>69</v>
      </c>
      <c r="D157" s="293">
        <f>'Proposed Rates'!G270</f>
        <v>2.3730000000000001E-2</v>
      </c>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5" customHeight="1">
      <c r="A158" s="63" t="s">
        <v>49</v>
      </c>
      <c r="B158" s="64"/>
      <c r="C158" s="65" t="s">
        <v>69</v>
      </c>
      <c r="D158" s="291">
        <f>'Proposed Rates'!G40</f>
        <v>0</v>
      </c>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5" customHeight="1">
      <c r="A159" s="63" t="s">
        <v>45</v>
      </c>
      <c r="B159" s="64"/>
      <c r="C159" s="65" t="s">
        <v>69</v>
      </c>
      <c r="D159" s="291">
        <f>'Proposed Rates'!G67</f>
        <v>0</v>
      </c>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5" customHeight="1">
      <c r="A160" s="63" t="s">
        <v>227</v>
      </c>
      <c r="B160" s="64"/>
      <c r="C160" s="65" t="s">
        <v>48</v>
      </c>
      <c r="D160" s="291">
        <f>'Proposed Rates'!G148</f>
        <v>4.4999999999999997E-3</v>
      </c>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5" customHeight="1">
      <c r="A161" s="599" t="s">
        <v>43</v>
      </c>
      <c r="B161" s="600"/>
      <c r="C161" s="67" t="s">
        <v>69</v>
      </c>
      <c r="D161" s="72">
        <f>'Proposed Rates'!G119</f>
        <v>0.48420000000000002</v>
      </c>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15" customHeight="1">
      <c r="A162" s="63" t="s">
        <v>70</v>
      </c>
      <c r="B162" s="64"/>
      <c r="C162" s="65" t="s">
        <v>48</v>
      </c>
      <c r="D162" s="291">
        <f>'Proposed Rates'!G162</f>
        <v>0</v>
      </c>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2" customHeight="1">
      <c r="A163" s="63" t="s">
        <v>52</v>
      </c>
      <c r="B163" s="64"/>
      <c r="C163" s="65" t="s">
        <v>69</v>
      </c>
      <c r="D163" s="291">
        <f>'Proposed Rates'!G190</f>
        <v>4.5423999999999998</v>
      </c>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12" customHeight="1">
      <c r="A164" s="63" t="s">
        <v>71</v>
      </c>
      <c r="B164" s="64"/>
      <c r="C164" s="65" t="s">
        <v>69</v>
      </c>
      <c r="D164" s="291">
        <f>'Proposed Rates'!G191</f>
        <v>0.7722</v>
      </c>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2" customHeight="1">
      <c r="A165" s="63" t="s">
        <v>53</v>
      </c>
      <c r="B165" s="64"/>
      <c r="C165" s="65" t="s">
        <v>69</v>
      </c>
      <c r="D165" s="291">
        <f>'Proposed Rates'!G205</f>
        <v>2.5712000000000002</v>
      </c>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2" customHeight="1">
      <c r="A166" s="63" t="s">
        <v>72</v>
      </c>
      <c r="B166" s="64"/>
      <c r="C166" s="65" t="s">
        <v>69</v>
      </c>
      <c r="D166" s="291">
        <f>'Proposed Rates'!G206</f>
        <v>0.43709999999999999</v>
      </c>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6.75" customHeight="1">
      <c r="A167" s="65"/>
      <c r="B167" s="65"/>
      <c r="C167" s="65"/>
      <c r="D167" s="294"/>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1.25" customHeight="1">
      <c r="A168" s="75" t="s">
        <v>54</v>
      </c>
      <c r="B168" s="64"/>
      <c r="C168" s="65"/>
      <c r="D168" s="294"/>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6" customHeight="1">
      <c r="A169" s="60"/>
      <c r="B169" s="65"/>
      <c r="C169" s="65"/>
      <c r="D169" s="29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2" customHeight="1">
      <c r="A170" s="63" t="s">
        <v>55</v>
      </c>
      <c r="B170" s="64"/>
      <c r="C170" s="65" t="s">
        <v>48</v>
      </c>
      <c r="D170" s="294">
        <f>$D$35</f>
        <v>4.1000000000000003E-3</v>
      </c>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2" customHeight="1">
      <c r="A171" s="63" t="s">
        <v>56</v>
      </c>
      <c r="B171" s="64"/>
      <c r="C171" s="65" t="s">
        <v>48</v>
      </c>
      <c r="D171" s="291">
        <f>'Proposed Rates'!G219-'2026'!D178</f>
        <v>5.9999999999999984E-4</v>
      </c>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2" customHeight="1">
      <c r="A172" s="63" t="s">
        <v>57</v>
      </c>
      <c r="B172" s="64"/>
      <c r="C172" s="65" t="s">
        <v>48</v>
      </c>
      <c r="D172" s="291">
        <f>'Proposed Rates'!G232</f>
        <v>5.9999999999999995E-4</v>
      </c>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2" customHeight="1">
      <c r="A173" s="63" t="s">
        <v>58</v>
      </c>
      <c r="B173" s="64"/>
      <c r="C173" s="65" t="s">
        <v>42</v>
      </c>
      <c r="D173" s="291">
        <f>'Proposed Rates'!G246</f>
        <v>0.25</v>
      </c>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12" customHeight="1">
      <c r="A174" s="63"/>
      <c r="B174" s="64"/>
      <c r="C174" s="65"/>
      <c r="D174" s="291"/>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2" customHeight="1">
      <c r="A175" s="63" t="s">
        <v>229</v>
      </c>
      <c r="B175" s="64"/>
      <c r="C175" s="65"/>
      <c r="D175" s="291"/>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2" customHeight="1">
      <c r="A176" s="63" t="s">
        <v>74</v>
      </c>
      <c r="B176" s="64"/>
      <c r="C176" s="65"/>
      <c r="D176" s="291"/>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2" customHeight="1">
      <c r="A177" s="63" t="s">
        <v>75</v>
      </c>
      <c r="B177" s="64"/>
      <c r="C177" s="65"/>
      <c r="D177" s="291"/>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9" customHeight="1">
      <c r="A178" s="63"/>
      <c r="B178" s="64"/>
      <c r="C178" s="65"/>
      <c r="D178" s="74"/>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23.25" customHeight="1">
      <c r="A179" s="588" t="str">
        <f>$A$1</f>
        <v>Hydro Ottawa Limited</v>
      </c>
      <c r="B179" s="589"/>
      <c r="C179" s="589"/>
      <c r="D179" s="590"/>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8" customHeight="1">
      <c r="A180" s="591" t="str">
        <f>$A$2</f>
        <v>PROPOSED - TARIFF OF RATES AND CHARGES</v>
      </c>
      <c r="B180" s="589"/>
      <c r="C180" s="589"/>
      <c r="D180" s="590"/>
      <c r="E180" s="54"/>
      <c r="F180" s="54"/>
      <c r="G180" s="54"/>
      <c r="H180" s="54"/>
      <c r="I180" s="54"/>
      <c r="J180" s="54"/>
      <c r="K180" s="54"/>
      <c r="L180" s="54"/>
      <c r="M180" s="54"/>
      <c r="N180" s="54"/>
      <c r="O180" s="54"/>
      <c r="P180" s="54"/>
      <c r="Q180" s="54"/>
      <c r="R180" s="54"/>
      <c r="S180" s="54"/>
      <c r="T180" s="54"/>
      <c r="U180" s="54"/>
      <c r="V180" s="54"/>
      <c r="W180" s="54"/>
      <c r="X180" s="54"/>
      <c r="Y180" s="54"/>
      <c r="Z180" s="54"/>
    </row>
    <row r="181" spans="1:26" ht="15.75" customHeight="1">
      <c r="A181" s="592" t="str">
        <f>$A$3</f>
        <v>Effective and Implementation Date January 1, 2027</v>
      </c>
      <c r="B181" s="589"/>
      <c r="C181" s="589"/>
      <c r="D181" s="590"/>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11.25" customHeight="1">
      <c r="A182" s="593" t="str">
        <f>$A$4</f>
        <v>This schedule supersedes and replaces all previously</v>
      </c>
      <c r="B182" s="589"/>
      <c r="C182" s="589"/>
      <c r="D182" s="590"/>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1.25" customHeight="1">
      <c r="A183" s="593" t="str">
        <f>$A$5</f>
        <v>approved schedules of Rates, Charges and Loss Factors</v>
      </c>
      <c r="B183" s="589"/>
      <c r="C183" s="589"/>
      <c r="D183" s="590"/>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11.25" customHeight="1">
      <c r="A184" s="594" t="str">
        <f>$A$6</f>
        <v>EB-2024-0115</v>
      </c>
      <c r="B184" s="589"/>
      <c r="C184" s="589"/>
      <c r="D184" s="590"/>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18.75" customHeight="1">
      <c r="A185" s="595" t="s">
        <v>80</v>
      </c>
      <c r="B185" s="589"/>
      <c r="C185" s="589"/>
      <c r="D185" s="590"/>
      <c r="E185" s="76"/>
      <c r="F185" s="76"/>
      <c r="G185" s="76"/>
      <c r="H185" s="76"/>
      <c r="I185" s="76"/>
      <c r="J185" s="76"/>
      <c r="K185" s="76"/>
      <c r="L185" s="76"/>
      <c r="M185" s="76"/>
      <c r="N185" s="76"/>
      <c r="O185" s="76"/>
      <c r="P185" s="76"/>
      <c r="Q185" s="76"/>
      <c r="R185" s="76"/>
      <c r="S185" s="76"/>
      <c r="T185" s="76"/>
      <c r="U185" s="76"/>
      <c r="V185" s="76"/>
      <c r="W185" s="76"/>
      <c r="X185" s="76"/>
      <c r="Y185" s="76"/>
      <c r="Z185" s="76"/>
    </row>
    <row r="186" spans="1:26" ht="48" customHeight="1">
      <c r="A186" s="596" t="s">
        <v>81</v>
      </c>
      <c r="B186" s="589"/>
      <c r="C186" s="589"/>
      <c r="D186" s="590"/>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6.75" customHeight="1">
      <c r="A187" s="55"/>
      <c r="B187" s="55"/>
      <c r="C187" s="55"/>
      <c r="D187" s="56"/>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11.25" customHeight="1">
      <c r="A188" s="597" t="s">
        <v>35</v>
      </c>
      <c r="B188" s="589"/>
      <c r="C188" s="589"/>
      <c r="D188" s="590"/>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6.75" customHeight="1">
      <c r="A189" s="57"/>
      <c r="B189" s="58"/>
      <c r="C189" s="58"/>
      <c r="D189" s="59"/>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36" customHeight="1">
      <c r="A190" s="596" t="s">
        <v>36</v>
      </c>
      <c r="B190" s="589"/>
      <c r="C190" s="589"/>
      <c r="D190" s="590"/>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6.75" customHeight="1">
      <c r="A191" s="55"/>
      <c r="B191" s="55"/>
      <c r="C191" s="55"/>
      <c r="D191" s="56"/>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48" customHeight="1">
      <c r="A192" s="596" t="s">
        <v>82</v>
      </c>
      <c r="B192" s="589"/>
      <c r="C192" s="589"/>
      <c r="D192" s="590"/>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6.75" customHeight="1">
      <c r="A193" s="55"/>
      <c r="B193" s="55"/>
      <c r="C193" s="55"/>
      <c r="D193" s="56"/>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48" customHeight="1">
      <c r="A194" s="596" t="s">
        <v>38</v>
      </c>
      <c r="B194" s="589"/>
      <c r="C194" s="589"/>
      <c r="D194" s="590"/>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6.75" customHeight="1">
      <c r="A195" s="55"/>
      <c r="B195" s="55"/>
      <c r="C195" s="55"/>
      <c r="D195" s="56"/>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96" customHeight="1">
      <c r="A196" s="596" t="s">
        <v>66</v>
      </c>
      <c r="B196" s="589"/>
      <c r="C196" s="589"/>
      <c r="D196" s="590"/>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96" customHeight="1">
      <c r="A197" s="596" t="s">
        <v>67</v>
      </c>
      <c r="B197" s="589"/>
      <c r="C197" s="589"/>
      <c r="D197" s="590"/>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36" customHeight="1">
      <c r="A198" s="596" t="s">
        <v>39</v>
      </c>
      <c r="B198" s="589"/>
      <c r="C198" s="589"/>
      <c r="D198" s="590"/>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24" customHeight="1">
      <c r="A199" s="601" t="s">
        <v>68</v>
      </c>
      <c r="B199" s="589"/>
      <c r="C199" s="589"/>
      <c r="D199" s="590"/>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6.75" customHeight="1">
      <c r="A200" s="78"/>
      <c r="B200" s="78"/>
      <c r="C200" s="78"/>
      <c r="D200" s="79"/>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5" customHeight="1">
      <c r="A201" s="598" t="s">
        <v>40</v>
      </c>
      <c r="B201" s="589"/>
      <c r="C201" s="589"/>
      <c r="D201" s="590"/>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6.75" customHeight="1">
      <c r="A202" s="60"/>
      <c r="B202" s="61"/>
      <c r="C202" s="61"/>
      <c r="D202" s="62"/>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0.5" customHeight="1">
      <c r="A203" s="63" t="s">
        <v>41</v>
      </c>
      <c r="B203" s="64"/>
      <c r="C203" s="65" t="s">
        <v>42</v>
      </c>
      <c r="D203" s="290">
        <f>'Proposed Rates'!G12</f>
        <v>14946.93</v>
      </c>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0.5" customHeight="1">
      <c r="A204" s="599" t="s">
        <v>43</v>
      </c>
      <c r="B204" s="600"/>
      <c r="C204" s="67" t="s">
        <v>42</v>
      </c>
      <c r="D204" s="68">
        <f>'Proposed Rates'!G133</f>
        <v>-44.07</v>
      </c>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0.5" customHeight="1">
      <c r="A205" s="63" t="s">
        <v>62</v>
      </c>
      <c r="B205" s="64"/>
      <c r="C205" s="65" t="s">
        <v>69</v>
      </c>
      <c r="D205" s="291">
        <f>'Proposed Rates'!G25</f>
        <v>8.4278999999999993</v>
      </c>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0.5" customHeight="1">
      <c r="A206" s="63" t="s">
        <v>47</v>
      </c>
      <c r="B206" s="64"/>
      <c r="C206" s="65" t="s">
        <v>69</v>
      </c>
      <c r="D206" s="293">
        <f>'Proposed Rates'!G271</f>
        <v>2.7869999999999999E-2</v>
      </c>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15" customHeight="1">
      <c r="A207" s="63" t="s">
        <v>49</v>
      </c>
      <c r="B207" s="64"/>
      <c r="C207" s="65" t="s">
        <v>69</v>
      </c>
      <c r="D207" s="291">
        <f>'Proposed Rates'!G41</f>
        <v>0</v>
      </c>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5" customHeight="1">
      <c r="A208" s="63" t="s">
        <v>45</v>
      </c>
      <c r="B208" s="64"/>
      <c r="C208" s="65" t="s">
        <v>69</v>
      </c>
      <c r="D208" s="291">
        <f>'Proposed Rates'!G68</f>
        <v>0</v>
      </c>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15" customHeight="1">
      <c r="A209" s="63" t="s">
        <v>227</v>
      </c>
      <c r="B209" s="64"/>
      <c r="C209" s="65" t="s">
        <v>48</v>
      </c>
      <c r="D209" s="291">
        <f>'Proposed Rates'!G149</f>
        <v>4.3E-3</v>
      </c>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5" customHeight="1">
      <c r="A210" s="599" t="s">
        <v>43</v>
      </c>
      <c r="B210" s="600"/>
      <c r="C210" s="67" t="s">
        <v>69</v>
      </c>
      <c r="D210" s="72">
        <f>'Proposed Rates'!G120</f>
        <v>0.76329999999999998</v>
      </c>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0.5" customHeight="1">
      <c r="A211" s="63" t="s">
        <v>52</v>
      </c>
      <c r="B211" s="64"/>
      <c r="C211" s="65" t="s">
        <v>69</v>
      </c>
      <c r="D211" s="291">
        <f>'Proposed Rates'!G192</f>
        <v>5.3339999999999996</v>
      </c>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0.5" customHeight="1">
      <c r="A212" s="63" t="s">
        <v>53</v>
      </c>
      <c r="B212" s="64"/>
      <c r="C212" s="65" t="s">
        <v>69</v>
      </c>
      <c r="D212" s="291">
        <f>'Proposed Rates'!G207</f>
        <v>3.0192999999999999</v>
      </c>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5" customHeight="1">
      <c r="A213" s="65"/>
      <c r="B213" s="65"/>
      <c r="C213" s="65"/>
      <c r="D213" s="294"/>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5.75" customHeight="1">
      <c r="A214" s="75" t="s">
        <v>54</v>
      </c>
      <c r="B214" s="64"/>
      <c r="C214" s="65"/>
      <c r="D214" s="29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11.25" customHeight="1">
      <c r="A215" s="60"/>
      <c r="B215" s="65"/>
      <c r="C215" s="65"/>
      <c r="D215" s="294"/>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0.5" customHeight="1">
      <c r="A216" s="63" t="s">
        <v>55</v>
      </c>
      <c r="B216" s="64"/>
      <c r="C216" s="65" t="s">
        <v>48</v>
      </c>
      <c r="D216" s="294">
        <f>$D$35</f>
        <v>4.1000000000000003E-3</v>
      </c>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0.5" customHeight="1">
      <c r="A217" s="63" t="s">
        <v>56</v>
      </c>
      <c r="B217" s="64"/>
      <c r="C217" s="65" t="s">
        <v>48</v>
      </c>
      <c r="D217" s="291">
        <f>'Proposed Rates'!G220-'2026'!D227</f>
        <v>5.9999999999999984E-4</v>
      </c>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0.5" customHeight="1">
      <c r="A218" s="63" t="s">
        <v>57</v>
      </c>
      <c r="B218" s="64"/>
      <c r="C218" s="65" t="s">
        <v>48</v>
      </c>
      <c r="D218" s="291">
        <f>'Proposed Rates'!G233</f>
        <v>5.9999999999999995E-4</v>
      </c>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0.5" customHeight="1">
      <c r="A219" s="63" t="s">
        <v>58</v>
      </c>
      <c r="B219" s="64"/>
      <c r="C219" s="65" t="s">
        <v>42</v>
      </c>
      <c r="D219" s="291">
        <f>'Proposed Rates'!G247</f>
        <v>0.25</v>
      </c>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2.75" customHeight="1">
      <c r="A220" s="89"/>
      <c r="B220" s="64"/>
      <c r="C220" s="65"/>
      <c r="D220" s="74"/>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23.25" customHeight="1">
      <c r="A221" s="588" t="str">
        <f>$A$1</f>
        <v>Hydro Ottawa Limited</v>
      </c>
      <c r="B221" s="589"/>
      <c r="C221" s="589"/>
      <c r="D221" s="590"/>
      <c r="E221" s="54"/>
      <c r="F221" s="54"/>
      <c r="G221" s="54"/>
      <c r="H221" s="54"/>
      <c r="I221" s="54"/>
      <c r="J221" s="54"/>
      <c r="K221" s="54"/>
      <c r="L221" s="54"/>
      <c r="M221" s="54"/>
      <c r="N221" s="54"/>
      <c r="O221" s="54"/>
      <c r="P221" s="54"/>
      <c r="Q221" s="54"/>
      <c r="R221" s="54"/>
      <c r="S221" s="54"/>
      <c r="T221" s="54"/>
      <c r="U221" s="54"/>
      <c r="V221" s="54"/>
      <c r="W221" s="54"/>
      <c r="X221" s="54"/>
      <c r="Y221" s="54"/>
      <c r="Z221" s="54"/>
    </row>
    <row r="222" spans="1:26" ht="18" customHeight="1">
      <c r="A222" s="591" t="str">
        <f>$A$2</f>
        <v>PROPOSED - TARIFF OF RATES AND CHARGES</v>
      </c>
      <c r="B222" s="589"/>
      <c r="C222" s="589"/>
      <c r="D222" s="590"/>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15.75" customHeight="1">
      <c r="A223" s="592" t="str">
        <f>$A$3</f>
        <v>Effective and Implementation Date January 1, 2027</v>
      </c>
      <c r="B223" s="589"/>
      <c r="C223" s="589"/>
      <c r="D223" s="590"/>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1.25" customHeight="1">
      <c r="A224" s="593" t="str">
        <f>$A$4</f>
        <v>This schedule supersedes and replaces all previously</v>
      </c>
      <c r="B224" s="589"/>
      <c r="C224" s="589"/>
      <c r="D224" s="590"/>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11.25" customHeight="1">
      <c r="A225" s="593" t="str">
        <f>$A$5</f>
        <v>approved schedules of Rates, Charges and Loss Factors</v>
      </c>
      <c r="B225" s="589"/>
      <c r="C225" s="589"/>
      <c r="D225" s="590"/>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11.25" customHeight="1">
      <c r="A226" s="594" t="str">
        <f>$A$6</f>
        <v>EB-2024-0115</v>
      </c>
      <c r="B226" s="589"/>
      <c r="C226" s="589"/>
      <c r="D226" s="590"/>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18.75" customHeight="1">
      <c r="A227" s="595" t="s">
        <v>83</v>
      </c>
      <c r="B227" s="589"/>
      <c r="C227" s="589"/>
      <c r="D227" s="590"/>
      <c r="E227" s="76"/>
      <c r="F227" s="76"/>
      <c r="G227" s="76"/>
      <c r="H227" s="76"/>
      <c r="I227" s="76"/>
      <c r="J227" s="76"/>
      <c r="K227" s="76"/>
      <c r="L227" s="76"/>
      <c r="M227" s="76"/>
      <c r="N227" s="76"/>
      <c r="O227" s="76"/>
      <c r="P227" s="76"/>
      <c r="Q227" s="76"/>
      <c r="R227" s="76"/>
      <c r="S227" s="76"/>
      <c r="T227" s="76"/>
      <c r="U227" s="76"/>
      <c r="V227" s="76"/>
      <c r="W227" s="76"/>
      <c r="X227" s="76"/>
      <c r="Y227" s="76"/>
      <c r="Z227" s="76"/>
    </row>
    <row r="228" spans="1:26" ht="84" customHeight="1">
      <c r="A228" s="596" t="s">
        <v>84</v>
      </c>
      <c r="B228" s="589"/>
      <c r="C228" s="589"/>
      <c r="D228" s="590"/>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6.75" customHeight="1">
      <c r="A229" s="55"/>
      <c r="B229" s="55"/>
      <c r="C229" s="55"/>
      <c r="D229" s="56"/>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11.25" customHeight="1">
      <c r="A230" s="597" t="s">
        <v>35</v>
      </c>
      <c r="B230" s="589"/>
      <c r="C230" s="589"/>
      <c r="D230" s="590"/>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6.75" customHeight="1">
      <c r="A231" s="57"/>
      <c r="B231" s="58"/>
      <c r="C231" s="58"/>
      <c r="D231" s="59"/>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36" customHeight="1">
      <c r="A232" s="596" t="s">
        <v>36</v>
      </c>
      <c r="B232" s="589"/>
      <c r="C232" s="589"/>
      <c r="D232" s="590"/>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6.75" customHeight="1">
      <c r="A233" s="55"/>
      <c r="B233" s="55"/>
      <c r="C233" s="55"/>
      <c r="D233" s="56"/>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48" customHeight="1">
      <c r="A234" s="596" t="s">
        <v>37</v>
      </c>
      <c r="B234" s="589"/>
      <c r="C234" s="589"/>
      <c r="D234" s="590"/>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6.75" customHeight="1">
      <c r="A235" s="55"/>
      <c r="B235" s="55"/>
      <c r="C235" s="55"/>
      <c r="D235" s="56"/>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48" customHeight="1">
      <c r="A236" s="596" t="s">
        <v>38</v>
      </c>
      <c r="B236" s="589"/>
      <c r="C236" s="589"/>
      <c r="D236" s="590"/>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6.75" customHeight="1">
      <c r="A237" s="55"/>
      <c r="B237" s="55"/>
      <c r="C237" s="55"/>
      <c r="D237" s="56"/>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36" customHeight="1">
      <c r="A238" s="596" t="s">
        <v>39</v>
      </c>
      <c r="B238" s="589"/>
      <c r="C238" s="589"/>
      <c r="D238" s="590"/>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6.75" customHeight="1">
      <c r="A239" s="55"/>
      <c r="B239" s="55"/>
      <c r="C239" s="55"/>
      <c r="D239" s="56"/>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5" customHeight="1">
      <c r="A240" s="75" t="s">
        <v>40</v>
      </c>
      <c r="B240" s="64"/>
      <c r="C240" s="64"/>
      <c r="D240" s="64"/>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6.75" customHeight="1">
      <c r="A241" s="60"/>
      <c r="B241" s="61"/>
      <c r="C241" s="61"/>
      <c r="D241" s="62"/>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1.25" customHeight="1">
      <c r="A242" s="63" t="s">
        <v>85</v>
      </c>
      <c r="B242" s="64"/>
      <c r="C242" s="65" t="s">
        <v>42</v>
      </c>
      <c r="D242" s="290">
        <f>'Proposed Rates'!G15</f>
        <v>8.39</v>
      </c>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1.25" customHeight="1">
      <c r="A243" s="599" t="s">
        <v>43</v>
      </c>
      <c r="B243" s="600"/>
      <c r="C243" s="67" t="s">
        <v>42</v>
      </c>
      <c r="D243" s="68">
        <f>'Proposed Rates'!G136</f>
        <v>0.37</v>
      </c>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11.25" customHeight="1">
      <c r="A244" s="63" t="s">
        <v>62</v>
      </c>
      <c r="B244" s="64"/>
      <c r="C244" s="65" t="s">
        <v>48</v>
      </c>
      <c r="D244" s="291">
        <f>'Proposed Rates'!G28</f>
        <v>0.04</v>
      </c>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1.25" customHeight="1">
      <c r="A245" s="63" t="s">
        <v>47</v>
      </c>
      <c r="B245" s="64"/>
      <c r="C245" s="65" t="s">
        <v>48</v>
      </c>
      <c r="D245" s="293">
        <f>'Proposed Rates'!G274</f>
        <v>4.0000000000000003E-5</v>
      </c>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15" customHeight="1">
      <c r="A246" s="63" t="s">
        <v>49</v>
      </c>
      <c r="B246" s="64"/>
      <c r="C246" s="65" t="s">
        <v>48</v>
      </c>
      <c r="D246" s="291">
        <f>'Proposed Rates'!G44</f>
        <v>0</v>
      </c>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5" customHeight="1">
      <c r="A247" s="63" t="s">
        <v>45</v>
      </c>
      <c r="B247" s="64"/>
      <c r="C247" s="65" t="s">
        <v>48</v>
      </c>
      <c r="D247" s="291">
        <f>'Proposed Rates'!G71</f>
        <v>0</v>
      </c>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5" customHeight="1">
      <c r="A248" s="599" t="s">
        <v>43</v>
      </c>
      <c r="B248" s="600"/>
      <c r="C248" s="67" t="s">
        <v>48</v>
      </c>
      <c r="D248" s="72">
        <f>'Proposed Rates'!G123</f>
        <v>1.9E-3</v>
      </c>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1.25" customHeight="1">
      <c r="A249" s="63" t="s">
        <v>52</v>
      </c>
      <c r="B249" s="64"/>
      <c r="C249" s="65" t="s">
        <v>48</v>
      </c>
      <c r="D249" s="291">
        <f>'Proposed Rates'!G195</f>
        <v>7.4999999999999997E-3</v>
      </c>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1.25" customHeight="1">
      <c r="A250" s="63" t="s">
        <v>53</v>
      </c>
      <c r="B250" s="64"/>
      <c r="C250" s="65" t="s">
        <v>48</v>
      </c>
      <c r="D250" s="291">
        <f>'Proposed Rates'!G210</f>
        <v>4.3E-3</v>
      </c>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6.75" customHeight="1">
      <c r="A251" s="65"/>
      <c r="B251" s="65"/>
      <c r="C251" s="65"/>
      <c r="D251" s="29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15" customHeight="1">
      <c r="A252" s="75" t="s">
        <v>54</v>
      </c>
      <c r="B252" s="64"/>
      <c r="C252" s="65"/>
      <c r="D252" s="294"/>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6.75" customHeight="1">
      <c r="A253" s="60"/>
      <c r="B253" s="65"/>
      <c r="C253" s="65"/>
      <c r="D253" s="294"/>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1.25" customHeight="1">
      <c r="A254" s="63" t="s">
        <v>55</v>
      </c>
      <c r="B254" s="64"/>
      <c r="C254" s="65" t="s">
        <v>48</v>
      </c>
      <c r="D254" s="294">
        <f>$D$35</f>
        <v>4.1000000000000003E-3</v>
      </c>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1.25" customHeight="1">
      <c r="A255" s="63" t="s">
        <v>56</v>
      </c>
      <c r="B255" s="64"/>
      <c r="C255" s="65" t="s">
        <v>48</v>
      </c>
      <c r="D255" s="291">
        <f>'Proposed Rates'!G223-'2026'!D268</f>
        <v>5.9999999999999984E-4</v>
      </c>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1.25" customHeight="1">
      <c r="A256" s="63" t="s">
        <v>57</v>
      </c>
      <c r="B256" s="64"/>
      <c r="C256" s="65" t="s">
        <v>48</v>
      </c>
      <c r="D256" s="291">
        <f>'Proposed Rates'!G236</f>
        <v>5.9999999999999995E-4</v>
      </c>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1.25" customHeight="1">
      <c r="A257" s="63" t="s">
        <v>58</v>
      </c>
      <c r="B257" s="64"/>
      <c r="C257" s="65" t="s">
        <v>42</v>
      </c>
      <c r="D257" s="291">
        <f>'Proposed Rates'!G250</f>
        <v>0.25</v>
      </c>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3.5" customHeight="1">
      <c r="A258" s="63"/>
      <c r="B258" s="64"/>
      <c r="C258" s="65"/>
      <c r="D258" s="74"/>
      <c r="E258" s="54"/>
      <c r="F258" s="54"/>
      <c r="G258" s="54"/>
      <c r="H258" s="54"/>
      <c r="I258" s="54"/>
      <c r="J258" s="54"/>
      <c r="K258" s="54"/>
      <c r="L258" s="54"/>
      <c r="M258" s="54"/>
      <c r="N258" s="54"/>
      <c r="O258" s="54"/>
      <c r="P258" s="54"/>
      <c r="Q258" s="54"/>
      <c r="R258" s="54"/>
      <c r="S258" s="54"/>
      <c r="T258" s="54"/>
      <c r="U258" s="54"/>
      <c r="V258" s="54"/>
      <c r="W258" s="54"/>
      <c r="X258" s="54"/>
      <c r="Y258" s="54"/>
      <c r="Z258" s="54"/>
    </row>
    <row r="259" spans="1:26" ht="23.25" customHeight="1">
      <c r="A259" s="588" t="str">
        <f>$A$1</f>
        <v>Hydro Ottawa Limited</v>
      </c>
      <c r="B259" s="589"/>
      <c r="C259" s="589"/>
      <c r="D259" s="590"/>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18" customHeight="1">
      <c r="A260" s="591" t="str">
        <f>$A$2</f>
        <v>PROPOSED - TARIFF OF RATES AND CHARGES</v>
      </c>
      <c r="B260" s="589"/>
      <c r="C260" s="589"/>
      <c r="D260" s="590"/>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5.75" customHeight="1">
      <c r="A261" s="592" t="str">
        <f>$A$3</f>
        <v>Effective and Implementation Date January 1, 2027</v>
      </c>
      <c r="B261" s="589"/>
      <c r="C261" s="589"/>
      <c r="D261" s="590"/>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11.25" customHeight="1">
      <c r="A262" s="593" t="str">
        <f>$A$4</f>
        <v>This schedule supersedes and replaces all previously</v>
      </c>
      <c r="B262" s="589"/>
      <c r="C262" s="589"/>
      <c r="D262" s="590"/>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11.25" customHeight="1">
      <c r="A263" s="593" t="str">
        <f>$A$5</f>
        <v>approved schedules of Rates, Charges and Loss Factors</v>
      </c>
      <c r="B263" s="589"/>
      <c r="C263" s="589"/>
      <c r="D263" s="590"/>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11.25" customHeight="1">
      <c r="A264" s="594" t="str">
        <f>$A$6</f>
        <v>EB-2024-0115</v>
      </c>
      <c r="B264" s="589"/>
      <c r="C264" s="589"/>
      <c r="D264" s="590"/>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18.75" customHeight="1">
      <c r="A265" s="595" t="s">
        <v>86</v>
      </c>
      <c r="B265" s="589"/>
      <c r="C265" s="589"/>
      <c r="D265" s="590"/>
      <c r="E265" s="76"/>
      <c r="F265" s="76"/>
      <c r="G265" s="76"/>
      <c r="H265" s="76"/>
      <c r="I265" s="76"/>
      <c r="J265" s="76"/>
      <c r="K265" s="76"/>
      <c r="L265" s="76"/>
      <c r="M265" s="76"/>
      <c r="N265" s="76"/>
      <c r="O265" s="76"/>
      <c r="P265" s="76"/>
      <c r="Q265" s="76"/>
      <c r="R265" s="76"/>
      <c r="S265" s="76"/>
      <c r="T265" s="76"/>
      <c r="U265" s="76"/>
      <c r="V265" s="76"/>
      <c r="W265" s="76"/>
      <c r="X265" s="76"/>
      <c r="Y265" s="76"/>
      <c r="Z265" s="76"/>
    </row>
    <row r="266" spans="1:26" ht="36" customHeight="1">
      <c r="A266" s="596" t="s">
        <v>87</v>
      </c>
      <c r="B266" s="589"/>
      <c r="C266" s="589"/>
      <c r="D266" s="590"/>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6.75" customHeight="1">
      <c r="A267" s="55"/>
      <c r="B267" s="55"/>
      <c r="C267" s="55"/>
      <c r="D267" s="56"/>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11.25" customHeight="1">
      <c r="A268" s="597" t="s">
        <v>35</v>
      </c>
      <c r="B268" s="589"/>
      <c r="C268" s="589"/>
      <c r="D268" s="590"/>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6.75" customHeight="1">
      <c r="A269" s="57"/>
      <c r="B269" s="58"/>
      <c r="C269" s="58"/>
      <c r="D269" s="59"/>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36" customHeight="1">
      <c r="A270" s="596" t="s">
        <v>36</v>
      </c>
      <c r="B270" s="589"/>
      <c r="C270" s="589"/>
      <c r="D270" s="590"/>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6.75" customHeight="1">
      <c r="A271" s="55"/>
      <c r="B271" s="55"/>
      <c r="C271" s="55"/>
      <c r="D271" s="56"/>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48" customHeight="1">
      <c r="A272" s="596" t="s">
        <v>37</v>
      </c>
      <c r="B272" s="589"/>
      <c r="C272" s="589"/>
      <c r="D272" s="590"/>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6.75" customHeight="1">
      <c r="A273" s="55"/>
      <c r="B273" s="55"/>
      <c r="C273" s="55"/>
      <c r="D273" s="56"/>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24" customHeight="1">
      <c r="A274" s="596" t="s">
        <v>88</v>
      </c>
      <c r="B274" s="589"/>
      <c r="C274" s="589"/>
      <c r="D274" s="590"/>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6.75" customHeight="1">
      <c r="A275" s="55"/>
      <c r="B275" s="55"/>
      <c r="C275" s="55"/>
      <c r="D275" s="56"/>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36" customHeight="1">
      <c r="A276" s="596" t="s">
        <v>89</v>
      </c>
      <c r="B276" s="589"/>
      <c r="C276" s="589"/>
      <c r="D276" s="590"/>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6.75" customHeight="1">
      <c r="A277" s="55"/>
      <c r="B277" s="55"/>
      <c r="C277" s="55"/>
      <c r="D277" s="56"/>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5" customHeight="1">
      <c r="A278" s="598" t="s">
        <v>90</v>
      </c>
      <c r="B278" s="589"/>
      <c r="C278" s="589"/>
      <c r="D278" s="590"/>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6.75" customHeight="1">
      <c r="A279" s="60"/>
      <c r="B279" s="61"/>
      <c r="C279" s="61"/>
      <c r="D279" s="62"/>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3.5" customHeight="1">
      <c r="A280" s="296" t="s">
        <v>41</v>
      </c>
      <c r="B280" s="84"/>
      <c r="C280" s="297" t="s">
        <v>42</v>
      </c>
      <c r="D280" s="298">
        <f>'Proposed Rates'!G16</f>
        <v>186.89</v>
      </c>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11.25" customHeight="1">
      <c r="A281" s="296" t="s">
        <v>91</v>
      </c>
      <c r="B281" s="84"/>
      <c r="C281" s="297" t="s">
        <v>69</v>
      </c>
      <c r="D281" s="299">
        <f>'Proposed Rates'!G29</f>
        <v>4.0392000000000001</v>
      </c>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1.25" customHeight="1">
      <c r="A282" s="296" t="s">
        <v>92</v>
      </c>
      <c r="B282" s="84"/>
      <c r="C282" s="297" t="s">
        <v>69</v>
      </c>
      <c r="D282" s="299">
        <f>'Proposed Rates'!G30</f>
        <v>3.8797999999999999</v>
      </c>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1.25" customHeight="1">
      <c r="A283" s="296" t="s">
        <v>93</v>
      </c>
      <c r="B283" s="84"/>
      <c r="C283" s="297" t="s">
        <v>69</v>
      </c>
      <c r="D283" s="299">
        <f>'Proposed Rates'!G31</f>
        <v>4.2140000000000004</v>
      </c>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1.25" customHeight="1">
      <c r="A284" s="73" t="s">
        <v>94</v>
      </c>
      <c r="B284" s="84"/>
      <c r="C284" s="89" t="s">
        <v>69</v>
      </c>
      <c r="D284" s="92">
        <f>'Proposed Rates'!G23</f>
        <v>8.0783000000000005</v>
      </c>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1.25" customHeight="1">
      <c r="A285" s="73" t="s">
        <v>95</v>
      </c>
      <c r="B285" s="84"/>
      <c r="C285" s="89" t="s">
        <v>69</v>
      </c>
      <c r="D285" s="92">
        <f>'Proposed Rates'!G24</f>
        <v>7.7595000000000001</v>
      </c>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1.25" customHeight="1">
      <c r="A286" s="73" t="s">
        <v>96</v>
      </c>
      <c r="B286" s="84"/>
      <c r="C286" s="89" t="s">
        <v>69</v>
      </c>
      <c r="D286" s="92">
        <f>'Proposed Rates'!G25</f>
        <v>8.4278999999999993</v>
      </c>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22.5" customHeight="1">
      <c r="A287" s="602" t="s">
        <v>97</v>
      </c>
      <c r="B287" s="600"/>
      <c r="C287" s="67" t="s">
        <v>69</v>
      </c>
      <c r="D287" s="72">
        <f>'Proposed Rates'!G124</f>
        <v>0.56589999999999996</v>
      </c>
      <c r="E287" s="54"/>
      <c r="F287" s="54"/>
      <c r="G287" s="54"/>
      <c r="H287" s="54"/>
      <c r="I287" s="54"/>
      <c r="J287" s="54"/>
      <c r="K287" s="54"/>
      <c r="L287" s="54"/>
      <c r="M287" s="54"/>
      <c r="N287" s="54"/>
      <c r="O287" s="54"/>
      <c r="P287" s="54"/>
      <c r="Q287" s="54"/>
      <c r="R287" s="54"/>
      <c r="S287" s="54"/>
      <c r="T287" s="54"/>
      <c r="U287" s="54"/>
      <c r="V287" s="54"/>
      <c r="W287" s="54"/>
      <c r="X287" s="54"/>
      <c r="Y287" s="54"/>
      <c r="Z287" s="54"/>
    </row>
    <row r="288" spans="1:26" ht="22.5" customHeight="1">
      <c r="A288" s="602" t="s">
        <v>98</v>
      </c>
      <c r="B288" s="600"/>
      <c r="C288" s="67" t="s">
        <v>69</v>
      </c>
      <c r="D288" s="72">
        <f>'Proposed Rates'!G125</f>
        <v>0.57720000000000005</v>
      </c>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22.5" customHeight="1">
      <c r="A289" s="602" t="s">
        <v>99</v>
      </c>
      <c r="B289" s="600"/>
      <c r="C289" s="67" t="s">
        <v>69</v>
      </c>
      <c r="D289" s="72">
        <f>'Proposed Rates'!G126</f>
        <v>0.60329999999999995</v>
      </c>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22.5" customHeight="1">
      <c r="A290" s="602" t="s">
        <v>97</v>
      </c>
      <c r="B290" s="600"/>
      <c r="C290" s="67" t="s">
        <v>42</v>
      </c>
      <c r="D290" s="68">
        <f>'Proposed Rates'!G137</f>
        <v>-0.56999999999999995</v>
      </c>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22.5" customHeight="1">
      <c r="A291" s="602" t="s">
        <v>98</v>
      </c>
      <c r="B291" s="600"/>
      <c r="C291" s="67" t="s">
        <v>42</v>
      </c>
      <c r="D291" s="68">
        <f>'Proposed Rates'!G138</f>
        <v>-0.56999999999999995</v>
      </c>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22.5" customHeight="1">
      <c r="A292" s="602" t="s">
        <v>99</v>
      </c>
      <c r="B292" s="600"/>
      <c r="C292" s="67" t="s">
        <v>42</v>
      </c>
      <c r="D292" s="68">
        <f>'Proposed Rates'!G139</f>
        <v>-0.56999999999999995</v>
      </c>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14.25" customHeight="1">
      <c r="A293" s="89"/>
      <c r="B293" s="64"/>
      <c r="C293" s="65"/>
      <c r="D293" s="294"/>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23.25" customHeight="1">
      <c r="A294" s="588" t="str">
        <f>$A$1</f>
        <v>Hydro Ottawa Limited</v>
      </c>
      <c r="B294" s="589"/>
      <c r="C294" s="589"/>
      <c r="D294" s="590"/>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18" customHeight="1">
      <c r="A295" s="591" t="str">
        <f>$A$2</f>
        <v>PROPOSED - TARIFF OF RATES AND CHARGES</v>
      </c>
      <c r="B295" s="589"/>
      <c r="C295" s="589"/>
      <c r="D295" s="590"/>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15.75" customHeight="1">
      <c r="A296" s="592" t="str">
        <f>$A$3</f>
        <v>Effective and Implementation Date January 1, 2027</v>
      </c>
      <c r="B296" s="589"/>
      <c r="C296" s="589"/>
      <c r="D296" s="590"/>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11.25" customHeight="1">
      <c r="A297" s="593" t="str">
        <f>$A$4</f>
        <v>This schedule supersedes and replaces all previously</v>
      </c>
      <c r="B297" s="589"/>
      <c r="C297" s="589"/>
      <c r="D297" s="590"/>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11.25" customHeight="1">
      <c r="A298" s="593" t="str">
        <f>$A$5</f>
        <v>approved schedules of Rates, Charges and Loss Factors</v>
      </c>
      <c r="B298" s="589"/>
      <c r="C298" s="589"/>
      <c r="D298" s="590"/>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11.25" customHeight="1">
      <c r="A299" s="594" t="str">
        <f>$A$6</f>
        <v>EB-2024-0115</v>
      </c>
      <c r="B299" s="589"/>
      <c r="C299" s="589"/>
      <c r="D299" s="590"/>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8.75" customHeight="1">
      <c r="A300" s="595" t="s">
        <v>100</v>
      </c>
      <c r="B300" s="589"/>
      <c r="C300" s="589"/>
      <c r="D300" s="590"/>
      <c r="E300" s="76"/>
      <c r="F300" s="76"/>
      <c r="G300" s="76"/>
      <c r="H300" s="76"/>
      <c r="I300" s="76"/>
      <c r="J300" s="76"/>
      <c r="K300" s="76"/>
      <c r="L300" s="76"/>
      <c r="M300" s="76"/>
      <c r="N300" s="76"/>
      <c r="O300" s="76"/>
      <c r="P300" s="76"/>
      <c r="Q300" s="76"/>
      <c r="R300" s="76"/>
      <c r="S300" s="76"/>
      <c r="T300" s="76"/>
      <c r="U300" s="76"/>
      <c r="V300" s="76"/>
      <c r="W300" s="76"/>
      <c r="X300" s="76"/>
      <c r="Y300" s="76"/>
      <c r="Z300" s="76"/>
    </row>
    <row r="301" spans="1:26" ht="36" customHeight="1">
      <c r="A301" s="596" t="s">
        <v>101</v>
      </c>
      <c r="B301" s="589"/>
      <c r="C301" s="589"/>
      <c r="D301" s="590"/>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6.75" customHeight="1">
      <c r="A302" s="55"/>
      <c r="B302" s="55"/>
      <c r="C302" s="55"/>
      <c r="D302" s="56"/>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1.25" customHeight="1">
      <c r="A303" s="597" t="s">
        <v>35</v>
      </c>
      <c r="B303" s="589"/>
      <c r="C303" s="589"/>
      <c r="D303" s="590"/>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6.75" customHeight="1">
      <c r="A304" s="57"/>
      <c r="B304" s="58"/>
      <c r="C304" s="58"/>
      <c r="D304" s="59"/>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36" customHeight="1">
      <c r="A305" s="596" t="s">
        <v>36</v>
      </c>
      <c r="B305" s="589"/>
      <c r="C305" s="589"/>
      <c r="D305" s="590"/>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6.75" customHeight="1">
      <c r="A306" s="55"/>
      <c r="B306" s="55"/>
      <c r="C306" s="55"/>
      <c r="D306" s="56"/>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48" customHeight="1">
      <c r="A307" s="596" t="s">
        <v>37</v>
      </c>
      <c r="B307" s="589"/>
      <c r="C307" s="589"/>
      <c r="D307" s="590"/>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6.75" customHeight="1">
      <c r="A308" s="55"/>
      <c r="B308" s="55"/>
      <c r="C308" s="55"/>
      <c r="D308" s="56"/>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48" customHeight="1">
      <c r="A309" s="596" t="s">
        <v>38</v>
      </c>
      <c r="B309" s="589"/>
      <c r="C309" s="589"/>
      <c r="D309" s="590"/>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6.75" customHeight="1">
      <c r="A310" s="55"/>
      <c r="B310" s="55"/>
      <c r="C310" s="55"/>
      <c r="D310" s="56"/>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36" customHeight="1">
      <c r="A311" s="596" t="s">
        <v>39</v>
      </c>
      <c r="B311" s="589"/>
      <c r="C311" s="589"/>
      <c r="D311" s="590"/>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6.75" customHeight="1">
      <c r="A312" s="55"/>
      <c r="B312" s="55"/>
      <c r="C312" s="55"/>
      <c r="D312" s="56"/>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5" customHeight="1">
      <c r="A313" s="598" t="s">
        <v>40</v>
      </c>
      <c r="B313" s="589"/>
      <c r="C313" s="589"/>
      <c r="D313" s="590"/>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6.75" customHeight="1">
      <c r="A314" s="60"/>
      <c r="B314" s="61"/>
      <c r="C314" s="61"/>
      <c r="D314" s="62"/>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1.25" customHeight="1">
      <c r="A315" s="63" t="s">
        <v>85</v>
      </c>
      <c r="B315" s="64"/>
      <c r="C315" s="65" t="s">
        <v>42</v>
      </c>
      <c r="D315" s="290">
        <f>'Proposed Rates'!G14</f>
        <v>8.41</v>
      </c>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1.25" customHeight="1">
      <c r="A316" s="599" t="s">
        <v>230</v>
      </c>
      <c r="B316" s="600"/>
      <c r="C316" s="67" t="s">
        <v>42</v>
      </c>
      <c r="D316" s="68">
        <f>'Proposed Rates'!G135</f>
        <v>0.37</v>
      </c>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1.25" customHeight="1">
      <c r="A317" s="63" t="s">
        <v>62</v>
      </c>
      <c r="B317" s="64"/>
      <c r="C317" s="65" t="s">
        <v>69</v>
      </c>
      <c r="D317" s="291">
        <f>'Proposed Rates'!G27</f>
        <v>39.431100000000001</v>
      </c>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11.25" customHeight="1">
      <c r="A318" s="63" t="s">
        <v>47</v>
      </c>
      <c r="B318" s="64"/>
      <c r="C318" s="65" t="s">
        <v>69</v>
      </c>
      <c r="D318" s="293">
        <f>'Proposed Rates'!G273</f>
        <v>4.4600000000000004E-3</v>
      </c>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 customHeight="1">
      <c r="A319" s="63" t="s">
        <v>49</v>
      </c>
      <c r="B319" s="64"/>
      <c r="C319" s="65" t="s">
        <v>69</v>
      </c>
      <c r="D319" s="291">
        <f>'Proposed Rates'!G43</f>
        <v>0</v>
      </c>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 customHeight="1">
      <c r="A320" s="63" t="s">
        <v>45</v>
      </c>
      <c r="B320" s="64"/>
      <c r="C320" s="65" t="s">
        <v>69</v>
      </c>
      <c r="D320" s="291">
        <f>'Proposed Rates'!G70</f>
        <v>0</v>
      </c>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 customHeight="1">
      <c r="A321" s="63" t="s">
        <v>227</v>
      </c>
      <c r="B321" s="64"/>
      <c r="C321" s="65" t="s">
        <v>48</v>
      </c>
      <c r="D321" s="291">
        <f>'Proposed Rates'!G151</f>
        <v>0</v>
      </c>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 customHeight="1">
      <c r="A322" s="599" t="s">
        <v>230</v>
      </c>
      <c r="B322" s="600"/>
      <c r="C322" s="67" t="s">
        <v>69</v>
      </c>
      <c r="D322" s="72">
        <f>'Proposed Rates'!G122</f>
        <v>1.8109999999999999</v>
      </c>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2" customHeight="1">
      <c r="A323" s="63" t="s">
        <v>52</v>
      </c>
      <c r="B323" s="64"/>
      <c r="C323" s="65" t="s">
        <v>69</v>
      </c>
      <c r="D323" s="291">
        <f>'Proposed Rates'!G194</f>
        <v>0.85450000000000004</v>
      </c>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5.75" customHeight="1">
      <c r="A324" s="94" t="s">
        <v>53</v>
      </c>
      <c r="B324" s="64"/>
      <c r="C324" s="95" t="s">
        <v>69</v>
      </c>
      <c r="D324" s="300">
        <f>'Proposed Rates'!G209</f>
        <v>0.48370000000000002</v>
      </c>
      <c r="E324" s="54"/>
      <c r="F324" s="54"/>
      <c r="G324" s="54"/>
      <c r="H324" s="54"/>
      <c r="I324" s="54"/>
      <c r="J324" s="54"/>
      <c r="K324" s="54"/>
      <c r="L324" s="54"/>
      <c r="M324" s="54"/>
      <c r="N324" s="54"/>
      <c r="O324" s="54"/>
      <c r="P324" s="54"/>
      <c r="Q324" s="54"/>
      <c r="R324" s="54"/>
      <c r="S324" s="54"/>
      <c r="T324" s="54"/>
      <c r="U324" s="54"/>
      <c r="V324" s="54"/>
      <c r="W324" s="54"/>
      <c r="X324" s="54"/>
      <c r="Y324" s="54"/>
      <c r="Z324" s="54"/>
    </row>
    <row r="325" spans="1:26" ht="4.5" customHeight="1">
      <c r="A325" s="94"/>
      <c r="B325" s="64"/>
      <c r="C325" s="95"/>
      <c r="D325" s="301"/>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15" customHeight="1">
      <c r="A326" s="75" t="s">
        <v>54</v>
      </c>
      <c r="B326" s="64"/>
      <c r="C326" s="65"/>
      <c r="D326" s="294"/>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6.75" customHeight="1">
      <c r="A327" s="60"/>
      <c r="B327" s="65"/>
      <c r="C327" s="65"/>
      <c r="D327" s="294"/>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10.5" customHeight="1">
      <c r="A328" s="63" t="s">
        <v>55</v>
      </c>
      <c r="B328" s="64"/>
      <c r="C328" s="65" t="s">
        <v>48</v>
      </c>
      <c r="D328" s="294">
        <f>$D$35</f>
        <v>4.1000000000000003E-3</v>
      </c>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11.25" customHeight="1">
      <c r="A329" s="63" t="s">
        <v>56</v>
      </c>
      <c r="B329" s="64"/>
      <c r="C329" s="65" t="s">
        <v>48</v>
      </c>
      <c r="D329" s="291">
        <f>'Proposed Rates'!G222-'2026'!D345</f>
        <v>5.9999999999999984E-4</v>
      </c>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11.25" customHeight="1">
      <c r="A330" s="63" t="s">
        <v>57</v>
      </c>
      <c r="B330" s="64"/>
      <c r="C330" s="65" t="s">
        <v>48</v>
      </c>
      <c r="D330" s="291">
        <f>'Proposed Rates'!G235</f>
        <v>5.9999999999999995E-4</v>
      </c>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11.25" customHeight="1">
      <c r="A331" s="63" t="s">
        <v>58</v>
      </c>
      <c r="B331" s="64"/>
      <c r="C331" s="65" t="s">
        <v>42</v>
      </c>
      <c r="D331" s="291">
        <f>'Proposed Rates'!G249</f>
        <v>0.25</v>
      </c>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11.25" customHeight="1">
      <c r="A332" s="89"/>
      <c r="B332" s="64"/>
      <c r="C332" s="65"/>
      <c r="D332" s="74"/>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23.25" customHeight="1">
      <c r="A333" s="588" t="str">
        <f>$A$1</f>
        <v>Hydro Ottawa Limited</v>
      </c>
      <c r="B333" s="589"/>
      <c r="C333" s="589"/>
      <c r="D333" s="590"/>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18" customHeight="1">
      <c r="A334" s="591" t="str">
        <f>$A$2</f>
        <v>PROPOSED - TARIFF OF RATES AND CHARGES</v>
      </c>
      <c r="B334" s="589"/>
      <c r="C334" s="589"/>
      <c r="D334" s="590"/>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15.75" customHeight="1">
      <c r="A335" s="592" t="str">
        <f>$A$3</f>
        <v>Effective and Implementation Date January 1, 2027</v>
      </c>
      <c r="B335" s="589"/>
      <c r="C335" s="589"/>
      <c r="D335" s="590"/>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11.25" customHeight="1">
      <c r="A336" s="593" t="str">
        <f>$A$4</f>
        <v>This schedule supersedes and replaces all previously</v>
      </c>
      <c r="B336" s="589"/>
      <c r="C336" s="589"/>
      <c r="D336" s="590"/>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1.25" customHeight="1">
      <c r="A337" s="593" t="str">
        <f>$A$5</f>
        <v>approved schedules of Rates, Charges and Loss Factors</v>
      </c>
      <c r="B337" s="589"/>
      <c r="C337" s="589"/>
      <c r="D337" s="590"/>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11.25" customHeight="1">
      <c r="A338" s="594" t="str">
        <f>$A$6</f>
        <v>EB-2024-0115</v>
      </c>
      <c r="B338" s="589"/>
      <c r="C338" s="589"/>
      <c r="D338" s="590"/>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8.75" customHeight="1">
      <c r="A339" s="595" t="s">
        <v>102</v>
      </c>
      <c r="B339" s="589"/>
      <c r="C339" s="589"/>
      <c r="D339" s="590"/>
      <c r="E339" s="76"/>
      <c r="F339" s="76"/>
      <c r="G339" s="76"/>
      <c r="H339" s="76"/>
      <c r="I339" s="76"/>
      <c r="J339" s="76"/>
      <c r="K339" s="76"/>
      <c r="L339" s="76"/>
      <c r="M339" s="76"/>
      <c r="N339" s="76"/>
      <c r="O339" s="76"/>
      <c r="P339" s="76"/>
      <c r="Q339" s="76"/>
      <c r="R339" s="76"/>
      <c r="S339" s="76"/>
      <c r="T339" s="76"/>
      <c r="U339" s="76"/>
      <c r="V339" s="76"/>
      <c r="W339" s="76"/>
      <c r="X339" s="76"/>
      <c r="Y339" s="76"/>
      <c r="Z339" s="76"/>
    </row>
    <row r="340" spans="1:26" ht="60" customHeight="1">
      <c r="A340" s="596" t="s">
        <v>103</v>
      </c>
      <c r="B340" s="589"/>
      <c r="C340" s="589"/>
      <c r="D340" s="590"/>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6.75" customHeight="1">
      <c r="A341" s="55"/>
      <c r="B341" s="55"/>
      <c r="C341" s="55"/>
      <c r="D341" s="56"/>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1.25" customHeight="1">
      <c r="A342" s="597" t="s">
        <v>35</v>
      </c>
      <c r="B342" s="589"/>
      <c r="C342" s="589"/>
      <c r="D342" s="590"/>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6.75" customHeight="1">
      <c r="A343" s="57"/>
      <c r="B343" s="58"/>
      <c r="C343" s="58"/>
      <c r="D343" s="59"/>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36" customHeight="1">
      <c r="A344" s="596" t="s">
        <v>36</v>
      </c>
      <c r="B344" s="589"/>
      <c r="C344" s="589"/>
      <c r="D344" s="590"/>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6.75" customHeight="1">
      <c r="A345" s="55"/>
      <c r="B345" s="55"/>
      <c r="C345" s="55"/>
      <c r="D345" s="56"/>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48" customHeight="1">
      <c r="A346" s="596" t="s">
        <v>37</v>
      </c>
      <c r="B346" s="589"/>
      <c r="C346" s="589"/>
      <c r="D346" s="590"/>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6.75" customHeight="1">
      <c r="A347" s="55"/>
      <c r="B347" s="55"/>
      <c r="C347" s="55"/>
      <c r="D347" s="56"/>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48" customHeight="1">
      <c r="A348" s="596" t="s">
        <v>38</v>
      </c>
      <c r="B348" s="589"/>
      <c r="C348" s="589"/>
      <c r="D348" s="590"/>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6.75" customHeight="1">
      <c r="A349" s="55"/>
      <c r="B349" s="55"/>
      <c r="C349" s="55"/>
      <c r="D349" s="56"/>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36" customHeight="1">
      <c r="A350" s="596" t="s">
        <v>104</v>
      </c>
      <c r="B350" s="589"/>
      <c r="C350" s="589"/>
      <c r="D350" s="590"/>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6.75" customHeight="1">
      <c r="A351" s="55"/>
      <c r="B351" s="55"/>
      <c r="C351" s="55"/>
      <c r="D351" s="56"/>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5" customHeight="1">
      <c r="A352" s="598" t="s">
        <v>40</v>
      </c>
      <c r="B352" s="589"/>
      <c r="C352" s="589"/>
      <c r="D352" s="590"/>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6.75" customHeight="1">
      <c r="A353" s="60"/>
      <c r="B353" s="61"/>
      <c r="C353" s="61"/>
      <c r="D353" s="62"/>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0.5" customHeight="1">
      <c r="A354" s="63" t="s">
        <v>85</v>
      </c>
      <c r="B354" s="64"/>
      <c r="C354" s="65" t="s">
        <v>42</v>
      </c>
      <c r="D354" s="290">
        <f>'Proposed Rates'!G13</f>
        <v>1.1599999999999999</v>
      </c>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0.5" customHeight="1">
      <c r="A355" s="599" t="s">
        <v>43</v>
      </c>
      <c r="B355" s="600"/>
      <c r="C355" s="67" t="s">
        <v>42</v>
      </c>
      <c r="D355" s="68">
        <f>'Proposed Rates'!G134</f>
        <v>0.03</v>
      </c>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10.5" customHeight="1">
      <c r="A356" s="63" t="s">
        <v>62</v>
      </c>
      <c r="B356" s="64"/>
      <c r="C356" s="65" t="s">
        <v>69</v>
      </c>
      <c r="D356" s="291">
        <f>'Proposed Rates'!G26</f>
        <v>8.0134000000000007</v>
      </c>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0.5" customHeight="1">
      <c r="A357" s="63" t="s">
        <v>47</v>
      </c>
      <c r="B357" s="64"/>
      <c r="C357" s="65" t="s">
        <v>69</v>
      </c>
      <c r="D357" s="293">
        <f>'Proposed Rates'!G272</f>
        <v>1.1270000000000001E-2</v>
      </c>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 customHeight="1">
      <c r="A358" s="63" t="s">
        <v>49</v>
      </c>
      <c r="B358" s="64"/>
      <c r="C358" s="65" t="s">
        <v>69</v>
      </c>
      <c r="D358" s="291">
        <f>'Proposed Rates'!G42</f>
        <v>0</v>
      </c>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 customHeight="1">
      <c r="A359" s="63" t="s">
        <v>45</v>
      </c>
      <c r="B359" s="64"/>
      <c r="C359" s="65" t="s">
        <v>69</v>
      </c>
      <c r="D359" s="291">
        <f>'Proposed Rates'!G69</f>
        <v>0</v>
      </c>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 customHeight="1">
      <c r="A360" s="63" t="s">
        <v>227</v>
      </c>
      <c r="B360" s="64"/>
      <c r="C360" s="65" t="s">
        <v>48</v>
      </c>
      <c r="D360" s="291">
        <f>'Proposed Rates'!G150</f>
        <v>4.4999999999999997E-3</v>
      </c>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5" customHeight="1">
      <c r="A361" s="599" t="s">
        <v>230</v>
      </c>
      <c r="B361" s="600"/>
      <c r="C361" s="67" t="s">
        <v>69</v>
      </c>
      <c r="D361" s="72">
        <f>'Proposed Rates'!G121</f>
        <v>0.20150000000000001</v>
      </c>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0.5" customHeight="1">
      <c r="A362" s="63" t="s">
        <v>52</v>
      </c>
      <c r="B362" s="64"/>
      <c r="C362" s="65" t="s">
        <v>69</v>
      </c>
      <c r="D362" s="291">
        <f>'Proposed Rates'!G193</f>
        <v>2.1576</v>
      </c>
      <c r="E362" s="54"/>
      <c r="F362" s="54"/>
      <c r="G362" s="54"/>
      <c r="H362" s="54"/>
      <c r="I362" s="54"/>
      <c r="J362" s="54"/>
      <c r="K362" s="54"/>
      <c r="L362" s="54"/>
      <c r="M362" s="54"/>
      <c r="N362" s="54"/>
      <c r="O362" s="54"/>
      <c r="P362" s="54"/>
      <c r="Q362" s="54"/>
      <c r="R362" s="54"/>
      <c r="S362" s="54"/>
      <c r="T362" s="54"/>
      <c r="U362" s="54"/>
      <c r="V362" s="54"/>
      <c r="W362" s="54"/>
      <c r="X362" s="54"/>
      <c r="Y362" s="54"/>
      <c r="Z362" s="54"/>
    </row>
    <row r="363" spans="1:26" ht="10.5" customHeight="1">
      <c r="A363" s="63" t="s">
        <v>53</v>
      </c>
      <c r="B363" s="64"/>
      <c r="C363" s="65" t="s">
        <v>69</v>
      </c>
      <c r="D363" s="291">
        <f>'Proposed Rates'!G208</f>
        <v>1.2213000000000001</v>
      </c>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9" customHeight="1">
      <c r="A364" s="65"/>
      <c r="B364" s="65"/>
      <c r="C364" s="65"/>
      <c r="D364" s="294"/>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5.75" customHeight="1">
      <c r="A365" s="75" t="s">
        <v>54</v>
      </c>
      <c r="B365" s="64"/>
      <c r="C365" s="65"/>
      <c r="D365" s="294"/>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6.75" customHeight="1">
      <c r="A366" s="60"/>
      <c r="B366" s="65"/>
      <c r="C366" s="65"/>
      <c r="D366" s="294"/>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10.5" customHeight="1">
      <c r="A367" s="63" t="s">
        <v>55</v>
      </c>
      <c r="B367" s="64"/>
      <c r="C367" s="65" t="s">
        <v>48</v>
      </c>
      <c r="D367" s="294">
        <f>$D$35</f>
        <v>4.1000000000000003E-3</v>
      </c>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10.5" customHeight="1">
      <c r="A368" s="63" t="s">
        <v>56</v>
      </c>
      <c r="B368" s="64"/>
      <c r="C368" s="65" t="s">
        <v>48</v>
      </c>
      <c r="D368" s="291">
        <f>'Proposed Rates'!G221-'2026'!D388</f>
        <v>5.9999999999999984E-4</v>
      </c>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10.5" customHeight="1">
      <c r="A369" s="63" t="s">
        <v>57</v>
      </c>
      <c r="B369" s="64"/>
      <c r="C369" s="65" t="s">
        <v>48</v>
      </c>
      <c r="D369" s="291">
        <f>'Proposed Rates'!G234</f>
        <v>5.9999999999999995E-4</v>
      </c>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10.5" customHeight="1">
      <c r="A370" s="63" t="s">
        <v>58</v>
      </c>
      <c r="B370" s="64"/>
      <c r="C370" s="65" t="s">
        <v>42</v>
      </c>
      <c r="D370" s="291">
        <f>'Proposed Rates'!G248</f>
        <v>0.25</v>
      </c>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9.75" customHeight="1">
      <c r="A371" s="302"/>
      <c r="B371" s="100"/>
      <c r="C371" s="101"/>
      <c r="D371" s="303"/>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23.25" customHeight="1">
      <c r="A372" s="588" t="str">
        <f>$A$1</f>
        <v>Hydro Ottawa Limited</v>
      </c>
      <c r="B372" s="589"/>
      <c r="C372" s="589"/>
      <c r="D372" s="590"/>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18" customHeight="1">
      <c r="A373" s="591" t="str">
        <f>$A$2</f>
        <v>PROPOSED - TARIFF OF RATES AND CHARGES</v>
      </c>
      <c r="B373" s="589"/>
      <c r="C373" s="589"/>
      <c r="D373" s="590"/>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15.75" customHeight="1">
      <c r="A374" s="592" t="str">
        <f>$A$3</f>
        <v>Effective and Implementation Date January 1, 2027</v>
      </c>
      <c r="B374" s="589"/>
      <c r="C374" s="589"/>
      <c r="D374" s="590"/>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1.25" customHeight="1">
      <c r="A375" s="593" t="str">
        <f>$A$4</f>
        <v>This schedule supersedes and replaces all previously</v>
      </c>
      <c r="B375" s="589"/>
      <c r="C375" s="589"/>
      <c r="D375" s="590"/>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11.25" customHeight="1">
      <c r="A376" s="593" t="str">
        <f>$A$5</f>
        <v>approved schedules of Rates, Charges and Loss Factors</v>
      </c>
      <c r="B376" s="589"/>
      <c r="C376" s="589"/>
      <c r="D376" s="590"/>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6" customHeight="1">
      <c r="A377" s="594" t="str">
        <f>$A$6</f>
        <v>EB-2024-0115</v>
      </c>
      <c r="B377" s="589"/>
      <c r="C377" s="589"/>
      <c r="D377" s="590"/>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8.75" customHeight="1">
      <c r="A378" s="595" t="s">
        <v>106</v>
      </c>
      <c r="B378" s="589"/>
      <c r="C378" s="589"/>
      <c r="D378" s="590"/>
      <c r="E378" s="76"/>
      <c r="F378" s="76"/>
      <c r="G378" s="76"/>
      <c r="H378" s="76"/>
      <c r="I378" s="76"/>
      <c r="J378" s="76"/>
      <c r="K378" s="76"/>
      <c r="L378" s="76"/>
      <c r="M378" s="76"/>
      <c r="N378" s="76"/>
      <c r="O378" s="76"/>
      <c r="P378" s="76"/>
      <c r="Q378" s="76"/>
      <c r="R378" s="76"/>
      <c r="S378" s="76"/>
      <c r="T378" s="76"/>
      <c r="U378" s="76"/>
      <c r="V378" s="76"/>
      <c r="W378" s="76"/>
      <c r="X378" s="76"/>
      <c r="Y378" s="76"/>
      <c r="Z378" s="76"/>
    </row>
    <row r="379" spans="1:26" ht="36" customHeight="1">
      <c r="A379" s="596" t="s">
        <v>107</v>
      </c>
      <c r="B379" s="589"/>
      <c r="C379" s="589"/>
      <c r="D379" s="590"/>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6.75" customHeight="1">
      <c r="A380" s="55"/>
      <c r="B380" s="55"/>
      <c r="C380" s="55"/>
      <c r="D380" s="56"/>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1.25" customHeight="1">
      <c r="A381" s="597" t="s">
        <v>35</v>
      </c>
      <c r="B381" s="589"/>
      <c r="C381" s="589"/>
      <c r="D381" s="590"/>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6.75" customHeight="1">
      <c r="A382" s="57"/>
      <c r="B382" s="58"/>
      <c r="C382" s="58"/>
      <c r="D382" s="59"/>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36" customHeight="1">
      <c r="A383" s="596" t="s">
        <v>36</v>
      </c>
      <c r="B383" s="589"/>
      <c r="C383" s="589"/>
      <c r="D383" s="590"/>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6.75" customHeight="1">
      <c r="A384" s="55"/>
      <c r="B384" s="55"/>
      <c r="C384" s="55"/>
      <c r="D384" s="56"/>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48" customHeight="1">
      <c r="A385" s="596" t="s">
        <v>37</v>
      </c>
      <c r="B385" s="589"/>
      <c r="C385" s="589"/>
      <c r="D385" s="590"/>
      <c r="E385" s="54"/>
      <c r="F385" s="54"/>
      <c r="G385" s="54"/>
      <c r="H385" s="54"/>
      <c r="I385" s="54"/>
      <c r="J385" s="54"/>
      <c r="K385" s="54"/>
      <c r="L385" s="54"/>
      <c r="M385" s="54"/>
      <c r="N385" s="54"/>
      <c r="O385" s="54"/>
      <c r="P385" s="54"/>
      <c r="Q385" s="54"/>
      <c r="R385" s="54"/>
      <c r="S385" s="54"/>
      <c r="T385" s="54"/>
      <c r="U385" s="54"/>
      <c r="V385" s="54"/>
      <c r="W385" s="54"/>
      <c r="X385" s="54"/>
      <c r="Y385" s="54"/>
      <c r="Z385" s="54"/>
    </row>
    <row r="386" spans="1:26" ht="6.75" customHeight="1">
      <c r="A386" s="55"/>
      <c r="B386" s="55"/>
      <c r="C386" s="55"/>
      <c r="D386" s="56"/>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24" customHeight="1">
      <c r="A387" s="596" t="s">
        <v>108</v>
      </c>
      <c r="B387" s="589"/>
      <c r="C387" s="589"/>
      <c r="D387" s="590"/>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6.75" customHeight="1">
      <c r="A388" s="55"/>
      <c r="B388" s="55"/>
      <c r="C388" s="55"/>
      <c r="D388" s="56"/>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36" customHeight="1">
      <c r="A389" s="596" t="s">
        <v>104</v>
      </c>
      <c r="B389" s="589"/>
      <c r="C389" s="589"/>
      <c r="D389" s="590"/>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6.75" customHeight="1">
      <c r="A390" s="55"/>
      <c r="B390" s="55"/>
      <c r="C390" s="55"/>
      <c r="D390" s="56"/>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15" customHeight="1">
      <c r="A391" s="598" t="s">
        <v>40</v>
      </c>
      <c r="B391" s="589"/>
      <c r="C391" s="589"/>
      <c r="D391" s="590"/>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6.75" customHeight="1">
      <c r="A392" s="60"/>
      <c r="B392" s="61"/>
      <c r="C392" s="61"/>
      <c r="D392" s="62"/>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11.25" customHeight="1">
      <c r="A393" s="603" t="s">
        <v>41</v>
      </c>
      <c r="B393" s="590"/>
      <c r="C393" s="65" t="s">
        <v>42</v>
      </c>
      <c r="D393" s="98" t="str">
        <f>'Proposed Rates'!G379</f>
        <v>no charge</v>
      </c>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11.25" customHeight="1">
      <c r="A394" s="302"/>
      <c r="B394" s="304"/>
      <c r="C394" s="65"/>
      <c r="D394" s="98"/>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11.25" customHeight="1">
      <c r="A395" s="302"/>
      <c r="B395" s="304"/>
      <c r="C395" s="65"/>
      <c r="D395" s="98"/>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11.25" customHeight="1">
      <c r="A396" s="302"/>
      <c r="B396" s="304"/>
      <c r="C396" s="65"/>
      <c r="D396" s="98"/>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11.25" customHeight="1">
      <c r="A397" s="302"/>
      <c r="B397" s="304"/>
      <c r="C397" s="65"/>
      <c r="D397" s="98"/>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1.25" customHeight="1">
      <c r="A398" s="302"/>
      <c r="B398" s="304"/>
      <c r="C398" s="65"/>
      <c r="D398" s="98"/>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11.25" customHeight="1">
      <c r="A399" s="302"/>
      <c r="B399" s="304"/>
      <c r="C399" s="65"/>
      <c r="D399" s="98"/>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1.25" customHeight="1">
      <c r="A400" s="302"/>
      <c r="B400" s="304"/>
      <c r="C400" s="65"/>
      <c r="D400" s="98"/>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1.25" customHeight="1">
      <c r="A401" s="302"/>
      <c r="B401" s="304"/>
      <c r="C401" s="65"/>
      <c r="D401" s="98"/>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11.25" customHeight="1">
      <c r="A402" s="302"/>
      <c r="B402" s="304"/>
      <c r="C402" s="65"/>
      <c r="D402" s="98"/>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1.25" customHeight="1">
      <c r="A403" s="302"/>
      <c r="B403" s="304"/>
      <c r="C403" s="65"/>
      <c r="D403" s="98"/>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1.25" customHeight="1">
      <c r="A404" s="302"/>
      <c r="B404" s="304"/>
      <c r="C404" s="65"/>
      <c r="D404" s="98"/>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1.25" customHeight="1">
      <c r="A405" s="302"/>
      <c r="B405" s="304"/>
      <c r="C405" s="65"/>
      <c r="D405" s="98"/>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1.25" customHeight="1">
      <c r="A406" s="302"/>
      <c r="B406" s="304"/>
      <c r="C406" s="65"/>
      <c r="D406" s="98"/>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6" customHeight="1">
      <c r="A407" s="89"/>
      <c r="B407" s="64"/>
      <c r="C407" s="65"/>
      <c r="D407" s="74"/>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6" customHeight="1">
      <c r="A408" s="302"/>
      <c r="B408" s="100"/>
      <c r="C408" s="101"/>
      <c r="D408" s="303"/>
      <c r="E408" s="54"/>
      <c r="F408" s="54"/>
      <c r="G408" s="54"/>
      <c r="H408" s="54"/>
      <c r="I408" s="54"/>
      <c r="J408" s="54"/>
      <c r="K408" s="54"/>
      <c r="L408" s="54"/>
      <c r="M408" s="54"/>
      <c r="N408" s="54"/>
      <c r="O408" s="54"/>
      <c r="P408" s="54"/>
      <c r="Q408" s="54"/>
      <c r="R408" s="54"/>
      <c r="S408" s="54"/>
      <c r="T408" s="54"/>
      <c r="U408" s="54"/>
      <c r="V408" s="54"/>
      <c r="W408" s="54"/>
      <c r="X408" s="54"/>
      <c r="Y408" s="54"/>
      <c r="Z408" s="54"/>
    </row>
    <row r="409" spans="1:26" ht="6" customHeight="1">
      <c r="A409" s="302"/>
      <c r="B409" s="100"/>
      <c r="C409" s="101"/>
      <c r="D409" s="303"/>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23.25" customHeight="1">
      <c r="A410" s="588" t="str">
        <f>$A$1</f>
        <v>Hydro Ottawa Limited</v>
      </c>
      <c r="B410" s="589"/>
      <c r="C410" s="589"/>
      <c r="D410" s="590"/>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8" customHeight="1">
      <c r="A411" s="591" t="str">
        <f>$A$2</f>
        <v>PROPOSED - TARIFF OF RATES AND CHARGES</v>
      </c>
      <c r="B411" s="589"/>
      <c r="C411" s="589"/>
      <c r="D411" s="590"/>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15.75" customHeight="1">
      <c r="A412" s="592" t="str">
        <f>$A$3</f>
        <v>Effective and Implementation Date January 1, 2027</v>
      </c>
      <c r="B412" s="589"/>
      <c r="C412" s="589"/>
      <c r="D412" s="590"/>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11.25" customHeight="1">
      <c r="A413" s="593" t="str">
        <f>$A$4</f>
        <v>This schedule supersedes and replaces all previously</v>
      </c>
      <c r="B413" s="589"/>
      <c r="C413" s="589"/>
      <c r="D413" s="590"/>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11.25" customHeight="1">
      <c r="A414" s="593" t="str">
        <f>$A$5</f>
        <v>approved schedules of Rates, Charges and Loss Factors</v>
      </c>
      <c r="B414" s="589"/>
      <c r="C414" s="589"/>
      <c r="D414" s="590"/>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11.25" customHeight="1">
      <c r="A415" s="594" t="str">
        <f>$A$6</f>
        <v>EB-2024-0115</v>
      </c>
      <c r="B415" s="589"/>
      <c r="C415" s="589"/>
      <c r="D415" s="590"/>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18.75" customHeight="1">
      <c r="A416" s="595" t="s">
        <v>109</v>
      </c>
      <c r="B416" s="589"/>
      <c r="C416" s="589"/>
      <c r="D416" s="590"/>
      <c r="E416" s="76"/>
      <c r="F416" s="76"/>
      <c r="G416" s="76"/>
      <c r="H416" s="76"/>
      <c r="I416" s="76"/>
      <c r="J416" s="76"/>
      <c r="K416" s="76"/>
      <c r="L416" s="76"/>
      <c r="M416" s="76"/>
      <c r="N416" s="76"/>
      <c r="O416" s="76"/>
      <c r="P416" s="76"/>
      <c r="Q416" s="76"/>
      <c r="R416" s="76"/>
      <c r="S416" s="76"/>
      <c r="T416" s="76"/>
      <c r="U416" s="76"/>
      <c r="V416" s="76"/>
      <c r="W416" s="76"/>
      <c r="X416" s="76"/>
      <c r="Y416" s="76"/>
      <c r="Z416" s="76"/>
    </row>
    <row r="417" spans="1:26" ht="36" customHeight="1">
      <c r="A417" s="596" t="s">
        <v>231</v>
      </c>
      <c r="B417" s="589"/>
      <c r="C417" s="589"/>
      <c r="D417" s="590"/>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6.75" customHeight="1">
      <c r="A418" s="55"/>
      <c r="B418" s="55"/>
      <c r="C418" s="55"/>
      <c r="D418" s="56"/>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11.25" customHeight="1">
      <c r="A419" s="597" t="s">
        <v>35</v>
      </c>
      <c r="B419" s="589"/>
      <c r="C419" s="589"/>
      <c r="D419" s="590"/>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6.75" customHeight="1">
      <c r="A420" s="57"/>
      <c r="B420" s="58"/>
      <c r="C420" s="58"/>
      <c r="D420" s="59"/>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36" customHeight="1">
      <c r="A421" s="596" t="s">
        <v>36</v>
      </c>
      <c r="B421" s="589"/>
      <c r="C421" s="589"/>
      <c r="D421" s="590"/>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6.75" customHeight="1">
      <c r="A422" s="55"/>
      <c r="B422" s="55"/>
      <c r="C422" s="55"/>
      <c r="D422" s="56"/>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48" customHeight="1">
      <c r="A423" s="596" t="s">
        <v>37</v>
      </c>
      <c r="B423" s="589"/>
      <c r="C423" s="589"/>
      <c r="D423" s="590"/>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6.75" customHeight="1">
      <c r="A424" s="55"/>
      <c r="B424" s="55"/>
      <c r="C424" s="55"/>
      <c r="D424" s="56"/>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24" customHeight="1">
      <c r="A425" s="596" t="s">
        <v>108</v>
      </c>
      <c r="B425" s="589"/>
      <c r="C425" s="589"/>
      <c r="D425" s="590"/>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6.75" customHeight="1">
      <c r="A426" s="55"/>
      <c r="B426" s="55"/>
      <c r="C426" s="55"/>
      <c r="D426" s="56"/>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36" customHeight="1">
      <c r="A427" s="596" t="s">
        <v>104</v>
      </c>
      <c r="B427" s="589"/>
      <c r="C427" s="589"/>
      <c r="D427" s="590"/>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6.75" customHeight="1">
      <c r="A428" s="55"/>
      <c r="B428" s="55"/>
      <c r="C428" s="55"/>
      <c r="D428" s="56"/>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 customHeight="1">
      <c r="A429" s="598" t="s">
        <v>40</v>
      </c>
      <c r="B429" s="589"/>
      <c r="C429" s="589"/>
      <c r="D429" s="590"/>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6.75" customHeight="1">
      <c r="A430" s="60"/>
      <c r="B430" s="61"/>
      <c r="C430" s="61"/>
      <c r="D430" s="62"/>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1.25" customHeight="1">
      <c r="A431" s="603" t="s">
        <v>41</v>
      </c>
      <c r="B431" s="590"/>
      <c r="C431" s="65" t="s">
        <v>42</v>
      </c>
      <c r="D431" s="98">
        <f>'Proposed Rates'!G376</f>
        <v>12</v>
      </c>
      <c r="E431" s="54"/>
      <c r="F431" s="54"/>
      <c r="G431" s="54"/>
      <c r="H431" s="54"/>
      <c r="I431" s="54"/>
      <c r="J431" s="54"/>
      <c r="K431" s="54"/>
      <c r="L431" s="54"/>
      <c r="M431" s="54"/>
      <c r="N431" s="54"/>
      <c r="O431" s="54"/>
      <c r="P431" s="54"/>
      <c r="Q431" s="54"/>
      <c r="R431" s="54"/>
      <c r="S431" s="54"/>
      <c r="T431" s="54"/>
      <c r="U431" s="54"/>
      <c r="V431" s="54"/>
      <c r="W431" s="54"/>
      <c r="X431" s="54"/>
      <c r="Y431" s="54"/>
      <c r="Z431" s="54"/>
    </row>
    <row r="432" spans="1:26" ht="11.25" customHeight="1">
      <c r="A432" s="602" t="s">
        <v>43</v>
      </c>
      <c r="B432" s="600"/>
      <c r="C432" s="67" t="s">
        <v>42</v>
      </c>
      <c r="D432" s="68">
        <f>'Proposed Rates'!G140</f>
        <v>-2.15</v>
      </c>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7.5" customHeight="1">
      <c r="A433" s="89"/>
      <c r="B433" s="64"/>
      <c r="C433" s="65"/>
      <c r="D433" s="74"/>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23.25" customHeight="1">
      <c r="A434" s="588" t="str">
        <f>$A$1</f>
        <v>Hydro Ottawa Limited</v>
      </c>
      <c r="B434" s="589"/>
      <c r="C434" s="589"/>
      <c r="D434" s="590"/>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18" customHeight="1">
      <c r="A435" s="591" t="str">
        <f>$A$2</f>
        <v>PROPOSED - TARIFF OF RATES AND CHARGES</v>
      </c>
      <c r="B435" s="589"/>
      <c r="C435" s="589"/>
      <c r="D435" s="590"/>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15.75" customHeight="1">
      <c r="A436" s="592" t="str">
        <f>$A$3</f>
        <v>Effective and Implementation Date January 1, 2027</v>
      </c>
      <c r="B436" s="589"/>
      <c r="C436" s="589"/>
      <c r="D436" s="590"/>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11.25" customHeight="1">
      <c r="A437" s="593" t="str">
        <f>$A$4</f>
        <v>This schedule supersedes and replaces all previously</v>
      </c>
      <c r="B437" s="589"/>
      <c r="C437" s="589"/>
      <c r="D437" s="590"/>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11.25" customHeight="1">
      <c r="A438" s="593" t="str">
        <f>$A$5</f>
        <v>approved schedules of Rates, Charges and Loss Factors</v>
      </c>
      <c r="B438" s="589"/>
      <c r="C438" s="589"/>
      <c r="D438" s="590"/>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11.25" customHeight="1">
      <c r="A439" s="594" t="str">
        <f>$A$6</f>
        <v>EB-2024-0115</v>
      </c>
      <c r="B439" s="589"/>
      <c r="C439" s="589"/>
      <c r="D439" s="590"/>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18.75" customHeight="1">
      <c r="A440" s="595" t="s">
        <v>111</v>
      </c>
      <c r="B440" s="589"/>
      <c r="C440" s="589"/>
      <c r="D440" s="590"/>
      <c r="E440" s="76"/>
      <c r="F440" s="76"/>
      <c r="G440" s="76"/>
      <c r="H440" s="76"/>
      <c r="I440" s="76"/>
      <c r="J440" s="76"/>
      <c r="K440" s="76"/>
      <c r="L440" s="76"/>
      <c r="M440" s="76"/>
      <c r="N440" s="76"/>
      <c r="O440" s="76"/>
      <c r="P440" s="76"/>
      <c r="Q440" s="76"/>
      <c r="R440" s="76"/>
      <c r="S440" s="76"/>
      <c r="T440" s="76"/>
      <c r="U440" s="76"/>
      <c r="V440" s="76"/>
      <c r="W440" s="76"/>
      <c r="X440" s="76"/>
      <c r="Y440" s="76"/>
      <c r="Z440" s="76"/>
    </row>
    <row r="441" spans="1:26" ht="36" customHeight="1">
      <c r="A441" s="607" t="s">
        <v>112</v>
      </c>
      <c r="B441" s="608"/>
      <c r="C441" s="608"/>
      <c r="D441" s="600"/>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6.75" customHeight="1">
      <c r="A442" s="55"/>
      <c r="B442" s="55"/>
      <c r="C442" s="55"/>
      <c r="D442" s="56"/>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11.25" customHeight="1">
      <c r="A443" s="597" t="s">
        <v>35</v>
      </c>
      <c r="B443" s="589"/>
      <c r="C443" s="589"/>
      <c r="D443" s="590"/>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6.75" customHeight="1">
      <c r="A444" s="57"/>
      <c r="B444" s="58"/>
      <c r="C444" s="58"/>
      <c r="D444" s="59"/>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36" customHeight="1">
      <c r="A445" s="596" t="s">
        <v>36</v>
      </c>
      <c r="B445" s="589"/>
      <c r="C445" s="589"/>
      <c r="D445" s="590"/>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6.75" customHeight="1">
      <c r="A446" s="55"/>
      <c r="B446" s="55"/>
      <c r="C446" s="55"/>
      <c r="D446" s="56"/>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48" customHeight="1">
      <c r="A447" s="596" t="s">
        <v>37</v>
      </c>
      <c r="B447" s="589"/>
      <c r="C447" s="589"/>
      <c r="D447" s="590"/>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6.75" customHeight="1">
      <c r="A448" s="55"/>
      <c r="B448" s="55"/>
      <c r="C448" s="55"/>
      <c r="D448" s="56"/>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24" customHeight="1">
      <c r="A449" s="596" t="s">
        <v>108</v>
      </c>
      <c r="B449" s="589"/>
      <c r="C449" s="589"/>
      <c r="D449" s="590"/>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6.75" customHeight="1">
      <c r="A450" s="55"/>
      <c r="B450" s="55"/>
      <c r="C450" s="55"/>
      <c r="D450" s="56"/>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36" customHeight="1">
      <c r="A451" s="596" t="s">
        <v>104</v>
      </c>
      <c r="B451" s="589"/>
      <c r="C451" s="589"/>
      <c r="D451" s="590"/>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6.75" customHeight="1">
      <c r="A452" s="55"/>
      <c r="B452" s="55"/>
      <c r="C452" s="55"/>
      <c r="D452" s="56"/>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 customHeight="1">
      <c r="A453" s="598" t="s">
        <v>40</v>
      </c>
      <c r="B453" s="589"/>
      <c r="C453" s="589"/>
      <c r="D453" s="590"/>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6.75" customHeight="1">
      <c r="A454" s="60"/>
      <c r="B454" s="61"/>
      <c r="C454" s="61"/>
      <c r="D454" s="62"/>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1.25" customHeight="1">
      <c r="A455" s="603" t="s">
        <v>41</v>
      </c>
      <c r="B455" s="590"/>
      <c r="C455" s="65" t="s">
        <v>42</v>
      </c>
      <c r="D455" s="98">
        <f>'Proposed Rates'!G377</f>
        <v>89</v>
      </c>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1.25" customHeight="1">
      <c r="A456" s="602" t="s">
        <v>43</v>
      </c>
      <c r="B456" s="600"/>
      <c r="C456" s="67" t="s">
        <v>42</v>
      </c>
      <c r="D456" s="68">
        <f>'Proposed Rates'!G141</f>
        <v>1.01</v>
      </c>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5.75" customHeight="1">
      <c r="A457" s="302"/>
      <c r="B457" s="100"/>
      <c r="C457" s="101"/>
      <c r="D457" s="303"/>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23.25" customHeight="1">
      <c r="A458" s="588" t="str">
        <f>$A$1</f>
        <v>Hydro Ottawa Limited</v>
      </c>
      <c r="B458" s="589"/>
      <c r="C458" s="589"/>
      <c r="D458" s="590"/>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8" customHeight="1">
      <c r="A459" s="591" t="str">
        <f>$A$2</f>
        <v>PROPOSED - TARIFF OF RATES AND CHARGES</v>
      </c>
      <c r="B459" s="589"/>
      <c r="C459" s="589"/>
      <c r="D459" s="590"/>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15.75" customHeight="1">
      <c r="A460" s="592" t="str">
        <f>$A$3</f>
        <v>Effective and Implementation Date January 1, 2027</v>
      </c>
      <c r="B460" s="589"/>
      <c r="C460" s="589"/>
      <c r="D460" s="590"/>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11.25" customHeight="1">
      <c r="A461" s="593" t="str">
        <f>$A$4</f>
        <v>This schedule supersedes and replaces all previously</v>
      </c>
      <c r="B461" s="589"/>
      <c r="C461" s="589"/>
      <c r="D461" s="590"/>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11.25" customHeight="1">
      <c r="A462" s="593" t="str">
        <f>$A$5</f>
        <v>approved schedules of Rates, Charges and Loss Factors</v>
      </c>
      <c r="B462" s="589"/>
      <c r="C462" s="589"/>
      <c r="D462" s="590"/>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11.25" customHeight="1">
      <c r="A463" s="594" t="str">
        <f>$A$6</f>
        <v>EB-2024-0115</v>
      </c>
      <c r="B463" s="589"/>
      <c r="C463" s="589"/>
      <c r="D463" s="590"/>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18.75" customHeight="1">
      <c r="A464" s="595" t="s">
        <v>113</v>
      </c>
      <c r="B464" s="589"/>
      <c r="C464" s="589"/>
      <c r="D464" s="590"/>
      <c r="E464" s="76"/>
      <c r="F464" s="76"/>
      <c r="G464" s="76"/>
      <c r="H464" s="76"/>
      <c r="I464" s="76"/>
      <c r="J464" s="76"/>
      <c r="K464" s="76"/>
      <c r="L464" s="76"/>
      <c r="M464" s="76"/>
      <c r="N464" s="76"/>
      <c r="O464" s="76"/>
      <c r="P464" s="76"/>
      <c r="Q464" s="76"/>
      <c r="R464" s="76"/>
      <c r="S464" s="76"/>
      <c r="T464" s="76"/>
      <c r="U464" s="76"/>
      <c r="V464" s="76"/>
      <c r="W464" s="76"/>
      <c r="X464" s="76"/>
      <c r="Y464" s="76"/>
      <c r="Z464" s="76"/>
    </row>
    <row r="465" spans="1:26" ht="36" customHeight="1">
      <c r="A465" s="596" t="s">
        <v>114</v>
      </c>
      <c r="B465" s="589"/>
      <c r="C465" s="589"/>
      <c r="D465" s="590"/>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6.75" customHeight="1">
      <c r="A466" s="55"/>
      <c r="B466" s="55"/>
      <c r="C466" s="55"/>
      <c r="D466" s="56"/>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1.25" customHeight="1">
      <c r="A467" s="597" t="s">
        <v>35</v>
      </c>
      <c r="B467" s="589"/>
      <c r="C467" s="589"/>
      <c r="D467" s="590"/>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6.75" customHeight="1">
      <c r="A468" s="57"/>
      <c r="B468" s="58"/>
      <c r="C468" s="58"/>
      <c r="D468" s="59"/>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36" customHeight="1">
      <c r="A469" s="596" t="s">
        <v>36</v>
      </c>
      <c r="B469" s="589"/>
      <c r="C469" s="589"/>
      <c r="D469" s="590"/>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6.75" customHeight="1">
      <c r="A470" s="55"/>
      <c r="B470" s="55"/>
      <c r="C470" s="55"/>
      <c r="D470" s="56"/>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48" customHeight="1">
      <c r="A471" s="596" t="s">
        <v>37</v>
      </c>
      <c r="B471" s="589"/>
      <c r="C471" s="589"/>
      <c r="D471" s="590"/>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6.75" customHeight="1">
      <c r="A472" s="55"/>
      <c r="B472" s="55"/>
      <c r="C472" s="55"/>
      <c r="D472" s="56"/>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24" customHeight="1">
      <c r="A473" s="596" t="s">
        <v>108</v>
      </c>
      <c r="B473" s="589"/>
      <c r="C473" s="589"/>
      <c r="D473" s="590"/>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6.75" customHeight="1">
      <c r="A474" s="55"/>
      <c r="B474" s="55"/>
      <c r="C474" s="55"/>
      <c r="D474" s="56"/>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36" customHeight="1">
      <c r="A475" s="596" t="s">
        <v>104</v>
      </c>
      <c r="B475" s="589"/>
      <c r="C475" s="589"/>
      <c r="D475" s="590"/>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6.75" customHeight="1">
      <c r="A476" s="55"/>
      <c r="B476" s="55"/>
      <c r="C476" s="55"/>
      <c r="D476" s="56"/>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15" customHeight="1">
      <c r="A477" s="598" t="s">
        <v>40</v>
      </c>
      <c r="B477" s="589"/>
      <c r="C477" s="589"/>
      <c r="D477" s="590"/>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6.75" customHeight="1">
      <c r="A478" s="60"/>
      <c r="B478" s="61"/>
      <c r="C478" s="61"/>
      <c r="D478" s="62"/>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1.25" customHeight="1">
      <c r="A479" s="603" t="s">
        <v>41</v>
      </c>
      <c r="B479" s="590"/>
      <c r="C479" s="65" t="s">
        <v>42</v>
      </c>
      <c r="D479" s="98">
        <f>'Proposed Rates'!G378</f>
        <v>272</v>
      </c>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1.25" customHeight="1">
      <c r="A480" s="602" t="s">
        <v>43</v>
      </c>
      <c r="B480" s="600"/>
      <c r="C480" s="67" t="s">
        <v>42</v>
      </c>
      <c r="D480" s="68">
        <f>'Proposed Rates'!G142</f>
        <v>-35.17</v>
      </c>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6.75" customHeight="1">
      <c r="A481" s="104"/>
      <c r="B481" s="89"/>
      <c r="C481" s="65"/>
      <c r="D481" s="294"/>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8" customHeight="1">
      <c r="A482" s="105" t="s">
        <v>115</v>
      </c>
      <c r="B482" s="106"/>
      <c r="C482" s="106"/>
      <c r="D482" s="305"/>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1.25" customHeight="1">
      <c r="A483" s="603" t="s">
        <v>116</v>
      </c>
      <c r="B483" s="590"/>
      <c r="C483" s="107" t="s">
        <v>117</v>
      </c>
      <c r="D483" s="294">
        <v>-1</v>
      </c>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13.5" customHeight="1">
      <c r="A484" s="89"/>
      <c r="B484" s="64"/>
      <c r="C484" s="107"/>
      <c r="D484" s="7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23.25" customHeight="1">
      <c r="A485" s="588" t="str">
        <f>$A$1</f>
        <v>Hydro Ottawa Limited</v>
      </c>
      <c r="B485" s="589"/>
      <c r="C485" s="589"/>
      <c r="D485" s="590"/>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8" customHeight="1">
      <c r="A486" s="591" t="str">
        <f>$A$2</f>
        <v>PROPOSED - TARIFF OF RATES AND CHARGES</v>
      </c>
      <c r="B486" s="589"/>
      <c r="C486" s="589"/>
      <c r="D486" s="590"/>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5.75" customHeight="1">
      <c r="A487" s="592" t="str">
        <f>$A$3</f>
        <v>Effective and Implementation Date January 1, 2027</v>
      </c>
      <c r="B487" s="589"/>
      <c r="C487" s="589"/>
      <c r="D487" s="590"/>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1.25" customHeight="1">
      <c r="A488" s="593" t="str">
        <f>$A$4</f>
        <v>This schedule supersedes and replaces all previously</v>
      </c>
      <c r="B488" s="589"/>
      <c r="C488" s="589"/>
      <c r="D488" s="590"/>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1.25" customHeight="1">
      <c r="A489" s="593" t="str">
        <f>$A$5</f>
        <v>approved schedules of Rates, Charges and Loss Factors</v>
      </c>
      <c r="B489" s="589"/>
      <c r="C489" s="589"/>
      <c r="D489" s="590"/>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1.25" customHeight="1">
      <c r="A490" s="594" t="str">
        <f>$A$6</f>
        <v>EB-2024-0115</v>
      </c>
      <c r="B490" s="589"/>
      <c r="C490" s="589"/>
      <c r="D490" s="590"/>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8" customHeight="1">
      <c r="A491" s="105" t="s">
        <v>118</v>
      </c>
      <c r="B491" s="106"/>
      <c r="C491" s="106"/>
      <c r="D491" s="77"/>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6.75" customHeight="1">
      <c r="A492" s="105"/>
      <c r="B492" s="106"/>
      <c r="C492" s="106"/>
      <c r="D492" s="77"/>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11.25" customHeight="1">
      <c r="A493" s="609" t="s">
        <v>35</v>
      </c>
      <c r="B493" s="589"/>
      <c r="C493" s="589"/>
      <c r="D493" s="590"/>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6.75" customHeight="1">
      <c r="A494" s="108"/>
      <c r="B494" s="55"/>
      <c r="C494" s="55"/>
      <c r="D494" s="56"/>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36" customHeight="1">
      <c r="A495" s="596" t="s">
        <v>36</v>
      </c>
      <c r="B495" s="589"/>
      <c r="C495" s="589"/>
      <c r="D495" s="590"/>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6.75" customHeight="1">
      <c r="A496" s="55"/>
      <c r="B496" s="55"/>
      <c r="C496" s="55"/>
      <c r="D496" s="56"/>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48" customHeight="1">
      <c r="A497" s="596" t="s">
        <v>119</v>
      </c>
      <c r="B497" s="589"/>
      <c r="C497" s="589"/>
      <c r="D497" s="590"/>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6.75" customHeight="1">
      <c r="A498" s="55"/>
      <c r="B498" s="55"/>
      <c r="C498" s="55"/>
      <c r="D498" s="56"/>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36" customHeight="1">
      <c r="A499" s="596" t="s">
        <v>39</v>
      </c>
      <c r="B499" s="589"/>
      <c r="C499" s="589"/>
      <c r="D499" s="590"/>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6.75" customHeight="1">
      <c r="A500" s="55"/>
      <c r="B500" s="55"/>
      <c r="C500" s="55"/>
      <c r="D500" s="56"/>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15" customHeight="1">
      <c r="A501" s="109" t="s">
        <v>120</v>
      </c>
      <c r="B501" s="106"/>
      <c r="C501" s="106"/>
      <c r="D501" s="77"/>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11.25" customHeight="1">
      <c r="A502" s="63" t="s">
        <v>121</v>
      </c>
      <c r="B502" s="64"/>
      <c r="C502" s="65" t="s">
        <v>42</v>
      </c>
      <c r="D502" s="306">
        <f>'Proposed Rates'!G326</f>
        <v>0</v>
      </c>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11.25" customHeight="1">
      <c r="A503" s="65" t="s">
        <v>122</v>
      </c>
      <c r="B503" s="65"/>
      <c r="C503" s="65" t="s">
        <v>42</v>
      </c>
      <c r="D503" s="306">
        <f>'Proposed Rates'!G327</f>
        <v>30</v>
      </c>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11.25" customHeight="1">
      <c r="A504" s="63" t="s">
        <v>123</v>
      </c>
      <c r="B504" s="64"/>
      <c r="C504" s="65" t="s">
        <v>42</v>
      </c>
      <c r="D504" s="306">
        <f>'Proposed Rates'!G328</f>
        <v>7</v>
      </c>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11.25" customHeight="1">
      <c r="A505" s="63" t="s">
        <v>124</v>
      </c>
      <c r="B505" s="64"/>
      <c r="C505" s="65" t="s">
        <v>42</v>
      </c>
      <c r="D505" s="306">
        <f>'Proposed Rates'!G329</f>
        <v>144</v>
      </c>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11.25" customHeight="1">
      <c r="A506" s="63" t="s">
        <v>125</v>
      </c>
      <c r="B506" s="64"/>
      <c r="C506" s="65" t="s">
        <v>42</v>
      </c>
      <c r="D506" s="306">
        <f>'Proposed Rates'!G330</f>
        <v>20</v>
      </c>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11.25" customHeight="1">
      <c r="A507" s="63" t="s">
        <v>126</v>
      </c>
      <c r="B507" s="64"/>
      <c r="C507" s="65" t="s">
        <v>42</v>
      </c>
      <c r="D507" s="306">
        <f>'Proposed Rates'!G331</f>
        <v>25</v>
      </c>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11.25" customHeight="1">
      <c r="A508" s="63" t="s">
        <v>127</v>
      </c>
      <c r="B508" s="64"/>
      <c r="C508" s="65" t="s">
        <v>42</v>
      </c>
      <c r="D508" s="306">
        <f>'Proposed Rates'!G332</f>
        <v>10</v>
      </c>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1.25" customHeight="1">
      <c r="A509" s="63" t="s">
        <v>128</v>
      </c>
      <c r="B509" s="64"/>
      <c r="C509" s="65" t="s">
        <v>42</v>
      </c>
      <c r="D509" s="306">
        <f>'Proposed Rates'!G335</f>
        <v>374</v>
      </c>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1.25" customHeight="1">
      <c r="A510" s="63" t="s">
        <v>129</v>
      </c>
      <c r="B510" s="64"/>
      <c r="C510" s="65" t="s">
        <v>42</v>
      </c>
      <c r="D510" s="306">
        <f>'Proposed Rates'!G336</f>
        <v>328</v>
      </c>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6.75" customHeight="1">
      <c r="A511" s="65"/>
      <c r="B511" s="65"/>
      <c r="C511" s="65"/>
      <c r="D511" s="294"/>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5" customHeight="1">
      <c r="A512" s="109" t="s">
        <v>130</v>
      </c>
      <c r="B512" s="106"/>
      <c r="C512" s="95"/>
      <c r="D512" s="301"/>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1.25" customHeight="1">
      <c r="A513" s="63" t="s">
        <v>131</v>
      </c>
      <c r="B513" s="64"/>
      <c r="C513" s="65" t="s">
        <v>117</v>
      </c>
      <c r="D513" s="307">
        <f>'Proposed Rates'!G339</f>
        <v>1.4999999999999999E-2</v>
      </c>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1.25" customHeight="1">
      <c r="A514" s="63" t="s">
        <v>132</v>
      </c>
      <c r="B514" s="64"/>
      <c r="C514" s="65" t="s">
        <v>42</v>
      </c>
      <c r="D514" s="306">
        <f>'Proposed Rates'!G340</f>
        <v>71</v>
      </c>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1.25" customHeight="1">
      <c r="A515" s="63" t="s">
        <v>133</v>
      </c>
      <c r="B515" s="64"/>
      <c r="C515" s="65" t="s">
        <v>42</v>
      </c>
      <c r="D515" s="306">
        <f>'Proposed Rates'!G341</f>
        <v>96</v>
      </c>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1.25" customHeight="1">
      <c r="A516" s="103" t="s">
        <v>134</v>
      </c>
      <c r="B516" s="64"/>
      <c r="C516" s="65" t="s">
        <v>42</v>
      </c>
      <c r="D516" s="306">
        <f>'Proposed Rates'!G342</f>
        <v>325</v>
      </c>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1.25" customHeight="1">
      <c r="A517" s="63" t="s">
        <v>135</v>
      </c>
      <c r="B517" s="64"/>
      <c r="C517" s="65" t="s">
        <v>42</v>
      </c>
      <c r="D517" s="306">
        <f>'Proposed Rates'!G343</f>
        <v>490</v>
      </c>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6.75" customHeight="1">
      <c r="A518" s="65"/>
      <c r="B518" s="65"/>
      <c r="C518" s="65"/>
      <c r="D518" s="294"/>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5" customHeight="1">
      <c r="A519" s="109" t="s">
        <v>136</v>
      </c>
      <c r="B519" s="106"/>
      <c r="C519" s="95"/>
      <c r="D519" s="294"/>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1.25" customHeight="1">
      <c r="A520" s="63" t="s">
        <v>137</v>
      </c>
      <c r="B520" s="64"/>
      <c r="C520" s="65" t="s">
        <v>42</v>
      </c>
      <c r="D520" s="306">
        <f>'Proposed Rates'!G346</f>
        <v>1102</v>
      </c>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1.25" customHeight="1">
      <c r="A521" s="63" t="s">
        <v>138</v>
      </c>
      <c r="B521" s="64"/>
      <c r="C521" s="65" t="s">
        <v>42</v>
      </c>
      <c r="D521" s="306">
        <f>'Proposed Rates'!G347</f>
        <v>1452</v>
      </c>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1.25" customHeight="1">
      <c r="A522" s="63" t="s">
        <v>139</v>
      </c>
      <c r="B522" s="64"/>
      <c r="C522" s="65" t="s">
        <v>42</v>
      </c>
      <c r="D522" s="306">
        <f>'Proposed Rates'!G348</f>
        <v>5116</v>
      </c>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1.25" customHeight="1">
      <c r="A523" s="63" t="s">
        <v>140</v>
      </c>
      <c r="B523" s="64"/>
      <c r="C523" s="65" t="s">
        <v>42</v>
      </c>
      <c r="D523" s="98">
        <f>'Proposed Rates'!G349</f>
        <v>40.590000000000003</v>
      </c>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1.25" customHeight="1">
      <c r="A524" s="63" t="s">
        <v>141</v>
      </c>
      <c r="B524" s="64"/>
      <c r="C524" s="65"/>
      <c r="D524" s="294" t="str">
        <f>'Proposed Rates'!G350</f>
        <v>Per Attached Table</v>
      </c>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1.25" customHeight="1">
      <c r="A525" s="63" t="s">
        <v>142</v>
      </c>
      <c r="B525" s="64"/>
      <c r="C525" s="65" t="s">
        <v>42</v>
      </c>
      <c r="D525" s="306">
        <f>'Proposed Rates'!G351</f>
        <v>168</v>
      </c>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6.5" customHeight="1">
      <c r="A526" s="302"/>
      <c r="B526" s="304"/>
      <c r="C526" s="65"/>
      <c r="D526" s="74"/>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23.25" customHeight="1">
      <c r="A527" s="588" t="str">
        <f>$A$1</f>
        <v>Hydro Ottawa Limited</v>
      </c>
      <c r="B527" s="589"/>
      <c r="C527" s="589"/>
      <c r="D527" s="590"/>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18" customHeight="1">
      <c r="A528" s="591" t="str">
        <f>$A$2</f>
        <v>PROPOSED - TARIFF OF RATES AND CHARGES</v>
      </c>
      <c r="B528" s="589"/>
      <c r="C528" s="589"/>
      <c r="D528" s="590"/>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5.75" customHeight="1">
      <c r="A529" s="592" t="str">
        <f>$A$3</f>
        <v>Effective and Implementation Date January 1, 2027</v>
      </c>
      <c r="B529" s="589"/>
      <c r="C529" s="589"/>
      <c r="D529" s="590"/>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1.25" customHeight="1">
      <c r="A530" s="593" t="str">
        <f>$A$4</f>
        <v>This schedule supersedes and replaces all previously</v>
      </c>
      <c r="B530" s="589"/>
      <c r="C530" s="589"/>
      <c r="D530" s="590"/>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1.25" customHeight="1">
      <c r="A531" s="593" t="str">
        <f>$A$5</f>
        <v>approved schedules of Rates, Charges and Loss Factors</v>
      </c>
      <c r="B531" s="589"/>
      <c r="C531" s="589"/>
      <c r="D531" s="590"/>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1.25" customHeight="1">
      <c r="A532" s="594" t="str">
        <f>$A$6</f>
        <v>EB-2024-0115</v>
      </c>
      <c r="B532" s="589"/>
      <c r="C532" s="589"/>
      <c r="D532" s="590"/>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8" customHeight="1">
      <c r="A533" s="105" t="s">
        <v>143</v>
      </c>
      <c r="B533" s="106"/>
      <c r="C533" s="106"/>
      <c r="D533" s="77"/>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6.75" customHeight="1">
      <c r="A534" s="105"/>
      <c r="B534" s="106"/>
      <c r="C534" s="106"/>
      <c r="D534" s="77"/>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36" customHeight="1">
      <c r="A535" s="596" t="s">
        <v>144</v>
      </c>
      <c r="B535" s="589"/>
      <c r="C535" s="589"/>
      <c r="D535" s="590"/>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6.75" customHeight="1">
      <c r="A536" s="55"/>
      <c r="B536" s="55"/>
      <c r="C536" s="55"/>
      <c r="D536" s="56"/>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48" customHeight="1">
      <c r="A537" s="596" t="s">
        <v>37</v>
      </c>
      <c r="B537" s="589"/>
      <c r="C537" s="589"/>
      <c r="D537" s="590"/>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6.75" customHeight="1">
      <c r="A538" s="55"/>
      <c r="B538" s="55"/>
      <c r="C538" s="55"/>
      <c r="D538" s="56"/>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24" customHeight="1">
      <c r="A539" s="596" t="s">
        <v>88</v>
      </c>
      <c r="B539" s="589"/>
      <c r="C539" s="589"/>
      <c r="D539" s="590"/>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6.75" customHeight="1">
      <c r="A540" s="55"/>
      <c r="B540" s="55"/>
      <c r="C540" s="55"/>
      <c r="D540" s="56"/>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36" customHeight="1">
      <c r="A541" s="596" t="s">
        <v>39</v>
      </c>
      <c r="B541" s="589"/>
      <c r="C541" s="589"/>
      <c r="D541" s="590"/>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6.75" customHeight="1">
      <c r="A542" s="55"/>
      <c r="B542" s="55"/>
      <c r="C542" s="55"/>
      <c r="D542" s="56"/>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24" customHeight="1">
      <c r="A543" s="596" t="s">
        <v>145</v>
      </c>
      <c r="B543" s="589"/>
      <c r="C543" s="589"/>
      <c r="D543" s="590"/>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0.5" customHeight="1">
      <c r="A544" s="55"/>
      <c r="B544" s="64"/>
      <c r="C544" s="64"/>
      <c r="D544" s="64"/>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0.5" customHeight="1">
      <c r="A545" s="63" t="s">
        <v>146</v>
      </c>
      <c r="B545" s="64"/>
      <c r="C545" s="112" t="s">
        <v>42</v>
      </c>
      <c r="D545" s="308">
        <f>'Proposed Rates'!G354</f>
        <v>125.72</v>
      </c>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0.5" customHeight="1">
      <c r="A546" s="63" t="s">
        <v>147</v>
      </c>
      <c r="B546" s="64"/>
      <c r="C546" s="112" t="s">
        <v>42</v>
      </c>
      <c r="D546" s="308">
        <f>'Proposed Rates'!G355</f>
        <v>50.29</v>
      </c>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0.5" customHeight="1">
      <c r="A547" s="63" t="s">
        <v>148</v>
      </c>
      <c r="B547" s="64"/>
      <c r="C547" s="112" t="s">
        <v>149</v>
      </c>
      <c r="D547" s="308">
        <f>'Proposed Rates'!G356</f>
        <v>1.24</v>
      </c>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0.5" customHeight="1">
      <c r="A548" s="63" t="s">
        <v>150</v>
      </c>
      <c r="B548" s="64"/>
      <c r="C548" s="112" t="s">
        <v>149</v>
      </c>
      <c r="D548" s="308">
        <f>'Proposed Rates'!G357</f>
        <v>0.74</v>
      </c>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0.5" customHeight="1">
      <c r="A549" s="63" t="s">
        <v>151</v>
      </c>
      <c r="B549" s="64"/>
      <c r="C549" s="112" t="s">
        <v>149</v>
      </c>
      <c r="D549" s="308">
        <f>'Proposed Rates'!G358</f>
        <v>-0.74</v>
      </c>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0.5" customHeight="1">
      <c r="A550" s="63" t="s">
        <v>152</v>
      </c>
      <c r="B550" s="64"/>
      <c r="C550" s="63"/>
      <c r="D550" s="308"/>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0.5" customHeight="1">
      <c r="A551" s="63" t="s">
        <v>153</v>
      </c>
      <c r="B551" s="64"/>
      <c r="C551" s="112" t="s">
        <v>42</v>
      </c>
      <c r="D551" s="308">
        <f>'Proposed Rates'!G360</f>
        <v>0.63</v>
      </c>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0.5" customHeight="1">
      <c r="A552" s="63" t="s">
        <v>154</v>
      </c>
      <c r="B552" s="64"/>
      <c r="C552" s="112" t="s">
        <v>42</v>
      </c>
      <c r="D552" s="308">
        <f>'Proposed Rates'!G361</f>
        <v>1.24</v>
      </c>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4.5" customHeight="1">
      <c r="A553" s="63"/>
      <c r="B553" s="64"/>
      <c r="C553" s="112"/>
      <c r="D553" s="301"/>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0.5" customHeight="1">
      <c r="A554" s="63" t="s">
        <v>155</v>
      </c>
      <c r="B554" s="64"/>
      <c r="C554" s="115"/>
      <c r="D554" s="301"/>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0.5" customHeight="1">
      <c r="A555" s="63" t="s">
        <v>156</v>
      </c>
      <c r="B555" s="64"/>
      <c r="C555" s="115"/>
      <c r="D555" s="301"/>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0.5" customHeight="1">
      <c r="A556" s="63" t="s">
        <v>157</v>
      </c>
      <c r="B556" s="64"/>
      <c r="C556" s="115"/>
      <c r="D556" s="301"/>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0.5" customHeight="1">
      <c r="A557" s="63" t="s">
        <v>158</v>
      </c>
      <c r="B557" s="64"/>
      <c r="C557" s="112" t="s">
        <v>42</v>
      </c>
      <c r="D557" s="301" t="str">
        <f>'Proposed Rates'!G365</f>
        <v>no charge</v>
      </c>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0.5" customHeight="1">
      <c r="A558" s="63" t="s">
        <v>159</v>
      </c>
      <c r="B558" s="64"/>
      <c r="C558" s="112" t="s">
        <v>42</v>
      </c>
      <c r="D558" s="308">
        <f>'Proposed Rates'!G366</f>
        <v>5.03</v>
      </c>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4.5" customHeight="1">
      <c r="A559" s="63"/>
      <c r="B559" s="64"/>
      <c r="C559" s="112"/>
      <c r="D559" s="308"/>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0.5" customHeight="1">
      <c r="A560" s="63" t="s">
        <v>160</v>
      </c>
      <c r="B560" s="64"/>
      <c r="C560" s="115"/>
      <c r="D560" s="308"/>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0.5" customHeight="1">
      <c r="A561" s="63" t="s">
        <v>161</v>
      </c>
      <c r="B561" s="64"/>
      <c r="C561" s="112" t="s">
        <v>42</v>
      </c>
      <c r="D561" s="308">
        <f>'Proposed Rates'!G368</f>
        <v>2.5099999999999998</v>
      </c>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8.25" customHeight="1">
      <c r="A562" s="73"/>
      <c r="B562" s="73"/>
      <c r="C562" s="112"/>
      <c r="D562" s="113"/>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21.75" customHeight="1">
      <c r="A563" s="588" t="str">
        <f>$A$1</f>
        <v>Hydro Ottawa Limited</v>
      </c>
      <c r="B563" s="589"/>
      <c r="C563" s="589"/>
      <c r="D563" s="590"/>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5.75" customHeight="1">
      <c r="A564" s="591" t="str">
        <f>$A$2</f>
        <v>PROPOSED - TARIFF OF RATES AND CHARGES</v>
      </c>
      <c r="B564" s="589"/>
      <c r="C564" s="589"/>
      <c r="D564" s="590"/>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5.75" customHeight="1">
      <c r="A565" s="592" t="str">
        <f>$A$3</f>
        <v>Effective and Implementation Date January 1, 2027</v>
      </c>
      <c r="B565" s="589"/>
      <c r="C565" s="589"/>
      <c r="D565" s="590"/>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5.75" customHeight="1">
      <c r="A566" s="593" t="str">
        <f>$A$4</f>
        <v>This schedule supersedes and replaces all previously</v>
      </c>
      <c r="B566" s="589"/>
      <c r="C566" s="589"/>
      <c r="D566" s="590"/>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5.75" customHeight="1">
      <c r="A567" s="593" t="str">
        <f>$A$5</f>
        <v>approved schedules of Rates, Charges and Loss Factors</v>
      </c>
      <c r="B567" s="589"/>
      <c r="C567" s="589"/>
      <c r="D567" s="590"/>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5.75" customHeight="1">
      <c r="A568" s="594" t="str">
        <f>$A$6</f>
        <v>EB-2024-0115</v>
      </c>
      <c r="B568" s="589"/>
      <c r="C568" s="589"/>
      <c r="D568" s="590"/>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24.75" customHeight="1">
      <c r="A569" s="116" t="s">
        <v>162</v>
      </c>
      <c r="B569" s="116"/>
      <c r="C569" s="117"/>
      <c r="D569" s="118"/>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6.75" customHeight="1">
      <c r="A570" s="116"/>
      <c r="B570" s="116"/>
      <c r="C570" s="117"/>
      <c r="D570" s="118"/>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23.25" customHeight="1">
      <c r="A571" s="610" t="s">
        <v>163</v>
      </c>
      <c r="B571" s="589"/>
      <c r="C571" s="590"/>
      <c r="D571" s="64"/>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1.25" customHeight="1">
      <c r="A572" s="63" t="s">
        <v>164</v>
      </c>
      <c r="B572" s="64"/>
      <c r="C572" s="64"/>
      <c r="D572" s="294">
        <f>'Proposed Rates'!G319</f>
        <v>1.0331999999999999</v>
      </c>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1.25" customHeight="1">
      <c r="A573" s="63" t="s">
        <v>165</v>
      </c>
      <c r="B573" s="64"/>
      <c r="C573" s="64"/>
      <c r="D573" s="291">
        <f>'Proposed Rates'!G320</f>
        <v>1.0149999999999999</v>
      </c>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1.25" customHeight="1">
      <c r="A574" s="63" t="s">
        <v>166</v>
      </c>
      <c r="B574" s="64"/>
      <c r="C574" s="64"/>
      <c r="D574" s="294">
        <f>'Proposed Rates'!G321</f>
        <v>1.0227999999999999</v>
      </c>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1.25" customHeight="1">
      <c r="A575" s="63" t="s">
        <v>167</v>
      </c>
      <c r="B575" s="64"/>
      <c r="C575" s="64"/>
      <c r="D575" s="294">
        <f>'Proposed Rates'!G322</f>
        <v>1.0047999999999999</v>
      </c>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27.5" customHeight="1">
      <c r="A576" s="54"/>
      <c r="B576" s="54"/>
      <c r="C576" s="54"/>
      <c r="D576" s="119"/>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27.5" customHeight="1">
      <c r="A577" s="54"/>
      <c r="B577" s="54"/>
      <c r="C577" s="54"/>
      <c r="D577" s="119"/>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27.5" customHeight="1">
      <c r="A578" s="54"/>
      <c r="B578" s="54"/>
      <c r="C578" s="54"/>
      <c r="D578" s="119"/>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27.5" customHeight="1">
      <c r="A579" s="54"/>
      <c r="B579" s="54"/>
      <c r="C579" s="54"/>
      <c r="D579" s="119"/>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27.5" customHeight="1">
      <c r="A580" s="54"/>
      <c r="B580" s="54"/>
      <c r="C580" s="54"/>
      <c r="D580" s="119"/>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27.5" customHeight="1">
      <c r="A581" s="54"/>
      <c r="B581" s="54"/>
      <c r="C581" s="54"/>
      <c r="D581" s="119"/>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27.5" customHeight="1">
      <c r="A582" s="54"/>
      <c r="B582" s="54"/>
      <c r="C582" s="54"/>
      <c r="D582" s="119"/>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27.5" customHeight="1">
      <c r="A583" s="54"/>
      <c r="B583" s="54"/>
      <c r="C583" s="54"/>
      <c r="D583" s="119"/>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27.5" customHeight="1">
      <c r="A584" s="54"/>
      <c r="B584" s="54"/>
      <c r="C584" s="54"/>
      <c r="D584" s="119"/>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27.5" customHeight="1">
      <c r="A585" s="54"/>
      <c r="B585" s="54"/>
      <c r="C585" s="54"/>
      <c r="D585" s="119"/>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27.5" customHeight="1">
      <c r="A586" s="54"/>
      <c r="B586" s="54"/>
      <c r="C586" s="54"/>
      <c r="D586" s="119"/>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27.5" customHeight="1">
      <c r="A587" s="54"/>
      <c r="B587" s="54"/>
      <c r="C587" s="54"/>
      <c r="D587" s="119"/>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27.5" customHeight="1">
      <c r="A588" s="54"/>
      <c r="B588" s="54"/>
      <c r="C588" s="54"/>
      <c r="D588" s="119"/>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27.5" customHeight="1">
      <c r="A589" s="54"/>
      <c r="B589" s="54"/>
      <c r="C589" s="54"/>
      <c r="D589" s="119"/>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27.5" customHeight="1">
      <c r="A590" s="54"/>
      <c r="B590" s="54"/>
      <c r="C590" s="54"/>
      <c r="D590" s="119"/>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27.5" customHeight="1">
      <c r="A591" s="54"/>
      <c r="B591" s="54"/>
      <c r="C591" s="54"/>
      <c r="D591" s="119"/>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27.5" customHeight="1">
      <c r="A592" s="54"/>
      <c r="B592" s="54"/>
      <c r="C592" s="54"/>
      <c r="D592" s="119"/>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27.5" customHeight="1">
      <c r="A593" s="54"/>
      <c r="B593" s="54"/>
      <c r="C593" s="54"/>
      <c r="D593" s="119"/>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27.5" customHeight="1">
      <c r="A594" s="54"/>
      <c r="B594" s="54"/>
      <c r="C594" s="54"/>
      <c r="D594" s="119"/>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27.5" customHeight="1">
      <c r="A595" s="54"/>
      <c r="B595" s="54"/>
      <c r="C595" s="54"/>
      <c r="D595" s="119"/>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27.5" customHeight="1">
      <c r="A596" s="54"/>
      <c r="B596" s="54"/>
      <c r="C596" s="54"/>
      <c r="D596" s="119"/>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27.5" customHeight="1">
      <c r="A597" s="54"/>
      <c r="B597" s="54"/>
      <c r="C597" s="54"/>
      <c r="D597" s="119"/>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27.5" customHeight="1">
      <c r="A598" s="54"/>
      <c r="B598" s="54"/>
      <c r="C598" s="54"/>
      <c r="D598" s="119"/>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27.5" customHeight="1">
      <c r="A599" s="54"/>
      <c r="B599" s="54"/>
      <c r="C599" s="54"/>
      <c r="D599" s="119"/>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27.5" customHeight="1">
      <c r="A600" s="54"/>
      <c r="B600" s="54"/>
      <c r="C600" s="54"/>
      <c r="D600" s="119"/>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27.5" customHeight="1">
      <c r="A601" s="54"/>
      <c r="B601" s="54"/>
      <c r="C601" s="54"/>
      <c r="D601" s="119"/>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27.5" customHeight="1">
      <c r="A602" s="54"/>
      <c r="B602" s="54"/>
      <c r="C602" s="54"/>
      <c r="D602" s="119"/>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27.5" customHeight="1">
      <c r="A603" s="54"/>
      <c r="B603" s="54"/>
      <c r="C603" s="54"/>
      <c r="D603" s="119"/>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27.5" customHeight="1">
      <c r="A604" s="54"/>
      <c r="B604" s="54"/>
      <c r="C604" s="54"/>
      <c r="D604" s="119"/>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27.5" customHeight="1">
      <c r="A605" s="54"/>
      <c r="B605" s="54"/>
      <c r="C605" s="54"/>
      <c r="D605" s="119"/>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27.5" customHeight="1">
      <c r="A606" s="54"/>
      <c r="B606" s="54"/>
      <c r="C606" s="54"/>
      <c r="D606" s="119"/>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27.5" customHeight="1">
      <c r="A607" s="54"/>
      <c r="B607" s="54"/>
      <c r="C607" s="54"/>
      <c r="D607" s="119"/>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27.5" customHeight="1">
      <c r="A608" s="54"/>
      <c r="B608" s="54"/>
      <c r="C608" s="54"/>
      <c r="D608" s="119"/>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27.5" customHeight="1">
      <c r="A609" s="54"/>
      <c r="B609" s="54"/>
      <c r="C609" s="54"/>
      <c r="D609" s="119"/>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27.5" customHeight="1">
      <c r="A610" s="54"/>
      <c r="B610" s="54"/>
      <c r="C610" s="54"/>
      <c r="D610" s="119"/>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27.5" customHeight="1">
      <c r="A611" s="54"/>
      <c r="B611" s="54"/>
      <c r="C611" s="54"/>
      <c r="D611" s="119"/>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27.5" customHeight="1">
      <c r="A612" s="54"/>
      <c r="B612" s="54"/>
      <c r="C612" s="54"/>
      <c r="D612" s="119"/>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27.5" customHeight="1">
      <c r="A613" s="54"/>
      <c r="B613" s="54"/>
      <c r="C613" s="54"/>
      <c r="D613" s="119"/>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27.5" customHeight="1">
      <c r="A614" s="54"/>
      <c r="B614" s="54"/>
      <c r="C614" s="54"/>
      <c r="D614" s="119"/>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27.5" customHeight="1">
      <c r="A615" s="54"/>
      <c r="B615" s="54"/>
      <c r="C615" s="54"/>
      <c r="D615" s="119"/>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27.5" customHeight="1">
      <c r="A616" s="54"/>
      <c r="B616" s="54"/>
      <c r="C616" s="54"/>
      <c r="D616" s="119"/>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27.5" customHeight="1">
      <c r="A617" s="54"/>
      <c r="B617" s="54"/>
      <c r="C617" s="54"/>
      <c r="D617" s="119"/>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27.5" customHeight="1">
      <c r="A618" s="54"/>
      <c r="B618" s="54"/>
      <c r="C618" s="54"/>
      <c r="D618" s="119"/>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27.5" customHeight="1">
      <c r="A619" s="54"/>
      <c r="B619" s="54"/>
      <c r="C619" s="54"/>
      <c r="D619" s="119"/>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27.5" customHeight="1">
      <c r="A620" s="54"/>
      <c r="B620" s="54"/>
      <c r="C620" s="54"/>
      <c r="D620" s="119"/>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27.5" customHeight="1">
      <c r="A621" s="54"/>
      <c r="B621" s="54"/>
      <c r="C621" s="54"/>
      <c r="D621" s="119"/>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27.5" customHeight="1">
      <c r="A622" s="54"/>
      <c r="B622" s="54"/>
      <c r="C622" s="54"/>
      <c r="D622" s="119"/>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27.5" customHeight="1">
      <c r="A623" s="54"/>
      <c r="B623" s="54"/>
      <c r="C623" s="54"/>
      <c r="D623" s="119"/>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27.5" customHeight="1">
      <c r="A624" s="54"/>
      <c r="B624" s="54"/>
      <c r="C624" s="54"/>
      <c r="D624" s="119"/>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27.5" customHeight="1">
      <c r="A625" s="54"/>
      <c r="B625" s="54"/>
      <c r="C625" s="54"/>
      <c r="D625" s="119"/>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27.5" customHeight="1">
      <c r="A626" s="54"/>
      <c r="B626" s="54"/>
      <c r="C626" s="54"/>
      <c r="D626" s="119"/>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27.5" customHeight="1">
      <c r="A627" s="54"/>
      <c r="B627" s="54"/>
      <c r="C627" s="54"/>
      <c r="D627" s="119"/>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27.5" customHeight="1">
      <c r="A628" s="54"/>
      <c r="B628" s="54"/>
      <c r="C628" s="54"/>
      <c r="D628" s="119"/>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27.5" customHeight="1">
      <c r="A629" s="54"/>
      <c r="B629" s="54"/>
      <c r="C629" s="54"/>
      <c r="D629" s="119"/>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27.5" customHeight="1">
      <c r="A630" s="54"/>
      <c r="B630" s="54"/>
      <c r="C630" s="54"/>
      <c r="D630" s="119"/>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27.5" customHeight="1">
      <c r="A631" s="54"/>
      <c r="B631" s="54"/>
      <c r="C631" s="54"/>
      <c r="D631" s="119"/>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27.5" customHeight="1">
      <c r="A632" s="54"/>
      <c r="B632" s="54"/>
      <c r="C632" s="54"/>
      <c r="D632" s="119"/>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27.5" customHeight="1">
      <c r="A633" s="54"/>
      <c r="B633" s="54"/>
      <c r="C633" s="54"/>
      <c r="D633" s="119"/>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27.5" customHeight="1">
      <c r="A634" s="54"/>
      <c r="B634" s="54"/>
      <c r="C634" s="54"/>
      <c r="D634" s="119"/>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27.5" customHeight="1">
      <c r="A635" s="54"/>
      <c r="B635" s="54"/>
      <c r="C635" s="54"/>
      <c r="D635" s="119"/>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27.5" customHeight="1">
      <c r="A636" s="54"/>
      <c r="B636" s="54"/>
      <c r="C636" s="54"/>
      <c r="D636" s="119"/>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27.5" customHeight="1">
      <c r="A637" s="54"/>
      <c r="B637" s="54"/>
      <c r="C637" s="54"/>
      <c r="D637" s="119"/>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27.5" customHeight="1">
      <c r="A638" s="54"/>
      <c r="B638" s="54"/>
      <c r="C638" s="54"/>
      <c r="D638" s="119"/>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27.5" customHeight="1">
      <c r="A639" s="54"/>
      <c r="B639" s="54"/>
      <c r="C639" s="54"/>
      <c r="D639" s="119"/>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27.5" customHeight="1">
      <c r="A640" s="54"/>
      <c r="B640" s="54"/>
      <c r="C640" s="54"/>
      <c r="D640" s="119"/>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27.5" customHeight="1">
      <c r="A641" s="54"/>
      <c r="B641" s="54"/>
      <c r="C641" s="54"/>
      <c r="D641" s="119"/>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27.5" customHeight="1">
      <c r="A642" s="54"/>
      <c r="B642" s="54"/>
      <c r="C642" s="54"/>
      <c r="D642" s="119"/>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27.5" customHeight="1">
      <c r="A643" s="54"/>
      <c r="B643" s="54"/>
      <c r="C643" s="54"/>
      <c r="D643" s="119"/>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27.5" customHeight="1">
      <c r="A644" s="54"/>
      <c r="B644" s="54"/>
      <c r="C644" s="54"/>
      <c r="D644" s="119"/>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27.5" customHeight="1">
      <c r="A645" s="54"/>
      <c r="B645" s="54"/>
      <c r="C645" s="54"/>
      <c r="D645" s="119"/>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27.5" customHeight="1">
      <c r="A646" s="54"/>
      <c r="B646" s="54"/>
      <c r="C646" s="54"/>
      <c r="D646" s="119"/>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27.5" customHeight="1">
      <c r="A647" s="54"/>
      <c r="B647" s="54"/>
      <c r="C647" s="54"/>
      <c r="D647" s="119"/>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27.5" customHeight="1">
      <c r="A648" s="54"/>
      <c r="B648" s="54"/>
      <c r="C648" s="54"/>
      <c r="D648" s="119"/>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27.5" customHeight="1">
      <c r="A649" s="54"/>
      <c r="B649" s="54"/>
      <c r="C649" s="54"/>
      <c r="D649" s="119"/>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27.5" customHeight="1">
      <c r="A650" s="54"/>
      <c r="B650" s="54"/>
      <c r="C650" s="54"/>
      <c r="D650" s="119"/>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27.5" customHeight="1">
      <c r="A651" s="54"/>
      <c r="B651" s="54"/>
      <c r="C651" s="54"/>
      <c r="D651" s="119"/>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27.5" customHeight="1">
      <c r="A652" s="54"/>
      <c r="B652" s="54"/>
      <c r="C652" s="54"/>
      <c r="D652" s="119"/>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27.5" customHeight="1">
      <c r="A653" s="54"/>
      <c r="B653" s="54"/>
      <c r="C653" s="54"/>
      <c r="D653" s="119"/>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27.5" customHeight="1">
      <c r="A654" s="54"/>
      <c r="B654" s="54"/>
      <c r="C654" s="54"/>
      <c r="D654" s="119"/>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27.5" customHeight="1">
      <c r="A655" s="54"/>
      <c r="B655" s="54"/>
      <c r="C655" s="54"/>
      <c r="D655" s="119"/>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27.5" customHeight="1">
      <c r="A656" s="54"/>
      <c r="B656" s="54"/>
      <c r="C656" s="54"/>
      <c r="D656" s="119"/>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27.5" customHeight="1">
      <c r="A657" s="54"/>
      <c r="B657" s="54"/>
      <c r="C657" s="54"/>
      <c r="D657" s="119"/>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27.5" customHeight="1">
      <c r="A658" s="54"/>
      <c r="B658" s="54"/>
      <c r="C658" s="54"/>
      <c r="D658" s="119"/>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27.5" customHeight="1">
      <c r="A659" s="54"/>
      <c r="B659" s="54"/>
      <c r="C659" s="54"/>
      <c r="D659" s="119"/>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27.5" customHeight="1">
      <c r="A660" s="54"/>
      <c r="B660" s="54"/>
      <c r="C660" s="54"/>
      <c r="D660" s="119"/>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27.5" customHeight="1">
      <c r="A661" s="54"/>
      <c r="B661" s="54"/>
      <c r="C661" s="54"/>
      <c r="D661" s="119"/>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27.5" customHeight="1">
      <c r="A662" s="54"/>
      <c r="B662" s="54"/>
      <c r="C662" s="54"/>
      <c r="D662" s="119"/>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27.5" customHeight="1">
      <c r="A663" s="54"/>
      <c r="B663" s="54"/>
      <c r="C663" s="54"/>
      <c r="D663" s="119"/>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27.5" customHeight="1">
      <c r="A664" s="54"/>
      <c r="B664" s="54"/>
      <c r="C664" s="54"/>
      <c r="D664" s="119"/>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27.5" customHeight="1">
      <c r="A665" s="54"/>
      <c r="B665" s="54"/>
      <c r="C665" s="54"/>
      <c r="D665" s="119"/>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27.5" customHeight="1">
      <c r="A666" s="54"/>
      <c r="B666" s="54"/>
      <c r="C666" s="54"/>
      <c r="D666" s="119"/>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27.5" customHeight="1">
      <c r="A667" s="54"/>
      <c r="B667" s="54"/>
      <c r="C667" s="54"/>
      <c r="D667" s="119"/>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27.5" customHeight="1">
      <c r="A668" s="54"/>
      <c r="B668" s="54"/>
      <c r="C668" s="54"/>
      <c r="D668" s="119"/>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27.5" customHeight="1">
      <c r="A669" s="54"/>
      <c r="B669" s="54"/>
      <c r="C669" s="54"/>
      <c r="D669" s="119"/>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27.5" customHeight="1">
      <c r="A670" s="54"/>
      <c r="B670" s="54"/>
      <c r="C670" s="54"/>
      <c r="D670" s="119"/>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27.5" customHeight="1">
      <c r="A671" s="54"/>
      <c r="B671" s="54"/>
      <c r="C671" s="54"/>
      <c r="D671" s="119"/>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27.5" customHeight="1">
      <c r="A672" s="54"/>
      <c r="B672" s="54"/>
      <c r="C672" s="54"/>
      <c r="D672" s="119"/>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27.5" customHeight="1">
      <c r="A673" s="54"/>
      <c r="B673" s="54"/>
      <c r="C673" s="54"/>
      <c r="D673" s="119"/>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27.5" customHeight="1">
      <c r="A674" s="54"/>
      <c r="B674" s="54"/>
      <c r="C674" s="54"/>
      <c r="D674" s="119"/>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27.5" customHeight="1">
      <c r="A675" s="54"/>
      <c r="B675" s="54"/>
      <c r="C675" s="54"/>
      <c r="D675" s="119"/>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27.5" customHeight="1">
      <c r="A676" s="54"/>
      <c r="B676" s="54"/>
      <c r="C676" s="54"/>
      <c r="D676" s="119"/>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27.5" customHeight="1">
      <c r="A677" s="54"/>
      <c r="B677" s="54"/>
      <c r="C677" s="54"/>
      <c r="D677" s="119"/>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27.5" customHeight="1">
      <c r="A678" s="54"/>
      <c r="B678" s="54"/>
      <c r="C678" s="54"/>
      <c r="D678" s="119"/>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27.5" customHeight="1">
      <c r="A679" s="54"/>
      <c r="B679" s="54"/>
      <c r="C679" s="54"/>
      <c r="D679" s="119"/>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27.5" customHeight="1">
      <c r="A680" s="54"/>
      <c r="B680" s="54"/>
      <c r="C680" s="54"/>
      <c r="D680" s="119"/>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27.5" customHeight="1">
      <c r="A681" s="54"/>
      <c r="B681" s="54"/>
      <c r="C681" s="54"/>
      <c r="D681" s="119"/>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27.5" customHeight="1">
      <c r="A682" s="54"/>
      <c r="B682" s="54"/>
      <c r="C682" s="54"/>
      <c r="D682" s="119"/>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27.5" customHeight="1">
      <c r="A683" s="54"/>
      <c r="B683" s="54"/>
      <c r="C683" s="54"/>
      <c r="D683" s="119"/>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27.5" customHeight="1">
      <c r="A684" s="54"/>
      <c r="B684" s="54"/>
      <c r="C684" s="54"/>
      <c r="D684" s="119"/>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27.5" customHeight="1">
      <c r="A685" s="54"/>
      <c r="B685" s="54"/>
      <c r="C685" s="54"/>
      <c r="D685" s="119"/>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27.5" customHeight="1">
      <c r="A686" s="54"/>
      <c r="B686" s="54"/>
      <c r="C686" s="54"/>
      <c r="D686" s="119"/>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27.5" customHeight="1">
      <c r="A687" s="54"/>
      <c r="B687" s="54"/>
      <c r="C687" s="54"/>
      <c r="D687" s="119"/>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27.5" customHeight="1">
      <c r="A688" s="54"/>
      <c r="B688" s="54"/>
      <c r="C688" s="54"/>
      <c r="D688" s="119"/>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27.5" customHeight="1">
      <c r="A689" s="54"/>
      <c r="B689" s="54"/>
      <c r="C689" s="54"/>
      <c r="D689" s="119"/>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27.5" customHeight="1">
      <c r="A690" s="54"/>
      <c r="B690" s="54"/>
      <c r="C690" s="54"/>
      <c r="D690" s="119"/>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27.5" customHeight="1">
      <c r="A691" s="54"/>
      <c r="B691" s="54"/>
      <c r="C691" s="54"/>
      <c r="D691" s="119"/>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27.5" customHeight="1">
      <c r="A692" s="54"/>
      <c r="B692" s="54"/>
      <c r="C692" s="54"/>
      <c r="D692" s="119"/>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27.5" customHeight="1">
      <c r="A693" s="54"/>
      <c r="B693" s="54"/>
      <c r="C693" s="54"/>
      <c r="D693" s="119"/>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27.5" customHeight="1">
      <c r="A694" s="54"/>
      <c r="B694" s="54"/>
      <c r="C694" s="54"/>
      <c r="D694" s="119"/>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27.5" customHeight="1">
      <c r="A695" s="54"/>
      <c r="B695" s="54"/>
      <c r="C695" s="54"/>
      <c r="D695" s="119"/>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27.5" customHeight="1">
      <c r="A696" s="54"/>
      <c r="B696" s="54"/>
      <c r="C696" s="54"/>
      <c r="D696" s="119"/>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27.5" customHeight="1">
      <c r="A697" s="54"/>
      <c r="B697" s="54"/>
      <c r="C697" s="54"/>
      <c r="D697" s="119"/>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27.5" customHeight="1">
      <c r="A698" s="54"/>
      <c r="B698" s="54"/>
      <c r="C698" s="54"/>
      <c r="D698" s="119"/>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27.5" customHeight="1">
      <c r="A699" s="54"/>
      <c r="B699" s="54"/>
      <c r="C699" s="54"/>
      <c r="D699" s="119"/>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27.5" customHeight="1">
      <c r="A700" s="54"/>
      <c r="B700" s="54"/>
      <c r="C700" s="54"/>
      <c r="D700" s="119"/>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27.5" customHeight="1">
      <c r="A701" s="54"/>
      <c r="B701" s="54"/>
      <c r="C701" s="54"/>
      <c r="D701" s="119"/>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119"/>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119"/>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119"/>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119"/>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119"/>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119"/>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119"/>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119"/>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119"/>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119"/>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119"/>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119"/>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119"/>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119"/>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119"/>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119"/>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119"/>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119"/>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119"/>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119"/>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119"/>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119"/>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119"/>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119"/>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119"/>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119"/>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119"/>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119"/>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119"/>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119"/>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119"/>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119"/>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119"/>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119"/>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119"/>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119"/>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119"/>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119"/>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119"/>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119"/>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c r="A742" s="54"/>
      <c r="B742" s="54"/>
      <c r="C742" s="54"/>
      <c r="D742" s="119"/>
      <c r="E742" s="54"/>
      <c r="F742" s="54"/>
      <c r="G742" s="54"/>
      <c r="H742" s="54"/>
      <c r="I742" s="54"/>
      <c r="J742" s="54"/>
      <c r="K742" s="54"/>
      <c r="L742" s="54"/>
      <c r="M742" s="54"/>
      <c r="N742" s="54"/>
      <c r="O742" s="54"/>
      <c r="P742" s="54"/>
      <c r="Q742" s="54"/>
      <c r="R742" s="54"/>
      <c r="S742" s="54"/>
      <c r="T742" s="54"/>
      <c r="U742" s="54"/>
      <c r="V742" s="54"/>
      <c r="W742" s="54"/>
      <c r="X742" s="54"/>
      <c r="Y742" s="54"/>
      <c r="Z742" s="54"/>
    </row>
    <row r="743" spans="1:26" ht="15.75" customHeight="1">
      <c r="A743" s="54"/>
      <c r="B743" s="54"/>
      <c r="C743" s="54"/>
      <c r="D743" s="119"/>
      <c r="E743" s="54"/>
      <c r="F743" s="54"/>
      <c r="G743" s="54"/>
      <c r="H743" s="54"/>
      <c r="I743" s="54"/>
      <c r="J743" s="54"/>
      <c r="K743" s="54"/>
      <c r="L743" s="54"/>
      <c r="M743" s="54"/>
      <c r="N743" s="54"/>
      <c r="O743" s="54"/>
      <c r="P743" s="54"/>
      <c r="Q743" s="54"/>
      <c r="R743" s="54"/>
      <c r="S743" s="54"/>
      <c r="T743" s="54"/>
      <c r="U743" s="54"/>
      <c r="V743" s="54"/>
      <c r="W743" s="54"/>
      <c r="X743" s="54"/>
      <c r="Y743" s="54"/>
      <c r="Z743" s="54"/>
    </row>
    <row r="744" spans="1:26" ht="15.75" customHeight="1">
      <c r="A744" s="54"/>
      <c r="B744" s="54"/>
      <c r="C744" s="54"/>
      <c r="D744" s="119"/>
      <c r="E744" s="54"/>
      <c r="F744" s="54"/>
      <c r="G744" s="54"/>
      <c r="H744" s="54"/>
      <c r="I744" s="54"/>
      <c r="J744" s="54"/>
      <c r="K744" s="54"/>
      <c r="L744" s="54"/>
      <c r="M744" s="54"/>
      <c r="N744" s="54"/>
      <c r="O744" s="54"/>
      <c r="P744" s="54"/>
      <c r="Q744" s="54"/>
      <c r="R744" s="54"/>
      <c r="S744" s="54"/>
      <c r="T744" s="54"/>
      <c r="U744" s="54"/>
      <c r="V744" s="54"/>
      <c r="W744" s="54"/>
      <c r="X744" s="54"/>
      <c r="Y744" s="54"/>
      <c r="Z744" s="54"/>
    </row>
    <row r="745" spans="1:26" ht="15.75" customHeight="1">
      <c r="A745" s="54"/>
      <c r="B745" s="54"/>
      <c r="C745" s="54"/>
      <c r="D745" s="119"/>
      <c r="E745" s="54"/>
      <c r="F745" s="54"/>
      <c r="G745" s="54"/>
      <c r="H745" s="54"/>
      <c r="I745" s="54"/>
      <c r="J745" s="54"/>
      <c r="K745" s="54"/>
      <c r="L745" s="54"/>
      <c r="M745" s="54"/>
      <c r="N745" s="54"/>
      <c r="O745" s="54"/>
      <c r="P745" s="54"/>
      <c r="Q745" s="54"/>
      <c r="R745" s="54"/>
      <c r="S745" s="54"/>
      <c r="T745" s="54"/>
      <c r="U745" s="54"/>
      <c r="V745" s="54"/>
      <c r="W745" s="54"/>
      <c r="X745" s="54"/>
      <c r="Y745" s="54"/>
      <c r="Z745" s="54"/>
    </row>
    <row r="746" spans="1:26" ht="15.75" customHeight="1">
      <c r="A746" s="54"/>
      <c r="B746" s="54"/>
      <c r="C746" s="54"/>
      <c r="D746" s="119"/>
      <c r="E746" s="54"/>
      <c r="F746" s="54"/>
      <c r="G746" s="54"/>
      <c r="H746" s="54"/>
      <c r="I746" s="54"/>
      <c r="J746" s="54"/>
      <c r="K746" s="54"/>
      <c r="L746" s="54"/>
      <c r="M746" s="54"/>
      <c r="N746" s="54"/>
      <c r="O746" s="54"/>
      <c r="P746" s="54"/>
      <c r="Q746" s="54"/>
      <c r="R746" s="54"/>
      <c r="S746" s="54"/>
      <c r="T746" s="54"/>
      <c r="U746" s="54"/>
      <c r="V746" s="54"/>
      <c r="W746" s="54"/>
      <c r="X746" s="54"/>
      <c r="Y746" s="54"/>
      <c r="Z746" s="54"/>
    </row>
    <row r="747" spans="1:26" ht="15.75" customHeight="1">
      <c r="A747" s="54"/>
      <c r="B747" s="54"/>
      <c r="C747" s="54"/>
      <c r="D747" s="119"/>
      <c r="E747" s="54"/>
      <c r="F747" s="54"/>
      <c r="G747" s="54"/>
      <c r="H747" s="54"/>
      <c r="I747" s="54"/>
      <c r="J747" s="54"/>
      <c r="K747" s="54"/>
      <c r="L747" s="54"/>
      <c r="M747" s="54"/>
      <c r="N747" s="54"/>
      <c r="O747" s="54"/>
      <c r="P747" s="54"/>
      <c r="Q747" s="54"/>
      <c r="R747" s="54"/>
      <c r="S747" s="54"/>
      <c r="T747" s="54"/>
      <c r="U747" s="54"/>
      <c r="V747" s="54"/>
      <c r="W747" s="54"/>
      <c r="X747" s="54"/>
      <c r="Y747" s="54"/>
      <c r="Z747" s="54"/>
    </row>
    <row r="748" spans="1:26" ht="15.75" customHeight="1">
      <c r="A748" s="54"/>
      <c r="B748" s="54"/>
      <c r="C748" s="54"/>
      <c r="D748" s="119"/>
      <c r="E748" s="54"/>
      <c r="F748" s="54"/>
      <c r="G748" s="54"/>
      <c r="H748" s="54"/>
      <c r="I748" s="54"/>
      <c r="J748" s="54"/>
      <c r="K748" s="54"/>
      <c r="L748" s="54"/>
      <c r="M748" s="54"/>
      <c r="N748" s="54"/>
      <c r="O748" s="54"/>
      <c r="P748" s="54"/>
      <c r="Q748" s="54"/>
      <c r="R748" s="54"/>
      <c r="S748" s="54"/>
      <c r="T748" s="54"/>
      <c r="U748" s="54"/>
      <c r="V748" s="54"/>
      <c r="W748" s="54"/>
      <c r="X748" s="54"/>
      <c r="Y748" s="54"/>
      <c r="Z748" s="54"/>
    </row>
    <row r="749" spans="1:26" ht="15.75" customHeight="1">
      <c r="A749" s="54"/>
      <c r="B749" s="54"/>
      <c r="C749" s="54"/>
      <c r="D749" s="119"/>
      <c r="E749" s="54"/>
      <c r="F749" s="54"/>
      <c r="G749" s="54"/>
      <c r="H749" s="54"/>
      <c r="I749" s="54"/>
      <c r="J749" s="54"/>
      <c r="K749" s="54"/>
      <c r="L749" s="54"/>
      <c r="M749" s="54"/>
      <c r="N749" s="54"/>
      <c r="O749" s="54"/>
      <c r="P749" s="54"/>
      <c r="Q749" s="54"/>
      <c r="R749" s="54"/>
      <c r="S749" s="54"/>
      <c r="T749" s="54"/>
      <c r="U749" s="54"/>
      <c r="V749" s="54"/>
      <c r="W749" s="54"/>
      <c r="X749" s="54"/>
      <c r="Y749" s="54"/>
      <c r="Z749" s="54"/>
    </row>
    <row r="750" spans="1:26" ht="15.75" customHeight="1">
      <c r="A750" s="54"/>
      <c r="B750" s="54"/>
      <c r="C750" s="54"/>
      <c r="D750" s="119"/>
      <c r="E750" s="54"/>
      <c r="F750" s="54"/>
      <c r="G750" s="54"/>
      <c r="H750" s="54"/>
      <c r="I750" s="54"/>
      <c r="J750" s="54"/>
      <c r="K750" s="54"/>
      <c r="L750" s="54"/>
      <c r="M750" s="54"/>
      <c r="N750" s="54"/>
      <c r="O750" s="54"/>
      <c r="P750" s="54"/>
      <c r="Q750" s="54"/>
      <c r="R750" s="54"/>
      <c r="S750" s="54"/>
      <c r="T750" s="54"/>
      <c r="U750" s="54"/>
      <c r="V750" s="54"/>
      <c r="W750" s="54"/>
      <c r="X750" s="54"/>
      <c r="Y750" s="54"/>
      <c r="Z750" s="54"/>
    </row>
    <row r="751" spans="1:26" ht="15.75" customHeight="1">
      <c r="A751" s="54"/>
      <c r="B751" s="54"/>
      <c r="C751" s="54"/>
      <c r="D751" s="119"/>
      <c r="E751" s="54"/>
      <c r="F751" s="54"/>
      <c r="G751" s="54"/>
      <c r="H751" s="54"/>
      <c r="I751" s="54"/>
      <c r="J751" s="54"/>
      <c r="K751" s="54"/>
      <c r="L751" s="54"/>
      <c r="M751" s="54"/>
      <c r="N751" s="54"/>
      <c r="O751" s="54"/>
      <c r="P751" s="54"/>
      <c r="Q751" s="54"/>
      <c r="R751" s="54"/>
      <c r="S751" s="54"/>
      <c r="T751" s="54"/>
      <c r="U751" s="54"/>
      <c r="V751" s="54"/>
      <c r="W751" s="54"/>
      <c r="X751" s="54"/>
      <c r="Y751" s="54"/>
      <c r="Z751" s="54"/>
    </row>
    <row r="752" spans="1:26" ht="15.75" customHeight="1">
      <c r="A752" s="54"/>
      <c r="B752" s="54"/>
      <c r="C752" s="54"/>
      <c r="D752" s="119"/>
      <c r="E752" s="54"/>
      <c r="F752" s="54"/>
      <c r="G752" s="54"/>
      <c r="H752" s="54"/>
      <c r="I752" s="54"/>
      <c r="J752" s="54"/>
      <c r="K752" s="54"/>
      <c r="L752" s="54"/>
      <c r="M752" s="54"/>
      <c r="N752" s="54"/>
      <c r="O752" s="54"/>
      <c r="P752" s="54"/>
      <c r="Q752" s="54"/>
      <c r="R752" s="54"/>
      <c r="S752" s="54"/>
      <c r="T752" s="54"/>
      <c r="U752" s="54"/>
      <c r="V752" s="54"/>
      <c r="W752" s="54"/>
      <c r="X752" s="54"/>
      <c r="Y752" s="54"/>
      <c r="Z752" s="54"/>
    </row>
    <row r="753" spans="1:26" ht="15.75" customHeight="1">
      <c r="A753" s="54"/>
      <c r="B753" s="54"/>
      <c r="C753" s="54"/>
      <c r="D753" s="119"/>
      <c r="E753" s="54"/>
      <c r="F753" s="54"/>
      <c r="G753" s="54"/>
      <c r="H753" s="54"/>
      <c r="I753" s="54"/>
      <c r="J753" s="54"/>
      <c r="K753" s="54"/>
      <c r="L753" s="54"/>
      <c r="M753" s="54"/>
      <c r="N753" s="54"/>
      <c r="O753" s="54"/>
      <c r="P753" s="54"/>
      <c r="Q753" s="54"/>
      <c r="R753" s="54"/>
      <c r="S753" s="54"/>
      <c r="T753" s="54"/>
      <c r="U753" s="54"/>
      <c r="V753" s="54"/>
      <c r="W753" s="54"/>
      <c r="X753" s="54"/>
      <c r="Y753" s="54"/>
      <c r="Z753" s="54"/>
    </row>
    <row r="754" spans="1:26" ht="15.75" customHeight="1">
      <c r="A754" s="54"/>
      <c r="B754" s="54"/>
      <c r="C754" s="54"/>
      <c r="D754" s="119"/>
      <c r="E754" s="54"/>
      <c r="F754" s="54"/>
      <c r="G754" s="54"/>
      <c r="H754" s="54"/>
      <c r="I754" s="54"/>
      <c r="J754" s="54"/>
      <c r="K754" s="54"/>
      <c r="L754" s="54"/>
      <c r="M754" s="54"/>
      <c r="N754" s="54"/>
      <c r="O754" s="54"/>
      <c r="P754" s="54"/>
      <c r="Q754" s="54"/>
      <c r="R754" s="54"/>
      <c r="S754" s="54"/>
      <c r="T754" s="54"/>
      <c r="U754" s="54"/>
      <c r="V754" s="54"/>
      <c r="W754" s="54"/>
      <c r="X754" s="54"/>
      <c r="Y754" s="54"/>
      <c r="Z754" s="54"/>
    </row>
    <row r="755" spans="1:26" ht="15.75" customHeight="1">
      <c r="A755" s="54"/>
      <c r="B755" s="54"/>
      <c r="C755" s="54"/>
      <c r="D755" s="119"/>
      <c r="E755" s="54"/>
      <c r="F755" s="54"/>
      <c r="G755" s="54"/>
      <c r="H755" s="54"/>
      <c r="I755" s="54"/>
      <c r="J755" s="54"/>
      <c r="K755" s="54"/>
      <c r="L755" s="54"/>
      <c r="M755" s="54"/>
      <c r="N755" s="54"/>
      <c r="O755" s="54"/>
      <c r="P755" s="54"/>
      <c r="Q755" s="54"/>
      <c r="R755" s="54"/>
      <c r="S755" s="54"/>
      <c r="T755" s="54"/>
      <c r="U755" s="54"/>
      <c r="V755" s="54"/>
      <c r="W755" s="54"/>
      <c r="X755" s="54"/>
      <c r="Y755" s="54"/>
      <c r="Z755" s="54"/>
    </row>
    <row r="756" spans="1:26" ht="15.75" customHeight="1">
      <c r="A756" s="54"/>
      <c r="B756" s="54"/>
      <c r="C756" s="54"/>
      <c r="D756" s="119"/>
      <c r="E756" s="54"/>
      <c r="F756" s="54"/>
      <c r="G756" s="54"/>
      <c r="H756" s="54"/>
      <c r="I756" s="54"/>
      <c r="J756" s="54"/>
      <c r="K756" s="54"/>
      <c r="L756" s="54"/>
      <c r="M756" s="54"/>
      <c r="N756" s="54"/>
      <c r="O756" s="54"/>
      <c r="P756" s="54"/>
      <c r="Q756" s="54"/>
      <c r="R756" s="54"/>
      <c r="S756" s="54"/>
      <c r="T756" s="54"/>
      <c r="U756" s="54"/>
      <c r="V756" s="54"/>
      <c r="W756" s="54"/>
      <c r="X756" s="54"/>
      <c r="Y756" s="54"/>
      <c r="Z756" s="54"/>
    </row>
    <row r="757" spans="1:26" ht="15.75" customHeight="1">
      <c r="A757" s="54"/>
      <c r="B757" s="54"/>
      <c r="C757" s="54"/>
      <c r="D757" s="119"/>
      <c r="E757" s="54"/>
      <c r="F757" s="54"/>
      <c r="G757" s="54"/>
      <c r="H757" s="54"/>
      <c r="I757" s="54"/>
      <c r="J757" s="54"/>
      <c r="K757" s="54"/>
      <c r="L757" s="54"/>
      <c r="M757" s="54"/>
      <c r="N757" s="54"/>
      <c r="O757" s="54"/>
      <c r="P757" s="54"/>
      <c r="Q757" s="54"/>
      <c r="R757" s="54"/>
      <c r="S757" s="54"/>
      <c r="T757" s="54"/>
      <c r="U757" s="54"/>
      <c r="V757" s="54"/>
      <c r="W757" s="54"/>
      <c r="X757" s="54"/>
      <c r="Y757" s="54"/>
      <c r="Z757" s="54"/>
    </row>
    <row r="758" spans="1:26" ht="15.75" customHeight="1">
      <c r="A758" s="54"/>
      <c r="B758" s="54"/>
      <c r="C758" s="54"/>
      <c r="D758" s="119"/>
      <c r="E758" s="54"/>
      <c r="F758" s="54"/>
      <c r="G758" s="54"/>
      <c r="H758" s="54"/>
      <c r="I758" s="54"/>
      <c r="J758" s="54"/>
      <c r="K758" s="54"/>
      <c r="L758" s="54"/>
      <c r="M758" s="54"/>
      <c r="N758" s="54"/>
      <c r="O758" s="54"/>
      <c r="P758" s="54"/>
      <c r="Q758" s="54"/>
      <c r="R758" s="54"/>
      <c r="S758" s="54"/>
      <c r="T758" s="54"/>
      <c r="U758" s="54"/>
      <c r="V758" s="54"/>
      <c r="W758" s="54"/>
      <c r="X758" s="54"/>
      <c r="Y758" s="54"/>
      <c r="Z758" s="54"/>
    </row>
    <row r="759" spans="1:26" ht="15.75" customHeight="1">
      <c r="A759" s="54"/>
      <c r="B759" s="54"/>
      <c r="C759" s="54"/>
      <c r="D759" s="119"/>
      <c r="E759" s="54"/>
      <c r="F759" s="54"/>
      <c r="G759" s="54"/>
      <c r="H759" s="54"/>
      <c r="I759" s="54"/>
      <c r="J759" s="54"/>
      <c r="K759" s="54"/>
      <c r="L759" s="54"/>
      <c r="M759" s="54"/>
      <c r="N759" s="54"/>
      <c r="O759" s="54"/>
      <c r="P759" s="54"/>
      <c r="Q759" s="54"/>
      <c r="R759" s="54"/>
      <c r="S759" s="54"/>
      <c r="T759" s="54"/>
      <c r="U759" s="54"/>
      <c r="V759" s="54"/>
      <c r="W759" s="54"/>
      <c r="X759" s="54"/>
      <c r="Y759" s="54"/>
      <c r="Z759" s="54"/>
    </row>
    <row r="760" spans="1:26" ht="15.75" customHeight="1">
      <c r="A760" s="54"/>
      <c r="B760" s="54"/>
      <c r="C760" s="54"/>
      <c r="D760" s="119"/>
      <c r="E760" s="54"/>
      <c r="F760" s="54"/>
      <c r="G760" s="54"/>
      <c r="H760" s="54"/>
      <c r="I760" s="54"/>
      <c r="J760" s="54"/>
      <c r="K760" s="54"/>
      <c r="L760" s="54"/>
      <c r="M760" s="54"/>
      <c r="N760" s="54"/>
      <c r="O760" s="54"/>
      <c r="P760" s="54"/>
      <c r="Q760" s="54"/>
      <c r="R760" s="54"/>
      <c r="S760" s="54"/>
      <c r="T760" s="54"/>
      <c r="U760" s="54"/>
      <c r="V760" s="54"/>
      <c r="W760" s="54"/>
      <c r="X760" s="54"/>
      <c r="Y760" s="54"/>
      <c r="Z760" s="54"/>
    </row>
    <row r="761" spans="1:26" ht="15.75" customHeight="1">
      <c r="A761" s="54"/>
      <c r="B761" s="54"/>
      <c r="C761" s="54"/>
      <c r="D761" s="119"/>
      <c r="E761" s="54"/>
      <c r="F761" s="54"/>
      <c r="G761" s="54"/>
      <c r="H761" s="54"/>
      <c r="I761" s="54"/>
      <c r="J761" s="54"/>
      <c r="K761" s="54"/>
      <c r="L761" s="54"/>
      <c r="M761" s="54"/>
      <c r="N761" s="54"/>
      <c r="O761" s="54"/>
      <c r="P761" s="54"/>
      <c r="Q761" s="54"/>
      <c r="R761" s="54"/>
      <c r="S761" s="54"/>
      <c r="T761" s="54"/>
      <c r="U761" s="54"/>
      <c r="V761" s="54"/>
      <c r="W761" s="54"/>
      <c r="X761" s="54"/>
      <c r="Y761" s="54"/>
      <c r="Z761" s="54"/>
    </row>
    <row r="762" spans="1:26" ht="15.75" customHeight="1">
      <c r="A762" s="54"/>
      <c r="B762" s="54"/>
      <c r="C762" s="54"/>
      <c r="D762" s="119"/>
      <c r="E762" s="54"/>
      <c r="F762" s="54"/>
      <c r="G762" s="54"/>
      <c r="H762" s="54"/>
      <c r="I762" s="54"/>
      <c r="J762" s="54"/>
      <c r="K762" s="54"/>
      <c r="L762" s="54"/>
      <c r="M762" s="54"/>
      <c r="N762" s="54"/>
      <c r="O762" s="54"/>
      <c r="P762" s="54"/>
      <c r="Q762" s="54"/>
      <c r="R762" s="54"/>
      <c r="S762" s="54"/>
      <c r="T762" s="54"/>
      <c r="U762" s="54"/>
      <c r="V762" s="54"/>
      <c r="W762" s="54"/>
      <c r="X762" s="54"/>
      <c r="Y762" s="54"/>
      <c r="Z762" s="54"/>
    </row>
    <row r="763" spans="1:26" ht="15.75" customHeight="1">
      <c r="A763" s="54"/>
      <c r="B763" s="54"/>
      <c r="C763" s="54"/>
      <c r="D763" s="119"/>
      <c r="E763" s="54"/>
      <c r="F763" s="54"/>
      <c r="G763" s="54"/>
      <c r="H763" s="54"/>
      <c r="I763" s="54"/>
      <c r="J763" s="54"/>
      <c r="K763" s="54"/>
      <c r="L763" s="54"/>
      <c r="M763" s="54"/>
      <c r="N763" s="54"/>
      <c r="O763" s="54"/>
      <c r="P763" s="54"/>
      <c r="Q763" s="54"/>
      <c r="R763" s="54"/>
      <c r="S763" s="54"/>
      <c r="T763" s="54"/>
      <c r="U763" s="54"/>
      <c r="V763" s="54"/>
      <c r="W763" s="54"/>
      <c r="X763" s="54"/>
      <c r="Y763" s="54"/>
      <c r="Z763" s="54"/>
    </row>
    <row r="764" spans="1:26" ht="15.75" customHeight="1">
      <c r="A764" s="54"/>
      <c r="B764" s="54"/>
      <c r="C764" s="54"/>
      <c r="D764" s="119"/>
      <c r="E764" s="54"/>
      <c r="F764" s="54"/>
      <c r="G764" s="54"/>
      <c r="H764" s="54"/>
      <c r="I764" s="54"/>
      <c r="J764" s="54"/>
      <c r="K764" s="54"/>
      <c r="L764" s="54"/>
      <c r="M764" s="54"/>
      <c r="N764" s="54"/>
      <c r="O764" s="54"/>
      <c r="P764" s="54"/>
      <c r="Q764" s="54"/>
      <c r="R764" s="54"/>
      <c r="S764" s="54"/>
      <c r="T764" s="54"/>
      <c r="U764" s="54"/>
      <c r="V764" s="54"/>
      <c r="W764" s="54"/>
      <c r="X764" s="54"/>
      <c r="Y764" s="54"/>
      <c r="Z764" s="54"/>
    </row>
    <row r="765" spans="1:26" ht="15.75" customHeight="1">
      <c r="A765" s="54"/>
      <c r="B765" s="54"/>
      <c r="C765" s="54"/>
      <c r="D765" s="119"/>
      <c r="E765" s="54"/>
      <c r="F765" s="54"/>
      <c r="G765" s="54"/>
      <c r="H765" s="54"/>
      <c r="I765" s="54"/>
      <c r="J765" s="54"/>
      <c r="K765" s="54"/>
      <c r="L765" s="54"/>
      <c r="M765" s="54"/>
      <c r="N765" s="54"/>
      <c r="O765" s="54"/>
      <c r="P765" s="54"/>
      <c r="Q765" s="54"/>
      <c r="R765" s="54"/>
      <c r="S765" s="54"/>
      <c r="T765" s="54"/>
      <c r="U765" s="54"/>
      <c r="V765" s="54"/>
      <c r="W765" s="54"/>
      <c r="X765" s="54"/>
      <c r="Y765" s="54"/>
      <c r="Z765" s="54"/>
    </row>
    <row r="766" spans="1:26" ht="15.75" customHeight="1">
      <c r="A766" s="54"/>
      <c r="B766" s="54"/>
      <c r="C766" s="54"/>
      <c r="D766" s="119"/>
      <c r="E766" s="54"/>
      <c r="F766" s="54"/>
      <c r="G766" s="54"/>
      <c r="H766" s="54"/>
      <c r="I766" s="54"/>
      <c r="J766" s="54"/>
      <c r="K766" s="54"/>
      <c r="L766" s="54"/>
      <c r="M766" s="54"/>
      <c r="N766" s="54"/>
      <c r="O766" s="54"/>
      <c r="P766" s="54"/>
      <c r="Q766" s="54"/>
      <c r="R766" s="54"/>
      <c r="S766" s="54"/>
      <c r="T766" s="54"/>
      <c r="U766" s="54"/>
      <c r="V766" s="54"/>
      <c r="W766" s="54"/>
      <c r="X766" s="54"/>
      <c r="Y766" s="54"/>
      <c r="Z766" s="54"/>
    </row>
    <row r="767" spans="1:26" ht="15.75" customHeight="1">
      <c r="A767" s="54"/>
      <c r="B767" s="54"/>
      <c r="C767" s="54"/>
      <c r="D767" s="119"/>
      <c r="E767" s="54"/>
      <c r="F767" s="54"/>
      <c r="G767" s="54"/>
      <c r="H767" s="54"/>
      <c r="I767" s="54"/>
      <c r="J767" s="54"/>
      <c r="K767" s="54"/>
      <c r="L767" s="54"/>
      <c r="M767" s="54"/>
      <c r="N767" s="54"/>
      <c r="O767" s="54"/>
      <c r="P767" s="54"/>
      <c r="Q767" s="54"/>
      <c r="R767" s="54"/>
      <c r="S767" s="54"/>
      <c r="T767" s="54"/>
      <c r="U767" s="54"/>
      <c r="V767" s="54"/>
      <c r="W767" s="54"/>
      <c r="X767" s="54"/>
      <c r="Y767" s="54"/>
      <c r="Z767" s="54"/>
    </row>
    <row r="768" spans="1:26" ht="15.75" customHeight="1">
      <c r="A768" s="54"/>
      <c r="B768" s="54"/>
      <c r="C768" s="54"/>
      <c r="D768" s="119"/>
      <c r="E768" s="54"/>
      <c r="F768" s="54"/>
      <c r="G768" s="54"/>
      <c r="H768" s="54"/>
      <c r="I768" s="54"/>
      <c r="J768" s="54"/>
      <c r="K768" s="54"/>
      <c r="L768" s="54"/>
      <c r="M768" s="54"/>
      <c r="N768" s="54"/>
      <c r="O768" s="54"/>
      <c r="P768" s="54"/>
      <c r="Q768" s="54"/>
      <c r="R768" s="54"/>
      <c r="S768" s="54"/>
      <c r="T768" s="54"/>
      <c r="U768" s="54"/>
      <c r="V768" s="54"/>
      <c r="W768" s="54"/>
      <c r="X768" s="54"/>
      <c r="Y768" s="54"/>
      <c r="Z768" s="54"/>
    </row>
    <row r="769" spans="1:26" ht="15.75" customHeight="1">
      <c r="A769" s="54"/>
      <c r="B769" s="54"/>
      <c r="C769" s="54"/>
      <c r="D769" s="119"/>
      <c r="E769" s="54"/>
      <c r="F769" s="54"/>
      <c r="G769" s="54"/>
      <c r="H769" s="54"/>
      <c r="I769" s="54"/>
      <c r="J769" s="54"/>
      <c r="K769" s="54"/>
      <c r="L769" s="54"/>
      <c r="M769" s="54"/>
      <c r="N769" s="54"/>
      <c r="O769" s="54"/>
      <c r="P769" s="54"/>
      <c r="Q769" s="54"/>
      <c r="R769" s="54"/>
      <c r="S769" s="54"/>
      <c r="T769" s="54"/>
      <c r="U769" s="54"/>
      <c r="V769" s="54"/>
      <c r="W769" s="54"/>
      <c r="X769" s="54"/>
      <c r="Y769" s="54"/>
      <c r="Z769" s="54"/>
    </row>
    <row r="770" spans="1:26" ht="15.75" customHeight="1">
      <c r="A770" s="54"/>
      <c r="B770" s="54"/>
      <c r="C770" s="54"/>
      <c r="D770" s="119"/>
      <c r="E770" s="54"/>
      <c r="F770" s="54"/>
      <c r="G770" s="54"/>
      <c r="H770" s="54"/>
      <c r="I770" s="54"/>
      <c r="J770" s="54"/>
      <c r="K770" s="54"/>
      <c r="L770" s="54"/>
      <c r="M770" s="54"/>
      <c r="N770" s="54"/>
      <c r="O770" s="54"/>
      <c r="P770" s="54"/>
      <c r="Q770" s="54"/>
      <c r="R770" s="54"/>
      <c r="S770" s="54"/>
      <c r="T770" s="54"/>
      <c r="U770" s="54"/>
      <c r="V770" s="54"/>
      <c r="W770" s="54"/>
      <c r="X770" s="54"/>
      <c r="Y770" s="54"/>
      <c r="Z770" s="54"/>
    </row>
    <row r="771" spans="1:26" ht="15.75" customHeight="1">
      <c r="A771" s="54"/>
      <c r="B771" s="54"/>
      <c r="C771" s="54"/>
      <c r="D771" s="119"/>
      <c r="E771" s="54"/>
      <c r="F771" s="54"/>
      <c r="G771" s="54"/>
      <c r="H771" s="54"/>
      <c r="I771" s="54"/>
      <c r="J771" s="54"/>
      <c r="K771" s="54"/>
      <c r="L771" s="54"/>
      <c r="M771" s="54"/>
      <c r="N771" s="54"/>
      <c r="O771" s="54"/>
      <c r="P771" s="54"/>
      <c r="Q771" s="54"/>
      <c r="R771" s="54"/>
      <c r="S771" s="54"/>
      <c r="T771" s="54"/>
      <c r="U771" s="54"/>
      <c r="V771" s="54"/>
      <c r="W771" s="54"/>
      <c r="X771" s="54"/>
      <c r="Y771" s="54"/>
      <c r="Z771" s="54"/>
    </row>
    <row r="772" spans="1:26" ht="15.75" customHeight="1">
      <c r="A772" s="54"/>
      <c r="B772" s="54"/>
      <c r="C772" s="54"/>
      <c r="D772" s="119"/>
      <c r="E772" s="54"/>
      <c r="F772" s="54"/>
      <c r="G772" s="54"/>
      <c r="H772" s="54"/>
      <c r="I772" s="54"/>
      <c r="J772" s="54"/>
      <c r="K772" s="54"/>
      <c r="L772" s="54"/>
      <c r="M772" s="54"/>
      <c r="N772" s="54"/>
      <c r="O772" s="54"/>
      <c r="P772" s="54"/>
      <c r="Q772" s="54"/>
      <c r="R772" s="54"/>
      <c r="S772" s="54"/>
      <c r="T772" s="54"/>
      <c r="U772" s="54"/>
      <c r="V772" s="54"/>
      <c r="W772" s="54"/>
      <c r="X772" s="54"/>
      <c r="Y772" s="54"/>
      <c r="Z772" s="54"/>
    </row>
    <row r="773" spans="1:26" ht="15.75" customHeight="1">
      <c r="A773" s="54"/>
      <c r="B773" s="54"/>
      <c r="C773" s="54"/>
      <c r="D773" s="119"/>
      <c r="E773" s="54"/>
      <c r="F773" s="54"/>
      <c r="G773" s="54"/>
      <c r="H773" s="54"/>
      <c r="I773" s="54"/>
      <c r="J773" s="54"/>
      <c r="K773" s="54"/>
      <c r="L773" s="54"/>
      <c r="M773" s="54"/>
      <c r="N773" s="54"/>
      <c r="O773" s="54"/>
      <c r="P773" s="54"/>
      <c r="Q773" s="54"/>
      <c r="R773" s="54"/>
      <c r="S773" s="54"/>
      <c r="T773" s="54"/>
      <c r="U773" s="54"/>
      <c r="V773" s="54"/>
      <c r="W773" s="54"/>
      <c r="X773" s="54"/>
      <c r="Y773" s="54"/>
      <c r="Z773" s="54"/>
    </row>
    <row r="774" spans="1:26" ht="15.75" customHeight="1">
      <c r="A774" s="54"/>
      <c r="B774" s="54"/>
      <c r="C774" s="54"/>
      <c r="D774" s="119"/>
      <c r="E774" s="54"/>
      <c r="F774" s="54"/>
      <c r="G774" s="54"/>
      <c r="H774" s="54"/>
      <c r="I774" s="54"/>
      <c r="J774" s="54"/>
      <c r="K774" s="54"/>
      <c r="L774" s="54"/>
      <c r="M774" s="54"/>
      <c r="N774" s="54"/>
      <c r="O774" s="54"/>
      <c r="P774" s="54"/>
      <c r="Q774" s="54"/>
      <c r="R774" s="54"/>
      <c r="S774" s="54"/>
      <c r="T774" s="54"/>
      <c r="U774" s="54"/>
      <c r="V774" s="54"/>
      <c r="W774" s="54"/>
      <c r="X774" s="54"/>
      <c r="Y774" s="54"/>
      <c r="Z774" s="54"/>
    </row>
    <row r="775" spans="1:26" ht="15.75" customHeight="1">
      <c r="A775" s="54"/>
      <c r="B775" s="54"/>
      <c r="C775" s="54"/>
      <c r="D775" s="119"/>
      <c r="E775" s="54"/>
      <c r="F775" s="54"/>
      <c r="G775" s="54"/>
      <c r="H775" s="54"/>
      <c r="I775" s="54"/>
      <c r="J775" s="54"/>
      <c r="K775" s="54"/>
      <c r="L775" s="54"/>
      <c r="M775" s="54"/>
      <c r="N775" s="54"/>
      <c r="O775" s="54"/>
      <c r="P775" s="54"/>
      <c r="Q775" s="54"/>
      <c r="R775" s="54"/>
      <c r="S775" s="54"/>
      <c r="T775" s="54"/>
      <c r="U775" s="54"/>
      <c r="V775" s="54"/>
      <c r="W775" s="54"/>
      <c r="X775" s="54"/>
      <c r="Y775" s="54"/>
      <c r="Z775" s="54"/>
    </row>
    <row r="776" spans="1:26" ht="15.75" customHeight="1"/>
    <row r="777" spans="1:26" ht="15.75" customHeight="1"/>
    <row r="778" spans="1:26" ht="15.75" customHeight="1"/>
    <row r="779" spans="1:26" ht="15.75" customHeight="1"/>
    <row r="780" spans="1:26" ht="15.75" customHeight="1"/>
    <row r="781" spans="1:26" ht="15.75" customHeight="1"/>
    <row r="782" spans="1:26" ht="15.75" customHeight="1"/>
    <row r="783" spans="1:26" ht="15.75" customHeight="1"/>
    <row r="784" spans="1:26"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sheetData>
  <mergeCells count="247">
    <mergeCell ref="A532:D532"/>
    <mergeCell ref="A535:D535"/>
    <mergeCell ref="A537:D537"/>
    <mergeCell ref="A539:D539"/>
    <mergeCell ref="A568:D568"/>
    <mergeCell ref="A571:C571"/>
    <mergeCell ref="A541:D541"/>
    <mergeCell ref="A543:D543"/>
    <mergeCell ref="A563:D563"/>
    <mergeCell ref="A564:D564"/>
    <mergeCell ref="A565:D565"/>
    <mergeCell ref="A566:D566"/>
    <mergeCell ref="A567:D567"/>
    <mergeCell ref="A493:D493"/>
    <mergeCell ref="A495:D495"/>
    <mergeCell ref="A497:D497"/>
    <mergeCell ref="A499:D499"/>
    <mergeCell ref="A527:D527"/>
    <mergeCell ref="A528:D528"/>
    <mergeCell ref="A529:D529"/>
    <mergeCell ref="A530:D530"/>
    <mergeCell ref="A531:D531"/>
    <mergeCell ref="A465:D465"/>
    <mergeCell ref="A480:B480"/>
    <mergeCell ref="A483:B483"/>
    <mergeCell ref="A485:D485"/>
    <mergeCell ref="A486:D486"/>
    <mergeCell ref="A487:D487"/>
    <mergeCell ref="A488:D488"/>
    <mergeCell ref="A489:D489"/>
    <mergeCell ref="A490:D490"/>
    <mergeCell ref="A455:B455"/>
    <mergeCell ref="A456:B456"/>
    <mergeCell ref="A458:D458"/>
    <mergeCell ref="A459:D459"/>
    <mergeCell ref="A460:D460"/>
    <mergeCell ref="A461:D461"/>
    <mergeCell ref="A462:D462"/>
    <mergeCell ref="A463:D463"/>
    <mergeCell ref="A464:D464"/>
    <mergeCell ref="A439:D439"/>
    <mergeCell ref="A440:D440"/>
    <mergeCell ref="A441:D441"/>
    <mergeCell ref="A443:D443"/>
    <mergeCell ref="A445:D445"/>
    <mergeCell ref="A447:D447"/>
    <mergeCell ref="A449:D449"/>
    <mergeCell ref="A451:D451"/>
    <mergeCell ref="A453:D453"/>
    <mergeCell ref="A427:D427"/>
    <mergeCell ref="A429:D429"/>
    <mergeCell ref="A431:B431"/>
    <mergeCell ref="A432:B432"/>
    <mergeCell ref="A434:D434"/>
    <mergeCell ref="A435:D435"/>
    <mergeCell ref="A436:D436"/>
    <mergeCell ref="A437:D437"/>
    <mergeCell ref="A438:D438"/>
    <mergeCell ref="A376:D376"/>
    <mergeCell ref="A377:D377"/>
    <mergeCell ref="A378:D378"/>
    <mergeCell ref="A379:D379"/>
    <mergeCell ref="A381:D381"/>
    <mergeCell ref="A383:D383"/>
    <mergeCell ref="A385:D385"/>
    <mergeCell ref="A387:D387"/>
    <mergeCell ref="A389:D389"/>
    <mergeCell ref="A226:D226"/>
    <mergeCell ref="A227:D227"/>
    <mergeCell ref="A228:D228"/>
    <mergeCell ref="A230:D230"/>
    <mergeCell ref="A232:D232"/>
    <mergeCell ref="A334:D334"/>
    <mergeCell ref="A335:D335"/>
    <mergeCell ref="A336:D336"/>
    <mergeCell ref="A337:D337"/>
    <mergeCell ref="A199:D199"/>
    <mergeCell ref="A201:D201"/>
    <mergeCell ref="A204:B204"/>
    <mergeCell ref="A210:B210"/>
    <mergeCell ref="A221:D221"/>
    <mergeCell ref="A222:D222"/>
    <mergeCell ref="A223:D223"/>
    <mergeCell ref="A224:D224"/>
    <mergeCell ref="A225:D225"/>
    <mergeCell ref="A185:D185"/>
    <mergeCell ref="A186:D186"/>
    <mergeCell ref="A188:D188"/>
    <mergeCell ref="A190:D190"/>
    <mergeCell ref="A192:D192"/>
    <mergeCell ref="A194:D194"/>
    <mergeCell ref="A196:D196"/>
    <mergeCell ref="A197:D197"/>
    <mergeCell ref="A198:D198"/>
    <mergeCell ref="A152:D152"/>
    <mergeCell ref="A155:B155"/>
    <mergeCell ref="A161:B161"/>
    <mergeCell ref="A179:D179"/>
    <mergeCell ref="A180:D180"/>
    <mergeCell ref="A181:D181"/>
    <mergeCell ref="A182:D182"/>
    <mergeCell ref="A183:D183"/>
    <mergeCell ref="A184:D184"/>
    <mergeCell ref="A137:D137"/>
    <mergeCell ref="A139:D139"/>
    <mergeCell ref="A141:D141"/>
    <mergeCell ref="A143:D143"/>
    <mergeCell ref="A145:D145"/>
    <mergeCell ref="A147:D147"/>
    <mergeCell ref="A148:D148"/>
    <mergeCell ref="A149:D149"/>
    <mergeCell ref="A150:D150"/>
    <mergeCell ref="A105:B105"/>
    <mergeCell ref="A113:B113"/>
    <mergeCell ref="A130:D130"/>
    <mergeCell ref="A131:D131"/>
    <mergeCell ref="A132:D132"/>
    <mergeCell ref="A133:D133"/>
    <mergeCell ref="A134:D134"/>
    <mergeCell ref="A135:D135"/>
    <mergeCell ref="A136:D136"/>
    <mergeCell ref="A89:D89"/>
    <mergeCell ref="A91:D91"/>
    <mergeCell ref="A93:D93"/>
    <mergeCell ref="A95:D95"/>
    <mergeCell ref="A97:D97"/>
    <mergeCell ref="A98:D98"/>
    <mergeCell ref="A99:D99"/>
    <mergeCell ref="A100:D100"/>
    <mergeCell ref="A102:D102"/>
    <mergeCell ref="A69:B69"/>
    <mergeCell ref="A80:D80"/>
    <mergeCell ref="A81:D81"/>
    <mergeCell ref="A82:D82"/>
    <mergeCell ref="A83:D83"/>
    <mergeCell ref="A84:D84"/>
    <mergeCell ref="A85:D85"/>
    <mergeCell ref="A86:D86"/>
    <mergeCell ref="A87:D87"/>
    <mergeCell ref="A46:D46"/>
    <mergeCell ref="A47:D47"/>
    <mergeCell ref="A49:D49"/>
    <mergeCell ref="A51:D51"/>
    <mergeCell ref="A53:D53"/>
    <mergeCell ref="A55:D55"/>
    <mergeCell ref="A57:D57"/>
    <mergeCell ref="A59:D59"/>
    <mergeCell ref="A62:B62"/>
    <mergeCell ref="A475:D475"/>
    <mergeCell ref="A477:D477"/>
    <mergeCell ref="A479:B479"/>
    <mergeCell ref="A1:D1"/>
    <mergeCell ref="A2:D2"/>
    <mergeCell ref="A3:D3"/>
    <mergeCell ref="A4:D4"/>
    <mergeCell ref="A5:D5"/>
    <mergeCell ref="A6:D6"/>
    <mergeCell ref="A7:D7"/>
    <mergeCell ref="A8:D8"/>
    <mergeCell ref="A10:D10"/>
    <mergeCell ref="A12:D12"/>
    <mergeCell ref="A14:D14"/>
    <mergeCell ref="A16:D16"/>
    <mergeCell ref="A18:D18"/>
    <mergeCell ref="A20:D20"/>
    <mergeCell ref="A23:B23"/>
    <mergeCell ref="A40:D40"/>
    <mergeCell ref="A41:D41"/>
    <mergeCell ref="A42:D42"/>
    <mergeCell ref="A43:D43"/>
    <mergeCell ref="A44:D44"/>
    <mergeCell ref="A45:D45"/>
    <mergeCell ref="A311:D311"/>
    <mergeCell ref="A313:D313"/>
    <mergeCell ref="A316:B316"/>
    <mergeCell ref="A322:B322"/>
    <mergeCell ref="A333:D333"/>
    <mergeCell ref="A467:D467"/>
    <mergeCell ref="A469:D469"/>
    <mergeCell ref="A471:D471"/>
    <mergeCell ref="A473:D473"/>
    <mergeCell ref="A338:D338"/>
    <mergeCell ref="A339:D339"/>
    <mergeCell ref="A340:D340"/>
    <mergeCell ref="A342:D342"/>
    <mergeCell ref="A344:D344"/>
    <mergeCell ref="A346:D346"/>
    <mergeCell ref="A348:D348"/>
    <mergeCell ref="A350:D350"/>
    <mergeCell ref="A352:D352"/>
    <mergeCell ref="A355:B355"/>
    <mergeCell ref="A361:B361"/>
    <mergeCell ref="A372:D372"/>
    <mergeCell ref="A373:D373"/>
    <mergeCell ref="A374:D374"/>
    <mergeCell ref="A375:D375"/>
    <mergeCell ref="A297:D297"/>
    <mergeCell ref="A298:D298"/>
    <mergeCell ref="A299:D299"/>
    <mergeCell ref="A300:D300"/>
    <mergeCell ref="A301:D301"/>
    <mergeCell ref="A303:D303"/>
    <mergeCell ref="A305:D305"/>
    <mergeCell ref="A307:D307"/>
    <mergeCell ref="A309:D309"/>
    <mergeCell ref="A287:B287"/>
    <mergeCell ref="A288:B288"/>
    <mergeCell ref="A289:B289"/>
    <mergeCell ref="A290:B290"/>
    <mergeCell ref="A291:B291"/>
    <mergeCell ref="A292:B292"/>
    <mergeCell ref="A294:D294"/>
    <mergeCell ref="A295:D295"/>
    <mergeCell ref="A296:D296"/>
    <mergeCell ref="A417:D417"/>
    <mergeCell ref="A419:D419"/>
    <mergeCell ref="A421:D421"/>
    <mergeCell ref="A423:D423"/>
    <mergeCell ref="A425:D425"/>
    <mergeCell ref="A234:D234"/>
    <mergeCell ref="A236:D236"/>
    <mergeCell ref="A238:D238"/>
    <mergeCell ref="A243:B243"/>
    <mergeCell ref="A248:B248"/>
    <mergeCell ref="A259:D259"/>
    <mergeCell ref="A260:D260"/>
    <mergeCell ref="A261:D261"/>
    <mergeCell ref="A262:D262"/>
    <mergeCell ref="A263:D263"/>
    <mergeCell ref="A264:D264"/>
    <mergeCell ref="A265:D265"/>
    <mergeCell ref="A266:D266"/>
    <mergeCell ref="A268:D268"/>
    <mergeCell ref="A270:D270"/>
    <mergeCell ref="A272:D272"/>
    <mergeCell ref="A274:D274"/>
    <mergeCell ref="A276:D276"/>
    <mergeCell ref="A278:D278"/>
    <mergeCell ref="A391:D391"/>
    <mergeCell ref="A393:B393"/>
    <mergeCell ref="A410:D410"/>
    <mergeCell ref="A411:D411"/>
    <mergeCell ref="A412:D412"/>
    <mergeCell ref="A413:D413"/>
    <mergeCell ref="A414:D414"/>
    <mergeCell ref="A415:D415"/>
    <mergeCell ref="A416:D416"/>
  </mergeCells>
  <pageMargins left="0.7" right="0.7" top="0.75" bottom="0.75" header="0" footer="0"/>
  <pageSetup fitToHeight="0"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T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2.85546875" customWidth="1"/>
    <col min="4" max="4" width="11.42578125" customWidth="1"/>
    <col min="5" max="5" width="3.140625" customWidth="1"/>
    <col min="6" max="6" width="11.140625" customWidth="1"/>
    <col min="7" max="7" width="11" customWidth="1"/>
    <col min="8" max="8" width="13" customWidth="1"/>
    <col min="9" max="9" width="0.85546875" customWidth="1"/>
    <col min="10" max="10" width="10.42578125" customWidth="1"/>
    <col min="11" max="11" width="11" customWidth="1"/>
    <col min="12" max="12" width="13" customWidth="1"/>
    <col min="13" max="13" width="0.7109375" customWidth="1"/>
    <col min="14" max="14" width="12.28515625" customWidth="1"/>
    <col min="15" max="15" width="10" customWidth="1"/>
    <col min="16" max="16" width="0.42578125" customWidth="1"/>
    <col min="17" max="17" width="10.42578125" customWidth="1"/>
    <col min="18" max="18" width="11" customWidth="1"/>
    <col min="19" max="19" width="13" customWidth="1"/>
    <col min="20" max="20" width="0.42578125" customWidth="1"/>
    <col min="21" max="21" width="12.28515625" customWidth="1"/>
    <col min="22" max="22" width="10" customWidth="1"/>
    <col min="23" max="23" width="1" customWidth="1"/>
    <col min="24" max="24" width="10.42578125" customWidth="1"/>
    <col min="25" max="25" width="11" customWidth="1"/>
    <col min="26" max="26" width="13" customWidth="1"/>
    <col min="27" max="27" width="0.42578125" customWidth="1"/>
    <col min="28" max="28" width="11.28515625" customWidth="1"/>
    <col min="29" max="29" width="10" customWidth="1"/>
    <col min="30" max="30" width="2.140625" customWidth="1"/>
    <col min="31" max="31" width="10.42578125" customWidth="1"/>
    <col min="32" max="32" width="11" customWidth="1"/>
    <col min="33" max="33" width="13" customWidth="1"/>
    <col min="34" max="34" width="0.42578125" customWidth="1"/>
    <col min="35" max="35" width="11" customWidth="1"/>
    <col min="36" max="36" width="10" customWidth="1"/>
    <col min="37" max="37" width="0.7109375" customWidth="1"/>
    <col min="38" max="38" width="10.42578125" customWidth="1"/>
    <col min="39" max="39" width="11" customWidth="1"/>
    <col min="40" max="40" width="13" customWidth="1"/>
    <col min="41" max="41" width="1.28515625" customWidth="1"/>
    <col min="42" max="42" width="11.28515625" customWidth="1"/>
    <col min="43" max="43" width="10" customWidth="1"/>
    <col min="44" max="44" width="1.28515625" customWidth="1"/>
    <col min="45" max="46" width="12.42578125" customWidth="1"/>
  </cols>
  <sheetData>
    <row r="1" spans="1:46" ht="12" customHeight="1">
      <c r="A1" s="53"/>
      <c r="B1" s="53"/>
      <c r="C1" s="571"/>
      <c r="D1" s="53"/>
      <c r="E1" s="53"/>
      <c r="F1" s="53"/>
      <c r="G1" s="53"/>
      <c r="H1" s="53"/>
      <c r="I1" s="53"/>
      <c r="J1" s="53"/>
      <c r="K1" s="53"/>
      <c r="Q1" s="53"/>
      <c r="R1" s="53"/>
      <c r="S1" s="628" t="s">
        <v>319</v>
      </c>
      <c r="T1" s="629"/>
      <c r="U1" s="629"/>
      <c r="V1" s="629"/>
      <c r="W1" s="629"/>
      <c r="X1" s="629"/>
      <c r="Y1" s="630"/>
      <c r="Z1" s="53"/>
      <c r="AA1" s="53"/>
      <c r="AB1" s="53"/>
      <c r="AC1" s="53"/>
      <c r="AD1" s="53"/>
      <c r="AE1" s="53"/>
      <c r="AF1" s="53"/>
      <c r="AG1" s="53"/>
      <c r="AH1" s="53"/>
      <c r="AI1" s="53"/>
      <c r="AJ1" s="53"/>
      <c r="AK1" s="53"/>
      <c r="AL1" s="53"/>
      <c r="AM1" s="53"/>
      <c r="AN1" s="53"/>
      <c r="AO1" s="53"/>
      <c r="AP1" s="53"/>
      <c r="AQ1" s="53"/>
      <c r="AR1" s="53"/>
    </row>
    <row r="2" spans="1:46" ht="12" customHeight="1">
      <c r="A2" s="53"/>
      <c r="B2" s="53"/>
      <c r="C2" s="572"/>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6" ht="12" customHeight="1">
      <c r="A3" s="53"/>
      <c r="B3" s="53"/>
      <c r="C3" s="572"/>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6" ht="12" customHeight="1">
      <c r="A4" s="53"/>
      <c r="B4" s="53"/>
      <c r="C4" s="571"/>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6" ht="12" customHeight="1">
      <c r="A5" s="53"/>
      <c r="B5" s="53"/>
      <c r="C5" s="571"/>
      <c r="D5" s="53"/>
      <c r="E5" s="53"/>
      <c r="F5" s="53"/>
      <c r="G5" s="53"/>
      <c r="H5" s="53"/>
      <c r="I5" s="53"/>
      <c r="J5" s="53"/>
      <c r="K5" s="53"/>
      <c r="L5" s="3"/>
      <c r="M5" s="3"/>
      <c r="N5" s="3"/>
      <c r="O5" s="3"/>
      <c r="P5" s="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3"/>
      <c r="AT5" s="3"/>
    </row>
    <row r="6" spans="1:46" ht="12" customHeight="1">
      <c r="A6" s="53"/>
      <c r="B6" s="327" t="s">
        <v>323</v>
      </c>
      <c r="C6" s="571"/>
      <c r="D6" s="375" t="s">
        <v>252</v>
      </c>
      <c r="E6" s="375"/>
      <c r="F6" s="376"/>
      <c r="G6" s="376"/>
      <c r="H6" s="376"/>
      <c r="I6" s="376"/>
      <c r="J6" s="376"/>
      <c r="K6" s="376"/>
      <c r="L6" s="376"/>
      <c r="M6" s="376"/>
      <c r="N6" s="376"/>
      <c r="O6" s="376"/>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row>
    <row r="7" spans="1:46" ht="16.5" customHeight="1">
      <c r="A7" s="53"/>
      <c r="B7" s="377"/>
      <c r="C7" s="571"/>
      <c r="D7" s="378"/>
      <c r="E7" s="378"/>
      <c r="F7" s="378"/>
      <c r="G7" s="378"/>
      <c r="H7" s="378"/>
      <c r="I7" s="378"/>
      <c r="J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row>
    <row r="8" spans="1:46" ht="17.25" customHeight="1">
      <c r="A8" s="53"/>
      <c r="B8" s="327" t="s">
        <v>324</v>
      </c>
      <c r="C8" s="571"/>
      <c r="D8" s="379" t="s">
        <v>325</v>
      </c>
      <c r="E8" s="378"/>
      <c r="F8" s="378"/>
      <c r="G8" s="378"/>
      <c r="H8" s="378"/>
      <c r="I8" s="378"/>
      <c r="J8" s="378"/>
      <c r="K8" s="378"/>
      <c r="L8" s="570">
        <v>63264</v>
      </c>
      <c r="M8" s="566" t="s">
        <v>453</v>
      </c>
      <c r="N8" s="378" t="s">
        <v>449</v>
      </c>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6" ht="12" customHeight="1">
      <c r="A9" s="53"/>
      <c r="B9" s="377"/>
      <c r="C9" s="571"/>
      <c r="D9" s="314" t="s">
        <v>326</v>
      </c>
      <c r="E9" s="314"/>
      <c r="F9" s="380">
        <v>1745419</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6" ht="12" customHeight="1">
      <c r="A10" s="53"/>
      <c r="B10" s="53"/>
      <c r="C10" s="571"/>
      <c r="D10" s="53"/>
      <c r="E10" s="53"/>
      <c r="F10" s="380">
        <v>4909.7700000000004</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6" ht="12" customHeight="1">
      <c r="A11" s="53"/>
      <c r="B11" s="53"/>
      <c r="C11" s="571"/>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6" ht="12" customHeight="1">
      <c r="A12" s="53"/>
      <c r="B12" s="53"/>
      <c r="C12" s="571"/>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6" ht="12" customHeight="1">
      <c r="A13" s="53"/>
      <c r="B13" s="53"/>
      <c r="C13" s="571"/>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6" ht="12" customHeight="1">
      <c r="A14" s="53"/>
      <c r="B14" s="53"/>
      <c r="C14" s="571"/>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6" ht="12" customHeight="1">
      <c r="A15" s="53"/>
      <c r="B15" s="328" t="s">
        <v>246</v>
      </c>
      <c r="C15" s="573" t="str">
        <f t="shared" ref="C15:C26" si="0">D$6&amp;"."&amp;B15</f>
        <v>Street Light.Monthly Service Charge</v>
      </c>
      <c r="D15" s="390" t="s">
        <v>335</v>
      </c>
      <c r="E15" s="328"/>
      <c r="F15" s="391">
        <f>IFERROR(VLOOKUP($C15,'Proposed Rates'!$B:$J,F$11,FALSE),0)</f>
        <v>1.1200000000000001</v>
      </c>
      <c r="G15" s="409">
        <f>$L$8</f>
        <v>63264</v>
      </c>
      <c r="H15" s="394">
        <f t="shared" ref="H15:H28" si="1">G15*F15</f>
        <v>70855.680000000008</v>
      </c>
      <c r="I15" s="138"/>
      <c r="J15" s="391">
        <f>IFERROR(VLOOKUP($C15,'Proposed Rates'!$B:$J,J$11,FALSE),0)</f>
        <v>1.19</v>
      </c>
      <c r="K15" s="409">
        <f>$L$8</f>
        <v>63264</v>
      </c>
      <c r="L15" s="394">
        <f t="shared" ref="L15:L28" si="2">K15*J15</f>
        <v>75284.160000000003</v>
      </c>
      <c r="M15" s="138"/>
      <c r="N15" s="395">
        <f t="shared" ref="N15:N46" si="3">L15-H15</f>
        <v>4428.4799999999959</v>
      </c>
      <c r="O15" s="396">
        <f t="shared" ref="O15:O46" si="4">IF((H15)=0,"",(N15/H15))</f>
        <v>6.2499999999999938E-2</v>
      </c>
      <c r="P15" s="53"/>
      <c r="Q15" s="391">
        <f>IFERROR(VLOOKUP($C15,'Proposed Rates'!$B:$J,Q$11,FALSE),0)</f>
        <v>1.1599999999999999</v>
      </c>
      <c r="R15" s="409">
        <f>$L$8</f>
        <v>63264</v>
      </c>
      <c r="S15" s="394">
        <f t="shared" ref="S15:S28" si="5">R15*Q15</f>
        <v>73386.239999999991</v>
      </c>
      <c r="T15" s="138"/>
      <c r="U15" s="395">
        <f t="shared" ref="U15:U46" si="6">S15-L15</f>
        <v>-1897.9200000000128</v>
      </c>
      <c r="V15" s="396">
        <f t="shared" ref="V15:V46" si="7">IF((L15)=0,"",(U15/L15))</f>
        <v>-2.5210084033613616E-2</v>
      </c>
      <c r="W15" s="53"/>
      <c r="X15" s="391">
        <f>IFERROR(VLOOKUP($C15,'Proposed Rates'!$B:$J,X$11,FALSE),0)</f>
        <v>1.21</v>
      </c>
      <c r="Y15" s="409">
        <f>$L$8</f>
        <v>63264</v>
      </c>
      <c r="Z15" s="394">
        <f t="shared" ref="Z15:Z28" si="8">Y15*X15</f>
        <v>76549.440000000002</v>
      </c>
      <c r="AA15" s="138"/>
      <c r="AB15" s="395">
        <f t="shared" ref="AB15:AB46" si="9">Z15-S15</f>
        <v>3163.2000000000116</v>
      </c>
      <c r="AC15" s="396">
        <f t="shared" ref="AC15:AC46" si="10">IF((S15)=0,"",(AB15/S15))</f>
        <v>4.3103448275862231E-2</v>
      </c>
      <c r="AD15" s="53"/>
      <c r="AE15" s="391">
        <f>IFERROR(VLOOKUP($C15,'Proposed Rates'!$B:$J,AE$11,FALSE),0)</f>
        <v>1.2</v>
      </c>
      <c r="AF15" s="409">
        <f>$L$8</f>
        <v>63264</v>
      </c>
      <c r="AG15" s="394">
        <f t="shared" ref="AG15:AG28" si="11">AF15*AE15</f>
        <v>75916.800000000003</v>
      </c>
      <c r="AH15" s="138"/>
      <c r="AI15" s="395">
        <f t="shared" ref="AI15:AI46" si="12">AG15-Z15</f>
        <v>-632.63999999999942</v>
      </c>
      <c r="AJ15" s="396">
        <f t="shared" ref="AJ15:AJ46" si="13">IF((Z15)=0,"",(AI15/Z15))</f>
        <v>-8.2644628099173469E-3</v>
      </c>
      <c r="AK15" s="53"/>
      <c r="AL15" s="391">
        <f>IFERROR(VLOOKUP($C15,'Proposed Rates'!$B:$J,AL$11,FALSE),0)</f>
        <v>1.21</v>
      </c>
      <c r="AM15" s="409">
        <f>$L$8</f>
        <v>63264</v>
      </c>
      <c r="AN15" s="394">
        <f t="shared" ref="AN15:AN28" si="14">AM15*AL15</f>
        <v>76549.440000000002</v>
      </c>
      <c r="AO15" s="138"/>
      <c r="AP15" s="395">
        <f t="shared" ref="AP15:AP46" si="15">AN15-AG15</f>
        <v>632.63999999999942</v>
      </c>
      <c r="AQ15" s="396">
        <f t="shared" ref="AQ15:AQ46" si="16">IF((AG15)=0,"",(AP15/AG15))</f>
        <v>8.3333333333333245E-3</v>
      </c>
      <c r="AR15" s="397"/>
    </row>
    <row r="16" spans="1:46" ht="12" customHeight="1">
      <c r="A16" s="53"/>
      <c r="B16" s="328" t="s">
        <v>336</v>
      </c>
      <c r="C16" s="573" t="str">
        <f t="shared" si="0"/>
        <v>Street Light.Smart Meter Rate Adder</v>
      </c>
      <c r="D16" s="390" t="s">
        <v>335</v>
      </c>
      <c r="E16" s="328"/>
      <c r="F16" s="391">
        <f>IFERROR(VLOOKUP($C16,'Proposed Rates'!$B:$J,F$11,FALSE),0)</f>
        <v>0</v>
      </c>
      <c r="G16" s="409">
        <f t="shared" ref="G16:G17" si="17">IF($D16="Monthly",1,IF($D16="per KW",$F$10,IF($D16="per kWh",$F$9,0)))</f>
        <v>1</v>
      </c>
      <c r="H16" s="394">
        <f t="shared" si="1"/>
        <v>0</v>
      </c>
      <c r="I16" s="138"/>
      <c r="J16" s="391">
        <f>IFERROR(VLOOKUP($C16,'Proposed Rates'!$B:$J,J$11,FALSE),0)</f>
        <v>0</v>
      </c>
      <c r="K16" s="409">
        <f t="shared" ref="K16:K17" si="18">IF($D16="Monthly",1,IF($D16="per KW",$F$10,IF($D16="per kWh",$F$9,0)))</f>
        <v>1</v>
      </c>
      <c r="L16" s="394">
        <f t="shared" si="2"/>
        <v>0</v>
      </c>
      <c r="M16" s="138"/>
      <c r="N16" s="395">
        <f t="shared" si="3"/>
        <v>0</v>
      </c>
      <c r="O16" s="396" t="str">
        <f t="shared" si="4"/>
        <v/>
      </c>
      <c r="P16" s="53"/>
      <c r="Q16" s="391">
        <f>IFERROR(VLOOKUP($C16,'Proposed Rates'!$B:$J,Q$11,FALSE),0)</f>
        <v>0</v>
      </c>
      <c r="R16" s="409">
        <f t="shared" ref="R16:R17" si="19">IF($D16="Monthly",1,IF($D16="per KW",$F$10,IF($D16="per kWh",$F$9,0)))</f>
        <v>1</v>
      </c>
      <c r="S16" s="394">
        <f t="shared" si="5"/>
        <v>0</v>
      </c>
      <c r="T16" s="138"/>
      <c r="U16" s="395">
        <f t="shared" si="6"/>
        <v>0</v>
      </c>
      <c r="V16" s="396" t="str">
        <f t="shared" si="7"/>
        <v/>
      </c>
      <c r="W16" s="53"/>
      <c r="X16" s="391">
        <f>IFERROR(VLOOKUP($C16,'Proposed Rates'!$B:$J,X$11,FALSE),0)</f>
        <v>0</v>
      </c>
      <c r="Y16" s="409">
        <f t="shared" ref="Y16:Y17" si="20">IF($D16="Monthly",1,IF($D16="per KW",$F$10,IF($D16="per kWh",$F$9,0)))</f>
        <v>1</v>
      </c>
      <c r="Z16" s="394">
        <f t="shared" si="8"/>
        <v>0</v>
      </c>
      <c r="AA16" s="138"/>
      <c r="AB16" s="395">
        <f t="shared" si="9"/>
        <v>0</v>
      </c>
      <c r="AC16" s="396" t="str">
        <f t="shared" si="10"/>
        <v/>
      </c>
      <c r="AD16" s="53"/>
      <c r="AE16" s="391">
        <f>IFERROR(VLOOKUP($C16,'Proposed Rates'!$B:$J,AE$11,FALSE),0)</f>
        <v>0</v>
      </c>
      <c r="AF16" s="409">
        <f t="shared" ref="AF16:AF17" si="21">IF($D16="Monthly",1,IF($D16="per KW",$F$10,IF($D16="per kWh",$F$9,0)))</f>
        <v>1</v>
      </c>
      <c r="AG16" s="394">
        <f t="shared" si="11"/>
        <v>0</v>
      </c>
      <c r="AH16" s="138"/>
      <c r="AI16" s="395">
        <f t="shared" si="12"/>
        <v>0</v>
      </c>
      <c r="AJ16" s="396" t="str">
        <f t="shared" si="13"/>
        <v/>
      </c>
      <c r="AK16" s="53"/>
      <c r="AL16" s="391">
        <f>IFERROR(VLOOKUP($C16,'Proposed Rates'!$B:$J,AL$11,FALSE),0)</f>
        <v>0</v>
      </c>
      <c r="AM16" s="409">
        <f t="shared" ref="AM16:AM17" si="22">IF($D16="Monthly",1,IF($D16="per KW",$F$10,IF($D16="per kWh",$F$9,0)))</f>
        <v>1</v>
      </c>
      <c r="AN16" s="394">
        <f t="shared" si="14"/>
        <v>0</v>
      </c>
      <c r="AO16" s="138"/>
      <c r="AP16" s="395">
        <f t="shared" si="15"/>
        <v>0</v>
      </c>
      <c r="AQ16" s="396" t="str">
        <f t="shared" si="16"/>
        <v/>
      </c>
      <c r="AR16" s="397"/>
    </row>
    <row r="17" spans="1:44" ht="12" customHeight="1">
      <c r="A17" s="53"/>
      <c r="B17" s="398" t="str">
        <f>'Proposed Rates'!C115</f>
        <v>Rate Rider Calculation for Forgone Revenue - variable</v>
      </c>
      <c r="C17" s="573" t="str">
        <f t="shared" si="0"/>
        <v>Street Light.Rate Rider Calculation for Forgone Revenue - variable</v>
      </c>
      <c r="D17" s="390" t="s">
        <v>406</v>
      </c>
      <c r="E17" s="328"/>
      <c r="F17" s="391">
        <f>IFERROR(VLOOKUP($C17,'Proposed Rates'!$B:$J,F$11,FALSE),0)</f>
        <v>0</v>
      </c>
      <c r="G17" s="409">
        <f t="shared" si="17"/>
        <v>4909.7700000000004</v>
      </c>
      <c r="H17" s="394">
        <f t="shared" si="1"/>
        <v>0</v>
      </c>
      <c r="I17" s="138"/>
      <c r="J17" s="391">
        <f>IFERROR(VLOOKUP($C17,'Proposed Rates'!$B:$J,J$11,FALSE),0)</f>
        <v>0.20150000000000001</v>
      </c>
      <c r="K17" s="409">
        <f t="shared" si="18"/>
        <v>4909.7700000000004</v>
      </c>
      <c r="L17" s="394">
        <f t="shared" si="2"/>
        <v>989.31865500000015</v>
      </c>
      <c r="M17" s="138"/>
      <c r="N17" s="395">
        <f t="shared" si="3"/>
        <v>989.31865500000015</v>
      </c>
      <c r="O17" s="396" t="str">
        <f t="shared" si="4"/>
        <v/>
      </c>
      <c r="P17" s="53"/>
      <c r="Q17" s="408">
        <f>IFERROR(VLOOKUP($C17,'Proposed Rates'!$B:$J,Q$11,FALSE),0)</f>
        <v>0.20150000000000001</v>
      </c>
      <c r="R17" s="409">
        <f t="shared" si="19"/>
        <v>4909.7700000000004</v>
      </c>
      <c r="S17" s="394">
        <f t="shared" si="5"/>
        <v>989.31865500000015</v>
      </c>
      <c r="T17" s="138"/>
      <c r="U17" s="395">
        <f t="shared" si="6"/>
        <v>0</v>
      </c>
      <c r="V17" s="396">
        <f t="shared" si="7"/>
        <v>0</v>
      </c>
      <c r="W17" s="53"/>
      <c r="X17" s="391">
        <f>IFERROR(VLOOKUP($C17,'Proposed Rates'!$B:$J,X$11,FALSE),0)</f>
        <v>0</v>
      </c>
      <c r="Y17" s="409">
        <f t="shared" si="20"/>
        <v>4909.7700000000004</v>
      </c>
      <c r="Z17" s="394">
        <f t="shared" si="8"/>
        <v>0</v>
      </c>
      <c r="AA17" s="138"/>
      <c r="AB17" s="395">
        <f t="shared" si="9"/>
        <v>-989.31865500000015</v>
      </c>
      <c r="AC17" s="396">
        <f t="shared" si="10"/>
        <v>-1</v>
      </c>
      <c r="AD17" s="53"/>
      <c r="AE17" s="391">
        <f>IFERROR(VLOOKUP($C17,'Proposed Rates'!$B:$J,AE$11,FALSE),0)</f>
        <v>0</v>
      </c>
      <c r="AF17" s="409">
        <f t="shared" si="21"/>
        <v>4909.7700000000004</v>
      </c>
      <c r="AG17" s="394">
        <f t="shared" si="11"/>
        <v>0</v>
      </c>
      <c r="AH17" s="138"/>
      <c r="AI17" s="395">
        <f t="shared" si="12"/>
        <v>0</v>
      </c>
      <c r="AJ17" s="396" t="str">
        <f t="shared" si="13"/>
        <v/>
      </c>
      <c r="AK17" s="53"/>
      <c r="AL17" s="391">
        <f>IFERROR(VLOOKUP($C17,'Proposed Rates'!$B:$J,AL$11,FALSE),0)</f>
        <v>0</v>
      </c>
      <c r="AM17" s="409">
        <f t="shared" si="22"/>
        <v>4909.7700000000004</v>
      </c>
      <c r="AN17" s="394">
        <f t="shared" si="14"/>
        <v>0</v>
      </c>
      <c r="AO17" s="138"/>
      <c r="AP17" s="395">
        <f t="shared" si="15"/>
        <v>0</v>
      </c>
      <c r="AQ17" s="396" t="str">
        <f t="shared" si="16"/>
        <v/>
      </c>
      <c r="AR17" s="397"/>
    </row>
    <row r="18" spans="1:44" ht="12" customHeight="1">
      <c r="A18" s="53"/>
      <c r="B18" s="398" t="str">
        <f>'Proposed Rates'!C128</f>
        <v>Rate Rider Calculation for Forgone Revenue - fixed</v>
      </c>
      <c r="C18" s="573" t="str">
        <f t="shared" si="0"/>
        <v>Street Light.Rate Rider Calculation for Forgone Revenue - fixed</v>
      </c>
      <c r="D18" s="390" t="s">
        <v>335</v>
      </c>
      <c r="E18" s="328"/>
      <c r="F18" s="391">
        <f>IFERROR(VLOOKUP($C18,'Proposed Rates'!$B:$J,F$11,FALSE),0)</f>
        <v>0</v>
      </c>
      <c r="G18" s="409">
        <f>$L$8</f>
        <v>63264</v>
      </c>
      <c r="H18" s="394">
        <f t="shared" si="1"/>
        <v>0</v>
      </c>
      <c r="I18" s="138"/>
      <c r="J18" s="391">
        <f>IFERROR(VLOOKUP($C18,'Proposed Rates'!$B:$J,J$11,FALSE),0)</f>
        <v>0.03</v>
      </c>
      <c r="K18" s="409">
        <f>$L$8</f>
        <v>63264</v>
      </c>
      <c r="L18" s="394">
        <f t="shared" si="2"/>
        <v>1897.9199999999998</v>
      </c>
      <c r="M18" s="138"/>
      <c r="N18" s="395">
        <f t="shared" si="3"/>
        <v>1897.9199999999998</v>
      </c>
      <c r="O18" s="396" t="str">
        <f t="shared" si="4"/>
        <v/>
      </c>
      <c r="P18" s="53"/>
      <c r="Q18" s="391">
        <f>IFERROR(VLOOKUP($C18,'Proposed Rates'!$B:$J,Q$11,FALSE),0)</f>
        <v>0.03</v>
      </c>
      <c r="R18" s="409">
        <f>$L$8</f>
        <v>63264</v>
      </c>
      <c r="S18" s="394">
        <f t="shared" si="5"/>
        <v>1897.9199999999998</v>
      </c>
      <c r="T18" s="138"/>
      <c r="U18" s="395">
        <f t="shared" si="6"/>
        <v>0</v>
      </c>
      <c r="V18" s="396">
        <f t="shared" si="7"/>
        <v>0</v>
      </c>
      <c r="W18" s="53"/>
      <c r="X18" s="391">
        <f>IFERROR(VLOOKUP($C18,'Proposed Rates'!$B:$J,X$11,FALSE),0)</f>
        <v>0</v>
      </c>
      <c r="Y18" s="409">
        <f>$L$8</f>
        <v>63264</v>
      </c>
      <c r="Z18" s="394">
        <f t="shared" si="8"/>
        <v>0</v>
      </c>
      <c r="AA18" s="138"/>
      <c r="AB18" s="395">
        <f t="shared" si="9"/>
        <v>-1897.9199999999998</v>
      </c>
      <c r="AC18" s="396">
        <f t="shared" si="10"/>
        <v>-1</v>
      </c>
      <c r="AD18" s="53"/>
      <c r="AE18" s="391">
        <f>IFERROR(VLOOKUP($C18,'Proposed Rates'!$B:$J,AE$11,FALSE),0)</f>
        <v>0</v>
      </c>
      <c r="AF18" s="409">
        <f>$L$8</f>
        <v>63264</v>
      </c>
      <c r="AG18" s="394">
        <f t="shared" si="11"/>
        <v>0</v>
      </c>
      <c r="AH18" s="138"/>
      <c r="AI18" s="395">
        <f t="shared" si="12"/>
        <v>0</v>
      </c>
      <c r="AJ18" s="396" t="str">
        <f t="shared" si="13"/>
        <v/>
      </c>
      <c r="AK18" s="53"/>
      <c r="AL18" s="391">
        <f>IFERROR(VLOOKUP($C18,'Proposed Rates'!$B:$J,AL$11,FALSE),0)</f>
        <v>0</v>
      </c>
      <c r="AM18" s="409">
        <f>$L$8</f>
        <v>63264</v>
      </c>
      <c r="AN18" s="394">
        <f t="shared" si="14"/>
        <v>0</v>
      </c>
      <c r="AO18" s="138"/>
      <c r="AP18" s="395">
        <f t="shared" si="15"/>
        <v>0</v>
      </c>
      <c r="AQ18" s="396" t="str">
        <f t="shared" si="16"/>
        <v/>
      </c>
      <c r="AR18" s="397"/>
    </row>
    <row r="19" spans="1:44" ht="12" customHeight="1">
      <c r="A19" s="53"/>
      <c r="B19" s="328" t="s">
        <v>62</v>
      </c>
      <c r="C19" s="573" t="str">
        <f t="shared" si="0"/>
        <v>Street Light.Distribution Volumetric Rate</v>
      </c>
      <c r="D19" s="390" t="s">
        <v>406</v>
      </c>
      <c r="E19" s="328"/>
      <c r="F19" s="408">
        <f>IFERROR(VLOOKUP($C19,'Proposed Rates'!$B:$J,F$11,FALSE),0)</f>
        <v>7.8163999999999998</v>
      </c>
      <c r="G19" s="409">
        <f t="shared" ref="G19:G28" si="23">IF($D19="Monthly",1,IF($D19="per KW",$F$10,IF($D19="per kWh",$F$9,0)))</f>
        <v>4909.7700000000004</v>
      </c>
      <c r="H19" s="394">
        <f t="shared" si="1"/>
        <v>38376.726228</v>
      </c>
      <c r="I19" s="138"/>
      <c r="J19" s="408">
        <f>IFERROR(VLOOKUP($C19,'Proposed Rates'!$B:$J,J$11,FALSE),0)</f>
        <v>8.3054000000000006</v>
      </c>
      <c r="K19" s="409">
        <f t="shared" ref="K19:K28" si="24">IF($D19="Monthly",1,IF($D19="per KW",$F$10,IF($D19="per kWh",$F$9,0)))</f>
        <v>4909.7700000000004</v>
      </c>
      <c r="L19" s="394">
        <f t="shared" si="2"/>
        <v>40777.603758000005</v>
      </c>
      <c r="M19" s="138"/>
      <c r="N19" s="395">
        <f t="shared" si="3"/>
        <v>2400.8775300000052</v>
      </c>
      <c r="O19" s="396">
        <f t="shared" si="4"/>
        <v>6.2560769663783974E-2</v>
      </c>
      <c r="P19" s="53"/>
      <c r="Q19" s="408">
        <f>IFERROR(VLOOKUP($C19,'Proposed Rates'!$B:$J,Q$11,FALSE),0)</f>
        <v>8.0134000000000007</v>
      </c>
      <c r="R19" s="409">
        <f t="shared" ref="R19:R28" si="25">IF($D19="Monthly",1,IF($D19="per KW",$F$10,IF($D19="per kWh",$F$9,0)))</f>
        <v>4909.7700000000004</v>
      </c>
      <c r="S19" s="394">
        <f t="shared" si="5"/>
        <v>39343.95091800001</v>
      </c>
      <c r="T19" s="138"/>
      <c r="U19" s="395">
        <f t="shared" si="6"/>
        <v>-1433.6528399999952</v>
      </c>
      <c r="V19" s="396">
        <f t="shared" si="7"/>
        <v>-3.5157849110217326E-2</v>
      </c>
      <c r="W19" s="53"/>
      <c r="X19" s="408">
        <f>IFERROR(VLOOKUP($C19,'Proposed Rates'!$B:$J,X$11,FALSE),0)</f>
        <v>8.4370999999999992</v>
      </c>
      <c r="Y19" s="409">
        <f t="shared" ref="Y19:Y28" si="26">IF($D19="Monthly",1,IF($D19="per KW",$F$10,IF($D19="per kWh",$F$9,0)))</f>
        <v>4909.7700000000004</v>
      </c>
      <c r="Z19" s="394">
        <f t="shared" si="8"/>
        <v>41424.220466999999</v>
      </c>
      <c r="AA19" s="138"/>
      <c r="AB19" s="395">
        <f t="shared" si="9"/>
        <v>2080.2695489999896</v>
      </c>
      <c r="AC19" s="396">
        <f t="shared" si="10"/>
        <v>5.2873936156936856E-2</v>
      </c>
      <c r="AD19" s="53"/>
      <c r="AE19" s="408">
        <f>IFERROR(VLOOKUP($C19,'Proposed Rates'!$B:$J,AE$11,FALSE),0)</f>
        <v>8.3188999999999993</v>
      </c>
      <c r="AF19" s="409">
        <f t="shared" ref="AF19:AF28" si="27">IF($D19="Monthly",1,IF($D19="per KW",$F$10,IF($D19="per kWh",$F$9,0)))</f>
        <v>4909.7700000000004</v>
      </c>
      <c r="AG19" s="394">
        <f t="shared" si="11"/>
        <v>40843.885652999998</v>
      </c>
      <c r="AH19" s="138"/>
      <c r="AI19" s="395">
        <f t="shared" si="12"/>
        <v>-580.33481400000164</v>
      </c>
      <c r="AJ19" s="396">
        <f t="shared" si="13"/>
        <v>-1.4009553045477751E-2</v>
      </c>
      <c r="AK19" s="53"/>
      <c r="AL19" s="408">
        <f>IFERROR(VLOOKUP($C19,'Proposed Rates'!$B:$J,AL$11,FALSE),0)</f>
        <v>8.4146999999999998</v>
      </c>
      <c r="AM19" s="409">
        <f t="shared" ref="AM19:AM28" si="28">IF($D19="Monthly",1,IF($D19="per KW",$F$10,IF($D19="per kWh",$F$9,0)))</f>
        <v>4909.7700000000004</v>
      </c>
      <c r="AN19" s="394">
        <f t="shared" si="14"/>
        <v>41314.241619</v>
      </c>
      <c r="AO19" s="138"/>
      <c r="AP19" s="395">
        <f t="shared" si="15"/>
        <v>470.35596600000281</v>
      </c>
      <c r="AQ19" s="396">
        <f t="shared" si="16"/>
        <v>1.1515945617810117E-2</v>
      </c>
      <c r="AR19" s="397"/>
    </row>
    <row r="20" spans="1:44" ht="12" customHeight="1">
      <c r="A20" s="53"/>
      <c r="B20" s="328" t="s">
        <v>338</v>
      </c>
      <c r="C20" s="573" t="str">
        <f t="shared" si="0"/>
        <v>Street Light.Smart Meter Disposition Rider</v>
      </c>
      <c r="D20" s="390" t="s">
        <v>337</v>
      </c>
      <c r="E20" s="328"/>
      <c r="F20" s="391">
        <f>IFERROR(VLOOKUP($C20,'Proposed Rates'!$B:$J,F$11,FALSE),0)</f>
        <v>0</v>
      </c>
      <c r="G20" s="409">
        <f t="shared" si="23"/>
        <v>1745419</v>
      </c>
      <c r="H20" s="394">
        <f t="shared" si="1"/>
        <v>0</v>
      </c>
      <c r="I20" s="138"/>
      <c r="J20" s="391">
        <f>IFERROR(VLOOKUP($C20,'Proposed Rates'!$B:$J,J$11,FALSE),0)</f>
        <v>0</v>
      </c>
      <c r="K20" s="409">
        <f t="shared" si="24"/>
        <v>1745419</v>
      </c>
      <c r="L20" s="394">
        <f t="shared" si="2"/>
        <v>0</v>
      </c>
      <c r="M20" s="138"/>
      <c r="N20" s="395">
        <f t="shared" si="3"/>
        <v>0</v>
      </c>
      <c r="O20" s="396" t="str">
        <f t="shared" si="4"/>
        <v/>
      </c>
      <c r="P20" s="53"/>
      <c r="Q20" s="391">
        <f>IFERROR(VLOOKUP($C20,'Proposed Rates'!$B:$J,Q$11,FALSE),0)</f>
        <v>0</v>
      </c>
      <c r="R20" s="409">
        <f t="shared" si="25"/>
        <v>1745419</v>
      </c>
      <c r="S20" s="394">
        <f t="shared" si="5"/>
        <v>0</v>
      </c>
      <c r="T20" s="138"/>
      <c r="U20" s="395">
        <f t="shared" si="6"/>
        <v>0</v>
      </c>
      <c r="V20" s="396" t="str">
        <f t="shared" si="7"/>
        <v/>
      </c>
      <c r="W20" s="53"/>
      <c r="X20" s="391">
        <f>IFERROR(VLOOKUP($C20,'Proposed Rates'!$B:$J,X$11,FALSE),0)</f>
        <v>0</v>
      </c>
      <c r="Y20" s="409">
        <f t="shared" si="26"/>
        <v>1745419</v>
      </c>
      <c r="Z20" s="394">
        <f t="shared" si="8"/>
        <v>0</v>
      </c>
      <c r="AA20" s="138"/>
      <c r="AB20" s="395">
        <f t="shared" si="9"/>
        <v>0</v>
      </c>
      <c r="AC20" s="396" t="str">
        <f t="shared" si="10"/>
        <v/>
      </c>
      <c r="AD20" s="53"/>
      <c r="AE20" s="391">
        <f>IFERROR(VLOOKUP($C20,'Proposed Rates'!$B:$J,AE$11,FALSE),0)</f>
        <v>0</v>
      </c>
      <c r="AF20" s="409">
        <f t="shared" si="27"/>
        <v>1745419</v>
      </c>
      <c r="AG20" s="394">
        <f t="shared" si="11"/>
        <v>0</v>
      </c>
      <c r="AH20" s="138"/>
      <c r="AI20" s="395">
        <f t="shared" si="12"/>
        <v>0</v>
      </c>
      <c r="AJ20" s="396" t="str">
        <f t="shared" si="13"/>
        <v/>
      </c>
      <c r="AK20" s="53"/>
      <c r="AL20" s="391">
        <f>IFERROR(VLOOKUP($C20,'Proposed Rates'!$B:$J,AL$11,FALSE),0)</f>
        <v>0</v>
      </c>
      <c r="AM20" s="409">
        <f t="shared" si="28"/>
        <v>1745419</v>
      </c>
      <c r="AN20" s="394">
        <f t="shared" si="14"/>
        <v>0</v>
      </c>
      <c r="AO20" s="138"/>
      <c r="AP20" s="395">
        <f t="shared" si="15"/>
        <v>0</v>
      </c>
      <c r="AQ20" s="396" t="str">
        <f t="shared" si="16"/>
        <v/>
      </c>
      <c r="AR20" s="397"/>
    </row>
    <row r="21" spans="1:44" ht="12" customHeight="1">
      <c r="A21" s="53"/>
      <c r="B21" s="328" t="s">
        <v>269</v>
      </c>
      <c r="C21" s="573" t="str">
        <f t="shared" si="0"/>
        <v>Street Light.LRAM Rate Rider</v>
      </c>
      <c r="D21" s="390" t="s">
        <v>406</v>
      </c>
      <c r="E21" s="328"/>
      <c r="F21" s="408">
        <f>'Proposed Rates'!E82+'Proposed Rates'!E95</f>
        <v>4.8925000000000001</v>
      </c>
      <c r="G21" s="409">
        <f t="shared" si="23"/>
        <v>4909.7700000000004</v>
      </c>
      <c r="H21" s="394">
        <f t="shared" si="1"/>
        <v>24021.049725000001</v>
      </c>
      <c r="I21" s="138"/>
      <c r="J21" s="408">
        <f>'Proposed Rates'!F82+'Proposed Rates'!F95</f>
        <v>3.8487999999999998</v>
      </c>
      <c r="K21" s="409">
        <f t="shared" si="24"/>
        <v>4909.7700000000004</v>
      </c>
      <c r="L21" s="394">
        <f t="shared" si="2"/>
        <v>18896.722776000002</v>
      </c>
      <c r="M21" s="138"/>
      <c r="N21" s="395">
        <f t="shared" si="3"/>
        <v>-5124.3269489999984</v>
      </c>
      <c r="O21" s="396">
        <f t="shared" si="4"/>
        <v>-0.21332652018395495</v>
      </c>
      <c r="P21" s="53"/>
      <c r="Q21" s="408">
        <f>'Proposed Rates'!G82+'Proposed Rates'!G95</f>
        <v>0</v>
      </c>
      <c r="R21" s="409">
        <f t="shared" si="25"/>
        <v>4909.7700000000004</v>
      </c>
      <c r="S21" s="394">
        <f t="shared" si="5"/>
        <v>0</v>
      </c>
      <c r="T21" s="138"/>
      <c r="U21" s="395">
        <f t="shared" si="6"/>
        <v>-18896.722776000002</v>
      </c>
      <c r="V21" s="396">
        <f t="shared" si="7"/>
        <v>-1</v>
      </c>
      <c r="W21" s="53"/>
      <c r="X21" s="408">
        <f>IFERROR(VLOOKUP($C21,'Proposed Rates'!$B:$J,X$11,FALSE),0)</f>
        <v>0</v>
      </c>
      <c r="Y21" s="409">
        <f t="shared" si="26"/>
        <v>4909.7700000000004</v>
      </c>
      <c r="Z21" s="394">
        <f t="shared" si="8"/>
        <v>0</v>
      </c>
      <c r="AA21" s="138"/>
      <c r="AB21" s="395">
        <f t="shared" si="9"/>
        <v>0</v>
      </c>
      <c r="AC21" s="396" t="str">
        <f t="shared" si="10"/>
        <v/>
      </c>
      <c r="AD21" s="53"/>
      <c r="AE21" s="408">
        <f>IFERROR(VLOOKUP($C21,'Proposed Rates'!$B:$J,AE$11,FALSE),0)</f>
        <v>0</v>
      </c>
      <c r="AF21" s="409">
        <f t="shared" si="27"/>
        <v>4909.7700000000004</v>
      </c>
      <c r="AG21" s="394">
        <f t="shared" si="11"/>
        <v>0</v>
      </c>
      <c r="AH21" s="138"/>
      <c r="AI21" s="395">
        <f t="shared" si="12"/>
        <v>0</v>
      </c>
      <c r="AJ21" s="396" t="str">
        <f t="shared" si="13"/>
        <v/>
      </c>
      <c r="AK21" s="53"/>
      <c r="AL21" s="408">
        <f>IFERROR(VLOOKUP($C21,'Proposed Rates'!$B:$J,AL$11,FALSE),0)</f>
        <v>0</v>
      </c>
      <c r="AM21" s="409">
        <f t="shared" si="28"/>
        <v>4909.7700000000004</v>
      </c>
      <c r="AN21" s="394">
        <f t="shared" si="14"/>
        <v>0</v>
      </c>
      <c r="AO21" s="138"/>
      <c r="AP21" s="395">
        <f t="shared" si="15"/>
        <v>0</v>
      </c>
      <c r="AQ21" s="396" t="str">
        <f t="shared" si="16"/>
        <v/>
      </c>
      <c r="AR21" s="397"/>
    </row>
    <row r="22" spans="1:44" ht="12" customHeight="1">
      <c r="A22" s="53"/>
      <c r="B22" s="398" t="s">
        <v>265</v>
      </c>
      <c r="C22" s="573" t="str">
        <f t="shared" si="0"/>
        <v>Street Light.Deferral/Variance Account Disposition Rate Rider Group 2</v>
      </c>
      <c r="D22" s="390" t="s">
        <v>406</v>
      </c>
      <c r="E22" s="328"/>
      <c r="F22" s="391">
        <f>IFERROR(VLOOKUP($C22,'Proposed Rates'!$B:$J,F$11,FALSE),0)</f>
        <v>0</v>
      </c>
      <c r="G22" s="409">
        <f t="shared" si="23"/>
        <v>4909.7700000000004</v>
      </c>
      <c r="H22" s="394">
        <f t="shared" si="1"/>
        <v>0</v>
      </c>
      <c r="I22" s="138"/>
      <c r="J22" s="391">
        <f>IFERROR(VLOOKUP($C22,'Proposed Rates'!$B:$J,J$11,FALSE),0)</f>
        <v>-0.71650000000000003</v>
      </c>
      <c r="K22" s="409">
        <f t="shared" si="24"/>
        <v>4909.7700000000004</v>
      </c>
      <c r="L22" s="394">
        <f t="shared" si="2"/>
        <v>-3517.8502050000006</v>
      </c>
      <c r="M22" s="138"/>
      <c r="N22" s="395">
        <f t="shared" si="3"/>
        <v>-3517.8502050000006</v>
      </c>
      <c r="O22" s="396" t="str">
        <f t="shared" si="4"/>
        <v/>
      </c>
      <c r="P22" s="53"/>
      <c r="Q22" s="391">
        <f>IFERROR(VLOOKUP($C22,'Proposed Rates'!$B:$J,Q$11,FALSE),0)</f>
        <v>0</v>
      </c>
      <c r="R22" s="409">
        <f t="shared" si="25"/>
        <v>4909.7700000000004</v>
      </c>
      <c r="S22" s="394">
        <f t="shared" si="5"/>
        <v>0</v>
      </c>
      <c r="T22" s="138"/>
      <c r="U22" s="395">
        <f t="shared" si="6"/>
        <v>3517.8502050000006</v>
      </c>
      <c r="V22" s="396">
        <f t="shared" si="7"/>
        <v>-1</v>
      </c>
      <c r="W22" s="53"/>
      <c r="X22" s="391">
        <f>IFERROR(VLOOKUP($C22,'Proposed Rates'!$B:$J,X$11,FALSE),0)</f>
        <v>0</v>
      </c>
      <c r="Y22" s="409">
        <f t="shared" si="26"/>
        <v>4909.7700000000004</v>
      </c>
      <c r="Z22" s="394">
        <f t="shared" si="8"/>
        <v>0</v>
      </c>
      <c r="AA22" s="138"/>
      <c r="AB22" s="395">
        <f t="shared" si="9"/>
        <v>0</v>
      </c>
      <c r="AC22" s="396" t="str">
        <f t="shared" si="10"/>
        <v/>
      </c>
      <c r="AD22" s="53"/>
      <c r="AE22" s="391">
        <f>IFERROR(VLOOKUP($C22,'Proposed Rates'!$B:$J,AE$11,FALSE),0)</f>
        <v>0</v>
      </c>
      <c r="AF22" s="409">
        <f t="shared" si="27"/>
        <v>4909.7700000000004</v>
      </c>
      <c r="AG22" s="394">
        <f t="shared" si="11"/>
        <v>0</v>
      </c>
      <c r="AH22" s="138"/>
      <c r="AI22" s="395">
        <f t="shared" si="12"/>
        <v>0</v>
      </c>
      <c r="AJ22" s="396" t="str">
        <f t="shared" si="13"/>
        <v/>
      </c>
      <c r="AK22" s="53"/>
      <c r="AL22" s="391">
        <f>IFERROR(VLOOKUP($C22,'Proposed Rates'!$B:$J,AL$11,FALSE),0)</f>
        <v>0</v>
      </c>
      <c r="AM22" s="409">
        <f t="shared" si="28"/>
        <v>4909.7700000000004</v>
      </c>
      <c r="AN22" s="394">
        <f t="shared" si="14"/>
        <v>0</v>
      </c>
      <c r="AO22" s="138"/>
      <c r="AP22" s="395">
        <f t="shared" si="15"/>
        <v>0</v>
      </c>
      <c r="AQ22" s="396" t="str">
        <f t="shared" si="16"/>
        <v/>
      </c>
      <c r="AR22" s="397"/>
    </row>
    <row r="23" spans="1:44" ht="12" customHeight="1">
      <c r="A23" s="53"/>
      <c r="B23" s="398"/>
      <c r="C23" s="573" t="str">
        <f t="shared" si="0"/>
        <v>Street Light.</v>
      </c>
      <c r="D23" s="390"/>
      <c r="E23" s="328"/>
      <c r="F23" s="391">
        <f>IFERROR(VLOOKUP($C23,'Proposed Rates'!$B:$J,F$11,FALSE),0)</f>
        <v>0</v>
      </c>
      <c r="G23" s="409">
        <f t="shared" si="23"/>
        <v>0</v>
      </c>
      <c r="H23" s="394">
        <f t="shared" si="1"/>
        <v>0</v>
      </c>
      <c r="I23" s="138"/>
      <c r="J23" s="391">
        <f>IFERROR(VLOOKUP($C23,'Proposed Rates'!$B:$J,J$11,FALSE),0)</f>
        <v>0</v>
      </c>
      <c r="K23" s="409">
        <f t="shared" si="24"/>
        <v>0</v>
      </c>
      <c r="L23" s="394">
        <f t="shared" si="2"/>
        <v>0</v>
      </c>
      <c r="M23" s="138"/>
      <c r="N23" s="395">
        <f t="shared" si="3"/>
        <v>0</v>
      </c>
      <c r="O23" s="396" t="str">
        <f t="shared" si="4"/>
        <v/>
      </c>
      <c r="P23" s="53"/>
      <c r="Q23" s="391">
        <f>IFERROR(VLOOKUP($C23,'Proposed Rates'!$B:$J,Q$11,FALSE),0)</f>
        <v>0</v>
      </c>
      <c r="R23" s="409">
        <f t="shared" si="25"/>
        <v>0</v>
      </c>
      <c r="S23" s="394">
        <f t="shared" si="5"/>
        <v>0</v>
      </c>
      <c r="T23" s="138"/>
      <c r="U23" s="395">
        <f t="shared" si="6"/>
        <v>0</v>
      </c>
      <c r="V23" s="396" t="str">
        <f t="shared" si="7"/>
        <v/>
      </c>
      <c r="W23" s="53"/>
      <c r="X23" s="391">
        <f>IFERROR(VLOOKUP($C23,'Proposed Rates'!$B:$J,X$11,FALSE),0)</f>
        <v>0</v>
      </c>
      <c r="Y23" s="409">
        <f t="shared" si="26"/>
        <v>0</v>
      </c>
      <c r="Z23" s="394">
        <f t="shared" si="8"/>
        <v>0</v>
      </c>
      <c r="AA23" s="138"/>
      <c r="AB23" s="395">
        <f t="shared" si="9"/>
        <v>0</v>
      </c>
      <c r="AC23" s="396" t="str">
        <f t="shared" si="10"/>
        <v/>
      </c>
      <c r="AD23" s="53"/>
      <c r="AE23" s="391">
        <f>IFERROR(VLOOKUP($C23,'Proposed Rates'!$B:$J,AE$11,FALSE),0)</f>
        <v>0</v>
      </c>
      <c r="AF23" s="409">
        <f t="shared" si="27"/>
        <v>0</v>
      </c>
      <c r="AG23" s="394">
        <f t="shared" si="11"/>
        <v>0</v>
      </c>
      <c r="AH23" s="138"/>
      <c r="AI23" s="395">
        <f t="shared" si="12"/>
        <v>0</v>
      </c>
      <c r="AJ23" s="396" t="str">
        <f t="shared" si="13"/>
        <v/>
      </c>
      <c r="AK23" s="53"/>
      <c r="AL23" s="391">
        <f>IFERROR(VLOOKUP($C23,'Proposed Rates'!$B:$J,AL$11,FALSE),0)</f>
        <v>0</v>
      </c>
      <c r="AM23" s="409">
        <f t="shared" si="28"/>
        <v>0</v>
      </c>
      <c r="AN23" s="394">
        <f t="shared" si="14"/>
        <v>0</v>
      </c>
      <c r="AO23" s="138"/>
      <c r="AP23" s="395">
        <f t="shared" si="15"/>
        <v>0</v>
      </c>
      <c r="AQ23" s="396" t="str">
        <f t="shared" si="16"/>
        <v/>
      </c>
      <c r="AR23" s="397"/>
    </row>
    <row r="24" spans="1:44" ht="12" customHeight="1">
      <c r="A24" s="53"/>
      <c r="B24" s="398"/>
      <c r="C24" s="573" t="str">
        <f t="shared" si="0"/>
        <v>Street Light.</v>
      </c>
      <c r="D24" s="390"/>
      <c r="E24" s="328"/>
      <c r="F24" s="391">
        <f>IFERROR(VLOOKUP($C24,'Proposed Rates'!$B:$J,F$11,FALSE),0)</f>
        <v>0</v>
      </c>
      <c r="G24" s="409">
        <f t="shared" si="23"/>
        <v>0</v>
      </c>
      <c r="H24" s="394">
        <f t="shared" si="1"/>
        <v>0</v>
      </c>
      <c r="I24" s="138"/>
      <c r="J24" s="391">
        <f>IFERROR(VLOOKUP($C24,'Proposed Rates'!$B:$J,J$11,FALSE),0)</f>
        <v>0</v>
      </c>
      <c r="K24" s="409">
        <f t="shared" si="24"/>
        <v>0</v>
      </c>
      <c r="L24" s="394">
        <f t="shared" si="2"/>
        <v>0</v>
      </c>
      <c r="M24" s="138"/>
      <c r="N24" s="395">
        <f t="shared" si="3"/>
        <v>0</v>
      </c>
      <c r="O24" s="396" t="str">
        <f t="shared" si="4"/>
        <v/>
      </c>
      <c r="P24" s="53"/>
      <c r="Q24" s="391">
        <f>IFERROR(VLOOKUP($C24,'Proposed Rates'!$B:$J,Q$11,FALSE),0)</f>
        <v>0</v>
      </c>
      <c r="R24" s="409">
        <f t="shared" si="25"/>
        <v>0</v>
      </c>
      <c r="S24" s="394">
        <f t="shared" si="5"/>
        <v>0</v>
      </c>
      <c r="T24" s="138"/>
      <c r="U24" s="395">
        <f t="shared" si="6"/>
        <v>0</v>
      </c>
      <c r="V24" s="396" t="str">
        <f t="shared" si="7"/>
        <v/>
      </c>
      <c r="W24" s="53"/>
      <c r="X24" s="391">
        <f>IFERROR(VLOOKUP($C24,'Proposed Rates'!$B:$J,X$11,FALSE),0)</f>
        <v>0</v>
      </c>
      <c r="Y24" s="409">
        <f t="shared" si="26"/>
        <v>0</v>
      </c>
      <c r="Z24" s="394">
        <f t="shared" si="8"/>
        <v>0</v>
      </c>
      <c r="AA24" s="138"/>
      <c r="AB24" s="395">
        <f t="shared" si="9"/>
        <v>0</v>
      </c>
      <c r="AC24" s="396" t="str">
        <f t="shared" si="10"/>
        <v/>
      </c>
      <c r="AD24" s="53"/>
      <c r="AE24" s="391">
        <f>IFERROR(VLOOKUP($C24,'Proposed Rates'!$B:$J,AE$11,FALSE),0)</f>
        <v>0</v>
      </c>
      <c r="AF24" s="409">
        <f t="shared" si="27"/>
        <v>0</v>
      </c>
      <c r="AG24" s="394">
        <f t="shared" si="11"/>
        <v>0</v>
      </c>
      <c r="AH24" s="138"/>
      <c r="AI24" s="395">
        <f t="shared" si="12"/>
        <v>0</v>
      </c>
      <c r="AJ24" s="396" t="str">
        <f t="shared" si="13"/>
        <v/>
      </c>
      <c r="AK24" s="53"/>
      <c r="AL24" s="391">
        <f>IFERROR(VLOOKUP($C24,'Proposed Rates'!$B:$J,AL$11,FALSE),0)</f>
        <v>0</v>
      </c>
      <c r="AM24" s="409">
        <f t="shared" si="28"/>
        <v>0</v>
      </c>
      <c r="AN24" s="394">
        <f t="shared" si="14"/>
        <v>0</v>
      </c>
      <c r="AO24" s="138"/>
      <c r="AP24" s="395">
        <f t="shared" si="15"/>
        <v>0</v>
      </c>
      <c r="AQ24" s="396" t="str">
        <f t="shared" si="16"/>
        <v/>
      </c>
      <c r="AR24" s="397"/>
    </row>
    <row r="25" spans="1:44" ht="12" customHeight="1">
      <c r="A25" s="53"/>
      <c r="B25" s="398"/>
      <c r="C25" s="573" t="str">
        <f t="shared" si="0"/>
        <v>Street Light.</v>
      </c>
      <c r="D25" s="390"/>
      <c r="E25" s="328"/>
      <c r="F25" s="391">
        <f>IFERROR(VLOOKUP($C25,'Proposed Rates'!$B:$J,F$11,FALSE),0)</f>
        <v>0</v>
      </c>
      <c r="G25" s="409">
        <f t="shared" si="23"/>
        <v>0</v>
      </c>
      <c r="H25" s="394">
        <f t="shared" si="1"/>
        <v>0</v>
      </c>
      <c r="I25" s="138"/>
      <c r="J25" s="391">
        <f>IFERROR(VLOOKUP($C25,'Proposed Rates'!$B:$J,J$11,FALSE),0)</f>
        <v>0</v>
      </c>
      <c r="K25" s="409">
        <f t="shared" si="24"/>
        <v>0</v>
      </c>
      <c r="L25" s="394">
        <f t="shared" si="2"/>
        <v>0</v>
      </c>
      <c r="M25" s="138"/>
      <c r="N25" s="395">
        <f t="shared" si="3"/>
        <v>0</v>
      </c>
      <c r="O25" s="396" t="str">
        <f t="shared" si="4"/>
        <v/>
      </c>
      <c r="P25" s="53"/>
      <c r="Q25" s="391">
        <f>IFERROR(VLOOKUP($C25,'Proposed Rates'!$B:$J,Q$11,FALSE),0)</f>
        <v>0</v>
      </c>
      <c r="R25" s="409">
        <f t="shared" si="25"/>
        <v>0</v>
      </c>
      <c r="S25" s="394">
        <f t="shared" si="5"/>
        <v>0</v>
      </c>
      <c r="T25" s="138"/>
      <c r="U25" s="395">
        <f t="shared" si="6"/>
        <v>0</v>
      </c>
      <c r="V25" s="396" t="str">
        <f t="shared" si="7"/>
        <v/>
      </c>
      <c r="W25" s="53"/>
      <c r="X25" s="391">
        <f>IFERROR(VLOOKUP($C25,'Proposed Rates'!$B:$J,X$11,FALSE),0)</f>
        <v>0</v>
      </c>
      <c r="Y25" s="409">
        <f t="shared" si="26"/>
        <v>0</v>
      </c>
      <c r="Z25" s="394">
        <f t="shared" si="8"/>
        <v>0</v>
      </c>
      <c r="AA25" s="138"/>
      <c r="AB25" s="395">
        <f t="shared" si="9"/>
        <v>0</v>
      </c>
      <c r="AC25" s="396" t="str">
        <f t="shared" si="10"/>
        <v/>
      </c>
      <c r="AD25" s="53"/>
      <c r="AE25" s="391">
        <f>IFERROR(VLOOKUP($C25,'Proposed Rates'!$B:$J,AE$11,FALSE),0)</f>
        <v>0</v>
      </c>
      <c r="AF25" s="409">
        <f t="shared" si="27"/>
        <v>0</v>
      </c>
      <c r="AG25" s="394">
        <f t="shared" si="11"/>
        <v>0</v>
      </c>
      <c r="AH25" s="138"/>
      <c r="AI25" s="395">
        <f t="shared" si="12"/>
        <v>0</v>
      </c>
      <c r="AJ25" s="396" t="str">
        <f t="shared" si="13"/>
        <v/>
      </c>
      <c r="AK25" s="53"/>
      <c r="AL25" s="391">
        <f>IFERROR(VLOOKUP($C25,'Proposed Rates'!$B:$J,AL$11,FALSE),0)</f>
        <v>0</v>
      </c>
      <c r="AM25" s="409">
        <f t="shared" si="28"/>
        <v>0</v>
      </c>
      <c r="AN25" s="394">
        <f t="shared" si="14"/>
        <v>0</v>
      </c>
      <c r="AO25" s="138"/>
      <c r="AP25" s="395">
        <f t="shared" si="15"/>
        <v>0</v>
      </c>
      <c r="AQ25" s="396" t="str">
        <f t="shared" si="16"/>
        <v/>
      </c>
      <c r="AR25" s="397"/>
    </row>
    <row r="26" spans="1:44" ht="12" customHeight="1">
      <c r="A26" s="53"/>
      <c r="B26" s="398"/>
      <c r="C26" s="573" t="str">
        <f t="shared" si="0"/>
        <v>Street Light.</v>
      </c>
      <c r="D26" s="390"/>
      <c r="E26" s="328"/>
      <c r="F26" s="391">
        <f>IFERROR(VLOOKUP($C26,'Proposed Rates'!$B:$J,F$11,FALSE),0)</f>
        <v>0</v>
      </c>
      <c r="G26" s="409">
        <f t="shared" si="23"/>
        <v>0</v>
      </c>
      <c r="H26" s="394">
        <f t="shared" si="1"/>
        <v>0</v>
      </c>
      <c r="I26" s="138"/>
      <c r="J26" s="391">
        <f>IFERROR(VLOOKUP($C26,'Proposed Rates'!$B:$J,J$11,FALSE),0)</f>
        <v>0</v>
      </c>
      <c r="K26" s="409">
        <f t="shared" si="24"/>
        <v>0</v>
      </c>
      <c r="L26" s="394">
        <f t="shared" si="2"/>
        <v>0</v>
      </c>
      <c r="M26" s="138"/>
      <c r="N26" s="395">
        <f t="shared" si="3"/>
        <v>0</v>
      </c>
      <c r="O26" s="396" t="str">
        <f t="shared" si="4"/>
        <v/>
      </c>
      <c r="P26" s="53"/>
      <c r="Q26" s="391">
        <f>IFERROR(VLOOKUP($C26,'Proposed Rates'!$B:$J,Q$11,FALSE),0)</f>
        <v>0</v>
      </c>
      <c r="R26" s="409">
        <f t="shared" si="25"/>
        <v>0</v>
      </c>
      <c r="S26" s="394">
        <f t="shared" si="5"/>
        <v>0</v>
      </c>
      <c r="T26" s="138"/>
      <c r="U26" s="395">
        <f t="shared" si="6"/>
        <v>0</v>
      </c>
      <c r="V26" s="396" t="str">
        <f t="shared" si="7"/>
        <v/>
      </c>
      <c r="W26" s="53"/>
      <c r="X26" s="391">
        <f>IFERROR(VLOOKUP($C26,'Proposed Rates'!$B:$J,X$11,FALSE),0)</f>
        <v>0</v>
      </c>
      <c r="Y26" s="409">
        <f t="shared" si="26"/>
        <v>0</v>
      </c>
      <c r="Z26" s="394">
        <f t="shared" si="8"/>
        <v>0</v>
      </c>
      <c r="AA26" s="138"/>
      <c r="AB26" s="395">
        <f t="shared" si="9"/>
        <v>0</v>
      </c>
      <c r="AC26" s="396" t="str">
        <f t="shared" si="10"/>
        <v/>
      </c>
      <c r="AD26" s="53"/>
      <c r="AE26" s="391">
        <f>IFERROR(VLOOKUP($C26,'Proposed Rates'!$B:$J,AE$11,FALSE),0)</f>
        <v>0</v>
      </c>
      <c r="AF26" s="409">
        <f t="shared" si="27"/>
        <v>0</v>
      </c>
      <c r="AG26" s="394">
        <f t="shared" si="11"/>
        <v>0</v>
      </c>
      <c r="AH26" s="138"/>
      <c r="AI26" s="395">
        <f t="shared" si="12"/>
        <v>0</v>
      </c>
      <c r="AJ26" s="396" t="str">
        <f t="shared" si="13"/>
        <v/>
      </c>
      <c r="AK26" s="53"/>
      <c r="AL26" s="391">
        <f>IFERROR(VLOOKUP($C26,'Proposed Rates'!$B:$J,AL$11,FALSE),0)</f>
        <v>0</v>
      </c>
      <c r="AM26" s="409">
        <f t="shared" si="28"/>
        <v>0</v>
      </c>
      <c r="AN26" s="394">
        <f t="shared" si="14"/>
        <v>0</v>
      </c>
      <c r="AO26" s="138"/>
      <c r="AP26" s="395">
        <f t="shared" si="15"/>
        <v>0</v>
      </c>
      <c r="AQ26" s="396" t="str">
        <f t="shared" si="16"/>
        <v/>
      </c>
      <c r="AR26" s="397"/>
    </row>
    <row r="27" spans="1:44" ht="12" customHeight="1">
      <c r="A27" s="53"/>
      <c r="B27" s="398"/>
      <c r="C27" s="573"/>
      <c r="D27" s="390"/>
      <c r="E27" s="328"/>
      <c r="F27" s="391">
        <f>IFERROR(VLOOKUP($C27,'Proposed Rates'!$B:$J,F$11,FALSE),0)</f>
        <v>0</v>
      </c>
      <c r="G27" s="409">
        <f t="shared" si="23"/>
        <v>0</v>
      </c>
      <c r="H27" s="394">
        <f t="shared" si="1"/>
        <v>0</v>
      </c>
      <c r="I27" s="138"/>
      <c r="J27" s="391">
        <f>IFERROR(VLOOKUP($C27,'Proposed Rates'!$B:$J,J$11,FALSE),0)</f>
        <v>0</v>
      </c>
      <c r="K27" s="409">
        <f t="shared" si="24"/>
        <v>0</v>
      </c>
      <c r="L27" s="394">
        <f t="shared" si="2"/>
        <v>0</v>
      </c>
      <c r="M27" s="138"/>
      <c r="N27" s="395">
        <f t="shared" si="3"/>
        <v>0</v>
      </c>
      <c r="O27" s="396" t="str">
        <f t="shared" si="4"/>
        <v/>
      </c>
      <c r="P27" s="53"/>
      <c r="Q27" s="391">
        <f>IFERROR(VLOOKUP($C27,'Proposed Rates'!$B:$J,Q$11,FALSE),0)</f>
        <v>0</v>
      </c>
      <c r="R27" s="409">
        <f t="shared" si="25"/>
        <v>0</v>
      </c>
      <c r="S27" s="394">
        <f t="shared" si="5"/>
        <v>0</v>
      </c>
      <c r="T27" s="138"/>
      <c r="U27" s="395">
        <f t="shared" si="6"/>
        <v>0</v>
      </c>
      <c r="V27" s="396" t="str">
        <f t="shared" si="7"/>
        <v/>
      </c>
      <c r="W27" s="53"/>
      <c r="X27" s="391">
        <f>IFERROR(VLOOKUP($C27,'Proposed Rates'!$B:$J,X$11,FALSE),0)</f>
        <v>0</v>
      </c>
      <c r="Y27" s="409">
        <f t="shared" si="26"/>
        <v>0</v>
      </c>
      <c r="Z27" s="394">
        <f t="shared" si="8"/>
        <v>0</v>
      </c>
      <c r="AA27" s="138"/>
      <c r="AB27" s="395">
        <f t="shared" si="9"/>
        <v>0</v>
      </c>
      <c r="AC27" s="396" t="str">
        <f t="shared" si="10"/>
        <v/>
      </c>
      <c r="AD27" s="53"/>
      <c r="AE27" s="391">
        <f>IFERROR(VLOOKUP($C27,'Proposed Rates'!$B:$J,AE$11,FALSE),0)</f>
        <v>0</v>
      </c>
      <c r="AF27" s="409">
        <f t="shared" si="27"/>
        <v>0</v>
      </c>
      <c r="AG27" s="394">
        <f t="shared" si="11"/>
        <v>0</v>
      </c>
      <c r="AH27" s="138"/>
      <c r="AI27" s="395">
        <f t="shared" si="12"/>
        <v>0</v>
      </c>
      <c r="AJ27" s="396" t="str">
        <f t="shared" si="13"/>
        <v/>
      </c>
      <c r="AK27" s="53"/>
      <c r="AL27" s="391">
        <f>IFERROR(VLOOKUP($C27,'Proposed Rates'!$B:$J,AL$11,FALSE),0)</f>
        <v>0</v>
      </c>
      <c r="AM27" s="409">
        <f t="shared" si="28"/>
        <v>0</v>
      </c>
      <c r="AN27" s="394">
        <f t="shared" si="14"/>
        <v>0</v>
      </c>
      <c r="AO27" s="138"/>
      <c r="AP27" s="395">
        <f t="shared" si="15"/>
        <v>0</v>
      </c>
      <c r="AQ27" s="396" t="str">
        <f t="shared" si="16"/>
        <v/>
      </c>
      <c r="AR27" s="397"/>
    </row>
    <row r="28" spans="1:44" ht="12" customHeight="1">
      <c r="A28" s="53"/>
      <c r="B28" s="398"/>
      <c r="C28" s="573"/>
      <c r="D28" s="390"/>
      <c r="E28" s="328"/>
      <c r="F28" s="391">
        <f>IFERROR(VLOOKUP($C28,'Proposed Rates'!$B:$J,F$11,FALSE),0)</f>
        <v>0</v>
      </c>
      <c r="G28" s="409">
        <f t="shared" si="23"/>
        <v>0</v>
      </c>
      <c r="H28" s="394">
        <f t="shared" si="1"/>
        <v>0</v>
      </c>
      <c r="I28" s="138"/>
      <c r="J28" s="391">
        <f>IFERROR(VLOOKUP($C28,'Proposed Rates'!$B:$J,J$11,FALSE),0)</f>
        <v>0</v>
      </c>
      <c r="K28" s="409">
        <f t="shared" si="24"/>
        <v>0</v>
      </c>
      <c r="L28" s="394">
        <f t="shared" si="2"/>
        <v>0</v>
      </c>
      <c r="M28" s="138"/>
      <c r="N28" s="395">
        <f t="shared" si="3"/>
        <v>0</v>
      </c>
      <c r="O28" s="396" t="str">
        <f t="shared" si="4"/>
        <v/>
      </c>
      <c r="P28" s="53"/>
      <c r="Q28" s="391">
        <f>IFERROR(VLOOKUP($C28,'Proposed Rates'!$B:$J,Q$11,FALSE),0)</f>
        <v>0</v>
      </c>
      <c r="R28" s="409">
        <f t="shared" si="25"/>
        <v>0</v>
      </c>
      <c r="S28" s="394">
        <f t="shared" si="5"/>
        <v>0</v>
      </c>
      <c r="T28" s="138"/>
      <c r="U28" s="395">
        <f t="shared" si="6"/>
        <v>0</v>
      </c>
      <c r="V28" s="396" t="str">
        <f t="shared" si="7"/>
        <v/>
      </c>
      <c r="W28" s="53"/>
      <c r="X28" s="391">
        <f>IFERROR(VLOOKUP($C28,'Proposed Rates'!$B:$J,X$11,FALSE),0)</f>
        <v>0</v>
      </c>
      <c r="Y28" s="409">
        <f t="shared" si="26"/>
        <v>0</v>
      </c>
      <c r="Z28" s="394">
        <f t="shared" si="8"/>
        <v>0</v>
      </c>
      <c r="AA28" s="138"/>
      <c r="AB28" s="395">
        <f t="shared" si="9"/>
        <v>0</v>
      </c>
      <c r="AC28" s="396" t="str">
        <f t="shared" si="10"/>
        <v/>
      </c>
      <c r="AD28" s="53"/>
      <c r="AE28" s="391">
        <f>IFERROR(VLOOKUP($C28,'Proposed Rates'!$B:$J,AE$11,FALSE),0)</f>
        <v>0</v>
      </c>
      <c r="AF28" s="409">
        <f t="shared" si="27"/>
        <v>0</v>
      </c>
      <c r="AG28" s="394">
        <f t="shared" si="11"/>
        <v>0</v>
      </c>
      <c r="AH28" s="138"/>
      <c r="AI28" s="395">
        <f t="shared" si="12"/>
        <v>0</v>
      </c>
      <c r="AJ28" s="396" t="str">
        <f t="shared" si="13"/>
        <v/>
      </c>
      <c r="AK28" s="53"/>
      <c r="AL28" s="391">
        <f>IFERROR(VLOOKUP($C28,'Proposed Rates'!$B:$J,AL$11,FALSE),0)</f>
        <v>0</v>
      </c>
      <c r="AM28" s="409">
        <f t="shared" si="28"/>
        <v>0</v>
      </c>
      <c r="AN28" s="394">
        <f t="shared" si="14"/>
        <v>0</v>
      </c>
      <c r="AO28" s="138"/>
      <c r="AP28" s="395">
        <f t="shared" si="15"/>
        <v>0</v>
      </c>
      <c r="AQ28" s="396" t="str">
        <f t="shared" si="16"/>
        <v/>
      </c>
      <c r="AR28" s="397"/>
    </row>
    <row r="29" spans="1:44" ht="12" customHeight="1">
      <c r="A29" s="314"/>
      <c r="B29" s="399" t="s">
        <v>339</v>
      </c>
      <c r="C29" s="574"/>
      <c r="D29" s="400"/>
      <c r="E29" s="400"/>
      <c r="F29" s="401"/>
      <c r="G29" s="494"/>
      <c r="H29" s="403">
        <f>SUM(H15:H28)</f>
        <v>133253.455953</v>
      </c>
      <c r="I29" s="404"/>
      <c r="J29" s="401"/>
      <c r="K29" s="494"/>
      <c r="L29" s="403">
        <f>SUM(L15:L28)</f>
        <v>134327.87498400002</v>
      </c>
      <c r="M29" s="404"/>
      <c r="N29" s="405">
        <f t="shared" si="3"/>
        <v>1074.4190310000267</v>
      </c>
      <c r="O29" s="406">
        <f t="shared" si="4"/>
        <v>8.0629731012679066E-3</v>
      </c>
      <c r="P29" s="314"/>
      <c r="Q29" s="401"/>
      <c r="R29" s="494"/>
      <c r="S29" s="403">
        <f>SUM(S15:S28)</f>
        <v>115617.429573</v>
      </c>
      <c r="T29" s="404"/>
      <c r="U29" s="405">
        <f t="shared" si="6"/>
        <v>-18710.445411000022</v>
      </c>
      <c r="V29" s="406">
        <f t="shared" si="7"/>
        <v>-0.139289372464417</v>
      </c>
      <c r="W29" s="314"/>
      <c r="X29" s="401"/>
      <c r="Y29" s="494"/>
      <c r="Z29" s="403">
        <f>SUM(Z15:Z28)</f>
        <v>117973.66046700001</v>
      </c>
      <c r="AA29" s="404"/>
      <c r="AB29" s="405">
        <f t="shared" si="9"/>
        <v>2356.2308940000075</v>
      </c>
      <c r="AC29" s="406">
        <f t="shared" si="10"/>
        <v>2.0379547467039134E-2</v>
      </c>
      <c r="AD29" s="314"/>
      <c r="AE29" s="401"/>
      <c r="AF29" s="494"/>
      <c r="AG29" s="403">
        <f>SUM(AG15:AG28)</f>
        <v>116760.68565299999</v>
      </c>
      <c r="AH29" s="404"/>
      <c r="AI29" s="405">
        <f t="shared" si="12"/>
        <v>-1212.9748140000156</v>
      </c>
      <c r="AJ29" s="406">
        <f t="shared" si="13"/>
        <v>-1.0281742629655142E-2</v>
      </c>
      <c r="AK29" s="314"/>
      <c r="AL29" s="401"/>
      <c r="AM29" s="494"/>
      <c r="AN29" s="403">
        <f>SUM(AN15:AN28)</f>
        <v>117863.68161900001</v>
      </c>
      <c r="AO29" s="404"/>
      <c r="AP29" s="405">
        <f t="shared" si="15"/>
        <v>1102.9959660000168</v>
      </c>
      <c r="AQ29" s="406">
        <f t="shared" si="16"/>
        <v>9.4466383083600617E-3</v>
      </c>
      <c r="AR29" s="407"/>
    </row>
    <row r="30" spans="1:44" ht="12" customHeight="1">
      <c r="A30" s="53"/>
      <c r="B30" s="398" t="s">
        <v>262</v>
      </c>
      <c r="C30" s="573" t="str">
        <f t="shared" ref="C30:C36" si="29">D$6&amp;"."&amp;B30</f>
        <v>Street Light.DVA Disposition Rate Rider Group 1 -2025</v>
      </c>
      <c r="D30" s="390" t="s">
        <v>406</v>
      </c>
      <c r="E30" s="328"/>
      <c r="F30" s="408">
        <f>IFERROR(VLOOKUP($C30,'Proposed Rates'!$B:$J,F$11,FALSE),0)</f>
        <v>4.1000000000000002E-2</v>
      </c>
      <c r="G30" s="409">
        <f t="shared" ref="G30:G36" si="30">IF($D30="Monthly",1,IF($D30="per KW",$F$10,IF($D30="per kWh",$F$9,0)))</f>
        <v>4909.7700000000004</v>
      </c>
      <c r="H30" s="394">
        <f t="shared" ref="H30:H38" si="31">G30*F30</f>
        <v>201.30057000000002</v>
      </c>
      <c r="I30" s="138"/>
      <c r="J30" s="408">
        <f>IFERROR(VLOOKUP($C30,'Proposed Rates'!$B:$J,J$11,FALSE),0)</f>
        <v>-0.3805</v>
      </c>
      <c r="K30" s="409">
        <f t="shared" ref="K30:K36" si="32">IF($D30="Monthly",1,IF($D30="per KW",$F$10,IF($D30="per kWh",$F$9,0)))</f>
        <v>4909.7700000000004</v>
      </c>
      <c r="L30" s="394">
        <f t="shared" ref="L30:L38" si="33">K30*J30</f>
        <v>-1868.1674850000002</v>
      </c>
      <c r="M30" s="138"/>
      <c r="N30" s="395">
        <f t="shared" si="3"/>
        <v>-2069.4680550000003</v>
      </c>
      <c r="O30" s="396">
        <f t="shared" si="4"/>
        <v>-10.280487804878049</v>
      </c>
      <c r="P30" s="53"/>
      <c r="Q30" s="408">
        <f>IFERROR(VLOOKUP($C30,'Proposed Rates'!$B:$J,Q$11,FALSE),0)</f>
        <v>0</v>
      </c>
      <c r="R30" s="409">
        <f t="shared" ref="R30:R36" si="34">IF($D30="Monthly",1,IF($D30="per KW",$F$10,IF($D30="per kWh",$F$9,0)))</f>
        <v>4909.7700000000004</v>
      </c>
      <c r="S30" s="394">
        <f t="shared" ref="S30:S38" si="35">R30*Q30</f>
        <v>0</v>
      </c>
      <c r="T30" s="138"/>
      <c r="U30" s="395">
        <f t="shared" si="6"/>
        <v>1868.1674850000002</v>
      </c>
      <c r="V30" s="396">
        <f t="shared" si="7"/>
        <v>-1</v>
      </c>
      <c r="W30" s="53"/>
      <c r="X30" s="408">
        <f>IFERROR(VLOOKUP($C30,'Proposed Rates'!$B:$J,X$11,FALSE),0)</f>
        <v>0</v>
      </c>
      <c r="Y30" s="409">
        <f t="shared" ref="Y30:Y36" si="36">IF($D30="Monthly",1,IF($D30="per KW",$F$10,IF($D30="per kWh",$F$9,0)))</f>
        <v>4909.7700000000004</v>
      </c>
      <c r="Z30" s="394">
        <f t="shared" ref="Z30:Z38" si="37">Y30*X30</f>
        <v>0</v>
      </c>
      <c r="AA30" s="138"/>
      <c r="AB30" s="395">
        <f t="shared" si="9"/>
        <v>0</v>
      </c>
      <c r="AC30" s="396" t="str">
        <f t="shared" si="10"/>
        <v/>
      </c>
      <c r="AD30" s="53"/>
      <c r="AE30" s="408">
        <f>IFERROR(VLOOKUP($C30,'Proposed Rates'!$B:$J,AE$11,FALSE),0)</f>
        <v>0</v>
      </c>
      <c r="AF30" s="409">
        <f t="shared" ref="AF30:AF36" si="38">IF($D30="Monthly",1,IF($D30="per KW",$F$10,IF($D30="per kWh",$F$9,0)))</f>
        <v>4909.7700000000004</v>
      </c>
      <c r="AG30" s="394">
        <f t="shared" ref="AG30:AG38" si="39">AF30*AE30</f>
        <v>0</v>
      </c>
      <c r="AH30" s="138"/>
      <c r="AI30" s="395">
        <f t="shared" si="12"/>
        <v>0</v>
      </c>
      <c r="AJ30" s="396" t="str">
        <f t="shared" si="13"/>
        <v/>
      </c>
      <c r="AK30" s="53"/>
      <c r="AL30" s="408">
        <f>IFERROR(VLOOKUP($C30,'Proposed Rates'!$B:$J,AL$11,FALSE),0)</f>
        <v>0</v>
      </c>
      <c r="AM30" s="409">
        <f t="shared" ref="AM30:AM36" si="40">IF($D30="Monthly",1,IF($D30="per KW",$F$10,IF($D30="per kWh",$F$9,0)))</f>
        <v>4909.7700000000004</v>
      </c>
      <c r="AN30" s="394">
        <f t="shared" ref="AN30:AN38" si="41">AM30*AL30</f>
        <v>0</v>
      </c>
      <c r="AO30" s="138"/>
      <c r="AP30" s="395">
        <f t="shared" si="15"/>
        <v>0</v>
      </c>
      <c r="AQ30" s="396" t="str">
        <f t="shared" si="16"/>
        <v/>
      </c>
      <c r="AR30" s="397"/>
    </row>
    <row r="31" spans="1:44" ht="12" customHeight="1">
      <c r="A31" s="53"/>
      <c r="B31" s="398" t="s">
        <v>264</v>
      </c>
      <c r="C31" s="573" t="str">
        <f t="shared" si="29"/>
        <v>Street Light.DVA Disposition Rate Rider Group 1 - 2024</v>
      </c>
      <c r="D31" s="390" t="s">
        <v>406</v>
      </c>
      <c r="E31" s="328"/>
      <c r="F31" s="391">
        <f>IFERROR(VLOOKUP($C31,'Proposed Rates'!$B:$J,F$11,FALSE),0)</f>
        <v>0</v>
      </c>
      <c r="G31" s="409">
        <f t="shared" si="30"/>
        <v>4909.7700000000004</v>
      </c>
      <c r="H31" s="394">
        <f t="shared" si="31"/>
        <v>0</v>
      </c>
      <c r="I31" s="138"/>
      <c r="J31" s="391">
        <f>IFERROR(VLOOKUP($C31,'Proposed Rates'!$B:$J,J$11,FALSE),0)</f>
        <v>0</v>
      </c>
      <c r="K31" s="409">
        <f t="shared" si="32"/>
        <v>4909.7700000000004</v>
      </c>
      <c r="L31" s="394">
        <f t="shared" si="33"/>
        <v>0</v>
      </c>
      <c r="M31" s="138"/>
      <c r="N31" s="395">
        <f t="shared" si="3"/>
        <v>0</v>
      </c>
      <c r="O31" s="396" t="str">
        <f t="shared" si="4"/>
        <v/>
      </c>
      <c r="P31" s="53"/>
      <c r="Q31" s="391">
        <f>IFERROR(VLOOKUP($C31,'Proposed Rates'!$B:$J,Q$11,FALSE),0)</f>
        <v>0</v>
      </c>
      <c r="R31" s="409">
        <f t="shared" si="34"/>
        <v>4909.7700000000004</v>
      </c>
      <c r="S31" s="394">
        <f t="shared" si="35"/>
        <v>0</v>
      </c>
      <c r="T31" s="138"/>
      <c r="U31" s="395">
        <f t="shared" si="6"/>
        <v>0</v>
      </c>
      <c r="V31" s="396" t="str">
        <f t="shared" si="7"/>
        <v/>
      </c>
      <c r="W31" s="53"/>
      <c r="X31" s="391">
        <f>IFERROR(VLOOKUP($C31,'Proposed Rates'!$B:$J,X$11,FALSE),0)</f>
        <v>0</v>
      </c>
      <c r="Y31" s="409">
        <f t="shared" si="36"/>
        <v>4909.7700000000004</v>
      </c>
      <c r="Z31" s="394">
        <f t="shared" si="37"/>
        <v>0</v>
      </c>
      <c r="AA31" s="138"/>
      <c r="AB31" s="395">
        <f t="shared" si="9"/>
        <v>0</v>
      </c>
      <c r="AC31" s="396" t="str">
        <f t="shared" si="10"/>
        <v/>
      </c>
      <c r="AD31" s="53"/>
      <c r="AE31" s="391">
        <f>IFERROR(VLOOKUP($C31,'Proposed Rates'!$B:$J,AE$11,FALSE),0)</f>
        <v>0</v>
      </c>
      <c r="AF31" s="409">
        <f t="shared" si="38"/>
        <v>4909.7700000000004</v>
      </c>
      <c r="AG31" s="394">
        <f t="shared" si="39"/>
        <v>0</v>
      </c>
      <c r="AH31" s="138"/>
      <c r="AI31" s="395">
        <f t="shared" si="12"/>
        <v>0</v>
      </c>
      <c r="AJ31" s="396" t="str">
        <f t="shared" si="13"/>
        <v/>
      </c>
      <c r="AK31" s="53"/>
      <c r="AL31" s="391">
        <f>IFERROR(VLOOKUP($C31,'Proposed Rates'!$B:$J,AL$11,FALSE),0)</f>
        <v>0</v>
      </c>
      <c r="AM31" s="409">
        <f t="shared" si="40"/>
        <v>4909.7700000000004</v>
      </c>
      <c r="AN31" s="394">
        <f t="shared" si="41"/>
        <v>0</v>
      </c>
      <c r="AO31" s="138"/>
      <c r="AP31" s="395">
        <f t="shared" si="15"/>
        <v>0</v>
      </c>
      <c r="AQ31" s="396" t="str">
        <f t="shared" si="16"/>
        <v/>
      </c>
      <c r="AR31" s="397"/>
    </row>
    <row r="32" spans="1:44" ht="12" customHeight="1">
      <c r="A32" s="53"/>
      <c r="B32" s="398" t="s">
        <v>272</v>
      </c>
      <c r="C32" s="573" t="str">
        <f t="shared" si="29"/>
        <v>Street Light.CBR Class B Rate Riders</v>
      </c>
      <c r="D32" s="390" t="s">
        <v>337</v>
      </c>
      <c r="E32" s="328"/>
      <c r="F32" s="408">
        <f>IFERROR(VLOOKUP($C32,'Proposed Rates'!$B:$J,F$11,FALSE),0)</f>
        <v>2.0000000000000001E-4</v>
      </c>
      <c r="G32" s="409">
        <f t="shared" si="30"/>
        <v>1745419</v>
      </c>
      <c r="H32" s="394">
        <f t="shared" si="31"/>
        <v>349.0838</v>
      </c>
      <c r="I32" s="479"/>
      <c r="J32" s="408">
        <f>IFERROR(VLOOKUP($C32,'Proposed Rates'!$B:$J,J$11,FALSE),0)</f>
        <v>8.0000000000000004E-4</v>
      </c>
      <c r="K32" s="409">
        <f t="shared" si="32"/>
        <v>1745419</v>
      </c>
      <c r="L32" s="394">
        <f t="shared" si="33"/>
        <v>1396.3352</v>
      </c>
      <c r="M32" s="411"/>
      <c r="N32" s="395">
        <f t="shared" si="3"/>
        <v>1047.2514000000001</v>
      </c>
      <c r="O32" s="396">
        <f t="shared" si="4"/>
        <v>3.0000000000000004</v>
      </c>
      <c r="P32" s="53"/>
      <c r="Q32" s="408">
        <f>IFERROR(VLOOKUP($C32,'Proposed Rates'!$B:$J,Q$11,FALSE),0)</f>
        <v>0</v>
      </c>
      <c r="R32" s="409">
        <f t="shared" si="34"/>
        <v>1745419</v>
      </c>
      <c r="S32" s="394">
        <f t="shared" si="35"/>
        <v>0</v>
      </c>
      <c r="T32" s="411"/>
      <c r="U32" s="395">
        <f t="shared" si="6"/>
        <v>-1396.3352</v>
      </c>
      <c r="V32" s="396">
        <f t="shared" si="7"/>
        <v>-1</v>
      </c>
      <c r="W32" s="53"/>
      <c r="X32" s="408">
        <f>IFERROR(VLOOKUP($C32,'Proposed Rates'!$B:$J,X$11,FALSE),0)</f>
        <v>0</v>
      </c>
      <c r="Y32" s="409">
        <f t="shared" si="36"/>
        <v>1745419</v>
      </c>
      <c r="Z32" s="394">
        <f t="shared" si="37"/>
        <v>0</v>
      </c>
      <c r="AA32" s="138"/>
      <c r="AB32" s="395">
        <f t="shared" si="9"/>
        <v>0</v>
      </c>
      <c r="AC32" s="396" t="str">
        <f t="shared" si="10"/>
        <v/>
      </c>
      <c r="AD32" s="53"/>
      <c r="AE32" s="408">
        <f>IFERROR(VLOOKUP($C32,'Proposed Rates'!$B:$J,AE$11,FALSE),0)</f>
        <v>0</v>
      </c>
      <c r="AF32" s="409">
        <f t="shared" si="38"/>
        <v>1745419</v>
      </c>
      <c r="AG32" s="394">
        <f t="shared" si="39"/>
        <v>0</v>
      </c>
      <c r="AH32" s="138"/>
      <c r="AI32" s="395">
        <f t="shared" si="12"/>
        <v>0</v>
      </c>
      <c r="AJ32" s="396" t="str">
        <f t="shared" si="13"/>
        <v/>
      </c>
      <c r="AK32" s="53"/>
      <c r="AL32" s="408">
        <f>IFERROR(VLOOKUP($C32,'Proposed Rates'!$B:$J,AL$11,FALSE),0)</f>
        <v>0</v>
      </c>
      <c r="AM32" s="409">
        <f t="shared" si="40"/>
        <v>1745419</v>
      </c>
      <c r="AN32" s="394">
        <f t="shared" si="41"/>
        <v>0</v>
      </c>
      <c r="AO32" s="411"/>
      <c r="AP32" s="395">
        <f t="shared" si="15"/>
        <v>0</v>
      </c>
      <c r="AQ32" s="396" t="str">
        <f t="shared" si="16"/>
        <v/>
      </c>
      <c r="AR32" s="397"/>
    </row>
    <row r="33" spans="1:44" ht="12" customHeight="1">
      <c r="A33" s="53"/>
      <c r="B33" s="398" t="s">
        <v>279</v>
      </c>
      <c r="C33" s="573" t="str">
        <f t="shared" si="29"/>
        <v>Street Light.GA Rate Riders</v>
      </c>
      <c r="D33" s="390" t="s">
        <v>337</v>
      </c>
      <c r="E33" s="328"/>
      <c r="F33" s="408">
        <f>IFERROR(VLOOKUP($C33,'Proposed Rates'!$B:$J,F$11,FALSE),0)</f>
        <v>3.8999999999999998E-3</v>
      </c>
      <c r="G33" s="409">
        <f t="shared" si="30"/>
        <v>1745419</v>
      </c>
      <c r="H33" s="394">
        <f t="shared" si="31"/>
        <v>6807.1340999999993</v>
      </c>
      <c r="I33" s="479"/>
      <c r="J33" s="408">
        <f>IFERROR(VLOOKUP($C33,'Proposed Rates'!$B:$J,J$11,FALSE),0)</f>
        <v>4.4999999999999997E-3</v>
      </c>
      <c r="K33" s="409">
        <f t="shared" si="32"/>
        <v>1745419</v>
      </c>
      <c r="L33" s="394">
        <f t="shared" si="33"/>
        <v>7854.3854999999994</v>
      </c>
      <c r="M33" s="411"/>
      <c r="N33" s="395">
        <f t="shared" si="3"/>
        <v>1047.2514000000001</v>
      </c>
      <c r="O33" s="396">
        <f t="shared" si="4"/>
        <v>0.15384615384615388</v>
      </c>
      <c r="P33" s="53"/>
      <c r="Q33" s="408">
        <f>IFERROR(VLOOKUP($C33,'Proposed Rates'!$B:$J,Q$11,FALSE),0)</f>
        <v>4.4999999999999997E-3</v>
      </c>
      <c r="R33" s="409">
        <f t="shared" si="34"/>
        <v>1745419</v>
      </c>
      <c r="S33" s="394">
        <f t="shared" si="35"/>
        <v>7854.3854999999994</v>
      </c>
      <c r="T33" s="411"/>
      <c r="U33" s="395">
        <f t="shared" si="6"/>
        <v>0</v>
      </c>
      <c r="V33" s="396">
        <f t="shared" si="7"/>
        <v>0</v>
      </c>
      <c r="W33" s="53"/>
      <c r="X33" s="408">
        <f>IFERROR(VLOOKUP($C33,'Proposed Rates'!$B:$J,X$11,FALSE),0)</f>
        <v>0</v>
      </c>
      <c r="Y33" s="409">
        <f t="shared" si="36"/>
        <v>1745419</v>
      </c>
      <c r="Z33" s="394">
        <f t="shared" si="37"/>
        <v>0</v>
      </c>
      <c r="AA33" s="411"/>
      <c r="AB33" s="395">
        <f t="shared" si="9"/>
        <v>-7854.3854999999994</v>
      </c>
      <c r="AC33" s="396">
        <f t="shared" si="10"/>
        <v>-1</v>
      </c>
      <c r="AD33" s="53"/>
      <c r="AE33" s="408">
        <f>IFERROR(VLOOKUP($C33,'Proposed Rates'!$B:$J,AE$11,FALSE),0)</f>
        <v>0</v>
      </c>
      <c r="AF33" s="409">
        <f t="shared" si="38"/>
        <v>1745419</v>
      </c>
      <c r="AG33" s="394">
        <f t="shared" si="39"/>
        <v>0</v>
      </c>
      <c r="AH33" s="411"/>
      <c r="AI33" s="395">
        <f t="shared" si="12"/>
        <v>0</v>
      </c>
      <c r="AJ33" s="396" t="str">
        <f t="shared" si="13"/>
        <v/>
      </c>
      <c r="AK33" s="53"/>
      <c r="AL33" s="408">
        <f>IFERROR(VLOOKUP($C33,'Proposed Rates'!$B:$J,AL$11,FALSE),0)</f>
        <v>0</v>
      </c>
      <c r="AM33" s="409">
        <f t="shared" si="40"/>
        <v>1745419</v>
      </c>
      <c r="AN33" s="394">
        <f t="shared" si="41"/>
        <v>0</v>
      </c>
      <c r="AO33" s="411"/>
      <c r="AP33" s="395">
        <f t="shared" si="15"/>
        <v>0</v>
      </c>
      <c r="AQ33" s="396" t="str">
        <f t="shared" si="16"/>
        <v/>
      </c>
      <c r="AR33" s="397"/>
    </row>
    <row r="34" spans="1:44" ht="12" customHeight="1">
      <c r="A34" s="53"/>
      <c r="B34" s="398" t="s">
        <v>282</v>
      </c>
      <c r="C34" s="573" t="str">
        <f t="shared" si="29"/>
        <v>Street Light.Total Deferral/Variance Account Rate RidersYr2</v>
      </c>
      <c r="D34" s="390" t="s">
        <v>406</v>
      </c>
      <c r="E34" s="328"/>
      <c r="F34" s="391">
        <f>IFERROR(VLOOKUP($C34,'Proposed Rates'!$B:$J,F$11,FALSE),0)</f>
        <v>0</v>
      </c>
      <c r="G34" s="409">
        <f t="shared" si="30"/>
        <v>4909.7700000000004</v>
      </c>
      <c r="H34" s="394">
        <f t="shared" si="31"/>
        <v>0</v>
      </c>
      <c r="I34" s="479"/>
      <c r="J34" s="391">
        <f>IFERROR(VLOOKUP($C34,'Proposed Rates'!$B:$J,J$11,FALSE),0)</f>
        <v>0</v>
      </c>
      <c r="K34" s="409">
        <f t="shared" si="32"/>
        <v>4909.7700000000004</v>
      </c>
      <c r="L34" s="394">
        <f t="shared" si="33"/>
        <v>0</v>
      </c>
      <c r="M34" s="411"/>
      <c r="N34" s="395">
        <f t="shared" si="3"/>
        <v>0</v>
      </c>
      <c r="O34" s="396" t="str">
        <f t="shared" si="4"/>
        <v/>
      </c>
      <c r="P34" s="53"/>
      <c r="Q34" s="391">
        <f>IFERROR(VLOOKUP($C34,'Proposed Rates'!$B:$J,Q$11,FALSE),0)</f>
        <v>0</v>
      </c>
      <c r="R34" s="409">
        <f t="shared" si="34"/>
        <v>4909.7700000000004</v>
      </c>
      <c r="S34" s="394">
        <f t="shared" si="35"/>
        <v>0</v>
      </c>
      <c r="T34" s="411"/>
      <c r="U34" s="395">
        <f t="shared" si="6"/>
        <v>0</v>
      </c>
      <c r="V34" s="396" t="str">
        <f t="shared" si="7"/>
        <v/>
      </c>
      <c r="W34" s="53"/>
      <c r="X34" s="391">
        <f>IFERROR(VLOOKUP($C34,'Proposed Rates'!$B:$J,X$11,FALSE),0)</f>
        <v>0</v>
      </c>
      <c r="Y34" s="409">
        <f t="shared" si="36"/>
        <v>4909.7700000000004</v>
      </c>
      <c r="Z34" s="394">
        <f t="shared" si="37"/>
        <v>0</v>
      </c>
      <c r="AA34" s="411"/>
      <c r="AB34" s="395">
        <f t="shared" si="9"/>
        <v>0</v>
      </c>
      <c r="AC34" s="396" t="str">
        <f t="shared" si="10"/>
        <v/>
      </c>
      <c r="AD34" s="53"/>
      <c r="AE34" s="391">
        <f>IFERROR(VLOOKUP($C34,'Proposed Rates'!$B:$J,AE$11,FALSE),0)</f>
        <v>0</v>
      </c>
      <c r="AF34" s="409">
        <f t="shared" si="38"/>
        <v>4909.7700000000004</v>
      </c>
      <c r="AG34" s="394">
        <f t="shared" si="39"/>
        <v>0</v>
      </c>
      <c r="AH34" s="411"/>
      <c r="AI34" s="395">
        <f t="shared" si="12"/>
        <v>0</v>
      </c>
      <c r="AJ34" s="396" t="str">
        <f t="shared" si="13"/>
        <v/>
      </c>
      <c r="AK34" s="53"/>
      <c r="AL34" s="391">
        <f>IFERROR(VLOOKUP($C34,'Proposed Rates'!$B:$J,AL$11,FALSE),0)</f>
        <v>0</v>
      </c>
      <c r="AM34" s="409">
        <f t="shared" si="40"/>
        <v>4909.7700000000004</v>
      </c>
      <c r="AN34" s="394">
        <f t="shared" si="41"/>
        <v>0</v>
      </c>
      <c r="AO34" s="411"/>
      <c r="AP34" s="395">
        <f t="shared" si="15"/>
        <v>0</v>
      </c>
      <c r="AQ34" s="396" t="str">
        <f t="shared" si="16"/>
        <v/>
      </c>
      <c r="AR34" s="397"/>
    </row>
    <row r="35" spans="1:44" ht="12" customHeight="1">
      <c r="A35" s="53"/>
      <c r="B35" s="398" t="s">
        <v>284</v>
      </c>
      <c r="C35" s="573" t="str">
        <f t="shared" si="29"/>
        <v>Street Light.Total Deferral/Variance Account Rate Riders</v>
      </c>
      <c r="D35" s="390" t="s">
        <v>406</v>
      </c>
      <c r="E35" s="328"/>
      <c r="F35" s="391">
        <f>IFERROR(VLOOKUP($C35,'Proposed Rates'!$B:$J,F$11,FALSE),0)</f>
        <v>0</v>
      </c>
      <c r="G35" s="409">
        <f t="shared" si="30"/>
        <v>4909.7700000000004</v>
      </c>
      <c r="H35" s="394">
        <f t="shared" si="31"/>
        <v>0</v>
      </c>
      <c r="I35" s="138"/>
      <c r="J35" s="391">
        <f>IFERROR(VLOOKUP($C35,'Proposed Rates'!$B:$J,J$11,FALSE),0)</f>
        <v>0</v>
      </c>
      <c r="K35" s="409">
        <f t="shared" si="32"/>
        <v>4909.7700000000004</v>
      </c>
      <c r="L35" s="394">
        <f t="shared" si="33"/>
        <v>0</v>
      </c>
      <c r="M35" s="138"/>
      <c r="N35" s="395">
        <f t="shared" si="3"/>
        <v>0</v>
      </c>
      <c r="O35" s="396" t="str">
        <f t="shared" si="4"/>
        <v/>
      </c>
      <c r="P35" s="53"/>
      <c r="Q35" s="391">
        <f>IFERROR(VLOOKUP($C35,'Proposed Rates'!$B:$J,Q$11,FALSE),0)</f>
        <v>0</v>
      </c>
      <c r="R35" s="409">
        <f t="shared" si="34"/>
        <v>4909.7700000000004</v>
      </c>
      <c r="S35" s="394">
        <f t="shared" si="35"/>
        <v>0</v>
      </c>
      <c r="T35" s="138"/>
      <c r="U35" s="395">
        <f t="shared" si="6"/>
        <v>0</v>
      </c>
      <c r="V35" s="396" t="str">
        <f t="shared" si="7"/>
        <v/>
      </c>
      <c r="W35" s="53"/>
      <c r="X35" s="391">
        <f>IFERROR(VLOOKUP($C35,'Proposed Rates'!$B:$J,X$11,FALSE),0)</f>
        <v>0</v>
      </c>
      <c r="Y35" s="409">
        <f t="shared" si="36"/>
        <v>4909.7700000000004</v>
      </c>
      <c r="Z35" s="394">
        <f t="shared" si="37"/>
        <v>0</v>
      </c>
      <c r="AA35" s="138"/>
      <c r="AB35" s="395">
        <f t="shared" si="9"/>
        <v>0</v>
      </c>
      <c r="AC35" s="396" t="str">
        <f t="shared" si="10"/>
        <v/>
      </c>
      <c r="AD35" s="53"/>
      <c r="AE35" s="391">
        <f>IFERROR(VLOOKUP($C35,'Proposed Rates'!$B:$J,AE$11,FALSE),0)</f>
        <v>0</v>
      </c>
      <c r="AF35" s="409">
        <f t="shared" si="38"/>
        <v>4909.7700000000004</v>
      </c>
      <c r="AG35" s="394">
        <f t="shared" si="39"/>
        <v>0</v>
      </c>
      <c r="AH35" s="138"/>
      <c r="AI35" s="395">
        <f t="shared" si="12"/>
        <v>0</v>
      </c>
      <c r="AJ35" s="396" t="str">
        <f t="shared" si="13"/>
        <v/>
      </c>
      <c r="AK35" s="53"/>
      <c r="AL35" s="391">
        <f>IFERROR(VLOOKUP($C35,'Proposed Rates'!$B:$J,AL$11,FALSE),0)</f>
        <v>0</v>
      </c>
      <c r="AM35" s="409">
        <f t="shared" si="40"/>
        <v>4909.7700000000004</v>
      </c>
      <c r="AN35" s="394">
        <f t="shared" si="41"/>
        <v>0</v>
      </c>
      <c r="AO35" s="138"/>
      <c r="AP35" s="395">
        <f t="shared" si="15"/>
        <v>0</v>
      </c>
      <c r="AQ35" s="396" t="str">
        <f t="shared" si="16"/>
        <v/>
      </c>
      <c r="AR35" s="397"/>
    </row>
    <row r="36" spans="1:44" ht="12" customHeight="1">
      <c r="A36" s="53"/>
      <c r="B36" s="328" t="s">
        <v>300</v>
      </c>
      <c r="C36" s="573" t="str">
        <f t="shared" si="29"/>
        <v>Street Light.Low Voltage Service Charge</v>
      </c>
      <c r="D36" s="390" t="s">
        <v>406</v>
      </c>
      <c r="E36" s="328"/>
      <c r="F36" s="412">
        <f>IFERROR(VLOOKUP($C36,'Proposed Rates'!$B:$J,F$11,FALSE),0)</f>
        <v>1.5640000000000001E-2</v>
      </c>
      <c r="G36" s="409">
        <f t="shared" si="30"/>
        <v>4909.7700000000004</v>
      </c>
      <c r="H36" s="394">
        <f t="shared" si="31"/>
        <v>76.788802800000013</v>
      </c>
      <c r="I36" s="138"/>
      <c r="J36" s="412">
        <f>IFERROR(VLOOKUP($C36,'Proposed Rates'!$B:$J,J$11,FALSE),0)</f>
        <v>1.099E-2</v>
      </c>
      <c r="K36" s="409">
        <f t="shared" si="32"/>
        <v>4909.7700000000004</v>
      </c>
      <c r="L36" s="394">
        <f t="shared" si="33"/>
        <v>53.958372300000001</v>
      </c>
      <c r="M36" s="138"/>
      <c r="N36" s="395">
        <f t="shared" si="3"/>
        <v>-22.830430500000013</v>
      </c>
      <c r="O36" s="396">
        <f t="shared" si="4"/>
        <v>-0.29731457800511518</v>
      </c>
      <c r="P36" s="53"/>
      <c r="Q36" s="412">
        <f>IFERROR(VLOOKUP($C36,'Proposed Rates'!$B:$J,Q$11,FALSE),0)</f>
        <v>1.1270000000000001E-2</v>
      </c>
      <c r="R36" s="409">
        <f t="shared" si="34"/>
        <v>4909.7700000000004</v>
      </c>
      <c r="S36" s="394">
        <f t="shared" si="35"/>
        <v>55.333107900000009</v>
      </c>
      <c r="T36" s="138"/>
      <c r="U36" s="395">
        <f t="shared" si="6"/>
        <v>1.3747356000000082</v>
      </c>
      <c r="V36" s="396">
        <f t="shared" si="7"/>
        <v>2.5477707006369577E-2</v>
      </c>
      <c r="W36" s="53"/>
      <c r="X36" s="412">
        <f>IFERROR(VLOOKUP($C36,'Proposed Rates'!$B:$J,X$11,FALSE),0)</f>
        <v>1.141E-2</v>
      </c>
      <c r="Y36" s="409">
        <f t="shared" si="36"/>
        <v>4909.7700000000004</v>
      </c>
      <c r="Z36" s="394">
        <f t="shared" si="37"/>
        <v>56.020475700000006</v>
      </c>
      <c r="AA36" s="138"/>
      <c r="AB36" s="395">
        <f t="shared" si="9"/>
        <v>0.68736779999999698</v>
      </c>
      <c r="AC36" s="396">
        <f t="shared" si="10"/>
        <v>1.2422360248447149E-2</v>
      </c>
      <c r="AD36" s="53"/>
      <c r="AE36" s="412">
        <f>IFERROR(VLOOKUP($C36,'Proposed Rates'!$B:$J,AE$11,FALSE),0)</f>
        <v>1.159E-2</v>
      </c>
      <c r="AF36" s="409">
        <f t="shared" si="38"/>
        <v>4909.7700000000004</v>
      </c>
      <c r="AG36" s="394">
        <f t="shared" si="39"/>
        <v>56.904234300000006</v>
      </c>
      <c r="AH36" s="138"/>
      <c r="AI36" s="395">
        <f t="shared" si="12"/>
        <v>0.88375860000000017</v>
      </c>
      <c r="AJ36" s="396">
        <f t="shared" si="13"/>
        <v>1.577563540753725E-2</v>
      </c>
      <c r="AK36" s="53"/>
      <c r="AL36" s="412">
        <f>IFERROR(VLOOKUP($C36,'Proposed Rates'!$B:$J,AL$11,FALSE),0)</f>
        <v>1.18E-2</v>
      </c>
      <c r="AM36" s="409">
        <f t="shared" si="40"/>
        <v>4909.7700000000004</v>
      </c>
      <c r="AN36" s="394">
        <f t="shared" si="41"/>
        <v>57.935286000000005</v>
      </c>
      <c r="AO36" s="138"/>
      <c r="AP36" s="395">
        <f t="shared" si="15"/>
        <v>1.031051699999999</v>
      </c>
      <c r="AQ36" s="396">
        <f t="shared" si="16"/>
        <v>1.8119068162208783E-2</v>
      </c>
      <c r="AR36" s="397"/>
    </row>
    <row r="37" spans="1:44" ht="12" customHeight="1">
      <c r="A37" s="53"/>
      <c r="B37" s="328" t="s">
        <v>341</v>
      </c>
      <c r="C37" s="575"/>
      <c r="D37" s="390"/>
      <c r="E37" s="328"/>
      <c r="F37" s="408">
        <f>F46</f>
        <v>0.10453</v>
      </c>
      <c r="G37" s="501">
        <f>$F$9*(1+F$65)-$F$9</f>
        <v>58995.162200000137</v>
      </c>
      <c r="H37" s="394">
        <f t="shared" si="31"/>
        <v>6166.764304766014</v>
      </c>
      <c r="I37" s="138"/>
      <c r="J37" s="408">
        <f>J46</f>
        <v>0.10453</v>
      </c>
      <c r="K37" s="501">
        <f>$F$9*(1+J$65)-$F$9</f>
        <v>57947.910799999721</v>
      </c>
      <c r="L37" s="394">
        <f t="shared" si="33"/>
        <v>6057.295115923971</v>
      </c>
      <c r="M37" s="138"/>
      <c r="N37" s="395">
        <f t="shared" si="3"/>
        <v>-109.46918884204297</v>
      </c>
      <c r="O37" s="396">
        <f t="shared" si="4"/>
        <v>-1.7751479289947757E-2</v>
      </c>
      <c r="P37" s="53"/>
      <c r="Q37" s="408">
        <f>Q46</f>
        <v>0.10453</v>
      </c>
      <c r="R37" s="501">
        <f>$F$9*(1+Q$65)-$F$9</f>
        <v>57947.910799999721</v>
      </c>
      <c r="S37" s="394">
        <f t="shared" si="35"/>
        <v>6057.295115923971</v>
      </c>
      <c r="T37" s="138"/>
      <c r="U37" s="395">
        <f t="shared" si="6"/>
        <v>0</v>
      </c>
      <c r="V37" s="396">
        <f t="shared" si="7"/>
        <v>0</v>
      </c>
      <c r="W37" s="53"/>
      <c r="X37" s="408">
        <f>X46</f>
        <v>0.10453</v>
      </c>
      <c r="Y37" s="501">
        <f>$F$9*(1+X$65)-$F$9</f>
        <v>57947.910799999721</v>
      </c>
      <c r="Z37" s="394">
        <f t="shared" si="37"/>
        <v>6057.295115923971</v>
      </c>
      <c r="AA37" s="138"/>
      <c r="AB37" s="395">
        <f t="shared" si="9"/>
        <v>0</v>
      </c>
      <c r="AC37" s="396">
        <f t="shared" si="10"/>
        <v>0</v>
      </c>
      <c r="AD37" s="53"/>
      <c r="AE37" s="408">
        <f>AE46</f>
        <v>0.10453</v>
      </c>
      <c r="AF37" s="501">
        <f>$F$9*(1+AE$65)-$F$9</f>
        <v>57947.910799999721</v>
      </c>
      <c r="AG37" s="394">
        <f t="shared" si="39"/>
        <v>6057.295115923971</v>
      </c>
      <c r="AH37" s="138"/>
      <c r="AI37" s="395">
        <f t="shared" si="12"/>
        <v>0</v>
      </c>
      <c r="AJ37" s="396">
        <f t="shared" si="13"/>
        <v>0</v>
      </c>
      <c r="AK37" s="53"/>
      <c r="AL37" s="408">
        <f>AL46</f>
        <v>0.10453</v>
      </c>
      <c r="AM37" s="501">
        <f>$F$9*(1+AL$65)-$F$9</f>
        <v>57947.910799999721</v>
      </c>
      <c r="AN37" s="394">
        <f t="shared" si="41"/>
        <v>6057.295115923971</v>
      </c>
      <c r="AO37" s="138"/>
      <c r="AP37" s="395">
        <f t="shared" si="15"/>
        <v>0</v>
      </c>
      <c r="AQ37" s="396">
        <f t="shared" si="16"/>
        <v>0</v>
      </c>
      <c r="AR37" s="397"/>
    </row>
    <row r="38" spans="1:44" ht="12" customHeight="1">
      <c r="A38" s="53"/>
      <c r="B38" s="328" t="s">
        <v>302</v>
      </c>
      <c r="C38" s="573"/>
      <c r="D38" s="390"/>
      <c r="E38" s="328"/>
      <c r="F38" s="408">
        <f>IFERROR(VLOOKUP($C38,'Proposed Rates'!$B:$J,F$11,FALSE),0)</f>
        <v>0</v>
      </c>
      <c r="G38" s="409">
        <f>IF($D38="Monthly",1,IF($D38="per KW",$F$10,IF($D38="per kWh",$F$9,0)))</f>
        <v>0</v>
      </c>
      <c r="H38" s="394">
        <f t="shared" si="31"/>
        <v>0</v>
      </c>
      <c r="I38" s="138"/>
      <c r="J38" s="408">
        <f>IFERROR(VLOOKUP($C38,'Proposed Rates'!$B:$J,J$11,FALSE),0)</f>
        <v>0</v>
      </c>
      <c r="K38" s="409">
        <f>IF($D38="Monthly",1,IF($D38="per KW",$F$10,IF($D38="per kWh",$F$9,0)))</f>
        <v>0</v>
      </c>
      <c r="L38" s="394">
        <f t="shared" si="33"/>
        <v>0</v>
      </c>
      <c r="M38" s="138"/>
      <c r="N38" s="395">
        <f t="shared" si="3"/>
        <v>0</v>
      </c>
      <c r="O38" s="396" t="str">
        <f t="shared" si="4"/>
        <v/>
      </c>
      <c r="P38" s="53"/>
      <c r="Q38" s="408">
        <f>IFERROR(VLOOKUP($C38,'Proposed Rates'!$B:$J,Q$11,FALSE),0)</f>
        <v>0</v>
      </c>
      <c r="R38" s="409">
        <f>IF($D38="Monthly",1,IF($D38="per KW",$F$10,IF($D38="per kWh",$F$9,0)))</f>
        <v>0</v>
      </c>
      <c r="S38" s="394">
        <f t="shared" si="35"/>
        <v>0</v>
      </c>
      <c r="T38" s="138"/>
      <c r="U38" s="395">
        <f t="shared" si="6"/>
        <v>0</v>
      </c>
      <c r="V38" s="396" t="str">
        <f t="shared" si="7"/>
        <v/>
      </c>
      <c r="W38" s="53"/>
      <c r="X38" s="408">
        <f>IFERROR(VLOOKUP($C38,'Proposed Rates'!$B:$J,X$11,FALSE),0)</f>
        <v>0</v>
      </c>
      <c r="Y38" s="409">
        <f>IF($D38="Monthly",1,IF($D38="per KW",$F$10,IF($D38="per kWh",$F$9,0)))</f>
        <v>0</v>
      </c>
      <c r="Z38" s="394">
        <f t="shared" si="37"/>
        <v>0</v>
      </c>
      <c r="AA38" s="138"/>
      <c r="AB38" s="395">
        <f t="shared" si="9"/>
        <v>0</v>
      </c>
      <c r="AC38" s="396" t="str">
        <f t="shared" si="10"/>
        <v/>
      </c>
      <c r="AD38" s="53"/>
      <c r="AE38" s="408">
        <f>IFERROR(VLOOKUP($C38,'Proposed Rates'!$B:$J,AE$11,FALSE),0)</f>
        <v>0</v>
      </c>
      <c r="AF38" s="409">
        <f>IF($D38="Monthly",1,IF($D38="per KW",$F$10,IF($D38="per kWh",$F$9,0)))</f>
        <v>0</v>
      </c>
      <c r="AG38" s="394">
        <f t="shared" si="39"/>
        <v>0</v>
      </c>
      <c r="AH38" s="138"/>
      <c r="AI38" s="395">
        <f t="shared" si="12"/>
        <v>0</v>
      </c>
      <c r="AJ38" s="396" t="str">
        <f t="shared" si="13"/>
        <v/>
      </c>
      <c r="AK38" s="53"/>
      <c r="AL38" s="408">
        <f>IFERROR(VLOOKUP($C38,'Proposed Rates'!$B:$J,AL$11,FALSE),0)</f>
        <v>0</v>
      </c>
      <c r="AM38" s="409">
        <f>IF($D38="Monthly",1,IF($D38="per KW",$F$10,IF($D38="per kWh",$F$9,0)))</f>
        <v>0</v>
      </c>
      <c r="AN38" s="394">
        <f t="shared" si="41"/>
        <v>0</v>
      </c>
      <c r="AO38" s="138"/>
      <c r="AP38" s="395">
        <f t="shared" si="15"/>
        <v>0</v>
      </c>
      <c r="AQ38" s="396" t="str">
        <f t="shared" si="16"/>
        <v/>
      </c>
      <c r="AR38" s="397"/>
    </row>
    <row r="39" spans="1:44" ht="12" customHeight="1">
      <c r="A39" s="53"/>
      <c r="B39" s="399" t="s">
        <v>342</v>
      </c>
      <c r="C39" s="576"/>
      <c r="D39" s="416"/>
      <c r="E39" s="416"/>
      <c r="F39" s="417"/>
      <c r="G39" s="495"/>
      <c r="H39" s="403">
        <f>SUM(H30:H38)+H29</f>
        <v>146854.527530566</v>
      </c>
      <c r="I39" s="419"/>
      <c r="J39" s="417"/>
      <c r="K39" s="495"/>
      <c r="L39" s="403">
        <f>SUM(L30:L38)+L29</f>
        <v>147821.68168722399</v>
      </c>
      <c r="M39" s="419"/>
      <c r="N39" s="405">
        <f t="shared" si="3"/>
        <v>967.15415665798355</v>
      </c>
      <c r="O39" s="406">
        <f t="shared" si="4"/>
        <v>6.5857973391843985E-3</v>
      </c>
      <c r="P39" s="53"/>
      <c r="Q39" s="417"/>
      <c r="R39" s="495"/>
      <c r="S39" s="403">
        <f>SUM(S30:S38)+S29</f>
        <v>129584.44329682397</v>
      </c>
      <c r="T39" s="419"/>
      <c r="U39" s="405">
        <f t="shared" si="6"/>
        <v>-18237.238390400016</v>
      </c>
      <c r="V39" s="406">
        <f t="shared" si="7"/>
        <v>-0.12337323038299756</v>
      </c>
      <c r="W39" s="53"/>
      <c r="X39" s="417"/>
      <c r="Y39" s="495"/>
      <c r="Z39" s="403">
        <f>SUM(Z30:Z38)+Z29</f>
        <v>124086.97605862399</v>
      </c>
      <c r="AA39" s="419"/>
      <c r="AB39" s="405">
        <f t="shared" si="9"/>
        <v>-5497.4672381999844</v>
      </c>
      <c r="AC39" s="406">
        <f t="shared" si="10"/>
        <v>-4.2423821087903102E-2</v>
      </c>
      <c r="AD39" s="53"/>
      <c r="AE39" s="417"/>
      <c r="AF39" s="495"/>
      <c r="AG39" s="403">
        <f>SUM(AG30:AG38)+AG29</f>
        <v>122874.88500322396</v>
      </c>
      <c r="AH39" s="419"/>
      <c r="AI39" s="405">
        <f t="shared" si="12"/>
        <v>-1212.0910554000293</v>
      </c>
      <c r="AJ39" s="406">
        <f t="shared" si="13"/>
        <v>-9.7680763437041594E-3</v>
      </c>
      <c r="AK39" s="53"/>
      <c r="AL39" s="417"/>
      <c r="AM39" s="495"/>
      <c r="AN39" s="403">
        <f>SUM(AN30:AN38)+AN29</f>
        <v>123978.91202092398</v>
      </c>
      <c r="AO39" s="419"/>
      <c r="AP39" s="405">
        <f t="shared" si="15"/>
        <v>1104.0270177000202</v>
      </c>
      <c r="AQ39" s="406">
        <f t="shared" si="16"/>
        <v>8.9849688784738486E-3</v>
      </c>
      <c r="AR39" s="407"/>
    </row>
    <row r="40" spans="1:44" ht="12" customHeight="1">
      <c r="A40" s="53"/>
      <c r="B40" s="138" t="s">
        <v>285</v>
      </c>
      <c r="C40" s="573" t="str">
        <f t="shared" ref="C40:C41" si="42">D$6&amp;"."&amp;B40</f>
        <v>Street Light.RTSR - Network</v>
      </c>
      <c r="D40" s="420" t="s">
        <v>406</v>
      </c>
      <c r="E40" s="138"/>
      <c r="F40" s="408">
        <f>IFERROR(VLOOKUP($C40,'Proposed Rates'!$B:$J,F$11,FALSE),0)</f>
        <v>3.597</v>
      </c>
      <c r="G40" s="409">
        <f t="shared" ref="G40:G41" si="43">IF($D40="Monthly",1,IF($D40="per KW",$F$10,IF($D40="per kWh",$F$9,0)))</f>
        <v>4909.7700000000004</v>
      </c>
      <c r="H40" s="394">
        <f t="shared" ref="H40:H41" si="44">G40*F40</f>
        <v>17660.44269</v>
      </c>
      <c r="I40" s="138"/>
      <c r="J40" s="408">
        <f>IFERROR(VLOOKUP($C40,'Proposed Rates'!$B:$J,J$11,FALSE),0)</f>
        <v>2.1576</v>
      </c>
      <c r="K40" s="409">
        <f t="shared" ref="K40:K41" si="45">IF($D40="Monthly",1,IF($D40="per KW",$F$10,IF($D40="per kWh",$F$9,0)))</f>
        <v>4909.7700000000004</v>
      </c>
      <c r="L40" s="394">
        <f t="shared" ref="L40:L41" si="46">K40*J40</f>
        <v>10593.319752000001</v>
      </c>
      <c r="M40" s="138"/>
      <c r="N40" s="395">
        <f t="shared" si="3"/>
        <v>-7067.1229379999986</v>
      </c>
      <c r="O40" s="396">
        <f t="shared" si="4"/>
        <v>-0.40016680567139273</v>
      </c>
      <c r="P40" s="53"/>
      <c r="Q40" s="408">
        <f>IFERROR(VLOOKUP($C40,'Proposed Rates'!$B:$J,Q$11,FALSE),0)</f>
        <v>2.1576</v>
      </c>
      <c r="R40" s="409">
        <f t="shared" ref="R40:R41" si="47">IF($D40="Monthly",1,IF($D40="per KW",$F$10,IF($D40="per kWh",$F$9,0)))</f>
        <v>4909.7700000000004</v>
      </c>
      <c r="S40" s="394">
        <f t="shared" ref="S40:S41" si="48">R40*Q40</f>
        <v>10593.319752000001</v>
      </c>
      <c r="T40" s="138"/>
      <c r="U40" s="395">
        <f t="shared" si="6"/>
        <v>0</v>
      </c>
      <c r="V40" s="396">
        <f t="shared" si="7"/>
        <v>0</v>
      </c>
      <c r="W40" s="53"/>
      <c r="X40" s="408">
        <f>IFERROR(VLOOKUP($C40,'Proposed Rates'!$B:$J,X$11,FALSE),0)</f>
        <v>2.1576</v>
      </c>
      <c r="Y40" s="409">
        <f t="shared" ref="Y40:Y41" si="49">IF($D40="Monthly",1,IF($D40="per KW",$F$10,IF($D40="per kWh",$F$9,0)))</f>
        <v>4909.7700000000004</v>
      </c>
      <c r="Z40" s="394">
        <f t="shared" ref="Z40:Z41" si="50">Y40*X40</f>
        <v>10593.319752000001</v>
      </c>
      <c r="AA40" s="138"/>
      <c r="AB40" s="395">
        <f t="shared" si="9"/>
        <v>0</v>
      </c>
      <c r="AC40" s="396">
        <f t="shared" si="10"/>
        <v>0</v>
      </c>
      <c r="AD40" s="53"/>
      <c r="AE40" s="408">
        <f>IFERROR(VLOOKUP($C40,'Proposed Rates'!$B:$J,AE$11,FALSE),0)</f>
        <v>2.1576</v>
      </c>
      <c r="AF40" s="409">
        <f t="shared" ref="AF40:AF41" si="51">IF($D40="Monthly",1,IF($D40="per KW",$F$10,IF($D40="per kWh",$F$9,0)))</f>
        <v>4909.7700000000004</v>
      </c>
      <c r="AG40" s="394">
        <f t="shared" ref="AG40:AG41" si="52">AF40*AE40</f>
        <v>10593.319752000001</v>
      </c>
      <c r="AH40" s="138"/>
      <c r="AI40" s="395">
        <f t="shared" si="12"/>
        <v>0</v>
      </c>
      <c r="AJ40" s="396">
        <f t="shared" si="13"/>
        <v>0</v>
      </c>
      <c r="AK40" s="53"/>
      <c r="AL40" s="408">
        <f>IFERROR(VLOOKUP($C40,'Proposed Rates'!$B:$J,AL$11,FALSE),0)</f>
        <v>2.1576</v>
      </c>
      <c r="AM40" s="409">
        <f t="shared" ref="AM40:AM41" si="53">IF($D40="Monthly",1,IF($D40="per KW",$F$10,IF($D40="per kWh",$F$9,0)))</f>
        <v>4909.7700000000004</v>
      </c>
      <c r="AN40" s="394">
        <f t="shared" ref="AN40:AN41" si="54">AM40*AL40</f>
        <v>10593.319752000001</v>
      </c>
      <c r="AO40" s="138"/>
      <c r="AP40" s="395">
        <f t="shared" si="15"/>
        <v>0</v>
      </c>
      <c r="AQ40" s="396">
        <f t="shared" si="16"/>
        <v>0</v>
      </c>
      <c r="AR40" s="397"/>
    </row>
    <row r="41" spans="1:44" ht="12" customHeight="1">
      <c r="A41" s="53"/>
      <c r="B41" s="138" t="s">
        <v>288</v>
      </c>
      <c r="C41" s="573" t="str">
        <f t="shared" si="42"/>
        <v>Street Light.RTSR - Line and Transformation Connection</v>
      </c>
      <c r="D41" s="420" t="s">
        <v>406</v>
      </c>
      <c r="E41" s="138"/>
      <c r="F41" s="408">
        <f>IFERROR(VLOOKUP($C41,'Proposed Rates'!$B:$J,F$11,FALSE),0)</f>
        <v>2.1377000000000002</v>
      </c>
      <c r="G41" s="409">
        <f t="shared" si="43"/>
        <v>4909.7700000000004</v>
      </c>
      <c r="H41" s="394">
        <f t="shared" si="44"/>
        <v>10495.615329000002</v>
      </c>
      <c r="I41" s="138"/>
      <c r="J41" s="408">
        <f>IFERROR(VLOOKUP($C41,'Proposed Rates'!$B:$J,J$11,FALSE),0)</f>
        <v>1.2213000000000001</v>
      </c>
      <c r="K41" s="409">
        <f t="shared" si="45"/>
        <v>4909.7700000000004</v>
      </c>
      <c r="L41" s="394">
        <f t="shared" si="46"/>
        <v>5996.3021010000011</v>
      </c>
      <c r="M41" s="138"/>
      <c r="N41" s="395">
        <f t="shared" si="3"/>
        <v>-4499.3132280000009</v>
      </c>
      <c r="O41" s="396">
        <f t="shared" si="4"/>
        <v>-0.4286850353183328</v>
      </c>
      <c r="P41" s="53"/>
      <c r="Q41" s="408">
        <f>IFERROR(VLOOKUP($C41,'Proposed Rates'!$B:$J,Q$11,FALSE),0)</f>
        <v>1.2213000000000001</v>
      </c>
      <c r="R41" s="409">
        <f t="shared" si="47"/>
        <v>4909.7700000000004</v>
      </c>
      <c r="S41" s="394">
        <f t="shared" si="48"/>
        <v>5996.3021010000011</v>
      </c>
      <c r="T41" s="138"/>
      <c r="U41" s="395">
        <f t="shared" si="6"/>
        <v>0</v>
      </c>
      <c r="V41" s="396">
        <f t="shared" si="7"/>
        <v>0</v>
      </c>
      <c r="W41" s="53"/>
      <c r="X41" s="408">
        <f>IFERROR(VLOOKUP($C41,'Proposed Rates'!$B:$J,X$11,FALSE),0)</f>
        <v>1.2213000000000001</v>
      </c>
      <c r="Y41" s="409">
        <f t="shared" si="49"/>
        <v>4909.7700000000004</v>
      </c>
      <c r="Z41" s="394">
        <f t="shared" si="50"/>
        <v>5996.3021010000011</v>
      </c>
      <c r="AA41" s="138"/>
      <c r="AB41" s="395">
        <f t="shared" si="9"/>
        <v>0</v>
      </c>
      <c r="AC41" s="396">
        <f t="shared" si="10"/>
        <v>0</v>
      </c>
      <c r="AD41" s="53"/>
      <c r="AE41" s="408">
        <f>IFERROR(VLOOKUP($C41,'Proposed Rates'!$B:$J,AE$11,FALSE),0)</f>
        <v>1.2213000000000001</v>
      </c>
      <c r="AF41" s="409">
        <f t="shared" si="51"/>
        <v>4909.7700000000004</v>
      </c>
      <c r="AG41" s="394">
        <f t="shared" si="52"/>
        <v>5996.3021010000011</v>
      </c>
      <c r="AH41" s="138"/>
      <c r="AI41" s="395">
        <f t="shared" si="12"/>
        <v>0</v>
      </c>
      <c r="AJ41" s="396">
        <f t="shared" si="13"/>
        <v>0</v>
      </c>
      <c r="AK41" s="53"/>
      <c r="AL41" s="408">
        <f>IFERROR(VLOOKUP($C41,'Proposed Rates'!$B:$J,AL$11,FALSE),0)</f>
        <v>1.2213000000000001</v>
      </c>
      <c r="AM41" s="409">
        <f t="shared" si="53"/>
        <v>4909.7700000000004</v>
      </c>
      <c r="AN41" s="394">
        <f t="shared" si="54"/>
        <v>5996.3021010000011</v>
      </c>
      <c r="AO41" s="138"/>
      <c r="AP41" s="395">
        <f t="shared" si="15"/>
        <v>0</v>
      </c>
      <c r="AQ41" s="396">
        <f t="shared" si="16"/>
        <v>0</v>
      </c>
      <c r="AR41" s="397"/>
    </row>
    <row r="42" spans="1:44" ht="12" customHeight="1">
      <c r="A42" s="53"/>
      <c r="B42" s="399" t="s">
        <v>343</v>
      </c>
      <c r="C42" s="577"/>
      <c r="D42" s="421"/>
      <c r="E42" s="421"/>
      <c r="F42" s="422"/>
      <c r="G42" s="495"/>
      <c r="H42" s="403">
        <f>SUM(H39:H41)</f>
        <v>175010.58554956599</v>
      </c>
      <c r="I42" s="404"/>
      <c r="J42" s="422"/>
      <c r="K42" s="495"/>
      <c r="L42" s="403">
        <f>SUM(L39:L41)</f>
        <v>164411.30354022401</v>
      </c>
      <c r="M42" s="404"/>
      <c r="N42" s="405">
        <f t="shared" si="3"/>
        <v>-10599.282009341987</v>
      </c>
      <c r="O42" s="406">
        <f t="shared" si="4"/>
        <v>-6.0563662341099299E-2</v>
      </c>
      <c r="P42" s="53"/>
      <c r="Q42" s="422"/>
      <c r="R42" s="495"/>
      <c r="S42" s="403">
        <f>SUM(S39:S41)</f>
        <v>146174.06514982399</v>
      </c>
      <c r="T42" s="404"/>
      <c r="U42" s="405">
        <f t="shared" si="6"/>
        <v>-18237.238390400016</v>
      </c>
      <c r="V42" s="406">
        <f t="shared" si="7"/>
        <v>-0.11092448023768749</v>
      </c>
      <c r="W42" s="53"/>
      <c r="X42" s="422"/>
      <c r="Y42" s="495"/>
      <c r="Z42" s="403">
        <f>SUM(Z39:Z41)</f>
        <v>140676.59791162401</v>
      </c>
      <c r="AA42" s="404"/>
      <c r="AB42" s="405">
        <f t="shared" si="9"/>
        <v>-5497.4672381999844</v>
      </c>
      <c r="AC42" s="406">
        <f t="shared" si="10"/>
        <v>-3.7609046670250612E-2</v>
      </c>
      <c r="AD42" s="53"/>
      <c r="AE42" s="422"/>
      <c r="AF42" s="495"/>
      <c r="AG42" s="403">
        <f>SUM(AG39:AG41)</f>
        <v>139464.50685622398</v>
      </c>
      <c r="AH42" s="404"/>
      <c r="AI42" s="405">
        <f t="shared" si="12"/>
        <v>-1212.0910554000293</v>
      </c>
      <c r="AJ42" s="406">
        <f t="shared" si="13"/>
        <v>-8.6161527460416002E-3</v>
      </c>
      <c r="AK42" s="53"/>
      <c r="AL42" s="422"/>
      <c r="AM42" s="495"/>
      <c r="AN42" s="403">
        <f>SUM(AN39:AN41)</f>
        <v>140568.533873924</v>
      </c>
      <c r="AO42" s="404"/>
      <c r="AP42" s="405">
        <f t="shared" si="15"/>
        <v>1104.0270177000202</v>
      </c>
      <c r="AQ42" s="406">
        <f t="shared" si="16"/>
        <v>7.9161862941814869E-3</v>
      </c>
      <c r="AR42" s="407"/>
    </row>
    <row r="43" spans="1:44" ht="12" customHeight="1">
      <c r="A43" s="53"/>
      <c r="B43" s="328" t="s">
        <v>289</v>
      </c>
      <c r="C43" s="573" t="str">
        <f t="shared" ref="C43:C45" si="55">D$6&amp;"."&amp;B43</f>
        <v>Street Light.Wholesale Market Service Charge (WMSC)</v>
      </c>
      <c r="D43" s="390" t="s">
        <v>337</v>
      </c>
      <c r="E43" s="328"/>
      <c r="F43" s="408">
        <f>IFERROR(VLOOKUP($C43,'Proposed Rates'!$B:$J,F$11,FALSE),0)</f>
        <v>4.4999999999999997E-3</v>
      </c>
      <c r="G43" s="568">
        <f t="shared" ref="G43:G44" si="56">$F$9+G$37</f>
        <v>1804414.1622000001</v>
      </c>
      <c r="H43" s="394">
        <f t="shared" ref="H43:H46" si="57">G43*F43</f>
        <v>8119.8637299000002</v>
      </c>
      <c r="I43" s="138"/>
      <c r="J43" s="408">
        <f>IFERROR(VLOOKUP($C43,'Proposed Rates'!$B:$J,J$11,FALSE),0)</f>
        <v>4.7000000000000002E-3</v>
      </c>
      <c r="K43" s="568">
        <f t="shared" ref="K43:K44" si="58">$F$9+K$37</f>
        <v>1803366.9107999997</v>
      </c>
      <c r="L43" s="394">
        <f t="shared" ref="L43:L46" si="59">K43*J43</f>
        <v>8475.8244807599986</v>
      </c>
      <c r="M43" s="138"/>
      <c r="N43" s="395">
        <f t="shared" si="3"/>
        <v>355.96075085999837</v>
      </c>
      <c r="O43" s="396">
        <f t="shared" si="4"/>
        <v>4.3838266589282061E-2</v>
      </c>
      <c r="P43" s="53"/>
      <c r="Q43" s="408">
        <f>IFERROR(VLOOKUP($C43,'Proposed Rates'!$B:$J,Q$11,FALSE),0)</f>
        <v>4.7000000000000002E-3</v>
      </c>
      <c r="R43" s="568">
        <f t="shared" ref="R43:R44" si="60">$F$9+R$37</f>
        <v>1803366.9107999997</v>
      </c>
      <c r="S43" s="394">
        <f t="shared" ref="S43:S46" si="61">R43*Q43</f>
        <v>8475.8244807599986</v>
      </c>
      <c r="T43" s="138"/>
      <c r="U43" s="395">
        <f t="shared" si="6"/>
        <v>0</v>
      </c>
      <c r="V43" s="396">
        <f t="shared" si="7"/>
        <v>0</v>
      </c>
      <c r="W43" s="53"/>
      <c r="X43" s="408">
        <f>IFERROR(VLOOKUP($C43,'Proposed Rates'!$B:$J,X$11,FALSE),0)</f>
        <v>4.7000000000000002E-3</v>
      </c>
      <c r="Y43" s="568">
        <f t="shared" ref="Y43:Y44" si="62">$F$9+Y$37</f>
        <v>1803366.9107999997</v>
      </c>
      <c r="Z43" s="394">
        <f t="shared" ref="Z43:Z46" si="63">Y43*X43</f>
        <v>8475.8244807599986</v>
      </c>
      <c r="AA43" s="138"/>
      <c r="AB43" s="395">
        <f t="shared" si="9"/>
        <v>0</v>
      </c>
      <c r="AC43" s="396">
        <f t="shared" si="10"/>
        <v>0</v>
      </c>
      <c r="AD43" s="53"/>
      <c r="AE43" s="408">
        <f>IFERROR(VLOOKUP($C43,'Proposed Rates'!$B:$J,AE$11,FALSE),0)</f>
        <v>4.7000000000000002E-3</v>
      </c>
      <c r="AF43" s="568">
        <f t="shared" ref="AF43:AF44" si="64">$F$9+AF$37</f>
        <v>1803366.9107999997</v>
      </c>
      <c r="AG43" s="394">
        <f t="shared" ref="AG43:AG46" si="65">AF43*AE43</f>
        <v>8475.8244807599986</v>
      </c>
      <c r="AH43" s="138"/>
      <c r="AI43" s="395">
        <f t="shared" si="12"/>
        <v>0</v>
      </c>
      <c r="AJ43" s="396">
        <f t="shared" si="13"/>
        <v>0</v>
      </c>
      <c r="AK43" s="53"/>
      <c r="AL43" s="408">
        <f>IFERROR(VLOOKUP($C43,'Proposed Rates'!$B:$J,AL$11,FALSE),0)</f>
        <v>4.7000000000000002E-3</v>
      </c>
      <c r="AM43" s="568">
        <f t="shared" ref="AM43:AM44" si="66">$F$9+AM$37</f>
        <v>1803366.9107999997</v>
      </c>
      <c r="AN43" s="394">
        <f t="shared" ref="AN43:AN46" si="67">AM43*AL43</f>
        <v>8475.8244807599986</v>
      </c>
      <c r="AO43" s="138"/>
      <c r="AP43" s="395">
        <f t="shared" si="15"/>
        <v>0</v>
      </c>
      <c r="AQ43" s="396">
        <f t="shared" si="16"/>
        <v>0</v>
      </c>
      <c r="AR43" s="397"/>
    </row>
    <row r="44" spans="1:44" ht="12" customHeight="1">
      <c r="A44" s="53"/>
      <c r="B44" s="328" t="s">
        <v>290</v>
      </c>
      <c r="C44" s="573" t="str">
        <f t="shared" si="55"/>
        <v>Street Light.Rural and Remote Rate Protection (RRRP)</v>
      </c>
      <c r="D44" s="390" t="s">
        <v>337</v>
      </c>
      <c r="E44" s="328"/>
      <c r="F44" s="408">
        <f>IFERROR(VLOOKUP($C44,'Proposed Rates'!$B:$J,F$11,FALSE),0)</f>
        <v>1.5E-3</v>
      </c>
      <c r="G44" s="568">
        <f t="shared" si="56"/>
        <v>1804414.1622000001</v>
      </c>
      <c r="H44" s="394">
        <f t="shared" si="57"/>
        <v>2706.6212433000001</v>
      </c>
      <c r="I44" s="138"/>
      <c r="J44" s="408">
        <f>IFERROR(VLOOKUP($C44,'Proposed Rates'!$B:$J,J$11,FALSE),0)</f>
        <v>5.9999999999999995E-4</v>
      </c>
      <c r="K44" s="568">
        <f t="shared" si="58"/>
        <v>1803366.9107999997</v>
      </c>
      <c r="L44" s="394">
        <f t="shared" si="59"/>
        <v>1082.0201464799998</v>
      </c>
      <c r="M44" s="138"/>
      <c r="N44" s="395">
        <f t="shared" si="3"/>
        <v>-1624.6010968200003</v>
      </c>
      <c r="O44" s="396">
        <f t="shared" si="4"/>
        <v>-0.600232153221126</v>
      </c>
      <c r="P44" s="53"/>
      <c r="Q44" s="408">
        <f>IFERROR(VLOOKUP($C44,'Proposed Rates'!$B:$J,Q$11,FALSE),0)</f>
        <v>5.9999999999999995E-4</v>
      </c>
      <c r="R44" s="568">
        <f t="shared" si="60"/>
        <v>1803366.9107999997</v>
      </c>
      <c r="S44" s="394">
        <f t="shared" si="61"/>
        <v>1082.0201464799998</v>
      </c>
      <c r="T44" s="138"/>
      <c r="U44" s="395">
        <f t="shared" si="6"/>
        <v>0</v>
      </c>
      <c r="V44" s="396">
        <f t="shared" si="7"/>
        <v>0</v>
      </c>
      <c r="W44" s="53"/>
      <c r="X44" s="408">
        <f>IFERROR(VLOOKUP($C44,'Proposed Rates'!$B:$J,X$11,FALSE),0)</f>
        <v>5.9999999999999995E-4</v>
      </c>
      <c r="Y44" s="568">
        <f t="shared" si="62"/>
        <v>1803366.9107999997</v>
      </c>
      <c r="Z44" s="394">
        <f t="shared" si="63"/>
        <v>1082.0201464799998</v>
      </c>
      <c r="AA44" s="138"/>
      <c r="AB44" s="395">
        <f t="shared" si="9"/>
        <v>0</v>
      </c>
      <c r="AC44" s="396">
        <f t="shared" si="10"/>
        <v>0</v>
      </c>
      <c r="AD44" s="53"/>
      <c r="AE44" s="408">
        <f>IFERROR(VLOOKUP($C44,'Proposed Rates'!$B:$J,AE$11,FALSE),0)</f>
        <v>5.9999999999999995E-4</v>
      </c>
      <c r="AF44" s="568">
        <f t="shared" si="64"/>
        <v>1803366.9107999997</v>
      </c>
      <c r="AG44" s="394">
        <f t="shared" si="65"/>
        <v>1082.0201464799998</v>
      </c>
      <c r="AH44" s="138"/>
      <c r="AI44" s="395">
        <f t="shared" si="12"/>
        <v>0</v>
      </c>
      <c r="AJ44" s="396">
        <f t="shared" si="13"/>
        <v>0</v>
      </c>
      <c r="AK44" s="53"/>
      <c r="AL44" s="408">
        <f>IFERROR(VLOOKUP($C44,'Proposed Rates'!$B:$J,AL$11,FALSE),0)</f>
        <v>5.9999999999999995E-4</v>
      </c>
      <c r="AM44" s="568">
        <f t="shared" si="66"/>
        <v>1803366.9107999997</v>
      </c>
      <c r="AN44" s="394">
        <f t="shared" si="67"/>
        <v>1082.0201464799998</v>
      </c>
      <c r="AO44" s="138"/>
      <c r="AP44" s="395">
        <f t="shared" si="15"/>
        <v>0</v>
      </c>
      <c r="AQ44" s="396">
        <f t="shared" si="16"/>
        <v>0</v>
      </c>
      <c r="AR44" s="397"/>
    </row>
    <row r="45" spans="1:44" ht="12" customHeight="1">
      <c r="A45" s="53"/>
      <c r="B45" s="328" t="s">
        <v>291</v>
      </c>
      <c r="C45" s="573" t="str">
        <f t="shared" si="55"/>
        <v>Street Light.Standard Supply Service Charge</v>
      </c>
      <c r="D45" s="390" t="s">
        <v>335</v>
      </c>
      <c r="E45" s="328"/>
      <c r="F45" s="391">
        <f>IFERROR(VLOOKUP($C45,'Proposed Rates'!$B:$J,F$11,FALSE),0)</f>
        <v>0.25</v>
      </c>
      <c r="G45" s="409">
        <f>IF($D45="Monthly",1,IF($D45="per KW",$F$10,IF($D45="per kWh",$F$9,0)))</f>
        <v>1</v>
      </c>
      <c r="H45" s="394">
        <f t="shared" si="57"/>
        <v>0.25</v>
      </c>
      <c r="I45" s="138"/>
      <c r="J45" s="391">
        <f>IFERROR(VLOOKUP($C45,'Proposed Rates'!$B:$J,J$11,FALSE),0)</f>
        <v>0.25</v>
      </c>
      <c r="K45" s="409">
        <f>IF($D45="Monthly",1,IF($D45="per KW",$F$10,IF($D45="per kWh",$F$9,0)))</f>
        <v>1</v>
      </c>
      <c r="L45" s="394">
        <f t="shared" si="59"/>
        <v>0.25</v>
      </c>
      <c r="M45" s="138"/>
      <c r="N45" s="395">
        <f t="shared" si="3"/>
        <v>0</v>
      </c>
      <c r="O45" s="396">
        <f t="shared" si="4"/>
        <v>0</v>
      </c>
      <c r="P45" s="53"/>
      <c r="Q45" s="391">
        <f>IFERROR(VLOOKUP($C45,'Proposed Rates'!$B:$J,Q$11,FALSE),0)</f>
        <v>0.25</v>
      </c>
      <c r="R45" s="409">
        <f>IF($D45="Monthly",1,IF($D45="per KW",$F$10,IF($D45="per kWh",$F$9,0)))</f>
        <v>1</v>
      </c>
      <c r="S45" s="394">
        <f t="shared" si="61"/>
        <v>0.25</v>
      </c>
      <c r="T45" s="138"/>
      <c r="U45" s="395">
        <f t="shared" si="6"/>
        <v>0</v>
      </c>
      <c r="V45" s="396">
        <f t="shared" si="7"/>
        <v>0</v>
      </c>
      <c r="W45" s="53"/>
      <c r="X45" s="391">
        <f>IFERROR(VLOOKUP($C45,'Proposed Rates'!$B:$J,X$11,FALSE),0)</f>
        <v>0.25</v>
      </c>
      <c r="Y45" s="409">
        <f>IF($D45="Monthly",1,IF($D45="per KW",$F$10,IF($D45="per kWh",$F$9,0)))</f>
        <v>1</v>
      </c>
      <c r="Z45" s="394">
        <f t="shared" si="63"/>
        <v>0.25</v>
      </c>
      <c r="AA45" s="138"/>
      <c r="AB45" s="395">
        <f t="shared" si="9"/>
        <v>0</v>
      </c>
      <c r="AC45" s="396">
        <f t="shared" si="10"/>
        <v>0</v>
      </c>
      <c r="AD45" s="53"/>
      <c r="AE45" s="391">
        <f>IFERROR(VLOOKUP($C45,'Proposed Rates'!$B:$J,AE$11,FALSE),0)</f>
        <v>0.25</v>
      </c>
      <c r="AF45" s="409">
        <f>IF($D45="Monthly",1,IF($D45="per KW",$F$10,IF($D45="per kWh",$F$9,0)))</f>
        <v>1</v>
      </c>
      <c r="AG45" s="394">
        <f t="shared" si="65"/>
        <v>0.25</v>
      </c>
      <c r="AH45" s="138"/>
      <c r="AI45" s="395">
        <f t="shared" si="12"/>
        <v>0</v>
      </c>
      <c r="AJ45" s="396">
        <f t="shared" si="13"/>
        <v>0</v>
      </c>
      <c r="AK45" s="53"/>
      <c r="AL45" s="391">
        <f>IFERROR(VLOOKUP($C45,'Proposed Rates'!$B:$J,AL$11,FALSE),0)</f>
        <v>0.25</v>
      </c>
      <c r="AM45" s="409">
        <f>IF($D45="Monthly",1,IF($D45="per KW",$F$10,IF($D45="per kWh",$F$9,0)))</f>
        <v>1</v>
      </c>
      <c r="AN45" s="394">
        <f t="shared" si="67"/>
        <v>0.25</v>
      </c>
      <c r="AO45" s="138"/>
      <c r="AP45" s="395">
        <f t="shared" si="15"/>
        <v>0</v>
      </c>
      <c r="AQ45" s="396">
        <f t="shared" si="16"/>
        <v>0</v>
      </c>
      <c r="AR45" s="397"/>
    </row>
    <row r="46" spans="1:44" ht="12" customHeight="1">
      <c r="A46" s="53"/>
      <c r="B46" s="328" t="s">
        <v>298</v>
      </c>
      <c r="C46" s="389" t="str">
        <f>B46</f>
        <v>Average IESO Wholesale Market Price</v>
      </c>
      <c r="D46" s="390" t="s">
        <v>337</v>
      </c>
      <c r="E46" s="328"/>
      <c r="F46" s="408">
        <f>IFERROR(VLOOKUP($C46,'Proposed Rates'!$B:$J,F$11,FALSE),0)</f>
        <v>0.10453</v>
      </c>
      <c r="G46" s="569">
        <f>$F$9</f>
        <v>1745419</v>
      </c>
      <c r="H46" s="394">
        <f t="shared" si="57"/>
        <v>182448.64807</v>
      </c>
      <c r="I46" s="138"/>
      <c r="J46" s="408">
        <f>IFERROR(VLOOKUP($C46,'Proposed Rates'!$B:$J,J$11,FALSE),0)</f>
        <v>0.10453</v>
      </c>
      <c r="K46" s="569">
        <f>$F$9</f>
        <v>1745419</v>
      </c>
      <c r="L46" s="394">
        <f t="shared" si="59"/>
        <v>182448.64807</v>
      </c>
      <c r="M46" s="138"/>
      <c r="N46" s="395">
        <f t="shared" si="3"/>
        <v>0</v>
      </c>
      <c r="O46" s="396">
        <f t="shared" si="4"/>
        <v>0</v>
      </c>
      <c r="P46" s="53"/>
      <c r="Q46" s="408">
        <f>IFERROR(VLOOKUP($C46,'Proposed Rates'!$B:$J,Q$11,FALSE),0)</f>
        <v>0.10453</v>
      </c>
      <c r="R46" s="569">
        <f>$F$9</f>
        <v>1745419</v>
      </c>
      <c r="S46" s="394">
        <f t="shared" si="61"/>
        <v>182448.64807</v>
      </c>
      <c r="T46" s="138"/>
      <c r="U46" s="395">
        <f t="shared" si="6"/>
        <v>0</v>
      </c>
      <c r="V46" s="396">
        <f t="shared" si="7"/>
        <v>0</v>
      </c>
      <c r="W46" s="53"/>
      <c r="X46" s="408">
        <f>IFERROR(VLOOKUP($C46,'Proposed Rates'!$B:$J,X$11,FALSE),0)</f>
        <v>0.10453</v>
      </c>
      <c r="Y46" s="569">
        <f>$F$9</f>
        <v>1745419</v>
      </c>
      <c r="Z46" s="394">
        <f t="shared" si="63"/>
        <v>182448.64807</v>
      </c>
      <c r="AA46" s="138"/>
      <c r="AB46" s="395">
        <f t="shared" si="9"/>
        <v>0</v>
      </c>
      <c r="AC46" s="396">
        <f t="shared" si="10"/>
        <v>0</v>
      </c>
      <c r="AD46" s="53"/>
      <c r="AE46" s="408">
        <f>IFERROR(VLOOKUP($C46,'Proposed Rates'!$B:$J,AE$11,FALSE),0)</f>
        <v>0.10453</v>
      </c>
      <c r="AF46" s="569">
        <f>$F$9</f>
        <v>1745419</v>
      </c>
      <c r="AG46" s="394">
        <f t="shared" si="65"/>
        <v>182448.64807</v>
      </c>
      <c r="AH46" s="138"/>
      <c r="AI46" s="395">
        <f t="shared" si="12"/>
        <v>0</v>
      </c>
      <c r="AJ46" s="396">
        <f t="shared" si="13"/>
        <v>0</v>
      </c>
      <c r="AK46" s="53"/>
      <c r="AL46" s="408">
        <f>IFERROR(VLOOKUP($C46,'Proposed Rates'!$B:$J,AL$11,FALSE),0)</f>
        <v>0.10453</v>
      </c>
      <c r="AM46" s="569">
        <f>$F$9</f>
        <v>1745419</v>
      </c>
      <c r="AN46" s="394">
        <f t="shared" si="67"/>
        <v>182448.64807</v>
      </c>
      <c r="AO46" s="138"/>
      <c r="AP46" s="395">
        <f t="shared" si="15"/>
        <v>0</v>
      </c>
      <c r="AQ46" s="396">
        <f t="shared" si="16"/>
        <v>0</v>
      </c>
      <c r="AR46" s="397"/>
    </row>
    <row r="47" spans="1:44" ht="12" customHeight="1">
      <c r="A47" s="53"/>
      <c r="B47" s="328"/>
      <c r="C47" s="389" t="str">
        <f t="shared" ref="C47:C50" si="68">D$6&amp;"."&amp;B47</f>
        <v>Street Light.</v>
      </c>
      <c r="D47" s="390"/>
      <c r="E47" s="328"/>
      <c r="F47" s="424"/>
      <c r="G47" s="569"/>
      <c r="H47" s="394"/>
      <c r="I47" s="138"/>
      <c r="J47" s="424"/>
      <c r="K47" s="569"/>
      <c r="L47" s="394"/>
      <c r="M47" s="138"/>
      <c r="N47" s="395"/>
      <c r="O47" s="396"/>
      <c r="P47" s="53"/>
      <c r="Q47" s="424"/>
      <c r="R47" s="569"/>
      <c r="S47" s="394"/>
      <c r="T47" s="138"/>
      <c r="U47" s="395"/>
      <c r="V47" s="396"/>
      <c r="W47" s="53"/>
      <c r="X47" s="424"/>
      <c r="Y47" s="569"/>
      <c r="Z47" s="394"/>
      <c r="AA47" s="138"/>
      <c r="AB47" s="395"/>
      <c r="AC47" s="396"/>
      <c r="AD47" s="53"/>
      <c r="AE47" s="424"/>
      <c r="AF47" s="569"/>
      <c r="AG47" s="394"/>
      <c r="AH47" s="138"/>
      <c r="AI47" s="395"/>
      <c r="AJ47" s="396"/>
      <c r="AK47" s="53"/>
      <c r="AL47" s="424"/>
      <c r="AM47" s="569"/>
      <c r="AN47" s="394"/>
      <c r="AO47" s="138"/>
      <c r="AP47" s="395"/>
      <c r="AQ47" s="396"/>
      <c r="AR47" s="397"/>
    </row>
    <row r="48" spans="1:44" ht="12" customHeight="1">
      <c r="A48" s="53"/>
      <c r="B48" s="328"/>
      <c r="C48" s="389" t="str">
        <f t="shared" si="68"/>
        <v>Street Light.</v>
      </c>
      <c r="D48" s="390"/>
      <c r="E48" s="328"/>
      <c r="F48" s="424"/>
      <c r="G48" s="569"/>
      <c r="H48" s="394"/>
      <c r="I48" s="138"/>
      <c r="J48" s="424"/>
      <c r="K48" s="569"/>
      <c r="L48" s="394"/>
      <c r="M48" s="138"/>
      <c r="N48" s="395"/>
      <c r="O48" s="396"/>
      <c r="P48" s="53"/>
      <c r="Q48" s="424"/>
      <c r="R48" s="569"/>
      <c r="S48" s="394"/>
      <c r="T48" s="138"/>
      <c r="U48" s="395"/>
      <c r="V48" s="396"/>
      <c r="W48" s="53"/>
      <c r="X48" s="424"/>
      <c r="Y48" s="569"/>
      <c r="Z48" s="394"/>
      <c r="AA48" s="138"/>
      <c r="AB48" s="395"/>
      <c r="AC48" s="396"/>
      <c r="AD48" s="53"/>
      <c r="AE48" s="424"/>
      <c r="AF48" s="569"/>
      <c r="AG48" s="394"/>
      <c r="AH48" s="138"/>
      <c r="AI48" s="395"/>
      <c r="AJ48" s="396"/>
      <c r="AK48" s="53"/>
      <c r="AL48" s="424"/>
      <c r="AM48" s="569"/>
      <c r="AN48" s="394"/>
      <c r="AO48" s="138"/>
      <c r="AP48" s="395"/>
      <c r="AQ48" s="396"/>
      <c r="AR48" s="397"/>
    </row>
    <row r="49" spans="1:44" ht="12" customHeight="1">
      <c r="A49" s="53"/>
      <c r="B49" s="328"/>
      <c r="C49" s="389" t="str">
        <f t="shared" si="68"/>
        <v>Street Light.</v>
      </c>
      <c r="D49" s="390"/>
      <c r="E49" s="328"/>
      <c r="F49" s="424"/>
      <c r="G49" s="569"/>
      <c r="H49" s="394"/>
      <c r="I49" s="138"/>
      <c r="J49" s="424"/>
      <c r="K49" s="569"/>
      <c r="L49" s="394"/>
      <c r="M49" s="138"/>
      <c r="N49" s="395"/>
      <c r="O49" s="396"/>
      <c r="P49" s="53"/>
      <c r="Q49" s="424"/>
      <c r="R49" s="569"/>
      <c r="S49" s="394"/>
      <c r="T49" s="138"/>
      <c r="U49" s="395"/>
      <c r="V49" s="396"/>
      <c r="W49" s="53"/>
      <c r="X49" s="424"/>
      <c r="Y49" s="569"/>
      <c r="Z49" s="394"/>
      <c r="AA49" s="138"/>
      <c r="AB49" s="395"/>
      <c r="AC49" s="396"/>
      <c r="AD49" s="53"/>
      <c r="AE49" s="424"/>
      <c r="AF49" s="569"/>
      <c r="AG49" s="394"/>
      <c r="AH49" s="138"/>
      <c r="AI49" s="395"/>
      <c r="AJ49" s="396"/>
      <c r="AK49" s="53"/>
      <c r="AL49" s="424"/>
      <c r="AM49" s="569"/>
      <c r="AN49" s="394"/>
      <c r="AO49" s="138"/>
      <c r="AP49" s="395"/>
      <c r="AQ49" s="396"/>
      <c r="AR49" s="397"/>
    </row>
    <row r="50" spans="1:44" ht="12" customHeight="1">
      <c r="A50" s="53"/>
      <c r="B50" s="328"/>
      <c r="C50" s="389" t="str">
        <f t="shared" si="68"/>
        <v>Street Light.</v>
      </c>
      <c r="D50" s="390"/>
      <c r="E50" s="328"/>
      <c r="F50" s="424"/>
      <c r="G50" s="569"/>
      <c r="H50" s="394"/>
      <c r="I50" s="138"/>
      <c r="J50" s="424"/>
      <c r="K50" s="569"/>
      <c r="L50" s="394"/>
      <c r="M50" s="138"/>
      <c r="N50" s="395"/>
      <c r="O50" s="396"/>
      <c r="P50" s="53"/>
      <c r="Q50" s="424"/>
      <c r="R50" s="569"/>
      <c r="S50" s="394"/>
      <c r="T50" s="138"/>
      <c r="U50" s="395"/>
      <c r="V50" s="396"/>
      <c r="W50" s="53"/>
      <c r="X50" s="424"/>
      <c r="Y50" s="569"/>
      <c r="Z50" s="394"/>
      <c r="AA50" s="138"/>
      <c r="AB50" s="395"/>
      <c r="AC50" s="396"/>
      <c r="AD50" s="53"/>
      <c r="AE50" s="424"/>
      <c r="AF50" s="569"/>
      <c r="AG50" s="394"/>
      <c r="AH50" s="138"/>
      <c r="AI50" s="395"/>
      <c r="AJ50" s="396"/>
      <c r="AK50" s="53"/>
      <c r="AL50" s="424"/>
      <c r="AM50" s="569"/>
      <c r="AN50" s="394"/>
      <c r="AO50" s="138"/>
      <c r="AP50" s="395"/>
      <c r="AQ50" s="396"/>
      <c r="AR50" s="397"/>
    </row>
    <row r="51" spans="1:44" ht="12" customHeight="1">
      <c r="A51" s="53"/>
      <c r="B51" s="428"/>
      <c r="C51" s="578"/>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row>
    <row r="52" spans="1:44" ht="12" customHeight="1">
      <c r="A52" s="53"/>
      <c r="B52" s="438" t="s">
        <v>344</v>
      </c>
      <c r="C52" s="575"/>
      <c r="D52" s="328"/>
      <c r="E52" s="328"/>
      <c r="F52" s="439"/>
      <c r="G52" s="483"/>
      <c r="H52" s="441">
        <f>SUM(H43:H48,H42)</f>
        <v>368285.96859276597</v>
      </c>
      <c r="I52" s="476"/>
      <c r="J52" s="440"/>
      <c r="K52" s="440"/>
      <c r="L52" s="441">
        <f>SUM(L43:L48,L42)</f>
        <v>356418.046237464</v>
      </c>
      <c r="M52" s="443"/>
      <c r="N52" s="442">
        <f t="shared" ref="N52:N56" si="69">L52-H52</f>
        <v>-11867.922355301969</v>
      </c>
      <c r="O52" s="444">
        <f t="shared" ref="O52:O56" si="70">IF((H52)=0,"",(N52/H52))</f>
        <v>-3.2224747526086131E-2</v>
      </c>
      <c r="P52" s="53"/>
      <c r="Q52" s="440"/>
      <c r="R52" s="440"/>
      <c r="S52" s="441">
        <f>SUM(S43:S48,S42)</f>
        <v>338180.80784706399</v>
      </c>
      <c r="T52" s="443"/>
      <c r="U52" s="442">
        <f t="shared" ref="U52:U56" si="71">S52-L52</f>
        <v>-18237.238390400016</v>
      </c>
      <c r="V52" s="444">
        <f t="shared" ref="V52:V56" si="72">IF((L52)=0,"",(U52/L52))</f>
        <v>-5.1168111668087178E-2</v>
      </c>
      <c r="W52" s="53"/>
      <c r="X52" s="440"/>
      <c r="Y52" s="440"/>
      <c r="Z52" s="441">
        <f>SUM(Z43:Z48,Z42)</f>
        <v>332683.34060886397</v>
      </c>
      <c r="AA52" s="443"/>
      <c r="AB52" s="442">
        <f t="shared" ref="AB52:AB56" si="73">Z52-S52</f>
        <v>-5497.4672382000135</v>
      </c>
      <c r="AC52" s="444">
        <f t="shared" ref="AC52:AC56" si="74">IF((S52)=0,"",(AB52/S52))</f>
        <v>-1.6256000076403335E-2</v>
      </c>
      <c r="AD52" s="53"/>
      <c r="AE52" s="440"/>
      <c r="AF52" s="440"/>
      <c r="AG52" s="441">
        <f>SUM(AG43:AG48,AG42)</f>
        <v>331471.249553464</v>
      </c>
      <c r="AH52" s="443"/>
      <c r="AI52" s="442">
        <f t="shared" ref="AI52:AI56" si="75">AG52-Z52</f>
        <v>-1212.0910553999711</v>
      </c>
      <c r="AJ52" s="444">
        <f t="shared" ref="AJ52:AJ56" si="76">IF((Z52)=0,"",(AI52/Z52))</f>
        <v>-3.6433776731400187E-3</v>
      </c>
      <c r="AK52" s="53"/>
      <c r="AL52" s="440"/>
      <c r="AM52" s="440"/>
      <c r="AN52" s="441">
        <f>SUM(AN43:AN48,AN42)</f>
        <v>332575.27657116402</v>
      </c>
      <c r="AO52" s="443"/>
      <c r="AP52" s="442">
        <f t="shared" ref="AP52:AP56" si="77">AN52-AG52</f>
        <v>1104.0270177000202</v>
      </c>
      <c r="AQ52" s="444">
        <f t="shared" ref="AQ52:AQ56" si="78">IF((AG52)=0,"",(AP52/AG52))</f>
        <v>3.3306871084212942E-3</v>
      </c>
      <c r="AR52" s="445"/>
    </row>
    <row r="53" spans="1:44" ht="12" customHeight="1">
      <c r="A53" s="53"/>
      <c r="B53" s="446" t="s">
        <v>345</v>
      </c>
      <c r="C53" s="575"/>
      <c r="D53" s="328"/>
      <c r="E53" s="328"/>
      <c r="F53" s="439">
        <v>0.13</v>
      </c>
      <c r="G53" s="138"/>
      <c r="H53" s="484">
        <f>H52*F53</f>
        <v>47877.175917059576</v>
      </c>
      <c r="I53" s="411"/>
      <c r="J53" s="447">
        <v>0.13</v>
      </c>
      <c r="K53" s="411"/>
      <c r="L53" s="394">
        <f>L52*J53</f>
        <v>46334.346010870322</v>
      </c>
      <c r="M53" s="138"/>
      <c r="N53" s="395">
        <f t="shared" si="69"/>
        <v>-1542.829906189254</v>
      </c>
      <c r="O53" s="396">
        <f t="shared" si="70"/>
        <v>-3.2224747526086089E-2</v>
      </c>
      <c r="P53" s="53"/>
      <c r="Q53" s="447">
        <v>0.13</v>
      </c>
      <c r="R53" s="411"/>
      <c r="S53" s="394">
        <f>S52*Q53</f>
        <v>43963.505020118318</v>
      </c>
      <c r="T53" s="138"/>
      <c r="U53" s="395">
        <f t="shared" si="71"/>
        <v>-2370.8409907520036</v>
      </c>
      <c r="V53" s="396">
        <f t="shared" si="72"/>
        <v>-5.1168111668087206E-2</v>
      </c>
      <c r="W53" s="53"/>
      <c r="X53" s="447">
        <v>0.13</v>
      </c>
      <c r="Y53" s="411"/>
      <c r="Z53" s="394">
        <f>Z52*X53</f>
        <v>43248.834279152317</v>
      </c>
      <c r="AA53" s="138"/>
      <c r="AB53" s="395">
        <f t="shared" si="73"/>
        <v>-714.67074096600118</v>
      </c>
      <c r="AC53" s="396">
        <f t="shared" si="74"/>
        <v>-1.6256000076403321E-2</v>
      </c>
      <c r="AD53" s="53"/>
      <c r="AE53" s="447">
        <v>0.13</v>
      </c>
      <c r="AF53" s="411"/>
      <c r="AG53" s="394">
        <f>AG52*AE53</f>
        <v>43091.262441950319</v>
      </c>
      <c r="AH53" s="138"/>
      <c r="AI53" s="395">
        <f t="shared" si="75"/>
        <v>-157.57183720199828</v>
      </c>
      <c r="AJ53" s="396">
        <f t="shared" si="76"/>
        <v>-3.6433776731400656E-3</v>
      </c>
      <c r="AK53" s="53"/>
      <c r="AL53" s="447">
        <v>0.13</v>
      </c>
      <c r="AM53" s="411"/>
      <c r="AN53" s="394">
        <f>AN52*AL53</f>
        <v>43234.785954251325</v>
      </c>
      <c r="AO53" s="138"/>
      <c r="AP53" s="395">
        <f t="shared" si="77"/>
        <v>143.52351230100612</v>
      </c>
      <c r="AQ53" s="396">
        <f t="shared" si="78"/>
        <v>3.3306871084213753E-3</v>
      </c>
      <c r="AR53" s="397"/>
    </row>
    <row r="54" spans="1:44" ht="12" customHeight="1">
      <c r="A54" s="53"/>
      <c r="B54" s="448" t="s">
        <v>454</v>
      </c>
      <c r="C54" s="575"/>
      <c r="D54" s="328"/>
      <c r="E54" s="328"/>
      <c r="F54" s="449"/>
      <c r="G54" s="138"/>
      <c r="H54" s="484">
        <f>H52+H53</f>
        <v>416163.14450982556</v>
      </c>
      <c r="I54" s="411"/>
      <c r="J54" s="411"/>
      <c r="K54" s="411"/>
      <c r="L54" s="394">
        <f>L52+L53</f>
        <v>402752.3922483343</v>
      </c>
      <c r="M54" s="138"/>
      <c r="N54" s="395">
        <f t="shared" si="69"/>
        <v>-13410.75226149126</v>
      </c>
      <c r="O54" s="396">
        <f t="shared" si="70"/>
        <v>-3.2224747526086207E-2</v>
      </c>
      <c r="P54" s="53"/>
      <c r="Q54" s="411"/>
      <c r="R54" s="411"/>
      <c r="S54" s="394">
        <f>S52+S53</f>
        <v>382144.31286718231</v>
      </c>
      <c r="T54" s="138"/>
      <c r="U54" s="395">
        <f t="shared" si="71"/>
        <v>-20608.079381151998</v>
      </c>
      <c r="V54" s="396">
        <f t="shared" si="72"/>
        <v>-5.116811166808713E-2</v>
      </c>
      <c r="W54" s="53"/>
      <c r="X54" s="411"/>
      <c r="Y54" s="411"/>
      <c r="Z54" s="394">
        <f>Z52+Z53</f>
        <v>375932.17488801631</v>
      </c>
      <c r="AA54" s="138"/>
      <c r="AB54" s="395">
        <f t="shared" si="73"/>
        <v>-6212.1379791660002</v>
      </c>
      <c r="AC54" s="396">
        <f t="shared" si="74"/>
        <v>-1.6256000076403293E-2</v>
      </c>
      <c r="AD54" s="53"/>
      <c r="AE54" s="411"/>
      <c r="AF54" s="411"/>
      <c r="AG54" s="394">
        <f>AG52+AG53</f>
        <v>374562.51199541433</v>
      </c>
      <c r="AH54" s="138"/>
      <c r="AI54" s="395">
        <f t="shared" si="75"/>
        <v>-1369.6628926019766</v>
      </c>
      <c r="AJ54" s="396">
        <f t="shared" si="76"/>
        <v>-3.643377673140043E-3</v>
      </c>
      <c r="AK54" s="53"/>
      <c r="AL54" s="411"/>
      <c r="AM54" s="411"/>
      <c r="AN54" s="394">
        <f>AN52+AN53</f>
        <v>375810.06252541533</v>
      </c>
      <c r="AO54" s="138"/>
      <c r="AP54" s="395">
        <f t="shared" si="77"/>
        <v>1247.5505300009972</v>
      </c>
      <c r="AQ54" s="396">
        <f t="shared" si="78"/>
        <v>3.3306871084212257E-3</v>
      </c>
      <c r="AR54" s="397"/>
    </row>
    <row r="55" spans="1:44" ht="12" customHeight="1">
      <c r="A55" s="53"/>
      <c r="B55" s="626" t="s">
        <v>304</v>
      </c>
      <c r="C55" s="616"/>
      <c r="D55" s="616"/>
      <c r="E55" s="328"/>
      <c r="F55" s="449"/>
      <c r="G55" s="138"/>
      <c r="H55" s="486">
        <f>F55*H52</f>
        <v>0</v>
      </c>
      <c r="I55" s="411"/>
      <c r="J55" s="411"/>
      <c r="K55" s="411"/>
      <c r="L55" s="506">
        <f>J55*L52</f>
        <v>0</v>
      </c>
      <c r="M55" s="138"/>
      <c r="N55" s="451">
        <f t="shared" si="69"/>
        <v>0</v>
      </c>
      <c r="O55" s="453" t="str">
        <f t="shared" si="70"/>
        <v/>
      </c>
      <c r="P55" s="53"/>
      <c r="Q55" s="411"/>
      <c r="R55" s="411"/>
      <c r="S55" s="506">
        <f>Q55*S52</f>
        <v>0</v>
      </c>
      <c r="T55" s="138"/>
      <c r="U55" s="451">
        <f t="shared" si="71"/>
        <v>0</v>
      </c>
      <c r="V55" s="453" t="str">
        <f t="shared" si="72"/>
        <v/>
      </c>
      <c r="W55" s="53"/>
      <c r="X55" s="411"/>
      <c r="Y55" s="411"/>
      <c r="Z55" s="506">
        <f>X55*Z52</f>
        <v>0</v>
      </c>
      <c r="AA55" s="138"/>
      <c r="AB55" s="451">
        <f t="shared" si="73"/>
        <v>0</v>
      </c>
      <c r="AC55" s="453" t="str">
        <f t="shared" si="74"/>
        <v/>
      </c>
      <c r="AD55" s="53"/>
      <c r="AE55" s="411"/>
      <c r="AF55" s="411"/>
      <c r="AG55" s="506">
        <f>AE55*AG52</f>
        <v>0</v>
      </c>
      <c r="AH55" s="138"/>
      <c r="AI55" s="451">
        <f t="shared" si="75"/>
        <v>0</v>
      </c>
      <c r="AJ55" s="453" t="str">
        <f t="shared" si="76"/>
        <v/>
      </c>
      <c r="AK55" s="53"/>
      <c r="AL55" s="411"/>
      <c r="AM55" s="411"/>
      <c r="AN55" s="506">
        <f>AL55*AN52</f>
        <v>0</v>
      </c>
      <c r="AO55" s="138"/>
      <c r="AP55" s="451">
        <f t="shared" si="77"/>
        <v>0</v>
      </c>
      <c r="AQ55" s="453" t="str">
        <f t="shared" si="78"/>
        <v/>
      </c>
      <c r="AR55" s="454"/>
    </row>
    <row r="56" spans="1:44" ht="12" customHeight="1">
      <c r="A56" s="53"/>
      <c r="B56" s="627" t="s">
        <v>347</v>
      </c>
      <c r="C56" s="608"/>
      <c r="D56" s="600"/>
      <c r="E56" s="455"/>
      <c r="F56" s="456"/>
      <c r="G56" s="487"/>
      <c r="H56" s="488">
        <f>H54-H55</f>
        <v>416163.14450982556</v>
      </c>
      <c r="I56" s="457"/>
      <c r="J56" s="457"/>
      <c r="K56" s="457"/>
      <c r="L56" s="458">
        <f>L54-L55</f>
        <v>402752.3922483343</v>
      </c>
      <c r="M56" s="459"/>
      <c r="N56" s="460">
        <f t="shared" si="69"/>
        <v>-13410.75226149126</v>
      </c>
      <c r="O56" s="461">
        <f t="shared" si="70"/>
        <v>-3.2224747526086207E-2</v>
      </c>
      <c r="P56" s="53"/>
      <c r="Q56" s="457"/>
      <c r="R56" s="457"/>
      <c r="S56" s="458">
        <f>S54-S55</f>
        <v>382144.31286718231</v>
      </c>
      <c r="T56" s="459"/>
      <c r="U56" s="460">
        <f t="shared" si="71"/>
        <v>-20608.079381151998</v>
      </c>
      <c r="V56" s="461">
        <f t="shared" si="72"/>
        <v>-5.116811166808713E-2</v>
      </c>
      <c r="W56" s="53"/>
      <c r="X56" s="457"/>
      <c r="Y56" s="457"/>
      <c r="Z56" s="458">
        <f>Z54-Z55</f>
        <v>375932.17488801631</v>
      </c>
      <c r="AA56" s="459"/>
      <c r="AB56" s="460">
        <f t="shared" si="73"/>
        <v>-6212.1379791660002</v>
      </c>
      <c r="AC56" s="461">
        <f t="shared" si="74"/>
        <v>-1.6256000076403293E-2</v>
      </c>
      <c r="AD56" s="53"/>
      <c r="AE56" s="457"/>
      <c r="AF56" s="457"/>
      <c r="AG56" s="458">
        <f>AG54-AG55</f>
        <v>374562.51199541433</v>
      </c>
      <c r="AH56" s="459"/>
      <c r="AI56" s="460">
        <f t="shared" si="75"/>
        <v>-1369.6628926019766</v>
      </c>
      <c r="AJ56" s="461">
        <f t="shared" si="76"/>
        <v>-3.643377673140043E-3</v>
      </c>
      <c r="AK56" s="53"/>
      <c r="AL56" s="457"/>
      <c r="AM56" s="457"/>
      <c r="AN56" s="458">
        <f>AN54-AN55</f>
        <v>375810.06252541533</v>
      </c>
      <c r="AO56" s="459"/>
      <c r="AP56" s="460">
        <f t="shared" si="77"/>
        <v>1247.5505300009972</v>
      </c>
      <c r="AQ56" s="461">
        <f t="shared" si="78"/>
        <v>3.3306871084212257E-3</v>
      </c>
      <c r="AR56" s="462"/>
    </row>
    <row r="57" spans="1:44" ht="12" customHeight="1">
      <c r="A57" s="53"/>
      <c r="B57" s="428"/>
      <c r="C57" s="578"/>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row>
    <row r="58" spans="1:44" ht="12" customHeight="1">
      <c r="A58" s="53"/>
      <c r="B58" s="438" t="s">
        <v>348</v>
      </c>
      <c r="C58" s="575"/>
      <c r="D58" s="328"/>
      <c r="E58" s="328"/>
      <c r="F58" s="439"/>
      <c r="G58" s="483"/>
      <c r="H58" s="441">
        <f>SUM(H49:H50,H42,H43:H45)</f>
        <v>185837.32052276601</v>
      </c>
      <c r="I58" s="476"/>
      <c r="J58" s="440"/>
      <c r="K58" s="440"/>
      <c r="L58" s="441">
        <f>SUM(L49:L50,L42,L43:L45)</f>
        <v>173969.39816746401</v>
      </c>
      <c r="M58" s="443"/>
      <c r="N58" s="442">
        <f t="shared" ref="N58:N62" si="79">L58-H58</f>
        <v>-11867.922355301998</v>
      </c>
      <c r="O58" s="444">
        <f t="shared" ref="O58:O62" si="80">IF((H58)=0,"",(N58/H58))</f>
        <v>-6.3861889107726985E-2</v>
      </c>
      <c r="P58" s="53"/>
      <c r="Q58" s="440"/>
      <c r="R58" s="440"/>
      <c r="S58" s="441">
        <f>SUM(S49:S50,S42,S43:S45)</f>
        <v>155732.15977706399</v>
      </c>
      <c r="T58" s="443"/>
      <c r="U58" s="442">
        <f t="shared" ref="U58:U62" si="81">S58-L58</f>
        <v>-18237.238390400016</v>
      </c>
      <c r="V58" s="444">
        <f t="shared" ref="V58:V62" si="82">IF((L58)=0,"",(U58/L58))</f>
        <v>-0.10483015163876545</v>
      </c>
      <c r="W58" s="53"/>
      <c r="X58" s="440"/>
      <c r="Y58" s="440"/>
      <c r="Z58" s="441">
        <f>SUM(Z49:Z50,Z42,Z43:Z45)</f>
        <v>150234.69253886401</v>
      </c>
      <c r="AA58" s="443"/>
      <c r="AB58" s="442">
        <f t="shared" ref="AB58:AB62" si="83">Z58-S58</f>
        <v>-5497.4672381999844</v>
      </c>
      <c r="AC58" s="444">
        <f t="shared" ref="AC58:AC62" si="84">IF((S58)=0,"",(AB58/S58))</f>
        <v>-3.5300783383918906E-2</v>
      </c>
      <c r="AD58" s="53"/>
      <c r="AE58" s="440"/>
      <c r="AF58" s="440"/>
      <c r="AG58" s="441">
        <f>SUM(AG49:AG50,AG42,AG43:AG45)</f>
        <v>149022.60148346398</v>
      </c>
      <c r="AH58" s="443"/>
      <c r="AI58" s="442">
        <f t="shared" ref="AI58:AI62" si="85">AG58-Z58</f>
        <v>-1212.0910554000293</v>
      </c>
      <c r="AJ58" s="444">
        <f t="shared" ref="AJ58:AJ62" si="86">IF((Z58)=0,"",(AI58/Z58))</f>
        <v>-8.0679837320962004E-3</v>
      </c>
      <c r="AK58" s="53"/>
      <c r="AL58" s="440"/>
      <c r="AM58" s="440"/>
      <c r="AN58" s="441">
        <f>SUM(AN49:AN50,AN42,AN43:AN45)</f>
        <v>150126.628501164</v>
      </c>
      <c r="AO58" s="443"/>
      <c r="AP58" s="442">
        <f t="shared" ref="AP58:AP62" si="87">AN58-AG58</f>
        <v>1104.0270177000202</v>
      </c>
      <c r="AQ58" s="444">
        <f t="shared" ref="AQ58:AQ62" si="88">IF((AG58)=0,"",(AP58/AG58))</f>
        <v>7.4084535279202368E-3</v>
      </c>
      <c r="AR58" s="445"/>
    </row>
    <row r="59" spans="1:44" ht="12" customHeight="1">
      <c r="A59" s="53"/>
      <c r="B59" s="446" t="s">
        <v>345</v>
      </c>
      <c r="C59" s="575"/>
      <c r="D59" s="328"/>
      <c r="E59" s="328"/>
      <c r="F59" s="439">
        <v>0.13</v>
      </c>
      <c r="G59" s="483"/>
      <c r="H59" s="484">
        <f>H58*F59</f>
        <v>24158.851667959581</v>
      </c>
      <c r="I59" s="411"/>
      <c r="J59" s="439">
        <v>0.13</v>
      </c>
      <c r="K59" s="447"/>
      <c r="L59" s="394">
        <f>L58*J59</f>
        <v>22616.02176177032</v>
      </c>
      <c r="M59" s="138"/>
      <c r="N59" s="395">
        <f t="shared" si="79"/>
        <v>-1542.8299061892612</v>
      </c>
      <c r="O59" s="396">
        <f t="shared" si="80"/>
        <v>-6.3861889107727041E-2</v>
      </c>
      <c r="P59" s="53"/>
      <c r="Q59" s="439">
        <v>0.13</v>
      </c>
      <c r="R59" s="447"/>
      <c r="S59" s="394">
        <f>S58*Q59</f>
        <v>20245.18077101832</v>
      </c>
      <c r="T59" s="138"/>
      <c r="U59" s="395">
        <f t="shared" si="81"/>
        <v>-2370.8409907519999</v>
      </c>
      <c r="V59" s="396">
        <f t="shared" si="82"/>
        <v>-0.10483015163876536</v>
      </c>
      <c r="W59" s="53"/>
      <c r="X59" s="439">
        <v>0.13</v>
      </c>
      <c r="Y59" s="447"/>
      <c r="Z59" s="394">
        <f>Z58*X59</f>
        <v>19530.510030052323</v>
      </c>
      <c r="AA59" s="138"/>
      <c r="AB59" s="395">
        <f t="shared" si="83"/>
        <v>-714.67074096599754</v>
      </c>
      <c r="AC59" s="396">
        <f t="shared" si="84"/>
        <v>-3.5300783383918878E-2</v>
      </c>
      <c r="AD59" s="53"/>
      <c r="AE59" s="439">
        <v>0.13</v>
      </c>
      <c r="AF59" s="447"/>
      <c r="AG59" s="394">
        <f>AG58*AE59</f>
        <v>19372.938192850317</v>
      </c>
      <c r="AH59" s="138"/>
      <c r="AI59" s="395">
        <f t="shared" si="85"/>
        <v>-157.57183720200555</v>
      </c>
      <c r="AJ59" s="396">
        <f t="shared" si="86"/>
        <v>-8.0679837320962889E-3</v>
      </c>
      <c r="AK59" s="53"/>
      <c r="AL59" s="439">
        <v>0.13</v>
      </c>
      <c r="AM59" s="447"/>
      <c r="AN59" s="394">
        <f>AN58*AL59</f>
        <v>19516.46170515132</v>
      </c>
      <c r="AO59" s="138"/>
      <c r="AP59" s="395">
        <f t="shared" si="87"/>
        <v>143.52351230100248</v>
      </c>
      <c r="AQ59" s="396">
        <f t="shared" si="88"/>
        <v>7.408453527920229E-3</v>
      </c>
      <c r="AR59" s="397"/>
    </row>
    <row r="60" spans="1:44" ht="12" customHeight="1">
      <c r="A60" s="53"/>
      <c r="B60" s="448" t="s">
        <v>455</v>
      </c>
      <c r="C60" s="575"/>
      <c r="D60" s="328"/>
      <c r="E60" s="328"/>
      <c r="F60" s="449"/>
      <c r="G60" s="138"/>
      <c r="H60" s="484">
        <f>H58+H59</f>
        <v>209996.1721907256</v>
      </c>
      <c r="I60" s="411"/>
      <c r="J60" s="411"/>
      <c r="K60" s="411"/>
      <c r="L60" s="394">
        <f>L58+L59</f>
        <v>196585.41992923434</v>
      </c>
      <c r="M60" s="138"/>
      <c r="N60" s="395">
        <f t="shared" si="79"/>
        <v>-13410.75226149126</v>
      </c>
      <c r="O60" s="396">
        <f t="shared" si="80"/>
        <v>-6.3861889107726985E-2</v>
      </c>
      <c r="P60" s="53"/>
      <c r="Q60" s="411"/>
      <c r="R60" s="411"/>
      <c r="S60" s="394">
        <f>S58+S59</f>
        <v>175977.34054808231</v>
      </c>
      <c r="T60" s="138"/>
      <c r="U60" s="395">
        <f t="shared" si="81"/>
        <v>-20608.079381152027</v>
      </c>
      <c r="V60" s="396">
        <f t="shared" si="82"/>
        <v>-0.1048301516387655</v>
      </c>
      <c r="W60" s="53"/>
      <c r="X60" s="411"/>
      <c r="Y60" s="411"/>
      <c r="Z60" s="394">
        <f>Z58+Z59</f>
        <v>169765.20256891634</v>
      </c>
      <c r="AA60" s="138"/>
      <c r="AB60" s="395">
        <f t="shared" si="83"/>
        <v>-6212.137979165971</v>
      </c>
      <c r="AC60" s="396">
        <f t="shared" si="84"/>
        <v>-3.5300783383918836E-2</v>
      </c>
      <c r="AD60" s="53"/>
      <c r="AE60" s="411"/>
      <c r="AF60" s="411"/>
      <c r="AG60" s="394">
        <f>AG58+AG59</f>
        <v>168395.53967631431</v>
      </c>
      <c r="AH60" s="138"/>
      <c r="AI60" s="395">
        <f t="shared" si="85"/>
        <v>-1369.6628926020348</v>
      </c>
      <c r="AJ60" s="396">
        <f t="shared" si="86"/>
        <v>-8.0679837320962108E-3</v>
      </c>
      <c r="AK60" s="53"/>
      <c r="AL60" s="411"/>
      <c r="AM60" s="411"/>
      <c r="AN60" s="394">
        <f>AN58+AN59</f>
        <v>169643.09020631533</v>
      </c>
      <c r="AO60" s="138"/>
      <c r="AP60" s="395">
        <f t="shared" si="87"/>
        <v>1247.5505300010263</v>
      </c>
      <c r="AQ60" s="396">
        <f t="shared" si="88"/>
        <v>7.4084535279202567E-3</v>
      </c>
      <c r="AR60" s="397"/>
    </row>
    <row r="61" spans="1:44" ht="12" customHeight="1">
      <c r="A61" s="53"/>
      <c r="B61" s="626" t="s">
        <v>304</v>
      </c>
      <c r="C61" s="616"/>
      <c r="D61" s="616"/>
      <c r="E61" s="328"/>
      <c r="F61" s="449"/>
      <c r="G61" s="138"/>
      <c r="H61" s="486">
        <f>F61*H58</f>
        <v>0</v>
      </c>
      <c r="I61" s="411"/>
      <c r="J61" s="411"/>
      <c r="K61" s="411"/>
      <c r="L61" s="506">
        <f>J61*L58</f>
        <v>0</v>
      </c>
      <c r="M61" s="138"/>
      <c r="N61" s="451">
        <f t="shared" si="79"/>
        <v>0</v>
      </c>
      <c r="O61" s="453" t="str">
        <f t="shared" si="80"/>
        <v/>
      </c>
      <c r="P61" s="53"/>
      <c r="Q61" s="411"/>
      <c r="R61" s="411"/>
      <c r="S61" s="506">
        <f>Q61*S58</f>
        <v>0</v>
      </c>
      <c r="T61" s="138"/>
      <c r="U61" s="451">
        <f t="shared" si="81"/>
        <v>0</v>
      </c>
      <c r="V61" s="453" t="str">
        <f t="shared" si="82"/>
        <v/>
      </c>
      <c r="W61" s="53"/>
      <c r="X61" s="411"/>
      <c r="Y61" s="411"/>
      <c r="Z61" s="506">
        <f>X61*Z58</f>
        <v>0</v>
      </c>
      <c r="AA61" s="138"/>
      <c r="AB61" s="451">
        <f t="shared" si="83"/>
        <v>0</v>
      </c>
      <c r="AC61" s="453" t="str">
        <f t="shared" si="84"/>
        <v/>
      </c>
      <c r="AD61" s="53"/>
      <c r="AE61" s="411"/>
      <c r="AF61" s="411"/>
      <c r="AG61" s="506">
        <f>AE61*AG58</f>
        <v>0</v>
      </c>
      <c r="AH61" s="138"/>
      <c r="AI61" s="451">
        <f t="shared" si="85"/>
        <v>0</v>
      </c>
      <c r="AJ61" s="453" t="str">
        <f t="shared" si="86"/>
        <v/>
      </c>
      <c r="AK61" s="53"/>
      <c r="AL61" s="411"/>
      <c r="AM61" s="411"/>
      <c r="AN61" s="506">
        <f>AL61*AN58</f>
        <v>0</v>
      </c>
      <c r="AO61" s="138"/>
      <c r="AP61" s="451">
        <f t="shared" si="87"/>
        <v>0</v>
      </c>
      <c r="AQ61" s="453" t="str">
        <f t="shared" si="88"/>
        <v/>
      </c>
      <c r="AR61" s="454"/>
    </row>
    <row r="62" spans="1:44" ht="12" customHeight="1">
      <c r="A62" s="53"/>
      <c r="B62" s="627" t="s">
        <v>350</v>
      </c>
      <c r="C62" s="608"/>
      <c r="D62" s="600"/>
      <c r="E62" s="455"/>
      <c r="F62" s="463"/>
      <c r="G62" s="489"/>
      <c r="H62" s="490">
        <f>H60-H61</f>
        <v>209996.1721907256</v>
      </c>
      <c r="I62" s="464"/>
      <c r="J62" s="464"/>
      <c r="K62" s="464"/>
      <c r="L62" s="465">
        <f>L60-L61</f>
        <v>196585.41992923434</v>
      </c>
      <c r="M62" s="466"/>
      <c r="N62" s="467">
        <f t="shared" si="79"/>
        <v>-13410.75226149126</v>
      </c>
      <c r="O62" s="468">
        <f t="shared" si="80"/>
        <v>-6.3861889107726985E-2</v>
      </c>
      <c r="P62" s="53"/>
      <c r="Q62" s="464"/>
      <c r="R62" s="464"/>
      <c r="S62" s="465">
        <f>S60-S61</f>
        <v>175977.34054808231</v>
      </c>
      <c r="T62" s="466"/>
      <c r="U62" s="467">
        <f t="shared" si="81"/>
        <v>-20608.079381152027</v>
      </c>
      <c r="V62" s="468">
        <f t="shared" si="82"/>
        <v>-0.1048301516387655</v>
      </c>
      <c r="W62" s="53"/>
      <c r="X62" s="464"/>
      <c r="Y62" s="464"/>
      <c r="Z62" s="465">
        <f>Z60-Z61</f>
        <v>169765.20256891634</v>
      </c>
      <c r="AA62" s="466"/>
      <c r="AB62" s="467">
        <f t="shared" si="83"/>
        <v>-6212.137979165971</v>
      </c>
      <c r="AC62" s="468">
        <f t="shared" si="84"/>
        <v>-3.5300783383918836E-2</v>
      </c>
      <c r="AD62" s="53"/>
      <c r="AE62" s="464"/>
      <c r="AF62" s="464"/>
      <c r="AG62" s="465">
        <f>AG60-AG61</f>
        <v>168395.53967631431</v>
      </c>
      <c r="AH62" s="466"/>
      <c r="AI62" s="467">
        <f t="shared" si="85"/>
        <v>-1369.6628926020348</v>
      </c>
      <c r="AJ62" s="468">
        <f t="shared" si="86"/>
        <v>-8.0679837320962108E-3</v>
      </c>
      <c r="AK62" s="53"/>
      <c r="AL62" s="464"/>
      <c r="AM62" s="464"/>
      <c r="AN62" s="465">
        <f>AN60-AN61</f>
        <v>169643.09020631533</v>
      </c>
      <c r="AO62" s="466"/>
      <c r="AP62" s="467">
        <f t="shared" si="87"/>
        <v>1247.5505300010263</v>
      </c>
      <c r="AQ62" s="468">
        <f t="shared" si="88"/>
        <v>7.4084535279202567E-3</v>
      </c>
      <c r="AR62" s="462"/>
    </row>
    <row r="63" spans="1:44" ht="12" customHeight="1">
      <c r="A63" s="53"/>
      <c r="B63" s="428"/>
      <c r="C63" s="578"/>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row>
    <row r="64" spans="1:44" ht="12" customHeight="1">
      <c r="A64" s="53"/>
      <c r="B64" s="53"/>
      <c r="C64" s="571"/>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 customHeight="1">
      <c r="A65" s="53"/>
      <c r="B65" s="314" t="s">
        <v>351</v>
      </c>
      <c r="C65" s="571"/>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row>
    <row r="66" spans="1:44" ht="12" customHeight="1">
      <c r="A66" s="53"/>
      <c r="B66" s="53"/>
      <c r="C66" s="571"/>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473" t="s">
        <v>456</v>
      </c>
      <c r="B67" s="53"/>
      <c r="C67" s="571"/>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c r="B68" s="53"/>
      <c r="C68" s="571"/>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t="s">
        <v>353</v>
      </c>
      <c r="B69" s="53"/>
      <c r="C69" s="571"/>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t="s">
        <v>354</v>
      </c>
      <c r="B70" s="53"/>
      <c r="C70" s="571"/>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c r="B71" s="53"/>
      <c r="C71" s="571"/>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t="s">
        <v>355</v>
      </c>
      <c r="B72" s="53"/>
      <c r="C72" s="571"/>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t="s">
        <v>356</v>
      </c>
      <c r="B73" s="53"/>
      <c r="C73" s="571"/>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71"/>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t="s">
        <v>357</v>
      </c>
      <c r="B75" s="53"/>
      <c r="C75" s="571"/>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t="s">
        <v>358</v>
      </c>
      <c r="B76" s="53"/>
      <c r="C76" s="571"/>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t="s">
        <v>359</v>
      </c>
      <c r="B77" s="53"/>
      <c r="C77" s="571"/>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t="s">
        <v>360</v>
      </c>
      <c r="B78" s="53"/>
      <c r="C78" s="571"/>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t="s">
        <v>361</v>
      </c>
      <c r="B79" s="53"/>
      <c r="C79" s="571"/>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71"/>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474"/>
      <c r="B81" s="53" t="s">
        <v>362</v>
      </c>
      <c r="C81" s="571"/>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71"/>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t="s">
        <v>363</v>
      </c>
      <c r="C83" s="571"/>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71"/>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71"/>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71"/>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71"/>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71"/>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71"/>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71"/>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71"/>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71"/>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71"/>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71"/>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71"/>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71"/>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71"/>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71"/>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71"/>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71"/>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71"/>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71"/>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71"/>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71"/>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71"/>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71"/>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71"/>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71"/>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71"/>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71"/>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71"/>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71"/>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71"/>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71"/>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71"/>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71"/>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71"/>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71"/>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71"/>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71"/>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71"/>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71"/>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71"/>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71"/>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71"/>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71"/>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71"/>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71"/>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71"/>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71"/>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71"/>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71"/>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71"/>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71"/>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71"/>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71"/>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71"/>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71"/>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71"/>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71"/>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71"/>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71"/>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71"/>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71"/>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71"/>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71"/>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71"/>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71"/>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71"/>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71"/>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71"/>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71"/>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71"/>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71"/>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71"/>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71"/>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71"/>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71"/>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71"/>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71"/>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71"/>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71"/>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71"/>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71"/>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71"/>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71"/>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71"/>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71"/>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71"/>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71"/>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71"/>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71"/>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71"/>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71"/>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71"/>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71"/>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71"/>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71"/>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71"/>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71"/>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71"/>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71"/>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71"/>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71"/>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71"/>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71"/>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71"/>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71"/>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71"/>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71"/>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71"/>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71"/>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71"/>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71"/>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71"/>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71"/>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71"/>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71"/>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71"/>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71"/>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71"/>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71"/>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71"/>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71"/>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71"/>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71"/>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71"/>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71"/>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71"/>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71"/>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71"/>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71"/>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71"/>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71"/>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71"/>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71"/>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71"/>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71"/>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71"/>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71"/>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71"/>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71"/>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71"/>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71"/>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71"/>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71"/>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71"/>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71"/>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71"/>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71"/>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71"/>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71"/>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71"/>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71"/>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71"/>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71"/>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71"/>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71"/>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71"/>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71"/>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71"/>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71"/>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71"/>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71"/>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71"/>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71"/>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71"/>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71"/>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71"/>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71"/>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71"/>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71"/>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71"/>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71"/>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71"/>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71"/>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71"/>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71"/>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71"/>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71"/>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71"/>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71"/>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71"/>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71"/>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71"/>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71"/>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71"/>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71"/>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71"/>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71"/>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71"/>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71"/>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71"/>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71"/>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71"/>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71"/>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71"/>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71"/>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71"/>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71"/>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71"/>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 customHeight="1">
      <c r="A282" s="53"/>
      <c r="B282" s="53"/>
      <c r="C282" s="571"/>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 customHeight="1">
      <c r="A283" s="53"/>
      <c r="B283" s="53"/>
      <c r="C283" s="571"/>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6:D56"/>
    <mergeCell ref="B61:D61"/>
    <mergeCell ref="B62:D62"/>
    <mergeCell ref="U13:U14"/>
    <mergeCell ref="V13:V14"/>
    <mergeCell ref="D13:D14"/>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2700-000000000000}">
      <formula1>"TOU,non-TOU"</formula1>
    </dataValidation>
    <dataValidation type="list" allowBlank="1" showErrorMessage="1" sqref="E15:E28 E30:E38 E40:E41 E43:E51 E57 E63" xr:uid="{00000000-0002-0000-2700-000001000000}">
      <formula1>#REF!</formula1>
    </dataValidation>
    <dataValidation type="list" allowBlank="1" showInputMessage="1" showErrorMessage="1" prompt="Select Charge Unit - monthly, per kWh, per kW" sqref="D15:D28 D30:D38 D40:D41 D43:D51 D57 D63" xr:uid="{00000000-0002-0000-2700-000002000000}">
      <formula1>"Monthly,per kWh,per kW"</formula1>
    </dataValidation>
  </dataValidations>
  <pageMargins left="0.74803149606299213" right="0.74803149606299213" top="0.98425196850393704" bottom="0.98425196850393704" header="0" footer="0"/>
  <pageSetup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U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12.28515625" customWidth="1"/>
    <col min="4" max="4" width="11.42578125" customWidth="1"/>
    <col min="5" max="5" width="1.42578125" customWidth="1"/>
    <col min="6" max="6" width="18.5703125" customWidth="1"/>
    <col min="7" max="7" width="8" customWidth="1"/>
    <col min="8" max="8" width="8.28515625" customWidth="1"/>
    <col min="9" max="9" width="0.7109375" customWidth="1"/>
    <col min="10" max="10" width="10.42578125" customWidth="1"/>
    <col min="11" max="11" width="8" customWidth="1"/>
    <col min="12" max="12" width="8.7109375" customWidth="1"/>
    <col min="13" max="13" width="0.7109375" customWidth="1"/>
    <col min="14" max="14" width="9.42578125" customWidth="1"/>
    <col min="15" max="15" width="10" customWidth="1"/>
    <col min="16" max="16" width="0.42578125" customWidth="1"/>
    <col min="17" max="17" width="10.42578125" customWidth="1"/>
    <col min="18" max="18" width="8" customWidth="1"/>
    <col min="19" max="19" width="8.7109375" customWidth="1"/>
    <col min="20" max="20" width="0.7109375" customWidth="1"/>
    <col min="21" max="21" width="9.42578125" customWidth="1"/>
    <col min="22" max="22" width="10" customWidth="1"/>
    <col min="23" max="23" width="0.42578125" customWidth="1"/>
    <col min="24" max="24" width="10.42578125" customWidth="1"/>
    <col min="25" max="25" width="8" customWidth="1"/>
    <col min="26" max="26" width="9.28515625" customWidth="1"/>
    <col min="27" max="27" width="0.42578125" customWidth="1"/>
    <col min="28" max="28" width="9.42578125" customWidth="1"/>
    <col min="29" max="29" width="10" customWidth="1"/>
    <col min="30" max="30" width="1.85546875" customWidth="1"/>
    <col min="31" max="31" width="10.42578125" customWidth="1"/>
    <col min="32" max="32" width="8" customWidth="1"/>
    <col min="33" max="33" width="9.28515625" customWidth="1"/>
    <col min="34" max="34" width="0.42578125" customWidth="1"/>
    <col min="35" max="35" width="9.42578125" customWidth="1"/>
    <col min="36" max="36" width="10" customWidth="1"/>
    <col min="37" max="37" width="1.7109375" customWidth="1"/>
    <col min="38" max="38" width="10.42578125" customWidth="1"/>
    <col min="39" max="39" width="8" customWidth="1"/>
    <col min="40" max="40" width="8.7109375" customWidth="1"/>
    <col min="41" max="41" width="0.7109375" customWidth="1"/>
    <col min="42" max="42" width="9.42578125" customWidth="1"/>
    <col min="43" max="43" width="10" customWidth="1"/>
    <col min="44" max="44" width="1.28515625" customWidth="1"/>
    <col min="45" max="47" width="12.42578125" customWidth="1"/>
  </cols>
  <sheetData>
    <row r="1" spans="1:47" ht="12" customHeight="1">
      <c r="A1" s="53"/>
      <c r="B1" s="53"/>
      <c r="C1" s="53"/>
      <c r="D1" s="53"/>
      <c r="E1" s="53"/>
      <c r="F1" s="53"/>
      <c r="G1" s="53"/>
      <c r="H1" s="53"/>
      <c r="I1" s="53"/>
      <c r="J1" s="53"/>
      <c r="K1" s="53"/>
      <c r="Q1" s="53"/>
      <c r="R1" s="53"/>
      <c r="S1" s="628" t="s">
        <v>319</v>
      </c>
      <c r="T1" s="629"/>
      <c r="U1" s="629"/>
      <c r="V1" s="629"/>
      <c r="W1" s="629"/>
      <c r="X1" s="629"/>
      <c r="Y1" s="630"/>
      <c r="Z1" s="53"/>
      <c r="AA1" s="53"/>
      <c r="AB1" s="53"/>
      <c r="AC1" s="53"/>
      <c r="AD1" s="53"/>
      <c r="AE1" s="53"/>
      <c r="AF1" s="53"/>
      <c r="AG1" s="53"/>
      <c r="AH1" s="53"/>
      <c r="AI1" s="53"/>
      <c r="AJ1" s="53"/>
      <c r="AK1" s="53"/>
      <c r="AL1" s="53"/>
      <c r="AM1" s="53"/>
      <c r="AN1" s="53"/>
      <c r="AO1" s="53"/>
      <c r="AP1" s="53"/>
      <c r="AQ1" s="53"/>
      <c r="AR1" s="53"/>
    </row>
    <row r="2" spans="1:47" ht="12" customHeight="1">
      <c r="A2" s="53"/>
      <c r="B2" s="53"/>
      <c r="C2" s="373"/>
      <c r="D2" s="373"/>
      <c r="E2" s="373"/>
      <c r="F2" s="373" t="s">
        <v>320</v>
      </c>
      <c r="G2" s="373"/>
      <c r="H2" s="373"/>
      <c r="I2" s="373"/>
      <c r="J2" s="373"/>
      <c r="K2" s="373"/>
      <c r="L2" s="373"/>
      <c r="M2" s="373"/>
      <c r="N2" s="373"/>
      <c r="O2" s="373"/>
      <c r="Q2" s="53"/>
      <c r="R2" s="53"/>
      <c r="S2" s="374">
        <f>'Res (100)'!$S$2</f>
        <v>1</v>
      </c>
      <c r="T2" s="635" t="s">
        <v>321</v>
      </c>
      <c r="U2" s="629"/>
      <c r="V2" s="629"/>
      <c r="W2" s="629"/>
      <c r="X2" s="629"/>
      <c r="Y2" s="630"/>
      <c r="Z2" s="53"/>
      <c r="AA2" s="53"/>
      <c r="AB2" s="53"/>
      <c r="AC2" s="53"/>
      <c r="AD2" s="53"/>
      <c r="AE2" s="53"/>
      <c r="AF2" s="53"/>
      <c r="AG2" s="53"/>
      <c r="AH2" s="53"/>
      <c r="AI2" s="53"/>
      <c r="AJ2" s="53"/>
      <c r="AK2" s="53"/>
      <c r="AL2" s="53"/>
      <c r="AM2" s="53"/>
      <c r="AN2" s="53"/>
      <c r="AO2" s="53"/>
      <c r="AP2" s="53"/>
      <c r="AQ2" s="53"/>
      <c r="AR2" s="53"/>
    </row>
    <row r="3" spans="1:47" ht="12" customHeight="1">
      <c r="A3" s="53"/>
      <c r="B3" s="53"/>
      <c r="C3" s="373"/>
      <c r="D3" s="373"/>
      <c r="E3" s="373"/>
      <c r="F3" s="373" t="s">
        <v>322</v>
      </c>
      <c r="G3" s="373"/>
      <c r="H3" s="373"/>
      <c r="I3" s="373"/>
      <c r="J3" s="373"/>
      <c r="K3" s="373"/>
      <c r="L3" s="373"/>
      <c r="M3" s="373"/>
      <c r="N3" s="373"/>
      <c r="O3" s="37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row>
    <row r="4" spans="1:47" ht="12" customHeight="1">
      <c r="A4" s="53"/>
      <c r="B4" s="53"/>
      <c r="C4" s="53"/>
      <c r="D4" s="53"/>
      <c r="E4" s="53"/>
      <c r="F4" s="53"/>
      <c r="G4" s="53"/>
      <c r="H4" s="53"/>
      <c r="I4" s="53"/>
      <c r="J4" s="53"/>
      <c r="K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row>
    <row r="5" spans="1:47" ht="12" customHeight="1">
      <c r="A5" s="53"/>
      <c r="B5" s="53"/>
      <c r="C5" s="53"/>
      <c r="D5" s="53"/>
      <c r="E5" s="53"/>
      <c r="F5" s="53"/>
      <c r="G5" s="53"/>
      <c r="H5" s="53"/>
      <c r="I5" s="53"/>
      <c r="J5" s="53"/>
      <c r="K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row>
    <row r="6" spans="1:47" ht="12" customHeight="1">
      <c r="A6" s="53"/>
      <c r="B6" s="327" t="s">
        <v>323</v>
      </c>
      <c r="C6" s="53"/>
      <c r="D6" s="499" t="s">
        <v>254</v>
      </c>
      <c r="E6" s="500"/>
      <c r="F6" s="500"/>
      <c r="G6" s="500"/>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3"/>
      <c r="AT6" s="3"/>
      <c r="AU6" s="3"/>
    </row>
    <row r="7" spans="1:47" ht="12" customHeight="1">
      <c r="A7" s="53"/>
      <c r="B7" s="377"/>
      <c r="C7" s="53"/>
      <c r="D7" s="378"/>
      <c r="E7" s="378"/>
      <c r="F7" s="378"/>
      <c r="G7" s="378"/>
      <c r="H7" s="378"/>
      <c r="I7" s="378"/>
      <c r="J7" s="378"/>
      <c r="K7" s="378"/>
      <c r="L7" s="378"/>
      <c r="M7" s="378"/>
      <c r="N7" s="378"/>
      <c r="O7" s="378"/>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3"/>
      <c r="AT7" s="3"/>
      <c r="AU7" s="3"/>
    </row>
    <row r="8" spans="1:47" ht="12" customHeight="1">
      <c r="A8" s="53"/>
      <c r="B8" s="327" t="s">
        <v>324</v>
      </c>
      <c r="C8" s="53"/>
      <c r="D8" s="379" t="s">
        <v>325</v>
      </c>
      <c r="E8" s="378"/>
      <c r="F8" s="378"/>
      <c r="G8" s="378"/>
      <c r="H8" s="378"/>
      <c r="I8" s="378"/>
      <c r="J8" s="378"/>
      <c r="K8" s="378"/>
      <c r="L8" s="378"/>
      <c r="M8" s="378"/>
      <c r="N8" s="378"/>
      <c r="O8" s="378"/>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row>
    <row r="9" spans="1:47" ht="12" customHeight="1">
      <c r="A9" s="53"/>
      <c r="B9" s="377"/>
      <c r="C9" s="53"/>
      <c r="D9" s="314" t="s">
        <v>326</v>
      </c>
      <c r="E9" s="314"/>
      <c r="F9" s="380">
        <v>470</v>
      </c>
      <c r="G9" s="314" t="s">
        <v>327</v>
      </c>
      <c r="H9" s="378"/>
      <c r="I9" s="378"/>
      <c r="J9" s="378"/>
      <c r="K9" s="378"/>
      <c r="L9" s="378"/>
      <c r="M9" s="378"/>
      <c r="N9" s="378"/>
      <c r="O9" s="378"/>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row>
    <row r="10" spans="1:47" ht="12" customHeight="1">
      <c r="A10" s="53"/>
      <c r="B10" s="53"/>
      <c r="C10" s="53"/>
      <c r="D10" s="53"/>
      <c r="E10" s="53"/>
      <c r="F10" s="559">
        <v>0</v>
      </c>
      <c r="G10" s="314" t="s">
        <v>405</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row>
    <row r="11" spans="1:47" ht="12" customHeight="1">
      <c r="A11" s="545"/>
      <c r="B11" s="53"/>
      <c r="C11" s="53"/>
      <c r="F11" s="381">
        <v>4</v>
      </c>
      <c r="G11" s="381"/>
      <c r="H11" s="381" t="str">
        <f>F12</f>
        <v>2025A</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c r="AR11" s="381"/>
    </row>
    <row r="12" spans="1:47" ht="12" customHeight="1">
      <c r="A12" s="545"/>
      <c r="B12" s="53"/>
      <c r="C12" s="53"/>
      <c r="D12" s="314"/>
      <c r="E12" s="314"/>
      <c r="F12" s="620" t="s">
        <v>1</v>
      </c>
      <c r="G12" s="586"/>
      <c r="H12" s="587"/>
      <c r="I12" s="53"/>
      <c r="J12" s="620" t="s">
        <v>2</v>
      </c>
      <c r="K12" s="586"/>
      <c r="L12" s="587"/>
      <c r="M12" s="53"/>
      <c r="N12" s="621" t="str">
        <f>"Impact "&amp;F12&amp;" vs "&amp;J12</f>
        <v>Impact 2025A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53"/>
      <c r="AL12" s="620" t="s">
        <v>6</v>
      </c>
      <c r="AM12" s="586"/>
      <c r="AN12" s="587"/>
      <c r="AO12" s="53"/>
      <c r="AP12" s="621" t="str">
        <f>"Impact "&amp;AE12&amp;" vs "&amp;AL12</f>
        <v>Impact 2029F vs 2030F</v>
      </c>
      <c r="AQ12" s="587"/>
      <c r="AR12" s="317"/>
    </row>
    <row r="13" spans="1:47" ht="12" customHeight="1">
      <c r="A13" s="545"/>
      <c r="B13" s="53"/>
      <c r="C13" s="53"/>
      <c r="D13" s="634" t="s">
        <v>328</v>
      </c>
      <c r="E13" s="317"/>
      <c r="F13" s="383" t="s">
        <v>329</v>
      </c>
      <c r="G13" s="383"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53"/>
      <c r="AL13" s="383" t="s">
        <v>329</v>
      </c>
      <c r="AM13" s="384" t="s">
        <v>330</v>
      </c>
      <c r="AN13" s="385" t="s">
        <v>331</v>
      </c>
      <c r="AO13" s="53"/>
      <c r="AP13" s="622" t="s">
        <v>332</v>
      </c>
      <c r="AQ13" s="624" t="s">
        <v>333</v>
      </c>
      <c r="AR13" s="382"/>
    </row>
    <row r="14" spans="1:47" ht="12" customHeight="1">
      <c r="A14" s="545"/>
      <c r="B14" s="53"/>
      <c r="C14" s="53"/>
      <c r="D14" s="616"/>
      <c r="E14" s="317"/>
      <c r="F14" s="386" t="s">
        <v>334</v>
      </c>
      <c r="G14" s="47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53"/>
      <c r="AL14" s="386" t="s">
        <v>334</v>
      </c>
      <c r="AM14" s="387"/>
      <c r="AN14" s="388" t="s">
        <v>334</v>
      </c>
      <c r="AO14" s="53"/>
      <c r="AP14" s="623"/>
      <c r="AQ14" s="625"/>
      <c r="AR14" s="382"/>
    </row>
    <row r="15" spans="1:47" ht="12" customHeight="1">
      <c r="A15" s="545"/>
      <c r="B15" s="328" t="s">
        <v>246</v>
      </c>
      <c r="C15" s="389" t="str">
        <f t="shared" ref="C15:C28" si="0">D$6&amp;"."&amp;B15</f>
        <v>Unmetered Scattered Load.Monthly Service Charge</v>
      </c>
      <c r="D15" s="390" t="s">
        <v>335</v>
      </c>
      <c r="E15" s="328"/>
      <c r="F15" s="391">
        <f>IFERROR(VLOOKUP($C15,'Proposed Rates'!$B:$J,F$11,FALSE),0)</f>
        <v>7.09</v>
      </c>
      <c r="G15" s="409">
        <f t="shared" ref="G15:G28" si="1">IF($D15="Monthly",1,IF($D15="per KW",$F$10,IF($D15="per kWh",$F$9,0)))</f>
        <v>1</v>
      </c>
      <c r="H15" s="394">
        <f t="shared" ref="H15:H28" si="2">G15*F15</f>
        <v>7.09</v>
      </c>
      <c r="I15" s="138"/>
      <c r="J15" s="391">
        <f>IFERROR(VLOOKUP($C15,'Proposed Rates'!$B:$J,J$11,FALSE),0)</f>
        <v>8.0399999999999991</v>
      </c>
      <c r="K15" s="409">
        <f t="shared" ref="K15:K28" si="3">IF($D15="Monthly",1,IF($D15="per KW",$F$10,IF($D15="per kWh",$F$9,0)))</f>
        <v>1</v>
      </c>
      <c r="L15" s="394">
        <f t="shared" ref="L15:L28" si="4">K15*J15</f>
        <v>8.0399999999999991</v>
      </c>
      <c r="M15" s="138"/>
      <c r="N15" s="395">
        <f t="shared" ref="N15:N31" si="5">L15-H15</f>
        <v>0.94999999999999929</v>
      </c>
      <c r="O15" s="396">
        <f t="shared" ref="O15:O31" si="6">IF((H15)=0,"",(N15/H15))</f>
        <v>0.13399153737658664</v>
      </c>
      <c r="P15" s="53"/>
      <c r="Q15" s="391">
        <f>IFERROR(VLOOKUP($C15,'Proposed Rates'!$B:$J,Q$11,FALSE),0)</f>
        <v>8.39</v>
      </c>
      <c r="R15" s="409">
        <f t="shared" ref="R15:R28" si="7">IF($D15="Monthly",1,IF($D15="per KW",$F$10,IF($D15="per kWh",$F$9,0)))</f>
        <v>1</v>
      </c>
      <c r="S15" s="394">
        <f t="shared" ref="S15:S28" si="8">R15*Q15</f>
        <v>8.39</v>
      </c>
      <c r="T15" s="138"/>
      <c r="U15" s="395">
        <f t="shared" ref="U15:U31" si="9">S15-L15</f>
        <v>0.35000000000000142</v>
      </c>
      <c r="V15" s="396">
        <f t="shared" ref="V15:V31" si="10">IF((L15)=0,"",(U15/L15))</f>
        <v>4.3532338308457895E-2</v>
      </c>
      <c r="W15" s="53"/>
      <c r="X15" s="391">
        <f>IFERROR(VLOOKUP($C15,'Proposed Rates'!$B:$J,X$11,FALSE),0)</f>
        <v>8.9700000000000006</v>
      </c>
      <c r="Y15" s="409">
        <f t="shared" ref="Y15:Y28" si="11">IF($D15="Monthly",1,IF($D15="per KW",$F$10,IF($D15="per kWh",$F$9,0)))</f>
        <v>1</v>
      </c>
      <c r="Z15" s="394">
        <f t="shared" ref="Z15:Z28" si="12">Y15*X15</f>
        <v>8.9700000000000006</v>
      </c>
      <c r="AA15" s="138"/>
      <c r="AB15" s="395">
        <f t="shared" ref="AB15:AB34" si="13">Z15-S15</f>
        <v>0.58000000000000007</v>
      </c>
      <c r="AC15" s="396">
        <f t="shared" ref="AC15:AC34" si="14">IF((S15)=0,"",(AB15/S15))</f>
        <v>6.9129916567342076E-2</v>
      </c>
      <c r="AD15" s="53"/>
      <c r="AE15" s="391">
        <f>IFERROR(VLOOKUP($C15,'Proposed Rates'!$B:$J,AE$11,FALSE),0)</f>
        <v>9.24</v>
      </c>
      <c r="AF15" s="409">
        <f t="shared" ref="AF15:AF28" si="15">IF($D15="Monthly",1,IF($D15="per KW",$F$10,IF($D15="per kWh",$F$9,0)))</f>
        <v>1</v>
      </c>
      <c r="AG15" s="394">
        <f t="shared" ref="AG15:AG28" si="16">AF15*AE15</f>
        <v>9.24</v>
      </c>
      <c r="AH15" s="138"/>
      <c r="AI15" s="395">
        <f t="shared" ref="AI15:AI50" si="17">AG15-Z15</f>
        <v>0.26999999999999957</v>
      </c>
      <c r="AJ15" s="396">
        <f t="shared" ref="AJ15:AJ50" si="18">IF((Z15)=0,"",(AI15/Z15))</f>
        <v>3.0100334448160484E-2</v>
      </c>
      <c r="AK15" s="53"/>
      <c r="AL15" s="391">
        <f>IFERROR(VLOOKUP($C15,'Proposed Rates'!$B:$J,AL$11,FALSE),0)</f>
        <v>9.3699999999999992</v>
      </c>
      <c r="AM15" s="409">
        <f t="shared" ref="AM15:AM28" si="19">IF($D15="Monthly",1,IF($D15="per KW",$F$10,IF($D15="per kWh",$F$9,0)))</f>
        <v>1</v>
      </c>
      <c r="AN15" s="394">
        <f t="shared" ref="AN15:AN28" si="20">AM15*AL15</f>
        <v>9.3699999999999992</v>
      </c>
      <c r="AO15" s="138"/>
      <c r="AP15" s="395">
        <f t="shared" ref="AP15:AP31" si="21">AN15-AG15</f>
        <v>0.12999999999999901</v>
      </c>
      <c r="AQ15" s="396">
        <f t="shared" ref="AQ15:AQ31" si="22">IF((AG15)=0,"",(AP15/AG15))</f>
        <v>1.4069264069263961E-2</v>
      </c>
      <c r="AR15" s="397"/>
    </row>
    <row r="16" spans="1:47" ht="12" customHeight="1">
      <c r="A16" s="545"/>
      <c r="B16" s="328" t="s">
        <v>336</v>
      </c>
      <c r="C16" s="389" t="str">
        <f t="shared" si="0"/>
        <v>Unmetered Scattered Load.Smart Meter Rate Adder</v>
      </c>
      <c r="D16" s="390" t="s">
        <v>335</v>
      </c>
      <c r="E16" s="328"/>
      <c r="F16" s="391">
        <f>IFERROR(VLOOKUP($C16,'Proposed Rates'!$B:$J,F$11,FALSE),0)</f>
        <v>0</v>
      </c>
      <c r="G16" s="409">
        <f t="shared" si="1"/>
        <v>1</v>
      </c>
      <c r="H16" s="394">
        <f t="shared" si="2"/>
        <v>0</v>
      </c>
      <c r="I16" s="138"/>
      <c r="J16" s="391">
        <f>IFERROR(VLOOKUP($C16,'Proposed Rates'!$B:$J,J$11,FALSE),0)</f>
        <v>0</v>
      </c>
      <c r="K16" s="409">
        <f t="shared" si="3"/>
        <v>1</v>
      </c>
      <c r="L16" s="394">
        <f t="shared" si="4"/>
        <v>0</v>
      </c>
      <c r="M16" s="138"/>
      <c r="N16" s="395">
        <f t="shared" si="5"/>
        <v>0</v>
      </c>
      <c r="O16" s="396" t="str">
        <f t="shared" si="6"/>
        <v/>
      </c>
      <c r="P16" s="53"/>
      <c r="Q16" s="391">
        <f>IFERROR(VLOOKUP($C16,'Proposed Rates'!$B:$J,Q$11,FALSE),0)</f>
        <v>0</v>
      </c>
      <c r="R16" s="409">
        <f t="shared" si="7"/>
        <v>1</v>
      </c>
      <c r="S16" s="394">
        <f t="shared" si="8"/>
        <v>0</v>
      </c>
      <c r="T16" s="138"/>
      <c r="U16" s="395">
        <f t="shared" si="9"/>
        <v>0</v>
      </c>
      <c r="V16" s="396" t="str">
        <f t="shared" si="10"/>
        <v/>
      </c>
      <c r="W16" s="53"/>
      <c r="X16" s="391">
        <f>IFERROR(VLOOKUP($C16,'Proposed Rates'!$B:$J,X$11,FALSE),0)</f>
        <v>0</v>
      </c>
      <c r="Y16" s="409">
        <f t="shared" si="11"/>
        <v>1</v>
      </c>
      <c r="Z16" s="394">
        <f t="shared" si="12"/>
        <v>0</v>
      </c>
      <c r="AA16" s="138"/>
      <c r="AB16" s="395">
        <f t="shared" si="13"/>
        <v>0</v>
      </c>
      <c r="AC16" s="396" t="str">
        <f t="shared" si="14"/>
        <v/>
      </c>
      <c r="AD16" s="53"/>
      <c r="AE16" s="391">
        <f>IFERROR(VLOOKUP($C16,'Proposed Rates'!$B:$J,AE$11,FALSE),0)</f>
        <v>0</v>
      </c>
      <c r="AF16" s="409">
        <f t="shared" si="15"/>
        <v>1</v>
      </c>
      <c r="AG16" s="394">
        <f t="shared" si="16"/>
        <v>0</v>
      </c>
      <c r="AH16" s="138"/>
      <c r="AI16" s="395">
        <f t="shared" si="17"/>
        <v>0</v>
      </c>
      <c r="AJ16" s="396" t="str">
        <f t="shared" si="18"/>
        <v/>
      </c>
      <c r="AK16" s="53"/>
      <c r="AL16" s="391">
        <f>IFERROR(VLOOKUP($C16,'Proposed Rates'!$B:$J,AL$11,FALSE),0)</f>
        <v>0</v>
      </c>
      <c r="AM16" s="409">
        <f t="shared" si="19"/>
        <v>1</v>
      </c>
      <c r="AN16" s="394">
        <f t="shared" si="20"/>
        <v>0</v>
      </c>
      <c r="AO16" s="138"/>
      <c r="AP16" s="395">
        <f t="shared" si="21"/>
        <v>0</v>
      </c>
      <c r="AQ16" s="396" t="str">
        <f t="shared" si="22"/>
        <v/>
      </c>
      <c r="AR16" s="397"/>
    </row>
    <row r="17" spans="1:44" ht="12" customHeight="1">
      <c r="A17" s="545"/>
      <c r="B17" s="398" t="str">
        <f>'Proposed Rates'!C115</f>
        <v>Rate Rider Calculation for Forgone Revenue - variable</v>
      </c>
      <c r="C17" s="389" t="str">
        <f t="shared" si="0"/>
        <v>Unmetered Scattered Load.Rate Rider Calculation for Forgone Revenue - variable</v>
      </c>
      <c r="D17" s="390" t="s">
        <v>337</v>
      </c>
      <c r="E17" s="328"/>
      <c r="F17" s="391">
        <f>IFERROR(VLOOKUP($C17,'Proposed Rates'!$B:$J,F$11,FALSE),0)</f>
        <v>0</v>
      </c>
      <c r="G17" s="409">
        <f t="shared" si="1"/>
        <v>470</v>
      </c>
      <c r="H17" s="394">
        <f t="shared" si="2"/>
        <v>0</v>
      </c>
      <c r="I17" s="138"/>
      <c r="J17" s="391">
        <f>IFERROR(VLOOKUP($C17,'Proposed Rates'!$B:$J,J$11,FALSE),0)</f>
        <v>1.9E-3</v>
      </c>
      <c r="K17" s="409">
        <f t="shared" si="3"/>
        <v>470</v>
      </c>
      <c r="L17" s="394">
        <f t="shared" si="4"/>
        <v>0.89300000000000002</v>
      </c>
      <c r="M17" s="138"/>
      <c r="N17" s="395">
        <f t="shared" si="5"/>
        <v>0.89300000000000002</v>
      </c>
      <c r="O17" s="396" t="str">
        <f t="shared" si="6"/>
        <v/>
      </c>
      <c r="P17" s="53"/>
      <c r="Q17" s="391">
        <f>IFERROR(VLOOKUP($C17,'Proposed Rates'!$B:$J,Q$11,FALSE),0)</f>
        <v>1.9E-3</v>
      </c>
      <c r="R17" s="409">
        <f t="shared" si="7"/>
        <v>470</v>
      </c>
      <c r="S17" s="394">
        <f t="shared" si="8"/>
        <v>0.89300000000000002</v>
      </c>
      <c r="T17" s="138"/>
      <c r="U17" s="395">
        <f t="shared" si="9"/>
        <v>0</v>
      </c>
      <c r="V17" s="396">
        <f t="shared" si="10"/>
        <v>0</v>
      </c>
      <c r="W17" s="53"/>
      <c r="X17" s="391">
        <f>IFERROR(VLOOKUP($C17,'Proposed Rates'!$B:$J,X$11,FALSE),0)</f>
        <v>0</v>
      </c>
      <c r="Y17" s="409">
        <f t="shared" si="11"/>
        <v>470</v>
      </c>
      <c r="Z17" s="394">
        <f t="shared" si="12"/>
        <v>0</v>
      </c>
      <c r="AA17" s="138"/>
      <c r="AB17" s="395">
        <f t="shared" si="13"/>
        <v>-0.89300000000000002</v>
      </c>
      <c r="AC17" s="396">
        <f t="shared" si="14"/>
        <v>-1</v>
      </c>
      <c r="AD17" s="53"/>
      <c r="AE17" s="391">
        <f>IFERROR(VLOOKUP($C17,'Proposed Rates'!$B:$J,AE$11,FALSE),0)</f>
        <v>0</v>
      </c>
      <c r="AF17" s="409">
        <f t="shared" si="15"/>
        <v>470</v>
      </c>
      <c r="AG17" s="394">
        <f t="shared" si="16"/>
        <v>0</v>
      </c>
      <c r="AH17" s="138"/>
      <c r="AI17" s="395">
        <f t="shared" si="17"/>
        <v>0</v>
      </c>
      <c r="AJ17" s="396" t="str">
        <f t="shared" si="18"/>
        <v/>
      </c>
      <c r="AK17" s="53"/>
      <c r="AL17" s="391">
        <f>IFERROR(VLOOKUP($C17,'Proposed Rates'!$B:$J,AL$11,FALSE),0)</f>
        <v>0</v>
      </c>
      <c r="AM17" s="409">
        <f t="shared" si="19"/>
        <v>470</v>
      </c>
      <c r="AN17" s="394">
        <f t="shared" si="20"/>
        <v>0</v>
      </c>
      <c r="AO17" s="138"/>
      <c r="AP17" s="395">
        <f t="shared" si="21"/>
        <v>0</v>
      </c>
      <c r="AQ17" s="396" t="str">
        <f t="shared" si="22"/>
        <v/>
      </c>
      <c r="AR17" s="397"/>
    </row>
    <row r="18" spans="1:44" ht="12" customHeight="1">
      <c r="A18" s="545"/>
      <c r="B18" s="398" t="str">
        <f>'Proposed Rates'!C128</f>
        <v>Rate Rider Calculation for Forgone Revenue - fixed</v>
      </c>
      <c r="C18" s="389" t="str">
        <f t="shared" si="0"/>
        <v>Unmetered Scattered Load.Rate Rider Calculation for Forgone Revenue - fixed</v>
      </c>
      <c r="D18" s="390" t="s">
        <v>335</v>
      </c>
      <c r="E18" s="328"/>
      <c r="F18" s="391">
        <f>IFERROR(VLOOKUP($C18,'Proposed Rates'!$B:$J,F$11,FALSE),0)</f>
        <v>0</v>
      </c>
      <c r="G18" s="409">
        <f t="shared" si="1"/>
        <v>1</v>
      </c>
      <c r="H18" s="394">
        <f t="shared" si="2"/>
        <v>0</v>
      </c>
      <c r="I18" s="138"/>
      <c r="J18" s="391">
        <f>IFERROR(VLOOKUP($C18,'Proposed Rates'!$B:$J,J$11,FALSE),0)</f>
        <v>0.37</v>
      </c>
      <c r="K18" s="409">
        <f t="shared" si="3"/>
        <v>1</v>
      </c>
      <c r="L18" s="394">
        <f t="shared" si="4"/>
        <v>0.37</v>
      </c>
      <c r="M18" s="138"/>
      <c r="N18" s="395">
        <f t="shared" si="5"/>
        <v>0.37</v>
      </c>
      <c r="O18" s="396" t="str">
        <f t="shared" si="6"/>
        <v/>
      </c>
      <c r="P18" s="53"/>
      <c r="Q18" s="391">
        <f>IFERROR(VLOOKUP($C18,'Proposed Rates'!$B:$J,Q$11,FALSE),0)</f>
        <v>0.37</v>
      </c>
      <c r="R18" s="409">
        <f t="shared" si="7"/>
        <v>1</v>
      </c>
      <c r="S18" s="394">
        <f t="shared" si="8"/>
        <v>0.37</v>
      </c>
      <c r="T18" s="138"/>
      <c r="U18" s="395">
        <f t="shared" si="9"/>
        <v>0</v>
      </c>
      <c r="V18" s="396">
        <f t="shared" si="10"/>
        <v>0</v>
      </c>
      <c r="W18" s="53"/>
      <c r="X18" s="391">
        <f>IFERROR(VLOOKUP($C18,'Proposed Rates'!$B:$J,X$11,FALSE),0)</f>
        <v>0</v>
      </c>
      <c r="Y18" s="409">
        <f t="shared" si="11"/>
        <v>1</v>
      </c>
      <c r="Z18" s="394">
        <f t="shared" si="12"/>
        <v>0</v>
      </c>
      <c r="AA18" s="138"/>
      <c r="AB18" s="395">
        <f t="shared" si="13"/>
        <v>-0.37</v>
      </c>
      <c r="AC18" s="396">
        <f t="shared" si="14"/>
        <v>-1</v>
      </c>
      <c r="AD18" s="53"/>
      <c r="AE18" s="391">
        <f>IFERROR(VLOOKUP($C18,'Proposed Rates'!$B:$J,AE$11,FALSE),0)</f>
        <v>0</v>
      </c>
      <c r="AF18" s="409">
        <f t="shared" si="15"/>
        <v>1</v>
      </c>
      <c r="AG18" s="394">
        <f t="shared" si="16"/>
        <v>0</v>
      </c>
      <c r="AH18" s="138"/>
      <c r="AI18" s="395">
        <f t="shared" si="17"/>
        <v>0</v>
      </c>
      <c r="AJ18" s="396" t="str">
        <f t="shared" si="18"/>
        <v/>
      </c>
      <c r="AK18" s="53"/>
      <c r="AL18" s="391">
        <f>IFERROR(VLOOKUP($C18,'Proposed Rates'!$B:$J,AL$11,FALSE),0)</f>
        <v>0</v>
      </c>
      <c r="AM18" s="409">
        <f t="shared" si="19"/>
        <v>1</v>
      </c>
      <c r="AN18" s="394">
        <f t="shared" si="20"/>
        <v>0</v>
      </c>
      <c r="AO18" s="138"/>
      <c r="AP18" s="395">
        <f t="shared" si="21"/>
        <v>0</v>
      </c>
      <c r="AQ18" s="396" t="str">
        <f t="shared" si="22"/>
        <v/>
      </c>
      <c r="AR18" s="397"/>
    </row>
    <row r="19" spans="1:44" ht="12" customHeight="1">
      <c r="A19" s="545"/>
      <c r="B19" s="328" t="s">
        <v>62</v>
      </c>
      <c r="C19" s="389" t="str">
        <f t="shared" si="0"/>
        <v>Unmetered Scattered Load.Distribution Volumetric Rate</v>
      </c>
      <c r="D19" s="390" t="s">
        <v>337</v>
      </c>
      <c r="E19" s="328"/>
      <c r="F19" s="408">
        <f>IFERROR(VLOOKUP($C19,'Proposed Rates'!$B:$J,F$11,FALSE),0)</f>
        <v>3.3799999999999997E-2</v>
      </c>
      <c r="G19" s="409">
        <f t="shared" si="1"/>
        <v>470</v>
      </c>
      <c r="H19" s="394">
        <f t="shared" si="2"/>
        <v>15.885999999999999</v>
      </c>
      <c r="I19" s="138"/>
      <c r="J19" s="408">
        <f>IFERROR(VLOOKUP($C19,'Proposed Rates'!$B:$J,J$11,FALSE),0)</f>
        <v>3.8300000000000001E-2</v>
      </c>
      <c r="K19" s="409">
        <f t="shared" si="3"/>
        <v>470</v>
      </c>
      <c r="L19" s="394">
        <f t="shared" si="4"/>
        <v>18.001000000000001</v>
      </c>
      <c r="M19" s="138"/>
      <c r="N19" s="395">
        <f t="shared" si="5"/>
        <v>2.115000000000002</v>
      </c>
      <c r="O19" s="396">
        <f t="shared" si="6"/>
        <v>0.13313609467455634</v>
      </c>
      <c r="P19" s="53"/>
      <c r="Q19" s="408">
        <f>IFERROR(VLOOKUP($C19,'Proposed Rates'!$B:$J,Q$11,FALSE),0)</f>
        <v>0.04</v>
      </c>
      <c r="R19" s="409">
        <f t="shared" si="7"/>
        <v>470</v>
      </c>
      <c r="S19" s="394">
        <f t="shared" si="8"/>
        <v>18.8</v>
      </c>
      <c r="T19" s="138"/>
      <c r="U19" s="395">
        <f t="shared" si="9"/>
        <v>0.79899999999999949</v>
      </c>
      <c r="V19" s="396">
        <f t="shared" si="10"/>
        <v>4.4386422976501277E-2</v>
      </c>
      <c r="W19" s="53"/>
      <c r="X19" s="408">
        <f>IFERROR(VLOOKUP($C19,'Proposed Rates'!$B:$J,X$11,FALSE),0)</f>
        <v>4.2700000000000002E-2</v>
      </c>
      <c r="Y19" s="409">
        <f t="shared" si="11"/>
        <v>470</v>
      </c>
      <c r="Z19" s="394">
        <f t="shared" si="12"/>
        <v>20.069000000000003</v>
      </c>
      <c r="AA19" s="138"/>
      <c r="AB19" s="395">
        <f t="shared" si="13"/>
        <v>1.2690000000000019</v>
      </c>
      <c r="AC19" s="396">
        <f t="shared" si="14"/>
        <v>6.7500000000000102E-2</v>
      </c>
      <c r="AD19" s="53"/>
      <c r="AE19" s="408">
        <f>IFERROR(VLOOKUP($C19,'Proposed Rates'!$B:$J,AE$11,FALSE),0)</f>
        <v>4.3999999999999997E-2</v>
      </c>
      <c r="AF19" s="409">
        <f t="shared" si="15"/>
        <v>470</v>
      </c>
      <c r="AG19" s="394">
        <f t="shared" si="16"/>
        <v>20.68</v>
      </c>
      <c r="AH19" s="138"/>
      <c r="AI19" s="395">
        <f t="shared" si="17"/>
        <v>0.6109999999999971</v>
      </c>
      <c r="AJ19" s="396">
        <f t="shared" si="18"/>
        <v>3.0444964871194229E-2</v>
      </c>
      <c r="AK19" s="53"/>
      <c r="AL19" s="408">
        <f>IFERROR(VLOOKUP($C19,'Proposed Rates'!$B:$J,AL$11,FALSE),0)</f>
        <v>4.4699999999999997E-2</v>
      </c>
      <c r="AM19" s="409">
        <f t="shared" si="19"/>
        <v>470</v>
      </c>
      <c r="AN19" s="394">
        <f t="shared" si="20"/>
        <v>21.008999999999997</v>
      </c>
      <c r="AO19" s="138"/>
      <c r="AP19" s="395">
        <f t="shared" si="21"/>
        <v>0.32899999999999707</v>
      </c>
      <c r="AQ19" s="396">
        <f t="shared" si="22"/>
        <v>1.5909090909090769E-2</v>
      </c>
      <c r="AR19" s="397"/>
    </row>
    <row r="20" spans="1:44" ht="12" customHeight="1">
      <c r="A20" s="545"/>
      <c r="B20" s="328" t="s">
        <v>338</v>
      </c>
      <c r="C20" s="389" t="str">
        <f t="shared" si="0"/>
        <v>Unmetered Scattered Load.Smart Meter Disposition Rider</v>
      </c>
      <c r="D20" s="390" t="s">
        <v>337</v>
      </c>
      <c r="E20" s="328"/>
      <c r="F20" s="391">
        <f>IFERROR(VLOOKUP($C20,'Proposed Rates'!$B:$J,F$11,FALSE),0)</f>
        <v>0</v>
      </c>
      <c r="G20" s="409">
        <f t="shared" si="1"/>
        <v>470</v>
      </c>
      <c r="H20" s="394">
        <f t="shared" si="2"/>
        <v>0</v>
      </c>
      <c r="I20" s="138"/>
      <c r="J20" s="391">
        <f>IFERROR(VLOOKUP($C20,'Proposed Rates'!$B:$J,J$11,FALSE),0)</f>
        <v>0</v>
      </c>
      <c r="K20" s="409">
        <f t="shared" si="3"/>
        <v>470</v>
      </c>
      <c r="L20" s="394">
        <f t="shared" si="4"/>
        <v>0</v>
      </c>
      <c r="M20" s="138"/>
      <c r="N20" s="395">
        <f t="shared" si="5"/>
        <v>0</v>
      </c>
      <c r="O20" s="396" t="str">
        <f t="shared" si="6"/>
        <v/>
      </c>
      <c r="P20" s="53"/>
      <c r="Q20" s="391">
        <f>IFERROR(VLOOKUP($C20,'Proposed Rates'!$B:$J,Q$11,FALSE),0)</f>
        <v>0</v>
      </c>
      <c r="R20" s="409">
        <f t="shared" si="7"/>
        <v>470</v>
      </c>
      <c r="S20" s="394">
        <f t="shared" si="8"/>
        <v>0</v>
      </c>
      <c r="T20" s="138"/>
      <c r="U20" s="395">
        <f t="shared" si="9"/>
        <v>0</v>
      </c>
      <c r="V20" s="396" t="str">
        <f t="shared" si="10"/>
        <v/>
      </c>
      <c r="W20" s="53"/>
      <c r="X20" s="391">
        <f>IFERROR(VLOOKUP($C20,'Proposed Rates'!$B:$J,X$11,FALSE),0)</f>
        <v>0</v>
      </c>
      <c r="Y20" s="409">
        <f t="shared" si="11"/>
        <v>470</v>
      </c>
      <c r="Z20" s="394">
        <f t="shared" si="12"/>
        <v>0</v>
      </c>
      <c r="AA20" s="138"/>
      <c r="AB20" s="395">
        <f t="shared" si="13"/>
        <v>0</v>
      </c>
      <c r="AC20" s="396" t="str">
        <f t="shared" si="14"/>
        <v/>
      </c>
      <c r="AD20" s="53"/>
      <c r="AE20" s="391">
        <f>IFERROR(VLOOKUP($C20,'Proposed Rates'!$B:$J,AE$11,FALSE),0)</f>
        <v>0</v>
      </c>
      <c r="AF20" s="409">
        <f t="shared" si="15"/>
        <v>470</v>
      </c>
      <c r="AG20" s="394">
        <f t="shared" si="16"/>
        <v>0</v>
      </c>
      <c r="AH20" s="138"/>
      <c r="AI20" s="395">
        <f t="shared" si="17"/>
        <v>0</v>
      </c>
      <c r="AJ20" s="396" t="str">
        <f t="shared" si="18"/>
        <v/>
      </c>
      <c r="AK20" s="53"/>
      <c r="AL20" s="391">
        <f>IFERROR(VLOOKUP($C20,'Proposed Rates'!$B:$J,AL$11,FALSE),0)</f>
        <v>0</v>
      </c>
      <c r="AM20" s="409">
        <f t="shared" si="19"/>
        <v>470</v>
      </c>
      <c r="AN20" s="394">
        <f t="shared" si="20"/>
        <v>0</v>
      </c>
      <c r="AO20" s="138"/>
      <c r="AP20" s="395">
        <f t="shared" si="21"/>
        <v>0</v>
      </c>
      <c r="AQ20" s="396" t="str">
        <f t="shared" si="22"/>
        <v/>
      </c>
      <c r="AR20" s="397"/>
    </row>
    <row r="21" spans="1:44" ht="12" customHeight="1">
      <c r="A21" s="545"/>
      <c r="B21" s="328" t="s">
        <v>269</v>
      </c>
      <c r="C21" s="389" t="str">
        <f t="shared" si="0"/>
        <v>Unmetered Scattered Load.LRAM Rate Rider</v>
      </c>
      <c r="D21" s="390" t="s">
        <v>337</v>
      </c>
      <c r="E21" s="328"/>
      <c r="F21" s="408">
        <f>'Proposed Rates'!E84+'Proposed Rates'!E97</f>
        <v>0</v>
      </c>
      <c r="G21" s="409">
        <f t="shared" si="1"/>
        <v>470</v>
      </c>
      <c r="H21" s="394">
        <f t="shared" si="2"/>
        <v>0</v>
      </c>
      <c r="I21" s="138"/>
      <c r="J21" s="408">
        <f>'Proposed Rates'!F84+'Proposed Rates'!F97</f>
        <v>-8.9999999999999998E-4</v>
      </c>
      <c r="K21" s="409">
        <f t="shared" si="3"/>
        <v>470</v>
      </c>
      <c r="L21" s="394">
        <f t="shared" si="4"/>
        <v>-0.42299999999999999</v>
      </c>
      <c r="M21" s="138"/>
      <c r="N21" s="395">
        <f t="shared" si="5"/>
        <v>-0.42299999999999999</v>
      </c>
      <c r="O21" s="396" t="str">
        <f t="shared" si="6"/>
        <v/>
      </c>
      <c r="P21" s="53"/>
      <c r="Q21" s="408">
        <f>'Proposed Rates'!G84+'Proposed Rates'!G97</f>
        <v>0</v>
      </c>
      <c r="R21" s="409">
        <f t="shared" si="7"/>
        <v>470</v>
      </c>
      <c r="S21" s="394">
        <f t="shared" si="8"/>
        <v>0</v>
      </c>
      <c r="T21" s="138"/>
      <c r="U21" s="395">
        <f t="shared" si="9"/>
        <v>0.42299999999999999</v>
      </c>
      <c r="V21" s="396">
        <f t="shared" si="10"/>
        <v>-1</v>
      </c>
      <c r="W21" s="53"/>
      <c r="X21" s="391">
        <f>IFERROR(VLOOKUP($C21,'Proposed Rates'!$B:$J,X$11,FALSE),0)</f>
        <v>0</v>
      </c>
      <c r="Y21" s="409">
        <f t="shared" si="11"/>
        <v>470</v>
      </c>
      <c r="Z21" s="394">
        <f t="shared" si="12"/>
        <v>0</v>
      </c>
      <c r="AA21" s="138"/>
      <c r="AB21" s="395">
        <f t="shared" si="13"/>
        <v>0</v>
      </c>
      <c r="AC21" s="396" t="str">
        <f t="shared" si="14"/>
        <v/>
      </c>
      <c r="AD21" s="53"/>
      <c r="AE21" s="391">
        <f>IFERROR(VLOOKUP($C21,'Proposed Rates'!$B:$J,AE$11,FALSE),0)</f>
        <v>0</v>
      </c>
      <c r="AF21" s="409">
        <f t="shared" si="15"/>
        <v>470</v>
      </c>
      <c r="AG21" s="394">
        <f t="shared" si="16"/>
        <v>0</v>
      </c>
      <c r="AH21" s="138"/>
      <c r="AI21" s="395">
        <f t="shared" si="17"/>
        <v>0</v>
      </c>
      <c r="AJ21" s="396" t="str">
        <f t="shared" si="18"/>
        <v/>
      </c>
      <c r="AK21" s="53"/>
      <c r="AL21" s="391">
        <f>IFERROR(VLOOKUP($C21,'Proposed Rates'!$B:$J,AL$11,FALSE),0)</f>
        <v>0</v>
      </c>
      <c r="AM21" s="409">
        <f t="shared" si="19"/>
        <v>470</v>
      </c>
      <c r="AN21" s="394">
        <f t="shared" si="20"/>
        <v>0</v>
      </c>
      <c r="AO21" s="138"/>
      <c r="AP21" s="395">
        <f t="shared" si="21"/>
        <v>0</v>
      </c>
      <c r="AQ21" s="396" t="str">
        <f t="shared" si="22"/>
        <v/>
      </c>
      <c r="AR21" s="397"/>
    </row>
    <row r="22" spans="1:44" ht="12" customHeight="1">
      <c r="A22" s="545"/>
      <c r="B22" s="398" t="s">
        <v>265</v>
      </c>
      <c r="C22" s="389" t="str">
        <f t="shared" si="0"/>
        <v>Unmetered Scattered Load.Deferral/Variance Account Disposition Rate Rider Group 2</v>
      </c>
      <c r="D22" s="390" t="s">
        <v>337</v>
      </c>
      <c r="E22" s="328"/>
      <c r="F22" s="391">
        <f>IFERROR(VLOOKUP($C22,'Proposed Rates'!$B:$J,F$11,FALSE),0)</f>
        <v>0</v>
      </c>
      <c r="G22" s="409">
        <f t="shared" si="1"/>
        <v>470</v>
      </c>
      <c r="H22" s="394">
        <f t="shared" si="2"/>
        <v>0</v>
      </c>
      <c r="I22" s="138"/>
      <c r="J22" s="408">
        <f>IFERROR(VLOOKUP($C22,'Proposed Rates'!$B:$J,J$11,FALSE),0)</f>
        <v>-2E-3</v>
      </c>
      <c r="K22" s="409">
        <f t="shared" si="3"/>
        <v>470</v>
      </c>
      <c r="L22" s="394">
        <f t="shared" si="4"/>
        <v>-0.94000000000000006</v>
      </c>
      <c r="M22" s="138"/>
      <c r="N22" s="395">
        <f t="shared" si="5"/>
        <v>-0.94000000000000006</v>
      </c>
      <c r="O22" s="396" t="str">
        <f t="shared" si="6"/>
        <v/>
      </c>
      <c r="P22" s="53"/>
      <c r="Q22" s="391">
        <f>IFERROR(VLOOKUP($C22,'Proposed Rates'!$B:$J,Q$11,FALSE),0)</f>
        <v>0</v>
      </c>
      <c r="R22" s="409">
        <f t="shared" si="7"/>
        <v>470</v>
      </c>
      <c r="S22" s="394">
        <f t="shared" si="8"/>
        <v>0</v>
      </c>
      <c r="T22" s="138"/>
      <c r="U22" s="395">
        <f t="shared" si="9"/>
        <v>0.94000000000000006</v>
      </c>
      <c r="V22" s="396">
        <f t="shared" si="10"/>
        <v>-1</v>
      </c>
      <c r="W22" s="53"/>
      <c r="X22" s="391">
        <f>IFERROR(VLOOKUP($C22,'Proposed Rates'!$B:$J,X$11,FALSE),0)</f>
        <v>0</v>
      </c>
      <c r="Y22" s="409">
        <f t="shared" si="11"/>
        <v>470</v>
      </c>
      <c r="Z22" s="394">
        <f t="shared" si="12"/>
        <v>0</v>
      </c>
      <c r="AA22" s="138"/>
      <c r="AB22" s="395">
        <f t="shared" si="13"/>
        <v>0</v>
      </c>
      <c r="AC22" s="396" t="str">
        <f t="shared" si="14"/>
        <v/>
      </c>
      <c r="AD22" s="53"/>
      <c r="AE22" s="391">
        <f>IFERROR(VLOOKUP($C22,'Proposed Rates'!$B:$J,AE$11,FALSE),0)</f>
        <v>0</v>
      </c>
      <c r="AF22" s="409">
        <f t="shared" si="15"/>
        <v>470</v>
      </c>
      <c r="AG22" s="394">
        <f t="shared" si="16"/>
        <v>0</v>
      </c>
      <c r="AH22" s="138"/>
      <c r="AI22" s="395">
        <f t="shared" si="17"/>
        <v>0</v>
      </c>
      <c r="AJ22" s="396" t="str">
        <f t="shared" si="18"/>
        <v/>
      </c>
      <c r="AK22" s="53"/>
      <c r="AL22" s="391">
        <f>IFERROR(VLOOKUP($C22,'Proposed Rates'!$B:$J,AL$11,FALSE),0)</f>
        <v>0</v>
      </c>
      <c r="AM22" s="409">
        <f t="shared" si="19"/>
        <v>470</v>
      </c>
      <c r="AN22" s="394">
        <f t="shared" si="20"/>
        <v>0</v>
      </c>
      <c r="AO22" s="138"/>
      <c r="AP22" s="395">
        <f t="shared" si="21"/>
        <v>0</v>
      </c>
      <c r="AQ22" s="396" t="str">
        <f t="shared" si="22"/>
        <v/>
      </c>
      <c r="AR22" s="397"/>
    </row>
    <row r="23" spans="1:44" ht="12" customHeight="1">
      <c r="A23" s="545"/>
      <c r="B23" s="398"/>
      <c r="C23" s="389" t="str">
        <f t="shared" si="0"/>
        <v>Unmetered Scattered Load.</v>
      </c>
      <c r="D23" s="390"/>
      <c r="E23" s="328"/>
      <c r="F23" s="391">
        <f>IFERROR(VLOOKUP($C23,'Proposed Rates'!$B:$J,F$11,FALSE),0)</f>
        <v>0</v>
      </c>
      <c r="G23" s="409">
        <f t="shared" si="1"/>
        <v>0</v>
      </c>
      <c r="H23" s="394">
        <f t="shared" si="2"/>
        <v>0</v>
      </c>
      <c r="I23" s="138"/>
      <c r="J23" s="391">
        <f>IFERROR(VLOOKUP($C23,'Proposed Rates'!$B:$J,J$11,FALSE),0)</f>
        <v>0</v>
      </c>
      <c r="K23" s="409">
        <f t="shared" si="3"/>
        <v>0</v>
      </c>
      <c r="L23" s="394">
        <f t="shared" si="4"/>
        <v>0</v>
      </c>
      <c r="M23" s="138"/>
      <c r="N23" s="395">
        <f t="shared" si="5"/>
        <v>0</v>
      </c>
      <c r="O23" s="396" t="str">
        <f t="shared" si="6"/>
        <v/>
      </c>
      <c r="P23" s="53"/>
      <c r="Q23" s="391">
        <f>IFERROR(VLOOKUP($C23,'Proposed Rates'!$B:$J,Q$11,FALSE),0)</f>
        <v>0</v>
      </c>
      <c r="R23" s="409">
        <f t="shared" si="7"/>
        <v>0</v>
      </c>
      <c r="S23" s="394">
        <f t="shared" si="8"/>
        <v>0</v>
      </c>
      <c r="T23" s="138"/>
      <c r="U23" s="395">
        <f t="shared" si="9"/>
        <v>0</v>
      </c>
      <c r="V23" s="396" t="str">
        <f t="shared" si="10"/>
        <v/>
      </c>
      <c r="W23" s="53"/>
      <c r="X23" s="391">
        <f>IFERROR(VLOOKUP($C23,'Proposed Rates'!$B:$J,X$11,FALSE),0)</f>
        <v>0</v>
      </c>
      <c r="Y23" s="409">
        <f t="shared" si="11"/>
        <v>0</v>
      </c>
      <c r="Z23" s="394">
        <f t="shared" si="12"/>
        <v>0</v>
      </c>
      <c r="AA23" s="138"/>
      <c r="AB23" s="395">
        <f t="shared" si="13"/>
        <v>0</v>
      </c>
      <c r="AC23" s="396" t="str">
        <f t="shared" si="14"/>
        <v/>
      </c>
      <c r="AD23" s="53"/>
      <c r="AE23" s="391">
        <f>IFERROR(VLOOKUP($C23,'Proposed Rates'!$B:$J,AE$11,FALSE),0)</f>
        <v>0</v>
      </c>
      <c r="AF23" s="409">
        <f t="shared" si="15"/>
        <v>0</v>
      </c>
      <c r="AG23" s="394">
        <f t="shared" si="16"/>
        <v>0</v>
      </c>
      <c r="AH23" s="138"/>
      <c r="AI23" s="395">
        <f t="shared" si="17"/>
        <v>0</v>
      </c>
      <c r="AJ23" s="396" t="str">
        <f t="shared" si="18"/>
        <v/>
      </c>
      <c r="AK23" s="53"/>
      <c r="AL23" s="391">
        <f>IFERROR(VLOOKUP($C23,'Proposed Rates'!$B:$J,AL$11,FALSE),0)</f>
        <v>0</v>
      </c>
      <c r="AM23" s="409">
        <f t="shared" si="19"/>
        <v>0</v>
      </c>
      <c r="AN23" s="394">
        <f t="shared" si="20"/>
        <v>0</v>
      </c>
      <c r="AO23" s="138"/>
      <c r="AP23" s="395">
        <f t="shared" si="21"/>
        <v>0</v>
      </c>
      <c r="AQ23" s="396" t="str">
        <f t="shared" si="22"/>
        <v/>
      </c>
      <c r="AR23" s="397"/>
    </row>
    <row r="24" spans="1:44" ht="12" customHeight="1">
      <c r="A24" s="545"/>
      <c r="B24" s="398"/>
      <c r="C24" s="389" t="str">
        <f t="shared" si="0"/>
        <v>Unmetered Scattered Load.</v>
      </c>
      <c r="D24" s="390"/>
      <c r="E24" s="328"/>
      <c r="F24" s="391">
        <f>IFERROR(VLOOKUP($C24,'Proposed Rates'!$B:$J,F$11,FALSE),0)</f>
        <v>0</v>
      </c>
      <c r="G24" s="409">
        <f t="shared" si="1"/>
        <v>0</v>
      </c>
      <c r="H24" s="394">
        <f t="shared" si="2"/>
        <v>0</v>
      </c>
      <c r="I24" s="138"/>
      <c r="J24" s="391">
        <f>IFERROR(VLOOKUP($C24,'Proposed Rates'!$B:$J,J$11,FALSE),0)</f>
        <v>0</v>
      </c>
      <c r="K24" s="409">
        <f t="shared" si="3"/>
        <v>0</v>
      </c>
      <c r="L24" s="394">
        <f t="shared" si="4"/>
        <v>0</v>
      </c>
      <c r="M24" s="138"/>
      <c r="N24" s="395">
        <f t="shared" si="5"/>
        <v>0</v>
      </c>
      <c r="O24" s="396" t="str">
        <f t="shared" si="6"/>
        <v/>
      </c>
      <c r="P24" s="53"/>
      <c r="Q24" s="391">
        <f>IFERROR(VLOOKUP($C24,'Proposed Rates'!$B:$J,Q$11,FALSE),0)</f>
        <v>0</v>
      </c>
      <c r="R24" s="409">
        <f t="shared" si="7"/>
        <v>0</v>
      </c>
      <c r="S24" s="394">
        <f t="shared" si="8"/>
        <v>0</v>
      </c>
      <c r="T24" s="138"/>
      <c r="U24" s="395">
        <f t="shared" si="9"/>
        <v>0</v>
      </c>
      <c r="V24" s="396" t="str">
        <f t="shared" si="10"/>
        <v/>
      </c>
      <c r="W24" s="53"/>
      <c r="X24" s="391">
        <f>IFERROR(VLOOKUP($C24,'Proposed Rates'!$B:$J,X$11,FALSE),0)</f>
        <v>0</v>
      </c>
      <c r="Y24" s="409">
        <f t="shared" si="11"/>
        <v>0</v>
      </c>
      <c r="Z24" s="394">
        <f t="shared" si="12"/>
        <v>0</v>
      </c>
      <c r="AA24" s="138"/>
      <c r="AB24" s="395">
        <f t="shared" si="13"/>
        <v>0</v>
      </c>
      <c r="AC24" s="396" t="str">
        <f t="shared" si="14"/>
        <v/>
      </c>
      <c r="AD24" s="53"/>
      <c r="AE24" s="391">
        <f>IFERROR(VLOOKUP($C24,'Proposed Rates'!$B:$J,AE$11,FALSE),0)</f>
        <v>0</v>
      </c>
      <c r="AF24" s="409">
        <f t="shared" si="15"/>
        <v>0</v>
      </c>
      <c r="AG24" s="394">
        <f t="shared" si="16"/>
        <v>0</v>
      </c>
      <c r="AH24" s="138"/>
      <c r="AI24" s="395">
        <f t="shared" si="17"/>
        <v>0</v>
      </c>
      <c r="AJ24" s="396" t="str">
        <f t="shared" si="18"/>
        <v/>
      </c>
      <c r="AK24" s="53"/>
      <c r="AL24" s="391">
        <f>IFERROR(VLOOKUP($C24,'Proposed Rates'!$B:$J,AL$11,FALSE),0)</f>
        <v>0</v>
      </c>
      <c r="AM24" s="409">
        <f t="shared" si="19"/>
        <v>0</v>
      </c>
      <c r="AN24" s="394">
        <f t="shared" si="20"/>
        <v>0</v>
      </c>
      <c r="AO24" s="138"/>
      <c r="AP24" s="395">
        <f t="shared" si="21"/>
        <v>0</v>
      </c>
      <c r="AQ24" s="396" t="str">
        <f t="shared" si="22"/>
        <v/>
      </c>
      <c r="AR24" s="397"/>
    </row>
    <row r="25" spans="1:44" ht="12" customHeight="1">
      <c r="A25" s="545"/>
      <c r="B25" s="398"/>
      <c r="C25" s="389" t="str">
        <f t="shared" si="0"/>
        <v>Unmetered Scattered Load.</v>
      </c>
      <c r="D25" s="390"/>
      <c r="E25" s="328"/>
      <c r="F25" s="391">
        <f>IFERROR(VLOOKUP($C25,'Proposed Rates'!$B:$J,F$11,FALSE),0)</f>
        <v>0</v>
      </c>
      <c r="G25" s="409">
        <f t="shared" si="1"/>
        <v>0</v>
      </c>
      <c r="H25" s="394">
        <f t="shared" si="2"/>
        <v>0</v>
      </c>
      <c r="I25" s="138"/>
      <c r="J25" s="391">
        <f>IFERROR(VLOOKUP($C25,'Proposed Rates'!$B:$J,J$11,FALSE),0)</f>
        <v>0</v>
      </c>
      <c r="K25" s="409">
        <f t="shared" si="3"/>
        <v>0</v>
      </c>
      <c r="L25" s="394">
        <f t="shared" si="4"/>
        <v>0</v>
      </c>
      <c r="M25" s="138"/>
      <c r="N25" s="395">
        <f t="shared" si="5"/>
        <v>0</v>
      </c>
      <c r="O25" s="396" t="str">
        <f t="shared" si="6"/>
        <v/>
      </c>
      <c r="P25" s="53"/>
      <c r="Q25" s="391">
        <f>IFERROR(VLOOKUP($C25,'Proposed Rates'!$B:$J,Q$11,FALSE),0)</f>
        <v>0</v>
      </c>
      <c r="R25" s="409">
        <f t="shared" si="7"/>
        <v>0</v>
      </c>
      <c r="S25" s="394">
        <f t="shared" si="8"/>
        <v>0</v>
      </c>
      <c r="T25" s="138"/>
      <c r="U25" s="395">
        <f t="shared" si="9"/>
        <v>0</v>
      </c>
      <c r="V25" s="396" t="str">
        <f t="shared" si="10"/>
        <v/>
      </c>
      <c r="W25" s="53"/>
      <c r="X25" s="391">
        <f>IFERROR(VLOOKUP($C25,'Proposed Rates'!$B:$J,X$11,FALSE),0)</f>
        <v>0</v>
      </c>
      <c r="Y25" s="409">
        <f t="shared" si="11"/>
        <v>0</v>
      </c>
      <c r="Z25" s="394">
        <f t="shared" si="12"/>
        <v>0</v>
      </c>
      <c r="AA25" s="138"/>
      <c r="AB25" s="395">
        <f t="shared" si="13"/>
        <v>0</v>
      </c>
      <c r="AC25" s="396" t="str">
        <f t="shared" si="14"/>
        <v/>
      </c>
      <c r="AD25" s="53"/>
      <c r="AE25" s="391">
        <f>IFERROR(VLOOKUP($C25,'Proposed Rates'!$B:$J,AE$11,FALSE),0)</f>
        <v>0</v>
      </c>
      <c r="AF25" s="409">
        <f t="shared" si="15"/>
        <v>0</v>
      </c>
      <c r="AG25" s="394">
        <f t="shared" si="16"/>
        <v>0</v>
      </c>
      <c r="AH25" s="138"/>
      <c r="AI25" s="395">
        <f t="shared" si="17"/>
        <v>0</v>
      </c>
      <c r="AJ25" s="396" t="str">
        <f t="shared" si="18"/>
        <v/>
      </c>
      <c r="AK25" s="53"/>
      <c r="AL25" s="391">
        <f>IFERROR(VLOOKUP($C25,'Proposed Rates'!$B:$J,AL$11,FALSE),0)</f>
        <v>0</v>
      </c>
      <c r="AM25" s="409">
        <f t="shared" si="19"/>
        <v>0</v>
      </c>
      <c r="AN25" s="394">
        <f t="shared" si="20"/>
        <v>0</v>
      </c>
      <c r="AO25" s="138"/>
      <c r="AP25" s="395">
        <f t="shared" si="21"/>
        <v>0</v>
      </c>
      <c r="AQ25" s="396" t="str">
        <f t="shared" si="22"/>
        <v/>
      </c>
      <c r="AR25" s="397"/>
    </row>
    <row r="26" spans="1:44" ht="12" customHeight="1">
      <c r="A26" s="545"/>
      <c r="B26" s="398"/>
      <c r="C26" s="389" t="str">
        <f t="shared" si="0"/>
        <v>Unmetered Scattered Load.</v>
      </c>
      <c r="D26" s="390"/>
      <c r="E26" s="328"/>
      <c r="F26" s="391">
        <f>IFERROR(VLOOKUP($C26,'Proposed Rates'!$B:$J,F$11,FALSE),0)</f>
        <v>0</v>
      </c>
      <c r="G26" s="409">
        <f t="shared" si="1"/>
        <v>0</v>
      </c>
      <c r="H26" s="394">
        <f t="shared" si="2"/>
        <v>0</v>
      </c>
      <c r="I26" s="138"/>
      <c r="J26" s="391">
        <f>IFERROR(VLOOKUP($C26,'Proposed Rates'!$B:$J,J$11,FALSE),0)</f>
        <v>0</v>
      </c>
      <c r="K26" s="409">
        <f t="shared" si="3"/>
        <v>0</v>
      </c>
      <c r="L26" s="394">
        <f t="shared" si="4"/>
        <v>0</v>
      </c>
      <c r="M26" s="138"/>
      <c r="N26" s="395">
        <f t="shared" si="5"/>
        <v>0</v>
      </c>
      <c r="O26" s="396" t="str">
        <f t="shared" si="6"/>
        <v/>
      </c>
      <c r="P26" s="53"/>
      <c r="Q26" s="391">
        <f>IFERROR(VLOOKUP($C26,'Proposed Rates'!$B:$J,Q$11,FALSE),0)</f>
        <v>0</v>
      </c>
      <c r="R26" s="409">
        <f t="shared" si="7"/>
        <v>0</v>
      </c>
      <c r="S26" s="394">
        <f t="shared" si="8"/>
        <v>0</v>
      </c>
      <c r="T26" s="138"/>
      <c r="U26" s="395">
        <f t="shared" si="9"/>
        <v>0</v>
      </c>
      <c r="V26" s="396" t="str">
        <f t="shared" si="10"/>
        <v/>
      </c>
      <c r="W26" s="53"/>
      <c r="X26" s="391">
        <f>IFERROR(VLOOKUP($C26,'Proposed Rates'!$B:$J,X$11,FALSE),0)</f>
        <v>0</v>
      </c>
      <c r="Y26" s="409">
        <f t="shared" si="11"/>
        <v>0</v>
      </c>
      <c r="Z26" s="394">
        <f t="shared" si="12"/>
        <v>0</v>
      </c>
      <c r="AA26" s="138"/>
      <c r="AB26" s="395">
        <f t="shared" si="13"/>
        <v>0</v>
      </c>
      <c r="AC26" s="396" t="str">
        <f t="shared" si="14"/>
        <v/>
      </c>
      <c r="AD26" s="53"/>
      <c r="AE26" s="391">
        <f>IFERROR(VLOOKUP($C26,'Proposed Rates'!$B:$J,AE$11,FALSE),0)</f>
        <v>0</v>
      </c>
      <c r="AF26" s="409">
        <f t="shared" si="15"/>
        <v>0</v>
      </c>
      <c r="AG26" s="394">
        <f t="shared" si="16"/>
        <v>0</v>
      </c>
      <c r="AH26" s="138"/>
      <c r="AI26" s="395">
        <f t="shared" si="17"/>
        <v>0</v>
      </c>
      <c r="AJ26" s="396" t="str">
        <f t="shared" si="18"/>
        <v/>
      </c>
      <c r="AK26" s="53"/>
      <c r="AL26" s="391">
        <f>IFERROR(VLOOKUP($C26,'Proposed Rates'!$B:$J,AL$11,FALSE),0)</f>
        <v>0</v>
      </c>
      <c r="AM26" s="409">
        <f t="shared" si="19"/>
        <v>0</v>
      </c>
      <c r="AN26" s="394">
        <f t="shared" si="20"/>
        <v>0</v>
      </c>
      <c r="AO26" s="138"/>
      <c r="AP26" s="395">
        <f t="shared" si="21"/>
        <v>0</v>
      </c>
      <c r="AQ26" s="396" t="str">
        <f t="shared" si="22"/>
        <v/>
      </c>
      <c r="AR26" s="397"/>
    </row>
    <row r="27" spans="1:44" ht="12" customHeight="1">
      <c r="A27" s="545"/>
      <c r="B27" s="398"/>
      <c r="C27" s="389" t="str">
        <f t="shared" si="0"/>
        <v>Unmetered Scattered Load.</v>
      </c>
      <c r="D27" s="390"/>
      <c r="E27" s="328"/>
      <c r="F27" s="391">
        <f>IFERROR(VLOOKUP($C27,'Proposed Rates'!$B:$J,F$11,FALSE),0)</f>
        <v>0</v>
      </c>
      <c r="G27" s="409">
        <f t="shared" si="1"/>
        <v>0</v>
      </c>
      <c r="H27" s="394">
        <f t="shared" si="2"/>
        <v>0</v>
      </c>
      <c r="I27" s="138"/>
      <c r="J27" s="391">
        <f>IFERROR(VLOOKUP($C27,'Proposed Rates'!$B:$J,J$11,FALSE),0)</f>
        <v>0</v>
      </c>
      <c r="K27" s="409">
        <f t="shared" si="3"/>
        <v>0</v>
      </c>
      <c r="L27" s="394">
        <f t="shared" si="4"/>
        <v>0</v>
      </c>
      <c r="M27" s="138"/>
      <c r="N27" s="395">
        <f t="shared" si="5"/>
        <v>0</v>
      </c>
      <c r="O27" s="396" t="str">
        <f t="shared" si="6"/>
        <v/>
      </c>
      <c r="P27" s="53"/>
      <c r="Q27" s="391">
        <f>IFERROR(VLOOKUP($C27,'Proposed Rates'!$B:$J,Q$11,FALSE),0)</f>
        <v>0</v>
      </c>
      <c r="R27" s="409">
        <f t="shared" si="7"/>
        <v>0</v>
      </c>
      <c r="S27" s="394">
        <f t="shared" si="8"/>
        <v>0</v>
      </c>
      <c r="T27" s="138"/>
      <c r="U27" s="395">
        <f t="shared" si="9"/>
        <v>0</v>
      </c>
      <c r="V27" s="396" t="str">
        <f t="shared" si="10"/>
        <v/>
      </c>
      <c r="W27" s="53"/>
      <c r="X27" s="391">
        <f>IFERROR(VLOOKUP($C27,'Proposed Rates'!$B:$J,X$11,FALSE),0)</f>
        <v>0</v>
      </c>
      <c r="Y27" s="409">
        <f t="shared" si="11"/>
        <v>0</v>
      </c>
      <c r="Z27" s="394">
        <f t="shared" si="12"/>
        <v>0</v>
      </c>
      <c r="AA27" s="138"/>
      <c r="AB27" s="395">
        <f t="shared" si="13"/>
        <v>0</v>
      </c>
      <c r="AC27" s="396" t="str">
        <f t="shared" si="14"/>
        <v/>
      </c>
      <c r="AD27" s="53"/>
      <c r="AE27" s="391">
        <f>IFERROR(VLOOKUP($C27,'Proposed Rates'!$B:$J,AE$11,FALSE),0)</f>
        <v>0</v>
      </c>
      <c r="AF27" s="409">
        <f t="shared" si="15"/>
        <v>0</v>
      </c>
      <c r="AG27" s="394">
        <f t="shared" si="16"/>
        <v>0</v>
      </c>
      <c r="AH27" s="138"/>
      <c r="AI27" s="395">
        <f t="shared" si="17"/>
        <v>0</v>
      </c>
      <c r="AJ27" s="396" t="str">
        <f t="shared" si="18"/>
        <v/>
      </c>
      <c r="AK27" s="53"/>
      <c r="AL27" s="391">
        <f>IFERROR(VLOOKUP($C27,'Proposed Rates'!$B:$J,AL$11,FALSE),0)</f>
        <v>0</v>
      </c>
      <c r="AM27" s="409">
        <f t="shared" si="19"/>
        <v>0</v>
      </c>
      <c r="AN27" s="394">
        <f t="shared" si="20"/>
        <v>0</v>
      </c>
      <c r="AO27" s="138"/>
      <c r="AP27" s="395">
        <f t="shared" si="21"/>
        <v>0</v>
      </c>
      <c r="AQ27" s="396" t="str">
        <f t="shared" si="22"/>
        <v/>
      </c>
      <c r="AR27" s="397"/>
    </row>
    <row r="28" spans="1:44" ht="12" customHeight="1">
      <c r="A28" s="545"/>
      <c r="B28" s="398"/>
      <c r="C28" s="389" t="str">
        <f t="shared" si="0"/>
        <v>Unmetered Scattered Load.</v>
      </c>
      <c r="D28" s="390"/>
      <c r="E28" s="328"/>
      <c r="F28" s="391">
        <f>IFERROR(VLOOKUP($C28,'Proposed Rates'!$B:$J,F$11,FALSE),0)</f>
        <v>0</v>
      </c>
      <c r="G28" s="409">
        <f t="shared" si="1"/>
        <v>0</v>
      </c>
      <c r="H28" s="394">
        <f t="shared" si="2"/>
        <v>0</v>
      </c>
      <c r="I28" s="138"/>
      <c r="J28" s="391">
        <f>IFERROR(VLOOKUP($C28,'Proposed Rates'!$B:$J,J$11,FALSE),0)</f>
        <v>0</v>
      </c>
      <c r="K28" s="409">
        <f t="shared" si="3"/>
        <v>0</v>
      </c>
      <c r="L28" s="394">
        <f t="shared" si="4"/>
        <v>0</v>
      </c>
      <c r="M28" s="138"/>
      <c r="N28" s="395">
        <f t="shared" si="5"/>
        <v>0</v>
      </c>
      <c r="O28" s="396" t="str">
        <f t="shared" si="6"/>
        <v/>
      </c>
      <c r="P28" s="53"/>
      <c r="Q28" s="391">
        <f>IFERROR(VLOOKUP($C28,'Proposed Rates'!$B:$J,Q$11,FALSE),0)</f>
        <v>0</v>
      </c>
      <c r="R28" s="409">
        <f t="shared" si="7"/>
        <v>0</v>
      </c>
      <c r="S28" s="394">
        <f t="shared" si="8"/>
        <v>0</v>
      </c>
      <c r="T28" s="138"/>
      <c r="U28" s="395">
        <f t="shared" si="9"/>
        <v>0</v>
      </c>
      <c r="V28" s="396" t="str">
        <f t="shared" si="10"/>
        <v/>
      </c>
      <c r="W28" s="53"/>
      <c r="X28" s="391">
        <f>IFERROR(VLOOKUP($C28,'Proposed Rates'!$B:$J,X$11,FALSE),0)</f>
        <v>0</v>
      </c>
      <c r="Y28" s="409">
        <f t="shared" si="11"/>
        <v>0</v>
      </c>
      <c r="Z28" s="394">
        <f t="shared" si="12"/>
        <v>0</v>
      </c>
      <c r="AA28" s="138"/>
      <c r="AB28" s="395">
        <f t="shared" si="13"/>
        <v>0</v>
      </c>
      <c r="AC28" s="396" t="str">
        <f t="shared" si="14"/>
        <v/>
      </c>
      <c r="AD28" s="53"/>
      <c r="AE28" s="391">
        <f>IFERROR(VLOOKUP($C28,'Proposed Rates'!$B:$J,AE$11,FALSE),0)</f>
        <v>0</v>
      </c>
      <c r="AF28" s="409">
        <f t="shared" si="15"/>
        <v>0</v>
      </c>
      <c r="AG28" s="394">
        <f t="shared" si="16"/>
        <v>0</v>
      </c>
      <c r="AH28" s="138"/>
      <c r="AI28" s="395">
        <f t="shared" si="17"/>
        <v>0</v>
      </c>
      <c r="AJ28" s="396" t="str">
        <f t="shared" si="18"/>
        <v/>
      </c>
      <c r="AK28" s="53"/>
      <c r="AL28" s="391">
        <f>IFERROR(VLOOKUP($C28,'Proposed Rates'!$B:$J,AL$11,FALSE),0)</f>
        <v>0</v>
      </c>
      <c r="AM28" s="409">
        <f t="shared" si="19"/>
        <v>0</v>
      </c>
      <c r="AN28" s="394">
        <f t="shared" si="20"/>
        <v>0</v>
      </c>
      <c r="AO28" s="138"/>
      <c r="AP28" s="395">
        <f t="shared" si="21"/>
        <v>0</v>
      </c>
      <c r="AQ28" s="396" t="str">
        <f t="shared" si="22"/>
        <v/>
      </c>
      <c r="AR28" s="397"/>
    </row>
    <row r="29" spans="1:44" ht="12" customHeight="1">
      <c r="A29" s="545"/>
      <c r="B29" s="399" t="s">
        <v>339</v>
      </c>
      <c r="C29" s="400"/>
      <c r="D29" s="400"/>
      <c r="E29" s="400"/>
      <c r="F29" s="401"/>
      <c r="G29" s="494"/>
      <c r="H29" s="403">
        <f>SUM(H15:H28)</f>
        <v>22.975999999999999</v>
      </c>
      <c r="I29" s="404"/>
      <c r="J29" s="401"/>
      <c r="K29" s="494"/>
      <c r="L29" s="403">
        <f>SUM(L15:L28)</f>
        <v>25.941000000000003</v>
      </c>
      <c r="M29" s="404"/>
      <c r="N29" s="405">
        <f t="shared" si="5"/>
        <v>2.9650000000000034</v>
      </c>
      <c r="O29" s="406">
        <f t="shared" si="6"/>
        <v>0.12904770194986087</v>
      </c>
      <c r="P29" s="314"/>
      <c r="Q29" s="401"/>
      <c r="R29" s="494"/>
      <c r="S29" s="403">
        <f>SUM(S15:S28)</f>
        <v>28.453000000000003</v>
      </c>
      <c r="T29" s="404"/>
      <c r="U29" s="405">
        <f t="shared" si="9"/>
        <v>2.5120000000000005</v>
      </c>
      <c r="V29" s="406">
        <f t="shared" si="10"/>
        <v>9.6835125862534219E-2</v>
      </c>
      <c r="W29" s="314"/>
      <c r="X29" s="401"/>
      <c r="Y29" s="494"/>
      <c r="Z29" s="403">
        <f>SUM(Z15:Z28)</f>
        <v>29.039000000000001</v>
      </c>
      <c r="AA29" s="404"/>
      <c r="AB29" s="405">
        <f t="shared" si="13"/>
        <v>0.58599999999999852</v>
      </c>
      <c r="AC29" s="406">
        <f t="shared" si="14"/>
        <v>2.0595367799528995E-2</v>
      </c>
      <c r="AD29" s="314"/>
      <c r="AE29" s="401"/>
      <c r="AF29" s="494"/>
      <c r="AG29" s="403">
        <f>SUM(AG15:AG28)</f>
        <v>29.92</v>
      </c>
      <c r="AH29" s="404"/>
      <c r="AI29" s="405">
        <f t="shared" si="17"/>
        <v>0.88100000000000023</v>
      </c>
      <c r="AJ29" s="406">
        <f t="shared" si="18"/>
        <v>3.0338510279279595E-2</v>
      </c>
      <c r="AK29" s="314"/>
      <c r="AL29" s="401"/>
      <c r="AM29" s="494"/>
      <c r="AN29" s="403">
        <f>SUM(AN15:AN28)</f>
        <v>30.378999999999998</v>
      </c>
      <c r="AO29" s="404"/>
      <c r="AP29" s="405">
        <f t="shared" si="21"/>
        <v>0.45899999999999608</v>
      </c>
      <c r="AQ29" s="406">
        <f t="shared" si="22"/>
        <v>1.5340909090908959E-2</v>
      </c>
      <c r="AR29" s="407"/>
    </row>
    <row r="30" spans="1:44" ht="12" customHeight="1">
      <c r="A30" s="545"/>
      <c r="B30" s="398" t="s">
        <v>262</v>
      </c>
      <c r="C30" s="389" t="str">
        <f t="shared" ref="C30:C38" si="23">D$6&amp;"."&amp;B30</f>
        <v>Unmetered Scattered Load.DVA Disposition Rate Rider Group 1 -2025</v>
      </c>
      <c r="D30" s="390" t="s">
        <v>337</v>
      </c>
      <c r="E30" s="328"/>
      <c r="F30" s="408">
        <f>IFERROR(VLOOKUP($C30,'Proposed Rates'!$B:$J,F$11,FALSE),0)</f>
        <v>1E-4</v>
      </c>
      <c r="G30" s="409">
        <f t="shared" ref="G30:G35" si="24">IF($D30="Monthly",1,IF($D30="per KW",$F$10,IF($D30="per kWh",$F$9,0)))</f>
        <v>470</v>
      </c>
      <c r="H30" s="394">
        <f t="shared" ref="H30:H38" si="25">G30*F30</f>
        <v>4.7E-2</v>
      </c>
      <c r="I30" s="138"/>
      <c r="J30" s="408">
        <f>IFERROR(VLOOKUP($C30,'Proposed Rates'!$B:$J,J$11,FALSE),0)</f>
        <v>-8.0000000000000004E-4</v>
      </c>
      <c r="K30" s="409">
        <f t="shared" ref="K30:K35" si="26">IF($D30="Monthly",1,IF($D30="per KW",$F$10,IF($D30="per kWh",$F$9,0)))</f>
        <v>470</v>
      </c>
      <c r="L30" s="394">
        <f t="shared" ref="L30:L38" si="27">K30*J30</f>
        <v>-0.376</v>
      </c>
      <c r="M30" s="138"/>
      <c r="N30" s="395">
        <f t="shared" si="5"/>
        <v>-0.42299999999999999</v>
      </c>
      <c r="O30" s="396">
        <f t="shared" si="6"/>
        <v>-9</v>
      </c>
      <c r="P30" s="53"/>
      <c r="Q30" s="408">
        <f>IFERROR(VLOOKUP($C30,'Proposed Rates'!$B:$J,Q$11,FALSE),0)</f>
        <v>0</v>
      </c>
      <c r="R30" s="409">
        <f t="shared" ref="R30:R35" si="28">IF($D30="Monthly",1,IF($D30="per KW",$F$10,IF($D30="per kWh",$F$9,0)))</f>
        <v>470</v>
      </c>
      <c r="S30" s="394">
        <f t="shared" ref="S30:S38" si="29">R30*Q30</f>
        <v>0</v>
      </c>
      <c r="T30" s="138"/>
      <c r="U30" s="395">
        <f t="shared" si="9"/>
        <v>0.376</v>
      </c>
      <c r="V30" s="396">
        <f t="shared" si="10"/>
        <v>-1</v>
      </c>
      <c r="W30" s="53"/>
      <c r="X30" s="408">
        <f>IFERROR(VLOOKUP($C30,'Proposed Rates'!$B:$J,X$11,FALSE),0)</f>
        <v>0</v>
      </c>
      <c r="Y30" s="409">
        <f t="shared" ref="Y30:Y35" si="30">IF($D30="Monthly",1,IF($D30="per KW",$F$10,IF($D30="per kWh",$F$9,0)))</f>
        <v>470</v>
      </c>
      <c r="Z30" s="394">
        <f t="shared" ref="Z30:Z38" si="31">Y30*X30</f>
        <v>0</v>
      </c>
      <c r="AA30" s="138"/>
      <c r="AB30" s="395">
        <f t="shared" si="13"/>
        <v>0</v>
      </c>
      <c r="AC30" s="396" t="str">
        <f t="shared" si="14"/>
        <v/>
      </c>
      <c r="AD30" s="53"/>
      <c r="AE30" s="408">
        <f>IFERROR(VLOOKUP($C30,'Proposed Rates'!$B:$J,AE$11,FALSE),0)</f>
        <v>0</v>
      </c>
      <c r="AF30" s="409">
        <f t="shared" ref="AF30:AF35" si="32">IF($D30="Monthly",1,IF($D30="per KW",$F$10,IF($D30="per kWh",$F$9,0)))</f>
        <v>470</v>
      </c>
      <c r="AG30" s="394">
        <f t="shared" ref="AG30:AG38" si="33">AF30*AE30</f>
        <v>0</v>
      </c>
      <c r="AH30" s="138"/>
      <c r="AI30" s="395">
        <f t="shared" si="17"/>
        <v>0</v>
      </c>
      <c r="AJ30" s="396" t="str">
        <f t="shared" si="18"/>
        <v/>
      </c>
      <c r="AK30" s="53"/>
      <c r="AL30" s="408">
        <f>IFERROR(VLOOKUP($C30,'Proposed Rates'!$B:$J,AL$11,FALSE),0)</f>
        <v>0</v>
      </c>
      <c r="AM30" s="409">
        <f t="shared" ref="AM30:AM35" si="34">IF($D30="Monthly",1,IF($D30="per KW",$F$10,IF($D30="per kWh",$F$9,0)))</f>
        <v>470</v>
      </c>
      <c r="AN30" s="394">
        <f t="shared" ref="AN30:AN38" si="35">AM30*AL30</f>
        <v>0</v>
      </c>
      <c r="AO30" s="138"/>
      <c r="AP30" s="395">
        <f t="shared" si="21"/>
        <v>0</v>
      </c>
      <c r="AQ30" s="396" t="str">
        <f t="shared" si="22"/>
        <v/>
      </c>
      <c r="AR30" s="397"/>
    </row>
    <row r="31" spans="1:44" ht="12" customHeight="1">
      <c r="A31" s="545"/>
      <c r="B31" s="398" t="s">
        <v>264</v>
      </c>
      <c r="C31" s="389" t="str">
        <f t="shared" si="23"/>
        <v>Unmetered Scattered Load.DVA Disposition Rate Rider Group 1 - 2024</v>
      </c>
      <c r="D31" s="390" t="s">
        <v>337</v>
      </c>
      <c r="E31" s="328"/>
      <c r="F31" s="391">
        <f>IFERROR(VLOOKUP($C31,'Proposed Rates'!$B:$J,F$11,FALSE),0)</f>
        <v>0</v>
      </c>
      <c r="G31" s="409">
        <f t="shared" si="24"/>
        <v>470</v>
      </c>
      <c r="H31" s="394">
        <f t="shared" si="25"/>
        <v>0</v>
      </c>
      <c r="I31" s="138"/>
      <c r="J31" s="391">
        <f>IFERROR(VLOOKUP($C31,'Proposed Rates'!$B:$J,J$11,FALSE),0)</f>
        <v>0</v>
      </c>
      <c r="K31" s="409">
        <f t="shared" si="26"/>
        <v>470</v>
      </c>
      <c r="L31" s="394">
        <f t="shared" si="27"/>
        <v>0</v>
      </c>
      <c r="M31" s="138"/>
      <c r="N31" s="395">
        <f t="shared" si="5"/>
        <v>0</v>
      </c>
      <c r="O31" s="396" t="str">
        <f t="shared" si="6"/>
        <v/>
      </c>
      <c r="P31" s="53"/>
      <c r="Q31" s="391">
        <f>IFERROR(VLOOKUP($C31,'Proposed Rates'!$B:$J,Q$11,FALSE),0)</f>
        <v>0</v>
      </c>
      <c r="R31" s="409">
        <f t="shared" si="28"/>
        <v>470</v>
      </c>
      <c r="S31" s="394">
        <f t="shared" si="29"/>
        <v>0</v>
      </c>
      <c r="T31" s="138"/>
      <c r="U31" s="395">
        <f t="shared" si="9"/>
        <v>0</v>
      </c>
      <c r="V31" s="396" t="str">
        <f t="shared" si="10"/>
        <v/>
      </c>
      <c r="W31" s="53"/>
      <c r="X31" s="391">
        <f>IFERROR(VLOOKUP($C31,'Proposed Rates'!$B:$J,X$11,FALSE),0)</f>
        <v>0</v>
      </c>
      <c r="Y31" s="409">
        <f t="shared" si="30"/>
        <v>470</v>
      </c>
      <c r="Z31" s="394">
        <f t="shared" si="31"/>
        <v>0</v>
      </c>
      <c r="AA31" s="138"/>
      <c r="AB31" s="395">
        <f t="shared" si="13"/>
        <v>0</v>
      </c>
      <c r="AC31" s="396" t="str">
        <f t="shared" si="14"/>
        <v/>
      </c>
      <c r="AD31" s="53"/>
      <c r="AE31" s="391">
        <f>IFERROR(VLOOKUP($C31,'Proposed Rates'!$B:$J,AE$11,FALSE),0)</f>
        <v>0</v>
      </c>
      <c r="AF31" s="409">
        <f t="shared" si="32"/>
        <v>470</v>
      </c>
      <c r="AG31" s="394">
        <f t="shared" si="33"/>
        <v>0</v>
      </c>
      <c r="AH31" s="138"/>
      <c r="AI31" s="395">
        <f t="shared" si="17"/>
        <v>0</v>
      </c>
      <c r="AJ31" s="396" t="str">
        <f t="shared" si="18"/>
        <v/>
      </c>
      <c r="AK31" s="53"/>
      <c r="AL31" s="391">
        <f>IFERROR(VLOOKUP($C31,'Proposed Rates'!$B:$J,AL$11,FALSE),0)</f>
        <v>0</v>
      </c>
      <c r="AM31" s="409">
        <f t="shared" si="34"/>
        <v>470</v>
      </c>
      <c r="AN31" s="394">
        <f t="shared" si="35"/>
        <v>0</v>
      </c>
      <c r="AO31" s="138"/>
      <c r="AP31" s="395">
        <f t="shared" si="21"/>
        <v>0</v>
      </c>
      <c r="AQ31" s="396" t="str">
        <f t="shared" si="22"/>
        <v/>
      </c>
      <c r="AR31" s="397"/>
    </row>
    <row r="32" spans="1:44" ht="12" customHeight="1">
      <c r="A32" s="545"/>
      <c r="B32" s="398" t="s">
        <v>272</v>
      </c>
      <c r="C32" s="389" t="str">
        <f t="shared" si="23"/>
        <v>Unmetered Scattered Load.CBR Class B Rate Riders</v>
      </c>
      <c r="D32" s="390" t="s">
        <v>337</v>
      </c>
      <c r="E32" s="328"/>
      <c r="F32" s="408">
        <f>IFERROR(VLOOKUP($C32,'Proposed Rates'!$B:$J,F$11,FALSE),0)</f>
        <v>2.0000000000000001E-4</v>
      </c>
      <c r="G32" s="409">
        <f t="shared" si="24"/>
        <v>470</v>
      </c>
      <c r="H32" s="394">
        <f t="shared" si="25"/>
        <v>9.4E-2</v>
      </c>
      <c r="I32" s="479"/>
      <c r="J32" s="408">
        <f>IFERROR(VLOOKUP($C32,'Proposed Rates'!$B:$J,J$11,FALSE),0)</f>
        <v>6.9999999999999999E-4</v>
      </c>
      <c r="K32" s="409">
        <f t="shared" si="26"/>
        <v>470</v>
      </c>
      <c r="L32" s="394">
        <f t="shared" si="27"/>
        <v>0.32900000000000001</v>
      </c>
      <c r="M32" s="411"/>
      <c r="N32" s="395"/>
      <c r="O32" s="396"/>
      <c r="P32" s="53"/>
      <c r="Q32" s="408">
        <f>IFERROR(VLOOKUP($C32,'Proposed Rates'!$B:$J,Q$11,FALSE),0)</f>
        <v>0</v>
      </c>
      <c r="R32" s="409">
        <f t="shared" si="28"/>
        <v>470</v>
      </c>
      <c r="S32" s="394">
        <f t="shared" si="29"/>
        <v>0</v>
      </c>
      <c r="T32" s="411"/>
      <c r="U32" s="395"/>
      <c r="V32" s="396"/>
      <c r="W32" s="53"/>
      <c r="X32" s="408">
        <f>IFERROR(VLOOKUP($C32,'Proposed Rates'!$B:$J,X$11,FALSE),0)</f>
        <v>0</v>
      </c>
      <c r="Y32" s="409">
        <f t="shared" si="30"/>
        <v>470</v>
      </c>
      <c r="Z32" s="394">
        <f t="shared" si="31"/>
        <v>0</v>
      </c>
      <c r="AA32" s="138"/>
      <c r="AB32" s="395">
        <f t="shared" si="13"/>
        <v>0</v>
      </c>
      <c r="AC32" s="396" t="str">
        <f t="shared" si="14"/>
        <v/>
      </c>
      <c r="AD32" s="53"/>
      <c r="AE32" s="408">
        <f>IFERROR(VLOOKUP($C32,'Proposed Rates'!$B:$J,AE$11,FALSE),0)</f>
        <v>0</v>
      </c>
      <c r="AF32" s="409">
        <f t="shared" si="32"/>
        <v>470</v>
      </c>
      <c r="AG32" s="394">
        <f t="shared" si="33"/>
        <v>0</v>
      </c>
      <c r="AH32" s="138"/>
      <c r="AI32" s="395">
        <f t="shared" si="17"/>
        <v>0</v>
      </c>
      <c r="AJ32" s="396" t="str">
        <f t="shared" si="18"/>
        <v/>
      </c>
      <c r="AK32" s="53"/>
      <c r="AL32" s="408">
        <f>IFERROR(VLOOKUP($C32,'Proposed Rates'!$B:$J,AL$11,FALSE),0)</f>
        <v>0</v>
      </c>
      <c r="AM32" s="409">
        <f t="shared" si="34"/>
        <v>470</v>
      </c>
      <c r="AN32" s="394">
        <f t="shared" si="35"/>
        <v>0</v>
      </c>
      <c r="AO32" s="411"/>
      <c r="AP32" s="395"/>
      <c r="AQ32" s="396"/>
      <c r="AR32" s="397"/>
    </row>
    <row r="33" spans="1:44" ht="12" customHeight="1">
      <c r="A33" s="545"/>
      <c r="B33" s="398" t="s">
        <v>279</v>
      </c>
      <c r="C33" s="389" t="str">
        <f t="shared" si="23"/>
        <v>Unmetered Scattered Load.GA Rate Riders</v>
      </c>
      <c r="D33" s="390" t="s">
        <v>337</v>
      </c>
      <c r="E33" s="328"/>
      <c r="F33" s="391">
        <f>IFERROR(VLOOKUP($C33,'Proposed Rates'!$B:$J,F$11,FALSE),0)</f>
        <v>0</v>
      </c>
      <c r="G33" s="409">
        <f t="shared" si="24"/>
        <v>470</v>
      </c>
      <c r="H33" s="394">
        <f t="shared" si="25"/>
        <v>0</v>
      </c>
      <c r="I33" s="479"/>
      <c r="J33" s="391">
        <f>IFERROR(VLOOKUP($C33,'Proposed Rates'!$B:$J,J$11,FALSE),0)</f>
        <v>0</v>
      </c>
      <c r="K33" s="409">
        <f t="shared" si="26"/>
        <v>470</v>
      </c>
      <c r="L33" s="394">
        <f t="shared" si="27"/>
        <v>0</v>
      </c>
      <c r="M33" s="411"/>
      <c r="N33" s="395">
        <f t="shared" ref="N33:N34" si="36">L33-H33</f>
        <v>0</v>
      </c>
      <c r="O33" s="396" t="str">
        <f t="shared" ref="O33:O34" si="37">IF((H33)=0,"",(N33/H33))</f>
        <v/>
      </c>
      <c r="P33" s="53"/>
      <c r="Q33" s="391">
        <f>IFERROR(VLOOKUP($C33,'Proposed Rates'!$B:$J,Q$11,FALSE),0)</f>
        <v>0</v>
      </c>
      <c r="R33" s="409">
        <f t="shared" si="28"/>
        <v>470</v>
      </c>
      <c r="S33" s="394">
        <f t="shared" si="29"/>
        <v>0</v>
      </c>
      <c r="T33" s="411"/>
      <c r="U33" s="395">
        <f t="shared" ref="U33:U34" si="38">S33-L33</f>
        <v>0</v>
      </c>
      <c r="V33" s="396" t="str">
        <f t="shared" ref="V33:V34" si="39">IF((L33)=0,"",(U33/L33))</f>
        <v/>
      </c>
      <c r="W33" s="53"/>
      <c r="X33" s="391">
        <f>IFERROR(VLOOKUP($C33,'Proposed Rates'!$B:$J,X$11,FALSE),0)</f>
        <v>0</v>
      </c>
      <c r="Y33" s="409">
        <f t="shared" si="30"/>
        <v>470</v>
      </c>
      <c r="Z33" s="394">
        <f t="shared" si="31"/>
        <v>0</v>
      </c>
      <c r="AA33" s="411"/>
      <c r="AB33" s="395">
        <f t="shared" si="13"/>
        <v>0</v>
      </c>
      <c r="AC33" s="396" t="str">
        <f t="shared" si="14"/>
        <v/>
      </c>
      <c r="AD33" s="53"/>
      <c r="AE33" s="391">
        <f>IFERROR(VLOOKUP($C33,'Proposed Rates'!$B:$J,AE$11,FALSE),0)</f>
        <v>0</v>
      </c>
      <c r="AF33" s="409">
        <f t="shared" si="32"/>
        <v>470</v>
      </c>
      <c r="AG33" s="394">
        <f t="shared" si="33"/>
        <v>0</v>
      </c>
      <c r="AH33" s="411"/>
      <c r="AI33" s="395">
        <f t="shared" si="17"/>
        <v>0</v>
      </c>
      <c r="AJ33" s="396" t="str">
        <f t="shared" si="18"/>
        <v/>
      </c>
      <c r="AK33" s="53"/>
      <c r="AL33" s="391">
        <f>IFERROR(VLOOKUP($C33,'Proposed Rates'!$B:$J,AL$11,FALSE),0)</f>
        <v>0</v>
      </c>
      <c r="AM33" s="409">
        <f t="shared" si="34"/>
        <v>470</v>
      </c>
      <c r="AN33" s="394">
        <f t="shared" si="35"/>
        <v>0</v>
      </c>
      <c r="AO33" s="411"/>
      <c r="AP33" s="395">
        <f t="shared" ref="AP33:AP34" si="40">AN33-AG33</f>
        <v>0</v>
      </c>
      <c r="AQ33" s="396" t="str">
        <f t="shared" ref="AQ33:AQ34" si="41">IF((AG33)=0,"",(AP33/AG33))</f>
        <v/>
      </c>
      <c r="AR33" s="397"/>
    </row>
    <row r="34" spans="1:44" ht="12" customHeight="1">
      <c r="A34" s="545"/>
      <c r="B34" s="398" t="s">
        <v>282</v>
      </c>
      <c r="C34" s="389" t="str">
        <f t="shared" si="23"/>
        <v>Unmetered Scattered Load.Total Deferral/Variance Account Rate RidersYr2</v>
      </c>
      <c r="D34" s="390" t="s">
        <v>337</v>
      </c>
      <c r="E34" s="328"/>
      <c r="F34" s="391">
        <f>IFERROR(VLOOKUP($C34,'Proposed Rates'!$B:$J,F$11,FALSE),0)</f>
        <v>0</v>
      </c>
      <c r="G34" s="409">
        <f t="shared" si="24"/>
        <v>470</v>
      </c>
      <c r="H34" s="394">
        <f t="shared" si="25"/>
        <v>0</v>
      </c>
      <c r="I34" s="479"/>
      <c r="J34" s="391">
        <f>IFERROR(VLOOKUP($C34,'Proposed Rates'!$B:$J,J$11,FALSE),0)</f>
        <v>0</v>
      </c>
      <c r="K34" s="409">
        <f t="shared" si="26"/>
        <v>470</v>
      </c>
      <c r="L34" s="394">
        <f t="shared" si="27"/>
        <v>0</v>
      </c>
      <c r="M34" s="411"/>
      <c r="N34" s="395">
        <f t="shared" si="36"/>
        <v>0</v>
      </c>
      <c r="O34" s="396" t="str">
        <f t="shared" si="37"/>
        <v/>
      </c>
      <c r="P34" s="53"/>
      <c r="Q34" s="391">
        <f>IFERROR(VLOOKUP($C34,'Proposed Rates'!$B:$J,Q$11,FALSE),0)</f>
        <v>0</v>
      </c>
      <c r="R34" s="409">
        <f t="shared" si="28"/>
        <v>470</v>
      </c>
      <c r="S34" s="394">
        <f t="shared" si="29"/>
        <v>0</v>
      </c>
      <c r="T34" s="411"/>
      <c r="U34" s="395">
        <f t="shared" si="38"/>
        <v>0</v>
      </c>
      <c r="V34" s="396" t="str">
        <f t="shared" si="39"/>
        <v/>
      </c>
      <c r="W34" s="53"/>
      <c r="X34" s="391">
        <f>IFERROR(VLOOKUP($C34,'Proposed Rates'!$B:$J,X$11,FALSE),0)</f>
        <v>0</v>
      </c>
      <c r="Y34" s="409">
        <f t="shared" si="30"/>
        <v>470</v>
      </c>
      <c r="Z34" s="394">
        <f t="shared" si="31"/>
        <v>0</v>
      </c>
      <c r="AA34" s="411"/>
      <c r="AB34" s="395">
        <f t="shared" si="13"/>
        <v>0</v>
      </c>
      <c r="AC34" s="396" t="str">
        <f t="shared" si="14"/>
        <v/>
      </c>
      <c r="AD34" s="53"/>
      <c r="AE34" s="391">
        <f>IFERROR(VLOOKUP($C34,'Proposed Rates'!$B:$J,AE$11,FALSE),0)</f>
        <v>0</v>
      </c>
      <c r="AF34" s="409">
        <f t="shared" si="32"/>
        <v>470</v>
      </c>
      <c r="AG34" s="394">
        <f t="shared" si="33"/>
        <v>0</v>
      </c>
      <c r="AH34" s="411"/>
      <c r="AI34" s="395">
        <f t="shared" si="17"/>
        <v>0</v>
      </c>
      <c r="AJ34" s="396" t="str">
        <f t="shared" si="18"/>
        <v/>
      </c>
      <c r="AK34" s="53"/>
      <c r="AL34" s="391">
        <f>IFERROR(VLOOKUP($C34,'Proposed Rates'!$B:$J,AL$11,FALSE),0)</f>
        <v>0</v>
      </c>
      <c r="AM34" s="409">
        <f t="shared" si="34"/>
        <v>470</v>
      </c>
      <c r="AN34" s="394">
        <f t="shared" si="35"/>
        <v>0</v>
      </c>
      <c r="AO34" s="411"/>
      <c r="AP34" s="395">
        <f t="shared" si="40"/>
        <v>0</v>
      </c>
      <c r="AQ34" s="396" t="str">
        <f t="shared" si="41"/>
        <v/>
      </c>
      <c r="AR34" s="397"/>
    </row>
    <row r="35" spans="1:44" ht="12" customHeight="1">
      <c r="A35" s="545"/>
      <c r="B35" s="398" t="s">
        <v>284</v>
      </c>
      <c r="C35" s="389" t="str">
        <f t="shared" si="23"/>
        <v>Unmetered Scattered Load.Total Deferral/Variance Account Rate Riders</v>
      </c>
      <c r="D35" s="390" t="s">
        <v>337</v>
      </c>
      <c r="E35" s="328"/>
      <c r="F35" s="391">
        <f>IFERROR(VLOOKUP($C35,'Proposed Rates'!$B:$J,F$11,FALSE),0)</f>
        <v>0</v>
      </c>
      <c r="G35" s="409">
        <f t="shared" si="24"/>
        <v>470</v>
      </c>
      <c r="H35" s="394">
        <f t="shared" si="25"/>
        <v>0</v>
      </c>
      <c r="I35" s="138"/>
      <c r="J35" s="391">
        <f>IFERROR(VLOOKUP($C35,'Proposed Rates'!$B:$J,J$11,FALSE),0)</f>
        <v>0</v>
      </c>
      <c r="K35" s="409">
        <f t="shared" si="26"/>
        <v>470</v>
      </c>
      <c r="L35" s="394">
        <f t="shared" si="27"/>
        <v>0</v>
      </c>
      <c r="M35" s="138"/>
      <c r="N35" s="395"/>
      <c r="O35" s="396"/>
      <c r="P35" s="53"/>
      <c r="Q35" s="391">
        <f>IFERROR(VLOOKUP($C35,'Proposed Rates'!$B:$J,Q$11,FALSE),0)</f>
        <v>0</v>
      </c>
      <c r="R35" s="409">
        <f t="shared" si="28"/>
        <v>470</v>
      </c>
      <c r="S35" s="394">
        <f t="shared" si="29"/>
        <v>0</v>
      </c>
      <c r="T35" s="138"/>
      <c r="U35" s="395"/>
      <c r="V35" s="396"/>
      <c r="W35" s="53"/>
      <c r="X35" s="391">
        <f>IFERROR(VLOOKUP($C35,'Proposed Rates'!$B:$J,X$11,FALSE),0)</f>
        <v>0</v>
      </c>
      <c r="Y35" s="409">
        <f t="shared" si="30"/>
        <v>470</v>
      </c>
      <c r="Z35" s="394">
        <f t="shared" si="31"/>
        <v>0</v>
      </c>
      <c r="AA35" s="138"/>
      <c r="AB35" s="395"/>
      <c r="AC35" s="396"/>
      <c r="AD35" s="53"/>
      <c r="AE35" s="391">
        <f>IFERROR(VLOOKUP($C35,'Proposed Rates'!$B:$J,AE$11,FALSE),0)</f>
        <v>0</v>
      </c>
      <c r="AF35" s="409">
        <f t="shared" si="32"/>
        <v>470</v>
      </c>
      <c r="AG35" s="394">
        <f t="shared" si="33"/>
        <v>0</v>
      </c>
      <c r="AH35" s="138"/>
      <c r="AI35" s="395">
        <f t="shared" si="17"/>
        <v>0</v>
      </c>
      <c r="AJ35" s="396" t="str">
        <f t="shared" si="18"/>
        <v/>
      </c>
      <c r="AK35" s="53"/>
      <c r="AL35" s="391">
        <f>IFERROR(VLOOKUP($C35,'Proposed Rates'!$B:$J,AL$11,FALSE),0)</f>
        <v>0</v>
      </c>
      <c r="AM35" s="409">
        <f t="shared" si="34"/>
        <v>470</v>
      </c>
      <c r="AN35" s="394">
        <f t="shared" si="35"/>
        <v>0</v>
      </c>
      <c r="AO35" s="138"/>
      <c r="AP35" s="395"/>
      <c r="AQ35" s="396"/>
      <c r="AR35" s="397"/>
    </row>
    <row r="36" spans="1:44" ht="12" customHeight="1">
      <c r="A36" s="545"/>
      <c r="B36" s="328" t="s">
        <v>300</v>
      </c>
      <c r="C36" s="389" t="str">
        <f t="shared" si="23"/>
        <v>Unmetered Scattered Load.Low Voltage Service Charge</v>
      </c>
      <c r="D36" s="390" t="s">
        <v>337</v>
      </c>
      <c r="E36" s="328"/>
      <c r="F36" s="412">
        <f>IFERROR(VLOOKUP($C36,'Proposed Rates'!$B:$J,F$11,FALSE),0)</f>
        <v>5.0000000000000002E-5</v>
      </c>
      <c r="G36" s="502">
        <f>$F$9+G$37</f>
        <v>485.88600000000002</v>
      </c>
      <c r="H36" s="394">
        <f t="shared" si="25"/>
        <v>2.4294300000000001E-2</v>
      </c>
      <c r="I36" s="138"/>
      <c r="J36" s="412">
        <f>IFERROR(VLOOKUP($C36,'Proposed Rates'!$B:$J,J$11,FALSE),0)</f>
        <v>4.0000000000000003E-5</v>
      </c>
      <c r="K36" s="502">
        <f>$F$9+K$37</f>
        <v>485.60399999999993</v>
      </c>
      <c r="L36" s="394">
        <f t="shared" si="27"/>
        <v>1.9424159999999999E-2</v>
      </c>
      <c r="M36" s="138"/>
      <c r="N36" s="395">
        <f t="shared" ref="N36:N50" si="42">L36-H36</f>
        <v>-4.870140000000002E-3</v>
      </c>
      <c r="O36" s="396">
        <f t="shared" ref="O36:O50" si="43">IF((H36)=0,"",(N36/H36))</f>
        <v>-0.20046430644225197</v>
      </c>
      <c r="P36" s="53"/>
      <c r="Q36" s="412">
        <f>IFERROR(VLOOKUP($C36,'Proposed Rates'!$B:$J,Q$11,FALSE),0)</f>
        <v>4.0000000000000003E-5</v>
      </c>
      <c r="R36" s="502">
        <f>$F$9+R$37</f>
        <v>485.60399999999993</v>
      </c>
      <c r="S36" s="394">
        <f t="shared" si="29"/>
        <v>1.9424159999999999E-2</v>
      </c>
      <c r="T36" s="138"/>
      <c r="U36" s="395">
        <f t="shared" ref="U36:U50" si="44">S36-L36</f>
        <v>0</v>
      </c>
      <c r="V36" s="396">
        <f t="shared" ref="V36:V50" si="45">IF((L36)=0,"",(U36/L36))</f>
        <v>0</v>
      </c>
      <c r="W36" s="53"/>
      <c r="X36" s="412">
        <f>IFERROR(VLOOKUP($C36,'Proposed Rates'!$B:$J,X$11,FALSE),0)</f>
        <v>4.0000000000000003E-5</v>
      </c>
      <c r="Y36" s="502">
        <f>$F$9+Y$37</f>
        <v>485.60399999999993</v>
      </c>
      <c r="Z36" s="394">
        <f t="shared" si="31"/>
        <v>1.9424159999999999E-2</v>
      </c>
      <c r="AA36" s="138"/>
      <c r="AB36" s="395">
        <f t="shared" ref="AB36:AB50" si="46">Z36-S36</f>
        <v>0</v>
      </c>
      <c r="AC36" s="396">
        <f t="shared" ref="AC36:AC50" si="47">IF((S36)=0,"",(AB36/S36))</f>
        <v>0</v>
      </c>
      <c r="AD36" s="53"/>
      <c r="AE36" s="412">
        <f>IFERROR(VLOOKUP($C36,'Proposed Rates'!$B:$J,AE$11,FALSE),0)</f>
        <v>4.0000000000000003E-5</v>
      </c>
      <c r="AF36" s="502">
        <f>$F$9+AF$37</f>
        <v>485.60399999999993</v>
      </c>
      <c r="AG36" s="394">
        <f t="shared" si="33"/>
        <v>1.9424159999999999E-2</v>
      </c>
      <c r="AH36" s="138"/>
      <c r="AI36" s="395">
        <f t="shared" si="17"/>
        <v>0</v>
      </c>
      <c r="AJ36" s="396">
        <f t="shared" si="18"/>
        <v>0</v>
      </c>
      <c r="AK36" s="53"/>
      <c r="AL36" s="412">
        <f>IFERROR(VLOOKUP($C36,'Proposed Rates'!$B:$J,AL$11,FALSE),0)</f>
        <v>4.0000000000000003E-5</v>
      </c>
      <c r="AM36" s="502">
        <f>$F$9+AM$37</f>
        <v>485.60399999999993</v>
      </c>
      <c r="AN36" s="394">
        <f t="shared" si="35"/>
        <v>1.9424159999999999E-2</v>
      </c>
      <c r="AO36" s="138"/>
      <c r="AP36" s="395">
        <f t="shared" ref="AP36:AP50" si="48">AN36-AG36</f>
        <v>0</v>
      </c>
      <c r="AQ36" s="396">
        <f t="shared" ref="AQ36:AQ50" si="49">IF((AG36)=0,"",(AP36/AG36))</f>
        <v>0</v>
      </c>
      <c r="AR36" s="397"/>
    </row>
    <row r="37" spans="1:44" ht="12" customHeight="1">
      <c r="A37" s="545"/>
      <c r="B37" s="328" t="s">
        <v>341</v>
      </c>
      <c r="C37" s="389" t="str">
        <f t="shared" si="23"/>
        <v>Unmetered Scattered Load.Line Losses on Cost of Power</v>
      </c>
      <c r="D37" s="390" t="s">
        <v>337</v>
      </c>
      <c r="E37" s="328"/>
      <c r="F37" s="414">
        <f>'Proposed Rates'!$K$256*F$46+'Proposed Rates'!$K$257*F$47+'Proposed Rates'!$K$258*F$48</f>
        <v>0.12752000000000002</v>
      </c>
      <c r="G37" s="501">
        <f>$F$9*(1+F$65)-$F$9</f>
        <v>15.886000000000024</v>
      </c>
      <c r="H37" s="394">
        <f t="shared" si="25"/>
        <v>2.0257827200000036</v>
      </c>
      <c r="I37" s="138"/>
      <c r="J37" s="414">
        <f>'Proposed Rates'!$K$256*J$46+'Proposed Rates'!$K$257*J$47+'Proposed Rates'!$K$258*J$48</f>
        <v>0.12752000000000002</v>
      </c>
      <c r="K37" s="501">
        <f>$F$9*(1+J$65)-$F$9</f>
        <v>15.603999999999928</v>
      </c>
      <c r="L37" s="394">
        <f t="shared" si="27"/>
        <v>1.9898220799999913</v>
      </c>
      <c r="M37" s="138"/>
      <c r="N37" s="395">
        <f t="shared" si="42"/>
        <v>-3.5960640000012312E-2</v>
      </c>
      <c r="O37" s="396">
        <f t="shared" si="43"/>
        <v>-1.7751479289946876E-2</v>
      </c>
      <c r="P37" s="53"/>
      <c r="Q37" s="414">
        <f>'Proposed Rates'!$K$256*Q$46+'Proposed Rates'!$K$257*Q$47+'Proposed Rates'!$K$258*Q$48</f>
        <v>0.12752000000000002</v>
      </c>
      <c r="R37" s="501">
        <f>$F$9*(1+Q$65)-$F$9</f>
        <v>15.603999999999928</v>
      </c>
      <c r="S37" s="394">
        <f t="shared" si="29"/>
        <v>1.9898220799999913</v>
      </c>
      <c r="T37" s="138"/>
      <c r="U37" s="395">
        <f t="shared" si="44"/>
        <v>0</v>
      </c>
      <c r="V37" s="396">
        <f t="shared" si="45"/>
        <v>0</v>
      </c>
      <c r="W37" s="53"/>
      <c r="X37" s="414">
        <f>'Proposed Rates'!$K$256*X$46+'Proposed Rates'!$K$257*X$47+'Proposed Rates'!$K$258*X$48</f>
        <v>0.12752000000000002</v>
      </c>
      <c r="Y37" s="501">
        <f>$F$9*(1+X$65)-$F$9</f>
        <v>15.603999999999928</v>
      </c>
      <c r="Z37" s="394">
        <f t="shared" si="31"/>
        <v>1.9898220799999913</v>
      </c>
      <c r="AA37" s="138"/>
      <c r="AB37" s="395">
        <f t="shared" si="46"/>
        <v>0</v>
      </c>
      <c r="AC37" s="396">
        <f t="shared" si="47"/>
        <v>0</v>
      </c>
      <c r="AD37" s="53"/>
      <c r="AE37" s="414">
        <f>'Proposed Rates'!$K$256*AE$46+'Proposed Rates'!$K$257*AE$47+'Proposed Rates'!$K$258*AE$48</f>
        <v>0.12752000000000002</v>
      </c>
      <c r="AF37" s="501">
        <f>$F$9*(1+AE$65)-$F$9</f>
        <v>15.603999999999928</v>
      </c>
      <c r="AG37" s="394">
        <f t="shared" si="33"/>
        <v>1.9898220799999913</v>
      </c>
      <c r="AH37" s="138"/>
      <c r="AI37" s="395">
        <f t="shared" si="17"/>
        <v>0</v>
      </c>
      <c r="AJ37" s="396">
        <f t="shared" si="18"/>
        <v>0</v>
      </c>
      <c r="AK37" s="53"/>
      <c r="AL37" s="414">
        <f>'Proposed Rates'!$K$256*AL$46+'Proposed Rates'!$K$257*AL$47+'Proposed Rates'!$K$258*AL$48</f>
        <v>0.12752000000000002</v>
      </c>
      <c r="AM37" s="501">
        <f>$F$9*(1+AL$65)-$F$9</f>
        <v>15.603999999999928</v>
      </c>
      <c r="AN37" s="394">
        <f t="shared" si="35"/>
        <v>1.9898220799999913</v>
      </c>
      <c r="AO37" s="138"/>
      <c r="AP37" s="395">
        <f t="shared" si="48"/>
        <v>0</v>
      </c>
      <c r="AQ37" s="396">
        <f t="shared" si="49"/>
        <v>0</v>
      </c>
      <c r="AR37" s="397"/>
    </row>
    <row r="38" spans="1:44" ht="12" customHeight="1">
      <c r="A38" s="545"/>
      <c r="B38" s="328" t="s">
        <v>302</v>
      </c>
      <c r="C38" s="389" t="str">
        <f t="shared" si="23"/>
        <v>Unmetered Scattered Load.Smart Meter Entity Charge</v>
      </c>
      <c r="D38" s="390" t="s">
        <v>335</v>
      </c>
      <c r="E38" s="328"/>
      <c r="F38" s="408">
        <f>IFERROR(VLOOKUP($C38,'Proposed Rates'!$B:$J,F$11,FALSE),0)</f>
        <v>0</v>
      </c>
      <c r="G38" s="409">
        <f>IF($D38="Monthly",1,IF($D38="per KW",$F$10,IF($D38="per kWh",$F$9,0)))</f>
        <v>1</v>
      </c>
      <c r="H38" s="394">
        <f t="shared" si="25"/>
        <v>0</v>
      </c>
      <c r="I38" s="138"/>
      <c r="J38" s="408">
        <f>IFERROR(VLOOKUP($C38,'Proposed Rates'!$B:$J,J$11,FALSE),0)</f>
        <v>0</v>
      </c>
      <c r="K38" s="409">
        <f>IF($D38="Monthly",1,IF($D38="per KW",$F$10,IF($D38="per kWh",$F$9,0)))</f>
        <v>1</v>
      </c>
      <c r="L38" s="394">
        <f t="shared" si="27"/>
        <v>0</v>
      </c>
      <c r="M38" s="138"/>
      <c r="N38" s="395">
        <f t="shared" si="42"/>
        <v>0</v>
      </c>
      <c r="O38" s="396" t="str">
        <f t="shared" si="43"/>
        <v/>
      </c>
      <c r="P38" s="53"/>
      <c r="Q38" s="408">
        <f>IFERROR(VLOOKUP($C38,'Proposed Rates'!$B:$J,Q$11,FALSE),0)</f>
        <v>0</v>
      </c>
      <c r="R38" s="409">
        <f>IF($D38="Monthly",1,IF($D38="per KW",$F$10,IF($D38="per kWh",$F$9,0)))</f>
        <v>1</v>
      </c>
      <c r="S38" s="394">
        <f t="shared" si="29"/>
        <v>0</v>
      </c>
      <c r="T38" s="138"/>
      <c r="U38" s="395">
        <f t="shared" si="44"/>
        <v>0</v>
      </c>
      <c r="V38" s="396" t="str">
        <f t="shared" si="45"/>
        <v/>
      </c>
      <c r="W38" s="53"/>
      <c r="X38" s="408">
        <f>IFERROR(VLOOKUP($C38,'Proposed Rates'!$B:$J,X$11,FALSE),0)</f>
        <v>0</v>
      </c>
      <c r="Y38" s="409">
        <f>IF($D38="Monthly",1,IF($D38="per KW",$F$10,IF($D38="per kWh",$F$9,0)))</f>
        <v>1</v>
      </c>
      <c r="Z38" s="394">
        <f t="shared" si="31"/>
        <v>0</v>
      </c>
      <c r="AA38" s="138"/>
      <c r="AB38" s="395">
        <f t="shared" si="46"/>
        <v>0</v>
      </c>
      <c r="AC38" s="396" t="str">
        <f t="shared" si="47"/>
        <v/>
      </c>
      <c r="AD38" s="53"/>
      <c r="AE38" s="408">
        <f>IFERROR(VLOOKUP($C38,'Proposed Rates'!$B:$J,AE$11,FALSE),0)</f>
        <v>0</v>
      </c>
      <c r="AF38" s="409">
        <f>IF($D38="Monthly",1,IF($D38="per KW",$F$10,IF($D38="per kWh",$F$9,0)))</f>
        <v>1</v>
      </c>
      <c r="AG38" s="394">
        <f t="shared" si="33"/>
        <v>0</v>
      </c>
      <c r="AH38" s="138"/>
      <c r="AI38" s="395">
        <f t="shared" si="17"/>
        <v>0</v>
      </c>
      <c r="AJ38" s="396" t="str">
        <f t="shared" si="18"/>
        <v/>
      </c>
      <c r="AK38" s="53"/>
      <c r="AL38" s="408">
        <f>IFERROR(VLOOKUP($C38,'Proposed Rates'!$B:$J,AL$11,FALSE),0)</f>
        <v>0</v>
      </c>
      <c r="AM38" s="409">
        <f>IF($D38="Monthly",1,IF($D38="per KW",$F$10,IF($D38="per kWh",$F$9,0)))</f>
        <v>1</v>
      </c>
      <c r="AN38" s="394">
        <f t="shared" si="35"/>
        <v>0</v>
      </c>
      <c r="AO38" s="138"/>
      <c r="AP38" s="395">
        <f t="shared" si="48"/>
        <v>0</v>
      </c>
      <c r="AQ38" s="396" t="str">
        <f t="shared" si="49"/>
        <v/>
      </c>
      <c r="AR38" s="397"/>
    </row>
    <row r="39" spans="1:44" ht="12" customHeight="1">
      <c r="A39" s="545"/>
      <c r="B39" s="399" t="s">
        <v>342</v>
      </c>
      <c r="C39" s="416"/>
      <c r="D39" s="416"/>
      <c r="E39" s="416"/>
      <c r="F39" s="417"/>
      <c r="G39" s="495"/>
      <c r="H39" s="403">
        <f>SUM(H30:H38)+H29</f>
        <v>25.167077020000001</v>
      </c>
      <c r="I39" s="419"/>
      <c r="J39" s="417"/>
      <c r="K39" s="495"/>
      <c r="L39" s="403">
        <f>SUM(L30:L38)+L29</f>
        <v>27.903246239999994</v>
      </c>
      <c r="M39" s="419"/>
      <c r="N39" s="405">
        <f t="shared" si="42"/>
        <v>2.7361692199999936</v>
      </c>
      <c r="O39" s="406">
        <f t="shared" si="43"/>
        <v>0.10872018303220472</v>
      </c>
      <c r="P39" s="53"/>
      <c r="Q39" s="417"/>
      <c r="R39" s="495"/>
      <c r="S39" s="403">
        <f>SUM(S30:S38)+S29</f>
        <v>30.462246239999995</v>
      </c>
      <c r="T39" s="419"/>
      <c r="U39" s="405">
        <f t="shared" si="44"/>
        <v>2.5590000000000011</v>
      </c>
      <c r="V39" s="406">
        <f t="shared" si="45"/>
        <v>9.1709759430485593E-2</v>
      </c>
      <c r="W39" s="53"/>
      <c r="X39" s="417"/>
      <c r="Y39" s="495"/>
      <c r="Z39" s="403">
        <f>SUM(Z30:Z38)+Z29</f>
        <v>31.048246239999994</v>
      </c>
      <c r="AA39" s="419"/>
      <c r="AB39" s="405">
        <f t="shared" si="46"/>
        <v>0.58599999999999852</v>
      </c>
      <c r="AC39" s="406">
        <f t="shared" si="47"/>
        <v>1.9236926764465635E-2</v>
      </c>
      <c r="AD39" s="53"/>
      <c r="AE39" s="417"/>
      <c r="AF39" s="495"/>
      <c r="AG39" s="403">
        <f>SUM(AG30:AG38)+AG29</f>
        <v>31.929246239999994</v>
      </c>
      <c r="AH39" s="419"/>
      <c r="AI39" s="405">
        <f t="shared" si="17"/>
        <v>0.88100000000000023</v>
      </c>
      <c r="AJ39" s="406">
        <f t="shared" si="18"/>
        <v>2.8375193664400684E-2</v>
      </c>
      <c r="AK39" s="53"/>
      <c r="AL39" s="417"/>
      <c r="AM39" s="495"/>
      <c r="AN39" s="403">
        <f>SUM(AN30:AN38)+AN29</f>
        <v>32.388246239999987</v>
      </c>
      <c r="AO39" s="419"/>
      <c r="AP39" s="405">
        <f t="shared" si="48"/>
        <v>0.45899999999999253</v>
      </c>
      <c r="AQ39" s="406">
        <f t="shared" si="49"/>
        <v>1.4375535098757553E-2</v>
      </c>
      <c r="AR39" s="407"/>
    </row>
    <row r="40" spans="1:44" ht="12" customHeight="1">
      <c r="A40" s="545"/>
      <c r="B40" s="138" t="s">
        <v>285</v>
      </c>
      <c r="C40" s="389" t="str">
        <f t="shared" ref="C40:C41" si="50">D$6&amp;"."&amp;B40</f>
        <v>Unmetered Scattered Load.RTSR - Network</v>
      </c>
      <c r="D40" s="420" t="s">
        <v>337</v>
      </c>
      <c r="E40" s="138"/>
      <c r="F40" s="408">
        <f>IFERROR(VLOOKUP($C40,'Proposed Rates'!$B:$J,F$11,FALSE),0)</f>
        <v>1.18E-2</v>
      </c>
      <c r="G40" s="502">
        <f t="shared" ref="G40:G41" si="51">$F$9+G$37</f>
        <v>485.88600000000002</v>
      </c>
      <c r="H40" s="394">
        <f t="shared" ref="H40:H41" si="52">G40*F40</f>
        <v>5.7334548000000005</v>
      </c>
      <c r="I40" s="138"/>
      <c r="J40" s="408">
        <f>IFERROR(VLOOKUP($C40,'Proposed Rates'!$B:$J,J$11,FALSE),0)</f>
        <v>7.4999999999999997E-3</v>
      </c>
      <c r="K40" s="502">
        <f t="shared" ref="K40:K41" si="53">$F$9+K$37</f>
        <v>485.60399999999993</v>
      </c>
      <c r="L40" s="394">
        <f t="shared" ref="L40:L41" si="54">K40*J40</f>
        <v>3.6420299999999992</v>
      </c>
      <c r="M40" s="138"/>
      <c r="N40" s="395">
        <f t="shared" si="42"/>
        <v>-2.0914248000000013</v>
      </c>
      <c r="O40" s="396">
        <f t="shared" si="43"/>
        <v>-0.36477566719458593</v>
      </c>
      <c r="P40" s="53"/>
      <c r="Q40" s="408">
        <f>IFERROR(VLOOKUP($C40,'Proposed Rates'!$B:$J,Q$11,FALSE),0)</f>
        <v>7.4999999999999997E-3</v>
      </c>
      <c r="R40" s="502">
        <f t="shared" ref="R40:R41" si="55">$F$9+R$37</f>
        <v>485.60399999999993</v>
      </c>
      <c r="S40" s="394">
        <f t="shared" ref="S40:S41" si="56">R40*Q40</f>
        <v>3.6420299999999992</v>
      </c>
      <c r="T40" s="138"/>
      <c r="U40" s="395">
        <f t="shared" si="44"/>
        <v>0</v>
      </c>
      <c r="V40" s="396">
        <f t="shared" si="45"/>
        <v>0</v>
      </c>
      <c r="W40" s="53"/>
      <c r="X40" s="408">
        <f>IFERROR(VLOOKUP($C40,'Proposed Rates'!$B:$J,X$11,FALSE),0)</f>
        <v>7.4999999999999997E-3</v>
      </c>
      <c r="Y40" s="502">
        <f t="shared" ref="Y40:Y41" si="57">$F$9+Y$37</f>
        <v>485.60399999999993</v>
      </c>
      <c r="Z40" s="394">
        <f t="shared" ref="Z40:Z41" si="58">Y40*X40</f>
        <v>3.6420299999999992</v>
      </c>
      <c r="AA40" s="138"/>
      <c r="AB40" s="395">
        <f t="shared" si="46"/>
        <v>0</v>
      </c>
      <c r="AC40" s="396">
        <f t="shared" si="47"/>
        <v>0</v>
      </c>
      <c r="AD40" s="53"/>
      <c r="AE40" s="408">
        <f>IFERROR(VLOOKUP($C40,'Proposed Rates'!$B:$J,AE$11,FALSE),0)</f>
        <v>7.4999999999999997E-3</v>
      </c>
      <c r="AF40" s="502">
        <f t="shared" ref="AF40:AF41" si="59">$F$9+AF$37</f>
        <v>485.60399999999993</v>
      </c>
      <c r="AG40" s="394">
        <f t="shared" ref="AG40:AG41" si="60">AF40*AE40</f>
        <v>3.6420299999999992</v>
      </c>
      <c r="AH40" s="138"/>
      <c r="AI40" s="395">
        <f t="shared" si="17"/>
        <v>0</v>
      </c>
      <c r="AJ40" s="396">
        <f t="shared" si="18"/>
        <v>0</v>
      </c>
      <c r="AK40" s="53"/>
      <c r="AL40" s="408">
        <f>IFERROR(VLOOKUP($C40,'Proposed Rates'!$B:$J,AL$11,FALSE),0)</f>
        <v>7.4999999999999997E-3</v>
      </c>
      <c r="AM40" s="502">
        <f t="shared" ref="AM40:AM41" si="61">$F$9+AM$37</f>
        <v>485.60399999999993</v>
      </c>
      <c r="AN40" s="394">
        <f t="shared" ref="AN40:AN41" si="62">AM40*AL40</f>
        <v>3.6420299999999992</v>
      </c>
      <c r="AO40" s="138"/>
      <c r="AP40" s="395">
        <f t="shared" si="48"/>
        <v>0</v>
      </c>
      <c r="AQ40" s="396">
        <f t="shared" si="49"/>
        <v>0</v>
      </c>
      <c r="AR40" s="397"/>
    </row>
    <row r="41" spans="1:44" ht="12" customHeight="1">
      <c r="A41" s="545"/>
      <c r="B41" s="138" t="s">
        <v>288</v>
      </c>
      <c r="C41" s="389" t="str">
        <f t="shared" si="50"/>
        <v>Unmetered Scattered Load.RTSR - Line and Transformation Connection</v>
      </c>
      <c r="D41" s="420" t="s">
        <v>337</v>
      </c>
      <c r="E41" s="138"/>
      <c r="F41" s="408">
        <f>IFERROR(VLOOKUP($C41,'Proposed Rates'!$B:$J,F$11,FALSE),0)</f>
        <v>7.0000000000000001E-3</v>
      </c>
      <c r="G41" s="502">
        <f t="shared" si="51"/>
        <v>485.88600000000002</v>
      </c>
      <c r="H41" s="394">
        <f t="shared" si="52"/>
        <v>3.4012020000000001</v>
      </c>
      <c r="I41" s="138"/>
      <c r="J41" s="408">
        <f>IFERROR(VLOOKUP($C41,'Proposed Rates'!$B:$J,J$11,FALSE),0)</f>
        <v>4.3E-3</v>
      </c>
      <c r="K41" s="502">
        <f t="shared" si="53"/>
        <v>485.60399999999993</v>
      </c>
      <c r="L41" s="394">
        <f t="shared" si="54"/>
        <v>2.0880971999999995</v>
      </c>
      <c r="M41" s="138"/>
      <c r="N41" s="395">
        <f t="shared" si="42"/>
        <v>-1.3131048000000005</v>
      </c>
      <c r="O41" s="396">
        <f t="shared" si="43"/>
        <v>-0.38607080673244354</v>
      </c>
      <c r="P41" s="53"/>
      <c r="Q41" s="408">
        <f>IFERROR(VLOOKUP($C41,'Proposed Rates'!$B:$J,Q$11,FALSE),0)</f>
        <v>4.3E-3</v>
      </c>
      <c r="R41" s="502">
        <f t="shared" si="55"/>
        <v>485.60399999999993</v>
      </c>
      <c r="S41" s="394">
        <f t="shared" si="56"/>
        <v>2.0880971999999995</v>
      </c>
      <c r="T41" s="138"/>
      <c r="U41" s="395">
        <f t="shared" si="44"/>
        <v>0</v>
      </c>
      <c r="V41" s="396">
        <f t="shared" si="45"/>
        <v>0</v>
      </c>
      <c r="W41" s="53"/>
      <c r="X41" s="408">
        <f>IFERROR(VLOOKUP($C41,'Proposed Rates'!$B:$J,X$11,FALSE),0)</f>
        <v>4.3E-3</v>
      </c>
      <c r="Y41" s="502">
        <f t="shared" si="57"/>
        <v>485.60399999999993</v>
      </c>
      <c r="Z41" s="394">
        <f t="shared" si="58"/>
        <v>2.0880971999999995</v>
      </c>
      <c r="AA41" s="138"/>
      <c r="AB41" s="395">
        <f t="shared" si="46"/>
        <v>0</v>
      </c>
      <c r="AC41" s="396">
        <f t="shared" si="47"/>
        <v>0</v>
      </c>
      <c r="AD41" s="53"/>
      <c r="AE41" s="408">
        <f>IFERROR(VLOOKUP($C41,'Proposed Rates'!$B:$J,AE$11,FALSE),0)</f>
        <v>4.3E-3</v>
      </c>
      <c r="AF41" s="502">
        <f t="shared" si="59"/>
        <v>485.60399999999993</v>
      </c>
      <c r="AG41" s="394">
        <f t="shared" si="60"/>
        <v>2.0880971999999995</v>
      </c>
      <c r="AH41" s="138"/>
      <c r="AI41" s="395">
        <f t="shared" si="17"/>
        <v>0</v>
      </c>
      <c r="AJ41" s="396">
        <f t="shared" si="18"/>
        <v>0</v>
      </c>
      <c r="AK41" s="53"/>
      <c r="AL41" s="408">
        <f>IFERROR(VLOOKUP($C41,'Proposed Rates'!$B:$J,AL$11,FALSE),0)</f>
        <v>4.3E-3</v>
      </c>
      <c r="AM41" s="502">
        <f t="shared" si="61"/>
        <v>485.60399999999993</v>
      </c>
      <c r="AN41" s="394">
        <f t="shared" si="62"/>
        <v>2.0880971999999995</v>
      </c>
      <c r="AO41" s="138"/>
      <c r="AP41" s="395">
        <f t="shared" si="48"/>
        <v>0</v>
      </c>
      <c r="AQ41" s="396">
        <f t="shared" si="49"/>
        <v>0</v>
      </c>
      <c r="AR41" s="397"/>
    </row>
    <row r="42" spans="1:44" ht="12" customHeight="1">
      <c r="A42" s="545"/>
      <c r="B42" s="399" t="s">
        <v>343</v>
      </c>
      <c r="C42" s="421"/>
      <c r="D42" s="421"/>
      <c r="E42" s="421"/>
      <c r="F42" s="422"/>
      <c r="G42" s="495"/>
      <c r="H42" s="403">
        <f>SUM(H39:H41)</f>
        <v>34.301733820000003</v>
      </c>
      <c r="I42" s="404"/>
      <c r="J42" s="422"/>
      <c r="K42" s="495"/>
      <c r="L42" s="403">
        <f>SUM(L39:L41)</f>
        <v>33.633373439999993</v>
      </c>
      <c r="M42" s="404"/>
      <c r="N42" s="405">
        <f t="shared" si="42"/>
        <v>-0.66836038000000997</v>
      </c>
      <c r="O42" s="406">
        <f t="shared" si="43"/>
        <v>-1.9484740436365788E-2</v>
      </c>
      <c r="P42" s="53"/>
      <c r="Q42" s="422"/>
      <c r="R42" s="495"/>
      <c r="S42" s="403">
        <f>SUM(S39:S41)</f>
        <v>36.192373439999997</v>
      </c>
      <c r="T42" s="404"/>
      <c r="U42" s="405">
        <f t="shared" si="44"/>
        <v>2.5590000000000046</v>
      </c>
      <c r="V42" s="406">
        <f t="shared" si="45"/>
        <v>7.6085142174784029E-2</v>
      </c>
      <c r="W42" s="53"/>
      <c r="X42" s="422"/>
      <c r="Y42" s="495"/>
      <c r="Z42" s="403">
        <f>SUM(Z39:Z41)</f>
        <v>36.778373439999996</v>
      </c>
      <c r="AA42" s="404"/>
      <c r="AB42" s="405">
        <f t="shared" si="46"/>
        <v>0.58599999999999852</v>
      </c>
      <c r="AC42" s="406">
        <f t="shared" si="47"/>
        <v>1.6191256452729577E-2</v>
      </c>
      <c r="AD42" s="53"/>
      <c r="AE42" s="422"/>
      <c r="AF42" s="495"/>
      <c r="AG42" s="403">
        <f>SUM(AG39:AG41)</f>
        <v>37.659373439999996</v>
      </c>
      <c r="AH42" s="404"/>
      <c r="AI42" s="405">
        <f t="shared" si="17"/>
        <v>0.88100000000000023</v>
      </c>
      <c r="AJ42" s="406">
        <f t="shared" si="18"/>
        <v>2.3954294809618429E-2</v>
      </c>
      <c r="AK42" s="53"/>
      <c r="AL42" s="422"/>
      <c r="AM42" s="495"/>
      <c r="AN42" s="403">
        <f>SUM(AN39:AN41)</f>
        <v>38.118373439999985</v>
      </c>
      <c r="AO42" s="404"/>
      <c r="AP42" s="405">
        <f t="shared" si="48"/>
        <v>0.45899999999998897</v>
      </c>
      <c r="AQ42" s="406">
        <f t="shared" si="49"/>
        <v>1.2188200654248299E-2</v>
      </c>
      <c r="AR42" s="407"/>
    </row>
    <row r="43" spans="1:44" ht="12" customHeight="1">
      <c r="A43" s="545"/>
      <c r="B43" s="328" t="s">
        <v>289</v>
      </c>
      <c r="C43" s="389" t="str">
        <f t="shared" ref="C43:C45" si="63">D$6&amp;"."&amp;B43</f>
        <v>Unmetered Scattered Load.Wholesale Market Service Charge (WMSC)</v>
      </c>
      <c r="D43" s="390" t="s">
        <v>337</v>
      </c>
      <c r="E43" s="328"/>
      <c r="F43" s="408">
        <f>IFERROR(VLOOKUP($C43,'Proposed Rates'!$B:$J,F$11,FALSE),0)</f>
        <v>4.4999999999999997E-3</v>
      </c>
      <c r="G43" s="502">
        <f t="shared" ref="G43:G44" si="64">$F$9+G$37</f>
        <v>485.88600000000002</v>
      </c>
      <c r="H43" s="394">
        <f t="shared" ref="H43:H50" si="65">G43*F43</f>
        <v>2.1864870000000001</v>
      </c>
      <c r="I43" s="138"/>
      <c r="J43" s="408">
        <f>IFERROR(VLOOKUP($C43,'Proposed Rates'!$B:$J,J$11,FALSE),0)</f>
        <v>4.7000000000000002E-3</v>
      </c>
      <c r="K43" s="502">
        <f t="shared" ref="K43:K44" si="66">$F$9+K$37</f>
        <v>485.60399999999993</v>
      </c>
      <c r="L43" s="394">
        <f t="shared" ref="L43:L50" si="67">K43*J43</f>
        <v>2.2823387999999998</v>
      </c>
      <c r="M43" s="138"/>
      <c r="N43" s="395">
        <f t="shared" si="42"/>
        <v>9.5851799999999709E-2</v>
      </c>
      <c r="O43" s="396">
        <f t="shared" si="43"/>
        <v>4.3838266589282124E-2</v>
      </c>
      <c r="P43" s="53"/>
      <c r="Q43" s="408">
        <f>IFERROR(VLOOKUP($C43,'Proposed Rates'!$B:$J,Q$11,FALSE),0)</f>
        <v>4.7000000000000002E-3</v>
      </c>
      <c r="R43" s="502">
        <f t="shared" ref="R43:R44" si="68">$F$9+R$37</f>
        <v>485.60399999999993</v>
      </c>
      <c r="S43" s="394">
        <f t="shared" ref="S43:S50" si="69">R43*Q43</f>
        <v>2.2823387999999998</v>
      </c>
      <c r="T43" s="138"/>
      <c r="U43" s="395">
        <f t="shared" si="44"/>
        <v>0</v>
      </c>
      <c r="V43" s="396">
        <f t="shared" si="45"/>
        <v>0</v>
      </c>
      <c r="W43" s="53"/>
      <c r="X43" s="408">
        <f>IFERROR(VLOOKUP($C43,'Proposed Rates'!$B:$J,X$11,FALSE),0)</f>
        <v>4.7000000000000002E-3</v>
      </c>
      <c r="Y43" s="502">
        <f t="shared" ref="Y43:Y44" si="70">$F$9+Y$37</f>
        <v>485.60399999999993</v>
      </c>
      <c r="Z43" s="394">
        <f t="shared" ref="Z43:Z50" si="71">Y43*X43</f>
        <v>2.2823387999999998</v>
      </c>
      <c r="AA43" s="138"/>
      <c r="AB43" s="395">
        <f t="shared" si="46"/>
        <v>0</v>
      </c>
      <c r="AC43" s="396">
        <f t="shared" si="47"/>
        <v>0</v>
      </c>
      <c r="AD43" s="53"/>
      <c r="AE43" s="408">
        <f>IFERROR(VLOOKUP($C43,'Proposed Rates'!$B:$J,AE$11,FALSE),0)</f>
        <v>4.7000000000000002E-3</v>
      </c>
      <c r="AF43" s="502">
        <f t="shared" ref="AF43:AF44" si="72">$F$9+AF$37</f>
        <v>485.60399999999993</v>
      </c>
      <c r="AG43" s="394">
        <f t="shared" ref="AG43:AG50" si="73">AF43*AE43</f>
        <v>2.2823387999999998</v>
      </c>
      <c r="AH43" s="138"/>
      <c r="AI43" s="395">
        <f t="shared" si="17"/>
        <v>0</v>
      </c>
      <c r="AJ43" s="396">
        <f t="shared" si="18"/>
        <v>0</v>
      </c>
      <c r="AK43" s="53"/>
      <c r="AL43" s="408">
        <f>IFERROR(VLOOKUP($C43,'Proposed Rates'!$B:$J,AL$11,FALSE),0)</f>
        <v>4.7000000000000002E-3</v>
      </c>
      <c r="AM43" s="502">
        <f t="shared" ref="AM43:AM44" si="74">$F$9+AM$37</f>
        <v>485.60399999999993</v>
      </c>
      <c r="AN43" s="394">
        <f t="shared" ref="AN43:AN50" si="75">AM43*AL43</f>
        <v>2.2823387999999998</v>
      </c>
      <c r="AO43" s="138"/>
      <c r="AP43" s="395">
        <f t="shared" si="48"/>
        <v>0</v>
      </c>
      <c r="AQ43" s="396">
        <f t="shared" si="49"/>
        <v>0</v>
      </c>
      <c r="AR43" s="397"/>
    </row>
    <row r="44" spans="1:44" ht="12" customHeight="1">
      <c r="A44" s="545"/>
      <c r="B44" s="328" t="s">
        <v>290</v>
      </c>
      <c r="C44" s="389" t="str">
        <f t="shared" si="63"/>
        <v>Unmetered Scattered Load.Rural and Remote Rate Protection (RRRP)</v>
      </c>
      <c r="D44" s="390" t="s">
        <v>337</v>
      </c>
      <c r="E44" s="328"/>
      <c r="F44" s="408">
        <f>IFERROR(VLOOKUP($C44,'Proposed Rates'!$B:$J,F$11,FALSE),0)</f>
        <v>1.5E-3</v>
      </c>
      <c r="G44" s="502">
        <f t="shared" si="64"/>
        <v>485.88600000000002</v>
      </c>
      <c r="H44" s="394">
        <f t="shared" si="65"/>
        <v>0.72882900000000006</v>
      </c>
      <c r="I44" s="138"/>
      <c r="J44" s="408">
        <f>IFERROR(VLOOKUP($C44,'Proposed Rates'!$B:$J,J$11,FALSE),0)</f>
        <v>5.9999999999999995E-4</v>
      </c>
      <c r="K44" s="502">
        <f t="shared" si="66"/>
        <v>485.60399999999993</v>
      </c>
      <c r="L44" s="394">
        <f t="shared" si="67"/>
        <v>0.29136239999999991</v>
      </c>
      <c r="M44" s="138"/>
      <c r="N44" s="395">
        <f t="shared" si="42"/>
        <v>-0.43746660000000015</v>
      </c>
      <c r="O44" s="396">
        <f t="shared" si="43"/>
        <v>-0.60023215322112611</v>
      </c>
      <c r="P44" s="53"/>
      <c r="Q44" s="408">
        <f>IFERROR(VLOOKUP($C44,'Proposed Rates'!$B:$J,Q$11,FALSE),0)</f>
        <v>5.9999999999999995E-4</v>
      </c>
      <c r="R44" s="502">
        <f t="shared" si="68"/>
        <v>485.60399999999993</v>
      </c>
      <c r="S44" s="394">
        <f t="shared" si="69"/>
        <v>0.29136239999999991</v>
      </c>
      <c r="T44" s="138"/>
      <c r="U44" s="395">
        <f t="shared" si="44"/>
        <v>0</v>
      </c>
      <c r="V44" s="396">
        <f t="shared" si="45"/>
        <v>0</v>
      </c>
      <c r="W44" s="53"/>
      <c r="X44" s="408">
        <f>IFERROR(VLOOKUP($C44,'Proposed Rates'!$B:$J,X$11,FALSE),0)</f>
        <v>5.9999999999999995E-4</v>
      </c>
      <c r="Y44" s="502">
        <f t="shared" si="70"/>
        <v>485.60399999999993</v>
      </c>
      <c r="Z44" s="394">
        <f t="shared" si="71"/>
        <v>0.29136239999999991</v>
      </c>
      <c r="AA44" s="138"/>
      <c r="AB44" s="395">
        <f t="shared" si="46"/>
        <v>0</v>
      </c>
      <c r="AC44" s="396">
        <f t="shared" si="47"/>
        <v>0</v>
      </c>
      <c r="AD44" s="53"/>
      <c r="AE44" s="408">
        <f>IFERROR(VLOOKUP($C44,'Proposed Rates'!$B:$J,AE$11,FALSE),0)</f>
        <v>5.9999999999999995E-4</v>
      </c>
      <c r="AF44" s="502">
        <f t="shared" si="72"/>
        <v>485.60399999999993</v>
      </c>
      <c r="AG44" s="394">
        <f t="shared" si="73"/>
        <v>0.29136239999999991</v>
      </c>
      <c r="AH44" s="138"/>
      <c r="AI44" s="395">
        <f t="shared" si="17"/>
        <v>0</v>
      </c>
      <c r="AJ44" s="396">
        <f t="shared" si="18"/>
        <v>0</v>
      </c>
      <c r="AK44" s="53"/>
      <c r="AL44" s="408">
        <f>IFERROR(VLOOKUP($C44,'Proposed Rates'!$B:$J,AL$11,FALSE),0)</f>
        <v>5.9999999999999995E-4</v>
      </c>
      <c r="AM44" s="502">
        <f t="shared" si="74"/>
        <v>485.60399999999993</v>
      </c>
      <c r="AN44" s="394">
        <f t="shared" si="75"/>
        <v>0.29136239999999991</v>
      </c>
      <c r="AO44" s="138"/>
      <c r="AP44" s="395">
        <f t="shared" si="48"/>
        <v>0</v>
      </c>
      <c r="AQ44" s="396">
        <f t="shared" si="49"/>
        <v>0</v>
      </c>
      <c r="AR44" s="397"/>
    </row>
    <row r="45" spans="1:44" ht="12" customHeight="1">
      <c r="A45" s="545"/>
      <c r="B45" s="328" t="s">
        <v>291</v>
      </c>
      <c r="C45" s="389" t="str">
        <f t="shared" si="63"/>
        <v>Unmetered Scattered Load.Standard Supply Service Charge</v>
      </c>
      <c r="D45" s="390" t="s">
        <v>335</v>
      </c>
      <c r="E45" s="328"/>
      <c r="F45" s="391">
        <f>IFERROR(VLOOKUP($C45,'Proposed Rates'!$B:$J,F$11,FALSE),0)</f>
        <v>0.25</v>
      </c>
      <c r="G45" s="411">
        <v>1</v>
      </c>
      <c r="H45" s="394">
        <f t="shared" si="65"/>
        <v>0.25</v>
      </c>
      <c r="I45" s="138"/>
      <c r="J45" s="391">
        <f>IFERROR(VLOOKUP($C45,'Proposed Rates'!$B:$J,J$11,FALSE),0)</f>
        <v>0.25</v>
      </c>
      <c r="K45" s="411">
        <v>1</v>
      </c>
      <c r="L45" s="394">
        <f t="shared" si="67"/>
        <v>0.25</v>
      </c>
      <c r="M45" s="138"/>
      <c r="N45" s="395">
        <f t="shared" si="42"/>
        <v>0</v>
      </c>
      <c r="O45" s="396">
        <f t="shared" si="43"/>
        <v>0</v>
      </c>
      <c r="P45" s="53"/>
      <c r="Q45" s="391">
        <f>IFERROR(VLOOKUP($C45,'Proposed Rates'!$B:$J,Q$11,FALSE),0)</f>
        <v>0.25</v>
      </c>
      <c r="R45" s="411">
        <v>1</v>
      </c>
      <c r="S45" s="394">
        <f t="shared" si="69"/>
        <v>0.25</v>
      </c>
      <c r="T45" s="138"/>
      <c r="U45" s="395">
        <f t="shared" si="44"/>
        <v>0</v>
      </c>
      <c r="V45" s="396">
        <f t="shared" si="45"/>
        <v>0</v>
      </c>
      <c r="W45" s="53"/>
      <c r="X45" s="391">
        <f>IFERROR(VLOOKUP($C45,'Proposed Rates'!$B:$J,X$11,FALSE),0)</f>
        <v>0.25</v>
      </c>
      <c r="Y45" s="411">
        <v>1</v>
      </c>
      <c r="Z45" s="394">
        <f t="shared" si="71"/>
        <v>0.25</v>
      </c>
      <c r="AA45" s="138"/>
      <c r="AB45" s="395">
        <f t="shared" si="46"/>
        <v>0</v>
      </c>
      <c r="AC45" s="396">
        <f t="shared" si="47"/>
        <v>0</v>
      </c>
      <c r="AD45" s="53"/>
      <c r="AE45" s="391">
        <f>IFERROR(VLOOKUP($C45,'Proposed Rates'!$B:$J,AE$11,FALSE),0)</f>
        <v>0.25</v>
      </c>
      <c r="AF45" s="411">
        <v>1</v>
      </c>
      <c r="AG45" s="394">
        <f t="shared" si="73"/>
        <v>0.25</v>
      </c>
      <c r="AH45" s="138"/>
      <c r="AI45" s="395">
        <f t="shared" si="17"/>
        <v>0</v>
      </c>
      <c r="AJ45" s="396">
        <f t="shared" si="18"/>
        <v>0</v>
      </c>
      <c r="AK45" s="53"/>
      <c r="AL45" s="391">
        <f>IFERROR(VLOOKUP($C45,'Proposed Rates'!$B:$J,AL$11,FALSE),0)</f>
        <v>0.25</v>
      </c>
      <c r="AM45" s="411">
        <v>1</v>
      </c>
      <c r="AN45" s="394">
        <f t="shared" si="75"/>
        <v>0.25</v>
      </c>
      <c r="AO45" s="138"/>
      <c r="AP45" s="395">
        <f t="shared" si="48"/>
        <v>0</v>
      </c>
      <c r="AQ45" s="396">
        <f t="shared" si="49"/>
        <v>0</v>
      </c>
      <c r="AR45" s="397"/>
    </row>
    <row r="46" spans="1:44" ht="12" customHeight="1">
      <c r="A46" s="545"/>
      <c r="B46" s="328" t="s">
        <v>293</v>
      </c>
      <c r="C46" s="389" t="str">
        <f t="shared" ref="C46:C50" si="76">B46</f>
        <v>TOU - Off Peak</v>
      </c>
      <c r="D46" s="390" t="s">
        <v>337</v>
      </c>
      <c r="E46" s="328"/>
      <c r="F46" s="579">
        <f>VLOOKUP($B46,'Proposed Rates'!$D$255:$J$261,+F$11-2,FALSE)</f>
        <v>9.8000000000000004E-2</v>
      </c>
      <c r="G46" s="502">
        <f>'Proposed Rates'!$K256*$F$9</f>
        <v>300.8</v>
      </c>
      <c r="H46" s="394">
        <f t="shared" si="65"/>
        <v>29.478400000000001</v>
      </c>
      <c r="I46" s="138"/>
      <c r="J46" s="579">
        <f>VLOOKUP($B46,'Proposed Rates'!$D$255:$J$261,+J$11-2,FALSE)</f>
        <v>9.8000000000000004E-2</v>
      </c>
      <c r="K46" s="502">
        <f>'Proposed Rates'!$K256*$F$9</f>
        <v>300.8</v>
      </c>
      <c r="L46" s="394">
        <f t="shared" si="67"/>
        <v>29.478400000000001</v>
      </c>
      <c r="M46" s="138"/>
      <c r="N46" s="395">
        <f t="shared" si="42"/>
        <v>0</v>
      </c>
      <c r="O46" s="396">
        <f t="shared" si="43"/>
        <v>0</v>
      </c>
      <c r="P46" s="53"/>
      <c r="Q46" s="579">
        <f>VLOOKUP($B46,'Proposed Rates'!$D$255:$J$261,+Q$11-2,FALSE)</f>
        <v>9.8000000000000004E-2</v>
      </c>
      <c r="R46" s="502">
        <f>'Proposed Rates'!$K256*$F$9</f>
        <v>300.8</v>
      </c>
      <c r="S46" s="394">
        <f t="shared" si="69"/>
        <v>29.478400000000001</v>
      </c>
      <c r="T46" s="138"/>
      <c r="U46" s="395">
        <f t="shared" si="44"/>
        <v>0</v>
      </c>
      <c r="V46" s="396">
        <f t="shared" si="45"/>
        <v>0</v>
      </c>
      <c r="W46" s="53"/>
      <c r="X46" s="579">
        <f>VLOOKUP($B46,'Proposed Rates'!$D$255:$J$261,+X$11-2,FALSE)</f>
        <v>9.8000000000000004E-2</v>
      </c>
      <c r="Y46" s="502">
        <f>'Proposed Rates'!$K256*$F$9</f>
        <v>300.8</v>
      </c>
      <c r="Z46" s="394">
        <f t="shared" si="71"/>
        <v>29.478400000000001</v>
      </c>
      <c r="AA46" s="138"/>
      <c r="AB46" s="395">
        <f t="shared" si="46"/>
        <v>0</v>
      </c>
      <c r="AC46" s="396">
        <f t="shared" si="47"/>
        <v>0</v>
      </c>
      <c r="AD46" s="53"/>
      <c r="AE46" s="579">
        <f>VLOOKUP($B46,'Proposed Rates'!$D$255:$J$261,+AE$11-2,FALSE)</f>
        <v>9.8000000000000004E-2</v>
      </c>
      <c r="AF46" s="502">
        <f>'Proposed Rates'!$K256*$F$9</f>
        <v>300.8</v>
      </c>
      <c r="AG46" s="394">
        <f t="shared" si="73"/>
        <v>29.478400000000001</v>
      </c>
      <c r="AH46" s="138"/>
      <c r="AI46" s="395">
        <f t="shared" si="17"/>
        <v>0</v>
      </c>
      <c r="AJ46" s="396">
        <f t="shared" si="18"/>
        <v>0</v>
      </c>
      <c r="AK46" s="53"/>
      <c r="AL46" s="579">
        <f>VLOOKUP($B46,'Proposed Rates'!$D$255:$J$261,+AL$11-2,FALSE)</f>
        <v>9.8000000000000004E-2</v>
      </c>
      <c r="AM46" s="502">
        <f>'Proposed Rates'!$K256*$F$9</f>
        <v>300.8</v>
      </c>
      <c r="AN46" s="394">
        <f t="shared" si="75"/>
        <v>29.478400000000001</v>
      </c>
      <c r="AO46" s="138"/>
      <c r="AP46" s="395">
        <f t="shared" si="48"/>
        <v>0</v>
      </c>
      <c r="AQ46" s="396">
        <f t="shared" si="49"/>
        <v>0</v>
      </c>
      <c r="AR46" s="397"/>
    </row>
    <row r="47" spans="1:44" ht="12" customHeight="1">
      <c r="A47" s="545"/>
      <c r="B47" s="328" t="s">
        <v>294</v>
      </c>
      <c r="C47" s="389" t="str">
        <f t="shared" si="76"/>
        <v>TOU - Mid Peak</v>
      </c>
      <c r="D47" s="390" t="s">
        <v>337</v>
      </c>
      <c r="E47" s="328"/>
      <c r="F47" s="579">
        <f>VLOOKUP($B47,'Proposed Rates'!$D$255:$J$261,+F$11-2,FALSE)</f>
        <v>0.157</v>
      </c>
      <c r="G47" s="502">
        <f>'Proposed Rates'!$K257*$F$9</f>
        <v>84.6</v>
      </c>
      <c r="H47" s="394">
        <f t="shared" si="65"/>
        <v>13.2822</v>
      </c>
      <c r="I47" s="138"/>
      <c r="J47" s="579">
        <f>VLOOKUP($B47,'Proposed Rates'!$D$255:$J$261,+J$11-2,FALSE)</f>
        <v>0.157</v>
      </c>
      <c r="K47" s="502">
        <f>'Proposed Rates'!$K257*$F$9</f>
        <v>84.6</v>
      </c>
      <c r="L47" s="394">
        <f t="shared" si="67"/>
        <v>13.2822</v>
      </c>
      <c r="M47" s="138"/>
      <c r="N47" s="395">
        <f t="shared" si="42"/>
        <v>0</v>
      </c>
      <c r="O47" s="396">
        <f t="shared" si="43"/>
        <v>0</v>
      </c>
      <c r="P47" s="53"/>
      <c r="Q47" s="579">
        <f>VLOOKUP($B47,'Proposed Rates'!$D$255:$J$261,+Q$11-2,FALSE)</f>
        <v>0.157</v>
      </c>
      <c r="R47" s="502">
        <f>'Proposed Rates'!$K257*$F$9</f>
        <v>84.6</v>
      </c>
      <c r="S47" s="394">
        <f t="shared" si="69"/>
        <v>13.2822</v>
      </c>
      <c r="T47" s="138"/>
      <c r="U47" s="395">
        <f t="shared" si="44"/>
        <v>0</v>
      </c>
      <c r="V47" s="396">
        <f t="shared" si="45"/>
        <v>0</v>
      </c>
      <c r="W47" s="53"/>
      <c r="X47" s="579">
        <f>VLOOKUP($B47,'Proposed Rates'!$D$255:$J$261,+X$11-2,FALSE)</f>
        <v>0.157</v>
      </c>
      <c r="Y47" s="502">
        <f>'Proposed Rates'!$K257*$F$9</f>
        <v>84.6</v>
      </c>
      <c r="Z47" s="394">
        <f t="shared" si="71"/>
        <v>13.2822</v>
      </c>
      <c r="AA47" s="138"/>
      <c r="AB47" s="395">
        <f t="shared" si="46"/>
        <v>0</v>
      </c>
      <c r="AC47" s="396">
        <f t="shared" si="47"/>
        <v>0</v>
      </c>
      <c r="AD47" s="53"/>
      <c r="AE47" s="579">
        <f>VLOOKUP($B47,'Proposed Rates'!$D$255:$J$261,+AE$11-2,FALSE)</f>
        <v>0.157</v>
      </c>
      <c r="AF47" s="502">
        <f>'Proposed Rates'!$K257*$F$9</f>
        <v>84.6</v>
      </c>
      <c r="AG47" s="394">
        <f t="shared" si="73"/>
        <v>13.2822</v>
      </c>
      <c r="AH47" s="138"/>
      <c r="AI47" s="395">
        <f t="shared" si="17"/>
        <v>0</v>
      </c>
      <c r="AJ47" s="396">
        <f t="shared" si="18"/>
        <v>0</v>
      </c>
      <c r="AK47" s="53"/>
      <c r="AL47" s="579">
        <f>VLOOKUP($B47,'Proposed Rates'!$D$255:$J$261,+AL$11-2,FALSE)</f>
        <v>0.157</v>
      </c>
      <c r="AM47" s="502">
        <f>'Proposed Rates'!$K257*$F$9</f>
        <v>84.6</v>
      </c>
      <c r="AN47" s="394">
        <f t="shared" si="75"/>
        <v>13.2822</v>
      </c>
      <c r="AO47" s="138"/>
      <c r="AP47" s="395">
        <f t="shared" si="48"/>
        <v>0</v>
      </c>
      <c r="AQ47" s="396">
        <f t="shared" si="49"/>
        <v>0</v>
      </c>
      <c r="AR47" s="397"/>
    </row>
    <row r="48" spans="1:44" ht="12" customHeight="1">
      <c r="A48" s="545"/>
      <c r="B48" s="53" t="s">
        <v>295</v>
      </c>
      <c r="C48" s="389" t="str">
        <f t="shared" si="76"/>
        <v>TOU - On Peak</v>
      </c>
      <c r="D48" s="390" t="s">
        <v>337</v>
      </c>
      <c r="E48" s="328"/>
      <c r="F48" s="579">
        <f>VLOOKUP($B48,'Proposed Rates'!$D$255:$J$261,+F$11-2,FALSE)</f>
        <v>0.20300000000000001</v>
      </c>
      <c r="G48" s="502">
        <f>'Proposed Rates'!$K258*$F$9</f>
        <v>84.6</v>
      </c>
      <c r="H48" s="394">
        <f t="shared" si="65"/>
        <v>17.1738</v>
      </c>
      <c r="I48" s="138"/>
      <c r="J48" s="579">
        <f>VLOOKUP($B48,'Proposed Rates'!$D$255:$J$261,+J$11-2,FALSE)</f>
        <v>0.20300000000000001</v>
      </c>
      <c r="K48" s="502">
        <f>'Proposed Rates'!$K258*$F$9</f>
        <v>84.6</v>
      </c>
      <c r="L48" s="394">
        <f t="shared" si="67"/>
        <v>17.1738</v>
      </c>
      <c r="M48" s="138"/>
      <c r="N48" s="395">
        <f t="shared" si="42"/>
        <v>0</v>
      </c>
      <c r="O48" s="396">
        <f t="shared" si="43"/>
        <v>0</v>
      </c>
      <c r="P48" s="53"/>
      <c r="Q48" s="579">
        <f>VLOOKUP($B48,'Proposed Rates'!$D$255:$J$261,+Q$11-2,FALSE)</f>
        <v>0.20300000000000001</v>
      </c>
      <c r="R48" s="502">
        <f>'Proposed Rates'!$K258*$F$9</f>
        <v>84.6</v>
      </c>
      <c r="S48" s="394">
        <f t="shared" si="69"/>
        <v>17.1738</v>
      </c>
      <c r="T48" s="138"/>
      <c r="U48" s="395">
        <f t="shared" si="44"/>
        <v>0</v>
      </c>
      <c r="V48" s="396">
        <f t="shared" si="45"/>
        <v>0</v>
      </c>
      <c r="W48" s="53"/>
      <c r="X48" s="579">
        <f>VLOOKUP($B48,'Proposed Rates'!$D$255:$J$261,+X$11-2,FALSE)</f>
        <v>0.20300000000000001</v>
      </c>
      <c r="Y48" s="502">
        <f>'Proposed Rates'!$K258*$F$9</f>
        <v>84.6</v>
      </c>
      <c r="Z48" s="394">
        <f t="shared" si="71"/>
        <v>17.1738</v>
      </c>
      <c r="AA48" s="138"/>
      <c r="AB48" s="395">
        <f t="shared" si="46"/>
        <v>0</v>
      </c>
      <c r="AC48" s="396">
        <f t="shared" si="47"/>
        <v>0</v>
      </c>
      <c r="AD48" s="53"/>
      <c r="AE48" s="579">
        <f>VLOOKUP($B48,'Proposed Rates'!$D$255:$J$261,+AE$11-2,FALSE)</f>
        <v>0.20300000000000001</v>
      </c>
      <c r="AF48" s="502">
        <f>'Proposed Rates'!$K258*$F$9</f>
        <v>84.6</v>
      </c>
      <c r="AG48" s="394">
        <f t="shared" si="73"/>
        <v>17.1738</v>
      </c>
      <c r="AH48" s="138"/>
      <c r="AI48" s="395">
        <f t="shared" si="17"/>
        <v>0</v>
      </c>
      <c r="AJ48" s="396">
        <f t="shared" si="18"/>
        <v>0</v>
      </c>
      <c r="AK48" s="53"/>
      <c r="AL48" s="579">
        <f>VLOOKUP($B48,'Proposed Rates'!$D$255:$J$261,+AL$11-2,FALSE)</f>
        <v>0.20300000000000001</v>
      </c>
      <c r="AM48" s="502">
        <f>'Proposed Rates'!$K258*$F$9</f>
        <v>84.6</v>
      </c>
      <c r="AN48" s="394">
        <f t="shared" si="75"/>
        <v>17.1738</v>
      </c>
      <c r="AO48" s="138"/>
      <c r="AP48" s="395">
        <f t="shared" si="48"/>
        <v>0</v>
      </c>
      <c r="AQ48" s="396">
        <f t="shared" si="49"/>
        <v>0</v>
      </c>
      <c r="AR48" s="397"/>
    </row>
    <row r="49" spans="1:44" ht="12" customHeight="1">
      <c r="A49" s="545"/>
      <c r="B49" s="328" t="s">
        <v>296</v>
      </c>
      <c r="C49" s="389" t="str">
        <f t="shared" si="76"/>
        <v>Energy - RPP - Tier 1</v>
      </c>
      <c r="D49" s="390" t="s">
        <v>337</v>
      </c>
      <c r="E49" s="328"/>
      <c r="F49" s="424">
        <f>VLOOKUP($B49,'Proposed Rates'!$D$255:$J$261,+F$11-2,FALSE)</f>
        <v>0.12</v>
      </c>
      <c r="G49" s="568">
        <f>IF(AND($S$2=1, $F$9&gt;=600), 600, IF(AND($S$2=1, AND($F$9&lt;600, $F$9&gt;=0)), $F$9, IF(AND($S$2=2, $F$9&gt;=1000), 1000, IF(AND($S$2=2, AND($F$9&lt;1000, $F$9&gt;=0)), $F$9))))</f>
        <v>470</v>
      </c>
      <c r="H49" s="394">
        <f t="shared" si="65"/>
        <v>56.4</v>
      </c>
      <c r="I49" s="138"/>
      <c r="J49" s="424">
        <f>VLOOKUP($B49,'Proposed Rates'!$D$255:$J$261,+J$11-2,FALSE)</f>
        <v>0.12</v>
      </c>
      <c r="K49" s="568">
        <f>IF(AND($S$2=1, $F$9&gt;=600), 600, IF(AND($S$2=1, AND($F$9&lt;600, $F$9&gt;=0)), $F$9, IF(AND($S$2=2, $F$9&gt;=1000), 1000, IF(AND($S$2=2, AND($F$9&lt;1000, $F$9&gt;=0)), $F$9))))</f>
        <v>470</v>
      </c>
      <c r="L49" s="394">
        <f t="shared" si="67"/>
        <v>56.4</v>
      </c>
      <c r="M49" s="138"/>
      <c r="N49" s="395">
        <f t="shared" si="42"/>
        <v>0</v>
      </c>
      <c r="O49" s="396">
        <f t="shared" si="43"/>
        <v>0</v>
      </c>
      <c r="P49" s="53"/>
      <c r="Q49" s="424">
        <f>VLOOKUP($B49,'Proposed Rates'!$D$255:$J$261,+Q$11-2,FALSE)</f>
        <v>0.12</v>
      </c>
      <c r="R49" s="568">
        <f>IF(AND($S$2=1, $F$9&gt;=600), 600, IF(AND($S$2=1, AND($F$9&lt;600, $F$9&gt;=0)), $F$9, IF(AND($S$2=2, $F$9&gt;=1000), 1000, IF(AND($S$2=2, AND($F$9&lt;1000, $F$9&gt;=0)), $F$9))))</f>
        <v>470</v>
      </c>
      <c r="S49" s="394">
        <f t="shared" si="69"/>
        <v>56.4</v>
      </c>
      <c r="T49" s="138"/>
      <c r="U49" s="395">
        <f t="shared" si="44"/>
        <v>0</v>
      </c>
      <c r="V49" s="396">
        <f t="shared" si="45"/>
        <v>0</v>
      </c>
      <c r="W49" s="53"/>
      <c r="X49" s="424">
        <f>VLOOKUP($B49,'Proposed Rates'!$D$255:$J$261,+X$11-2,FALSE)</f>
        <v>0.12</v>
      </c>
      <c r="Y49" s="568">
        <f>IF(AND($S$2=1, $F$9&gt;=600), 600, IF(AND($S$2=1, AND($F$9&lt;600, $F$9&gt;=0)), $F$9, IF(AND($S$2=2, $F$9&gt;=1000), 1000, IF(AND($S$2=2, AND($F$9&lt;1000, $F$9&gt;=0)), $F$9))))</f>
        <v>470</v>
      </c>
      <c r="Z49" s="394">
        <f t="shared" si="71"/>
        <v>56.4</v>
      </c>
      <c r="AA49" s="138"/>
      <c r="AB49" s="395">
        <f t="shared" si="46"/>
        <v>0</v>
      </c>
      <c r="AC49" s="396">
        <f t="shared" si="47"/>
        <v>0</v>
      </c>
      <c r="AD49" s="53"/>
      <c r="AE49" s="424">
        <f>VLOOKUP($B49,'Proposed Rates'!$D$255:$J$261,+AE$11-2,FALSE)</f>
        <v>0.12</v>
      </c>
      <c r="AF49" s="568">
        <f>IF(AND($S$2=1, $F$9&gt;=600), 600, IF(AND($S$2=1, AND($F$9&lt;600, $F$9&gt;=0)), $F$9, IF(AND($S$2=2, $F$9&gt;=1000), 1000, IF(AND($S$2=2, AND($F$9&lt;1000, $F$9&gt;=0)), $F$9))))</f>
        <v>470</v>
      </c>
      <c r="AG49" s="394">
        <f t="shared" si="73"/>
        <v>56.4</v>
      </c>
      <c r="AH49" s="138"/>
      <c r="AI49" s="395">
        <f t="shared" si="17"/>
        <v>0</v>
      </c>
      <c r="AJ49" s="396">
        <f t="shared" si="18"/>
        <v>0</v>
      </c>
      <c r="AK49" s="53"/>
      <c r="AL49" s="424">
        <f>VLOOKUP($B49,'Proposed Rates'!$D$255:$J$261,+AL$11-2,FALSE)</f>
        <v>0.12</v>
      </c>
      <c r="AM49" s="568">
        <f>IF(AND($S$2=1, $F$9&gt;=600), 600, IF(AND($S$2=1, AND($F$9&lt;600, $F$9&gt;=0)), $F$9, IF(AND($S$2=2, $F$9&gt;=1000), 1000, IF(AND($S$2=2, AND($F$9&lt;1000, $F$9&gt;=0)), $F$9))))</f>
        <v>470</v>
      </c>
      <c r="AN49" s="394">
        <f t="shared" si="75"/>
        <v>56.4</v>
      </c>
      <c r="AO49" s="138"/>
      <c r="AP49" s="395">
        <f t="shared" si="48"/>
        <v>0</v>
      </c>
      <c r="AQ49" s="396">
        <f t="shared" si="49"/>
        <v>0</v>
      </c>
      <c r="AR49" s="397"/>
    </row>
    <row r="50" spans="1:44" ht="12" customHeight="1">
      <c r="A50" s="545"/>
      <c r="B50" s="328" t="s">
        <v>297</v>
      </c>
      <c r="C50" s="389" t="str">
        <f t="shared" si="76"/>
        <v>Energy - RPP - Tier 2</v>
      </c>
      <c r="D50" s="390" t="s">
        <v>337</v>
      </c>
      <c r="E50" s="328"/>
      <c r="F50" s="424">
        <f>VLOOKUP($B50,'Proposed Rates'!$D$255:$J$261,+F$11-2,FALSE)</f>
        <v>0.14199999999999999</v>
      </c>
      <c r="G50" s="568">
        <f>IF(AND($S$2=1, F9&gt;=600), F9-600, IF(AND($S$2=1, AND(F9&lt;600, F9&gt;=0)), 0, IF(AND($S$2=2, F9&gt;=1000), F9-1000, IF(AND($S$2=2, AND(F9&lt;1000, F9&gt;=0)), 0))))</f>
        <v>0</v>
      </c>
      <c r="H50" s="394">
        <f t="shared" si="65"/>
        <v>0</v>
      </c>
      <c r="I50" s="138"/>
      <c r="J50" s="424">
        <f>VLOOKUP($B50,'Proposed Rates'!$D$255:$J$261,+J$11-2,FALSE)</f>
        <v>0.14199999999999999</v>
      </c>
      <c r="K50" s="568">
        <f>IF(AND($S$2=1, J9&gt;=600), J9-600, IF(AND($S$2=1, AND(J9&lt;600, J9&gt;=0)), 0, IF(AND($S$2=2, J9&gt;=1000), J9-1000, IF(AND($S$2=2, AND(J9&lt;1000, J9&gt;=0)), 0))))</f>
        <v>0</v>
      </c>
      <c r="L50" s="394">
        <f t="shared" si="67"/>
        <v>0</v>
      </c>
      <c r="M50" s="138"/>
      <c r="N50" s="395">
        <f t="shared" si="42"/>
        <v>0</v>
      </c>
      <c r="O50" s="396" t="str">
        <f t="shared" si="43"/>
        <v/>
      </c>
      <c r="P50" s="53"/>
      <c r="Q50" s="424">
        <f>VLOOKUP($B50,'Proposed Rates'!$D$255:$J$261,+Q$11-2,FALSE)</f>
        <v>0.14199999999999999</v>
      </c>
      <c r="R50" s="568">
        <f>IF(AND($S$2=1, Q9&gt;=600), Q9-600, IF(AND($S$2=1, AND(Q9&lt;600, Q9&gt;=0)), 0, IF(AND($S$2=2, Q9&gt;=1000), Q9-1000, IF(AND($S$2=2, AND(Q9&lt;1000, Q9&gt;=0)), 0))))</f>
        <v>0</v>
      </c>
      <c r="S50" s="394">
        <f t="shared" si="69"/>
        <v>0</v>
      </c>
      <c r="T50" s="138"/>
      <c r="U50" s="395">
        <f t="shared" si="44"/>
        <v>0</v>
      </c>
      <c r="V50" s="396" t="str">
        <f t="shared" si="45"/>
        <v/>
      </c>
      <c r="W50" s="53"/>
      <c r="X50" s="424">
        <f>VLOOKUP($B50,'Proposed Rates'!$D$255:$J$261,+X$11-2,FALSE)</f>
        <v>0.14199999999999999</v>
      </c>
      <c r="Y50" s="568">
        <f>IF(AND($S$2=1, X9&gt;=600), X9-600, IF(AND($S$2=1, AND(X9&lt;600, X9&gt;=0)), 0, IF(AND($S$2=2, X9&gt;=1000), X9-1000, IF(AND($S$2=2, AND(X9&lt;1000, X9&gt;=0)), 0))))</f>
        <v>0</v>
      </c>
      <c r="Z50" s="394">
        <f t="shared" si="71"/>
        <v>0</v>
      </c>
      <c r="AA50" s="138"/>
      <c r="AB50" s="395">
        <f t="shared" si="46"/>
        <v>0</v>
      </c>
      <c r="AC50" s="396" t="str">
        <f t="shared" si="47"/>
        <v/>
      </c>
      <c r="AD50" s="53"/>
      <c r="AE50" s="424">
        <f>VLOOKUP($B50,'Proposed Rates'!$D$255:$J$261,+AE$11-2,FALSE)</f>
        <v>0.14199999999999999</v>
      </c>
      <c r="AF50" s="568">
        <f>IF(AND($S$2=1, AE9&gt;=600), AE9-600, IF(AND($S$2=1, AND(AE9&lt;600, AE9&gt;=0)), 0, IF(AND($S$2=2, AE9&gt;=1000), AE9-1000, IF(AND($S$2=2, AND(AE9&lt;1000, AE9&gt;=0)), 0))))</f>
        <v>0</v>
      </c>
      <c r="AG50" s="394">
        <f t="shared" si="73"/>
        <v>0</v>
      </c>
      <c r="AH50" s="138"/>
      <c r="AI50" s="395">
        <f t="shared" si="17"/>
        <v>0</v>
      </c>
      <c r="AJ50" s="396" t="str">
        <f t="shared" si="18"/>
        <v/>
      </c>
      <c r="AK50" s="53"/>
      <c r="AL50" s="424">
        <f>VLOOKUP($B50,'Proposed Rates'!$D$255:$J$261,+AL$11-2,FALSE)</f>
        <v>0.14199999999999999</v>
      </c>
      <c r="AM50" s="568">
        <f>IF(AND($S$2=1, AL9&gt;=600), AL9-600, IF(AND($S$2=1, AND(AL9&lt;600, AL9&gt;=0)), 0, IF(AND($S$2=2, AL9&gt;=1000), AL9-1000, IF(AND($S$2=2, AND(AL9&lt;1000, AL9&gt;=0)), 0))))</f>
        <v>0</v>
      </c>
      <c r="AN50" s="394">
        <f t="shared" si="75"/>
        <v>0</v>
      </c>
      <c r="AO50" s="138"/>
      <c r="AP50" s="395">
        <f t="shared" si="48"/>
        <v>0</v>
      </c>
      <c r="AQ50" s="396" t="str">
        <f t="shared" si="49"/>
        <v/>
      </c>
      <c r="AR50" s="397"/>
    </row>
    <row r="51" spans="1:44" ht="12" customHeight="1">
      <c r="A51" s="545"/>
      <c r="B51" s="428"/>
      <c r="C51" s="429"/>
      <c r="D51" s="429"/>
      <c r="E51" s="429"/>
      <c r="F51" s="430"/>
      <c r="G51" s="470"/>
      <c r="H51" s="432"/>
      <c r="I51" s="434"/>
      <c r="J51" s="430"/>
      <c r="K51" s="431"/>
      <c r="L51" s="432"/>
      <c r="M51" s="434"/>
      <c r="N51" s="435"/>
      <c r="O51" s="436"/>
      <c r="P51" s="53"/>
      <c r="Q51" s="430"/>
      <c r="R51" s="431"/>
      <c r="S51" s="432"/>
      <c r="T51" s="434"/>
      <c r="U51" s="435"/>
      <c r="V51" s="436"/>
      <c r="W51" s="53"/>
      <c r="X51" s="430"/>
      <c r="Y51" s="431"/>
      <c r="Z51" s="432"/>
      <c r="AA51" s="434"/>
      <c r="AB51" s="435"/>
      <c r="AC51" s="436"/>
      <c r="AD51" s="53"/>
      <c r="AE51" s="430"/>
      <c r="AF51" s="431"/>
      <c r="AG51" s="432"/>
      <c r="AH51" s="434"/>
      <c r="AI51" s="435"/>
      <c r="AJ51" s="436"/>
      <c r="AK51" s="53"/>
      <c r="AL51" s="430"/>
      <c r="AM51" s="431"/>
      <c r="AN51" s="432"/>
      <c r="AO51" s="434"/>
      <c r="AP51" s="435"/>
      <c r="AQ51" s="436"/>
      <c r="AR51" s="437"/>
    </row>
    <row r="52" spans="1:44" ht="12" customHeight="1">
      <c r="A52" s="545"/>
      <c r="B52" s="438" t="s">
        <v>344</v>
      </c>
      <c r="C52" s="328"/>
      <c r="D52" s="328"/>
      <c r="E52" s="328"/>
      <c r="F52" s="439"/>
      <c r="G52" s="483"/>
      <c r="H52" s="441">
        <f>SUM(H43:H48,H42)</f>
        <v>97.401449820000011</v>
      </c>
      <c r="I52" s="476"/>
      <c r="J52" s="440"/>
      <c r="K52" s="440"/>
      <c r="L52" s="441">
        <f>SUM(L43:L48,L42)</f>
        <v>96.391474639999984</v>
      </c>
      <c r="M52" s="443"/>
      <c r="N52" s="442">
        <f t="shared" ref="N52:N56" si="77">L52-H52</f>
        <v>-1.0099751800000263</v>
      </c>
      <c r="O52" s="444">
        <f t="shared" ref="O52:O56" si="78">IF((H52)=0,"",(N52/H52))</f>
        <v>-1.0369200683013264E-2</v>
      </c>
      <c r="P52" s="53"/>
      <c r="Q52" s="440"/>
      <c r="R52" s="440"/>
      <c r="S52" s="441">
        <f>SUM(S43:S48,S42)</f>
        <v>98.950474639999996</v>
      </c>
      <c r="T52" s="443"/>
      <c r="U52" s="442">
        <f t="shared" ref="U52:U56" si="79">S52-L52</f>
        <v>2.5590000000000117</v>
      </c>
      <c r="V52" s="444">
        <f t="shared" ref="V52:V56" si="80">IF((L52)=0,"",(U52/L52))</f>
        <v>2.654799098734913E-2</v>
      </c>
      <c r="W52" s="53"/>
      <c r="X52" s="440"/>
      <c r="Y52" s="440"/>
      <c r="Z52" s="441">
        <f>SUM(Z43:Z48,Z42)</f>
        <v>99.536474639999994</v>
      </c>
      <c r="AA52" s="443"/>
      <c r="AB52" s="442">
        <f t="shared" ref="AB52:AB56" si="81">Z52-S52</f>
        <v>0.58599999999999852</v>
      </c>
      <c r="AC52" s="444">
        <f t="shared" ref="AC52:AC56" si="82">IF((S52)=0,"",(AB52/S52))</f>
        <v>5.9221545134773143E-3</v>
      </c>
      <c r="AD52" s="53"/>
      <c r="AE52" s="440"/>
      <c r="AF52" s="440"/>
      <c r="AG52" s="441">
        <f>SUM(AG43:AG48,AG42)</f>
        <v>100.41747463999999</v>
      </c>
      <c r="AH52" s="443"/>
      <c r="AI52" s="442">
        <f t="shared" ref="AI52:AI56" si="83">AG52-Z52</f>
        <v>0.88100000000000023</v>
      </c>
      <c r="AJ52" s="444">
        <f t="shared" ref="AJ52:AJ56" si="84">IF((Z52)=0,"",(AI52/Z52))</f>
        <v>8.8510267536234324E-3</v>
      </c>
      <c r="AK52" s="53"/>
      <c r="AL52" s="440"/>
      <c r="AM52" s="440"/>
      <c r="AN52" s="441">
        <f>SUM(AN43:AN48,AN42)</f>
        <v>100.87647463999998</v>
      </c>
      <c r="AO52" s="443"/>
      <c r="AP52" s="442">
        <f t="shared" ref="AP52:AP56" si="85">AN52-AG52</f>
        <v>0.45899999999998897</v>
      </c>
      <c r="AQ52" s="444">
        <f t="shared" ref="AQ52:AQ56" si="86">IF((AG52)=0,"",(AP52/AG52))</f>
        <v>4.570917578295205E-3</v>
      </c>
      <c r="AR52" s="445"/>
    </row>
    <row r="53" spans="1:44" ht="12" customHeight="1">
      <c r="A53" s="545"/>
      <c r="B53" s="446" t="s">
        <v>345</v>
      </c>
      <c r="C53" s="328"/>
      <c r="D53" s="328"/>
      <c r="E53" s="328"/>
      <c r="F53" s="439">
        <v>0.13</v>
      </c>
      <c r="G53" s="138"/>
      <c r="H53" s="484">
        <f>H52*F53</f>
        <v>12.662188476600003</v>
      </c>
      <c r="I53" s="411"/>
      <c r="J53" s="447">
        <v>0.13</v>
      </c>
      <c r="K53" s="411"/>
      <c r="L53" s="394">
        <f>L52*J53</f>
        <v>12.530891703199998</v>
      </c>
      <c r="M53" s="138"/>
      <c r="N53" s="395">
        <f t="shared" si="77"/>
        <v>-0.13129677340000434</v>
      </c>
      <c r="O53" s="396">
        <f t="shared" si="78"/>
        <v>-1.0369200683013335E-2</v>
      </c>
      <c r="P53" s="53"/>
      <c r="Q53" s="447">
        <v>0.13</v>
      </c>
      <c r="R53" s="411"/>
      <c r="S53" s="394">
        <f>S52*Q53</f>
        <v>12.8635617032</v>
      </c>
      <c r="T53" s="138"/>
      <c r="U53" s="395">
        <f t="shared" si="79"/>
        <v>0.33267000000000202</v>
      </c>
      <c r="V53" s="396">
        <f t="shared" si="80"/>
        <v>2.6547990987349168E-2</v>
      </c>
      <c r="W53" s="53"/>
      <c r="X53" s="447">
        <v>0.13</v>
      </c>
      <c r="Y53" s="411"/>
      <c r="Z53" s="394">
        <f>Z52*X53</f>
        <v>12.939741703199999</v>
      </c>
      <c r="AA53" s="138"/>
      <c r="AB53" s="395">
        <f t="shared" si="81"/>
        <v>7.6179999999999026E-2</v>
      </c>
      <c r="AC53" s="396">
        <f t="shared" si="82"/>
        <v>5.9221545134772536E-3</v>
      </c>
      <c r="AD53" s="53"/>
      <c r="AE53" s="447">
        <v>0.13</v>
      </c>
      <c r="AF53" s="411"/>
      <c r="AG53" s="394">
        <f>AG52*AE53</f>
        <v>13.0542717032</v>
      </c>
      <c r="AH53" s="138"/>
      <c r="AI53" s="395">
        <f t="shared" si="83"/>
        <v>0.11453000000000024</v>
      </c>
      <c r="AJ53" s="396">
        <f t="shared" si="84"/>
        <v>8.8510267536234481E-3</v>
      </c>
      <c r="AK53" s="53"/>
      <c r="AL53" s="447">
        <v>0.13</v>
      </c>
      <c r="AM53" s="411"/>
      <c r="AN53" s="394">
        <f>AN52*AL53</f>
        <v>13.113941703199998</v>
      </c>
      <c r="AO53" s="138"/>
      <c r="AP53" s="395">
        <f t="shared" si="85"/>
        <v>5.966999999999878E-2</v>
      </c>
      <c r="AQ53" s="396">
        <f t="shared" si="86"/>
        <v>4.5709175782952215E-3</v>
      </c>
      <c r="AR53" s="397"/>
    </row>
    <row r="54" spans="1:44" ht="12" customHeight="1">
      <c r="A54" s="545"/>
      <c r="B54" s="448" t="s">
        <v>457</v>
      </c>
      <c r="C54" s="328"/>
      <c r="D54" s="328"/>
      <c r="E54" s="328"/>
      <c r="F54" s="449"/>
      <c r="G54" s="138"/>
      <c r="H54" s="484">
        <f>H52+H53</f>
        <v>110.06363829660002</v>
      </c>
      <c r="I54" s="411"/>
      <c r="J54" s="411"/>
      <c r="K54" s="411"/>
      <c r="L54" s="394">
        <f>L52+L53</f>
        <v>108.92236634319998</v>
      </c>
      <c r="M54" s="138"/>
      <c r="N54" s="395">
        <f t="shared" si="77"/>
        <v>-1.141271953400036</v>
      </c>
      <c r="O54" s="396">
        <f t="shared" si="78"/>
        <v>-1.036920068301332E-2</v>
      </c>
      <c r="P54" s="53"/>
      <c r="Q54" s="411"/>
      <c r="R54" s="411"/>
      <c r="S54" s="394">
        <f>S52+S53</f>
        <v>111.8140363432</v>
      </c>
      <c r="T54" s="138"/>
      <c r="U54" s="395">
        <f t="shared" si="79"/>
        <v>2.8916700000000191</v>
      </c>
      <c r="V54" s="396">
        <f t="shared" si="80"/>
        <v>2.6547990987349182E-2</v>
      </c>
      <c r="W54" s="53"/>
      <c r="X54" s="411"/>
      <c r="Y54" s="411"/>
      <c r="Z54" s="394">
        <f>Z52+Z53</f>
        <v>112.47621634319999</v>
      </c>
      <c r="AA54" s="138"/>
      <c r="AB54" s="395">
        <f t="shared" si="81"/>
        <v>0.66217999999999222</v>
      </c>
      <c r="AC54" s="396">
        <f t="shared" si="82"/>
        <v>5.9221545134772596E-3</v>
      </c>
      <c r="AD54" s="53"/>
      <c r="AE54" s="411"/>
      <c r="AF54" s="411"/>
      <c r="AG54" s="394">
        <f>AG52+AG53</f>
        <v>113.4717463432</v>
      </c>
      <c r="AH54" s="138"/>
      <c r="AI54" s="395">
        <f t="shared" si="83"/>
        <v>0.99553000000000225</v>
      </c>
      <c r="AJ54" s="396">
        <f t="shared" si="84"/>
        <v>8.8510267536234498E-3</v>
      </c>
      <c r="AK54" s="53"/>
      <c r="AL54" s="411"/>
      <c r="AM54" s="411"/>
      <c r="AN54" s="394">
        <f>AN52+AN53</f>
        <v>113.99041634319998</v>
      </c>
      <c r="AO54" s="138"/>
      <c r="AP54" s="395">
        <f t="shared" si="85"/>
        <v>0.51866999999998598</v>
      </c>
      <c r="AQ54" s="396">
        <f t="shared" si="86"/>
        <v>4.5709175782951911E-3</v>
      </c>
      <c r="AR54" s="397"/>
    </row>
    <row r="55" spans="1:44" ht="12" customHeight="1">
      <c r="A55" s="545"/>
      <c r="B55" s="626" t="s">
        <v>304</v>
      </c>
      <c r="C55" s="616"/>
      <c r="D55" s="616"/>
      <c r="E55" s="328"/>
      <c r="F55" s="450">
        <f>'SN (.4)'!F55</f>
        <v>0.23499999999999999</v>
      </c>
      <c r="G55" s="138"/>
      <c r="H55" s="506">
        <f>F55*H52</f>
        <v>22.889340707700001</v>
      </c>
      <c r="I55" s="411"/>
      <c r="J55" s="452">
        <f>F55</f>
        <v>0.23499999999999999</v>
      </c>
      <c r="K55" s="411"/>
      <c r="L55" s="506">
        <f>J55*L52</f>
        <v>22.651996540399995</v>
      </c>
      <c r="M55" s="138"/>
      <c r="N55" s="451">
        <f t="shared" si="77"/>
        <v>-0.23734416730000518</v>
      </c>
      <c r="O55" s="453">
        <f t="shared" si="78"/>
        <v>-1.0369200683013221E-2</v>
      </c>
      <c r="P55" s="53"/>
      <c r="Q55" s="452">
        <f>J55</f>
        <v>0.23499999999999999</v>
      </c>
      <c r="R55" s="411"/>
      <c r="S55" s="506">
        <f>Q55*S52</f>
        <v>23.253361540399997</v>
      </c>
      <c r="T55" s="138"/>
      <c r="U55" s="451">
        <f t="shared" si="79"/>
        <v>0.60136500000000126</v>
      </c>
      <c r="V55" s="453">
        <f t="shared" si="80"/>
        <v>2.6547990987349064E-2</v>
      </c>
      <c r="W55" s="53"/>
      <c r="X55" s="452">
        <f>Q55</f>
        <v>0.23499999999999999</v>
      </c>
      <c r="Y55" s="411"/>
      <c r="Z55" s="506">
        <f>X55*Z52</f>
        <v>23.391071540399999</v>
      </c>
      <c r="AA55" s="138"/>
      <c r="AB55" s="451">
        <f t="shared" si="81"/>
        <v>0.137710000000002</v>
      </c>
      <c r="AC55" s="453">
        <f t="shared" si="82"/>
        <v>5.9221545134774158E-3</v>
      </c>
      <c r="AD55" s="53"/>
      <c r="AE55" s="452">
        <f>X55</f>
        <v>0.23499999999999999</v>
      </c>
      <c r="AF55" s="411"/>
      <c r="AG55" s="506">
        <f>AE55*AG52</f>
        <v>23.598106540399996</v>
      </c>
      <c r="AH55" s="138"/>
      <c r="AI55" s="451">
        <f t="shared" si="83"/>
        <v>0.20703499999999764</v>
      </c>
      <c r="AJ55" s="453">
        <f t="shared" si="84"/>
        <v>8.8510267536233284E-3</v>
      </c>
      <c r="AK55" s="53"/>
      <c r="AL55" s="452">
        <f>AE55</f>
        <v>0.23499999999999999</v>
      </c>
      <c r="AM55" s="411"/>
      <c r="AN55" s="506">
        <f>AL55*AN52</f>
        <v>23.705971540399993</v>
      </c>
      <c r="AO55" s="138"/>
      <c r="AP55" s="451">
        <f t="shared" si="85"/>
        <v>0.10786499999999677</v>
      </c>
      <c r="AQ55" s="453">
        <f t="shared" si="86"/>
        <v>4.570917578295179E-3</v>
      </c>
      <c r="AR55" s="454"/>
    </row>
    <row r="56" spans="1:44" ht="12" customHeight="1">
      <c r="A56" s="545"/>
      <c r="B56" s="627" t="s">
        <v>347</v>
      </c>
      <c r="C56" s="608"/>
      <c r="D56" s="600"/>
      <c r="E56" s="455"/>
      <c r="F56" s="456"/>
      <c r="G56" s="487"/>
      <c r="H56" s="488">
        <f>H54-H55</f>
        <v>87.174297588900018</v>
      </c>
      <c r="I56" s="457"/>
      <c r="J56" s="457"/>
      <c r="K56" s="457"/>
      <c r="L56" s="458">
        <f>L54-L55</f>
        <v>86.270369802799991</v>
      </c>
      <c r="M56" s="459"/>
      <c r="N56" s="460">
        <f t="shared" si="77"/>
        <v>-0.90392778610002722</v>
      </c>
      <c r="O56" s="461">
        <f t="shared" si="78"/>
        <v>-1.0369200683013306E-2</v>
      </c>
      <c r="P56" s="53"/>
      <c r="Q56" s="457"/>
      <c r="R56" s="457"/>
      <c r="S56" s="458">
        <f>S54-S55</f>
        <v>88.560674802800008</v>
      </c>
      <c r="T56" s="459"/>
      <c r="U56" s="460">
        <f t="shared" si="79"/>
        <v>2.2903050000000178</v>
      </c>
      <c r="V56" s="461">
        <f t="shared" si="80"/>
        <v>2.6547990987349213E-2</v>
      </c>
      <c r="W56" s="53"/>
      <c r="X56" s="457"/>
      <c r="Y56" s="457"/>
      <c r="Z56" s="458">
        <f>Z54-Z55</f>
        <v>89.085144802799988</v>
      </c>
      <c r="AA56" s="459"/>
      <c r="AB56" s="460">
        <f t="shared" si="81"/>
        <v>0.52446999999997956</v>
      </c>
      <c r="AC56" s="461">
        <f t="shared" si="82"/>
        <v>5.9221545134770983E-3</v>
      </c>
      <c r="AD56" s="53"/>
      <c r="AE56" s="457"/>
      <c r="AF56" s="457"/>
      <c r="AG56" s="458">
        <f>AG54-AG55</f>
        <v>89.8736398028</v>
      </c>
      <c r="AH56" s="459"/>
      <c r="AI56" s="460">
        <f t="shared" si="83"/>
        <v>0.78849500000001171</v>
      </c>
      <c r="AJ56" s="461">
        <f t="shared" si="84"/>
        <v>8.8510267536235625E-3</v>
      </c>
      <c r="AK56" s="53"/>
      <c r="AL56" s="457"/>
      <c r="AM56" s="457"/>
      <c r="AN56" s="458">
        <f>AN54-AN55</f>
        <v>90.284444802799982</v>
      </c>
      <c r="AO56" s="459"/>
      <c r="AP56" s="460">
        <f t="shared" si="85"/>
        <v>0.4108049999999821</v>
      </c>
      <c r="AQ56" s="461">
        <f t="shared" si="86"/>
        <v>4.5709175782951156E-3</v>
      </c>
      <c r="AR56" s="462"/>
    </row>
    <row r="57" spans="1:44" ht="12" customHeight="1">
      <c r="A57" s="53"/>
      <c r="B57" s="428"/>
      <c r="C57" s="429"/>
      <c r="D57" s="429"/>
      <c r="E57" s="429"/>
      <c r="F57" s="430"/>
      <c r="G57" s="470"/>
      <c r="H57" s="432"/>
      <c r="I57" s="434"/>
      <c r="J57" s="430"/>
      <c r="K57" s="431"/>
      <c r="L57" s="432"/>
      <c r="M57" s="434"/>
      <c r="N57" s="435"/>
      <c r="O57" s="436"/>
      <c r="P57" s="53"/>
      <c r="Q57" s="430"/>
      <c r="R57" s="431"/>
      <c r="S57" s="432"/>
      <c r="T57" s="434"/>
      <c r="U57" s="435"/>
      <c r="V57" s="436"/>
      <c r="W57" s="53"/>
      <c r="X57" s="430"/>
      <c r="Y57" s="431"/>
      <c r="Z57" s="432"/>
      <c r="AA57" s="434"/>
      <c r="AB57" s="435"/>
      <c r="AC57" s="436"/>
      <c r="AD57" s="53"/>
      <c r="AE57" s="430"/>
      <c r="AF57" s="431"/>
      <c r="AG57" s="432"/>
      <c r="AH57" s="434"/>
      <c r="AI57" s="435"/>
      <c r="AJ57" s="436"/>
      <c r="AK57" s="53"/>
      <c r="AL57" s="430"/>
      <c r="AM57" s="431"/>
      <c r="AN57" s="432"/>
      <c r="AO57" s="434"/>
      <c r="AP57" s="435"/>
      <c r="AQ57" s="436"/>
      <c r="AR57" s="437"/>
    </row>
    <row r="58" spans="1:44" ht="12" customHeight="1">
      <c r="A58" s="53"/>
      <c r="B58" s="438" t="s">
        <v>348</v>
      </c>
      <c r="C58" s="328"/>
      <c r="D58" s="328"/>
      <c r="E58" s="328"/>
      <c r="F58" s="439"/>
      <c r="G58" s="483"/>
      <c r="H58" s="441">
        <f>SUM(H49:H50,H42,H43:H45)</f>
        <v>93.867049820000005</v>
      </c>
      <c r="I58" s="476"/>
      <c r="J58" s="440"/>
      <c r="K58" s="440"/>
      <c r="L58" s="441">
        <f>SUM(L49:L50,L42,L43:L45)</f>
        <v>92.857074639999993</v>
      </c>
      <c r="M58" s="443"/>
      <c r="N58" s="442">
        <f t="shared" ref="N58:N62" si="87">L58-H58</f>
        <v>-1.0099751800000121</v>
      </c>
      <c r="O58" s="444">
        <f t="shared" ref="O58:O62" si="88">IF((H58)=0,"",(N58/H58))</f>
        <v>-1.0759634844567356E-2</v>
      </c>
      <c r="P58" s="53"/>
      <c r="Q58" s="440"/>
      <c r="R58" s="440"/>
      <c r="S58" s="441">
        <f>SUM(S49:S50,S42,S43:S45)</f>
        <v>95.416074639999991</v>
      </c>
      <c r="T58" s="443"/>
      <c r="U58" s="442">
        <f t="shared" ref="U58:U62" si="89">S58-L58</f>
        <v>2.5589999999999975</v>
      </c>
      <c r="V58" s="444">
        <f t="shared" ref="V58:V62" si="90">IF((L58)=0,"",(U58/L58))</f>
        <v>2.7558481784194164E-2</v>
      </c>
      <c r="W58" s="53"/>
      <c r="X58" s="440"/>
      <c r="Y58" s="440"/>
      <c r="Z58" s="441">
        <f>SUM(Z49:Z50,Z42,Z43:Z45)</f>
        <v>96.002074640000004</v>
      </c>
      <c r="AA58" s="443"/>
      <c r="AB58" s="442">
        <f t="shared" ref="AB58:AB62" si="91">Z58-S58</f>
        <v>0.58600000000001273</v>
      </c>
      <c r="AC58" s="444">
        <f t="shared" ref="AC58:AC62" si="92">IF((S58)=0,"",(AB58/S58))</f>
        <v>6.1415228221341212E-3</v>
      </c>
      <c r="AD58" s="53"/>
      <c r="AE58" s="440"/>
      <c r="AF58" s="440"/>
      <c r="AG58" s="441">
        <f>SUM(AG49:AG50,AG42,AG43:AG45)</f>
        <v>96.883074640000004</v>
      </c>
      <c r="AH58" s="443"/>
      <c r="AI58" s="442">
        <f t="shared" ref="AI58:AI62" si="93">AG58-Z58</f>
        <v>0.88100000000000023</v>
      </c>
      <c r="AJ58" s="444">
        <f t="shared" ref="AJ58:AJ62" si="94">IF((Z58)=0,"",(AI58/Z58))</f>
        <v>9.1768850132007956E-3</v>
      </c>
      <c r="AK58" s="53"/>
      <c r="AL58" s="440"/>
      <c r="AM58" s="440"/>
      <c r="AN58" s="441">
        <f>SUM(AN49:AN50,AN42,AN43:AN45)</f>
        <v>97.342074639999979</v>
      </c>
      <c r="AO58" s="443"/>
      <c r="AP58" s="442">
        <f t="shared" ref="AP58:AP62" si="95">AN58-AG58</f>
        <v>0.45899999999997476</v>
      </c>
      <c r="AQ58" s="444">
        <f t="shared" ref="AQ58:AQ62" si="96">IF((AG58)=0,"",(AP58/AG58))</f>
        <v>4.737669626047024E-3</v>
      </c>
      <c r="AR58" s="445"/>
    </row>
    <row r="59" spans="1:44" ht="12" customHeight="1">
      <c r="A59" s="53"/>
      <c r="B59" s="446" t="s">
        <v>345</v>
      </c>
      <c r="C59" s="328"/>
      <c r="D59" s="328"/>
      <c r="E59" s="328"/>
      <c r="F59" s="439">
        <v>0.13</v>
      </c>
      <c r="G59" s="483"/>
      <c r="H59" s="484">
        <f>H58*F59</f>
        <v>12.202716476600001</v>
      </c>
      <c r="I59" s="411"/>
      <c r="J59" s="439">
        <v>0.13</v>
      </c>
      <c r="K59" s="447"/>
      <c r="L59" s="394">
        <f>L58*J59</f>
        <v>12.0714197032</v>
      </c>
      <c r="M59" s="138"/>
      <c r="N59" s="395">
        <f t="shared" si="87"/>
        <v>-0.13129677340000079</v>
      </c>
      <c r="O59" s="396">
        <f t="shared" si="88"/>
        <v>-1.0759634844567292E-2</v>
      </c>
      <c r="P59" s="53"/>
      <c r="Q59" s="439">
        <v>0.13</v>
      </c>
      <c r="R59" s="447"/>
      <c r="S59" s="394">
        <f>S58*Q59</f>
        <v>12.404089703199999</v>
      </c>
      <c r="T59" s="138"/>
      <c r="U59" s="395">
        <f t="shared" si="89"/>
        <v>0.33266999999999847</v>
      </c>
      <c r="V59" s="396">
        <f t="shared" si="90"/>
        <v>2.755848178419406E-2</v>
      </c>
      <c r="W59" s="53"/>
      <c r="X59" s="439">
        <v>0.13</v>
      </c>
      <c r="Y59" s="447"/>
      <c r="Z59" s="394">
        <f>Z58*X59</f>
        <v>12.480269703200001</v>
      </c>
      <c r="AA59" s="138"/>
      <c r="AB59" s="395">
        <f t="shared" si="91"/>
        <v>7.6180000000002579E-2</v>
      </c>
      <c r="AC59" s="396">
        <f t="shared" si="92"/>
        <v>6.1415228221341957E-3</v>
      </c>
      <c r="AD59" s="53"/>
      <c r="AE59" s="439">
        <v>0.13</v>
      </c>
      <c r="AF59" s="447"/>
      <c r="AG59" s="394">
        <f>AG58*AE59</f>
        <v>12.594799703200001</v>
      </c>
      <c r="AH59" s="138"/>
      <c r="AI59" s="395">
        <f t="shared" si="93"/>
        <v>0.11453000000000024</v>
      </c>
      <c r="AJ59" s="396">
        <f t="shared" si="94"/>
        <v>9.1768850132008129E-3</v>
      </c>
      <c r="AK59" s="53"/>
      <c r="AL59" s="439">
        <v>0.13</v>
      </c>
      <c r="AM59" s="447"/>
      <c r="AN59" s="394">
        <f>AN58*AL59</f>
        <v>12.654469703199998</v>
      </c>
      <c r="AO59" s="138"/>
      <c r="AP59" s="395">
        <f t="shared" si="95"/>
        <v>5.9669999999997003E-2</v>
      </c>
      <c r="AQ59" s="396">
        <f t="shared" si="96"/>
        <v>4.7376696260470466E-3</v>
      </c>
      <c r="AR59" s="397"/>
    </row>
    <row r="60" spans="1:44" ht="12" customHeight="1">
      <c r="A60" s="53"/>
      <c r="B60" s="448" t="s">
        <v>458</v>
      </c>
      <c r="C60" s="328"/>
      <c r="D60" s="328"/>
      <c r="E60" s="328"/>
      <c r="F60" s="449"/>
      <c r="G60" s="138"/>
      <c r="H60" s="484">
        <f>H58+H59</f>
        <v>106.06976629660001</v>
      </c>
      <c r="I60" s="411"/>
      <c r="J60" s="411"/>
      <c r="K60" s="411"/>
      <c r="L60" s="394">
        <f>L58+L59</f>
        <v>104.92849434319999</v>
      </c>
      <c r="M60" s="138"/>
      <c r="N60" s="395">
        <f t="shared" si="87"/>
        <v>-1.1412719534000217</v>
      </c>
      <c r="O60" s="396">
        <f t="shared" si="88"/>
        <v>-1.0759634844567432E-2</v>
      </c>
      <c r="P60" s="53"/>
      <c r="Q60" s="411"/>
      <c r="R60" s="411"/>
      <c r="S60" s="394">
        <f>S58+S59</f>
        <v>107.82016434319999</v>
      </c>
      <c r="T60" s="138"/>
      <c r="U60" s="395">
        <f t="shared" si="89"/>
        <v>2.8916700000000048</v>
      </c>
      <c r="V60" s="396">
        <f t="shared" si="90"/>
        <v>2.7558481784194237E-2</v>
      </c>
      <c r="W60" s="53"/>
      <c r="X60" s="411"/>
      <c r="Y60" s="411"/>
      <c r="Z60" s="394">
        <f>Z58+Z59</f>
        <v>108.4823443432</v>
      </c>
      <c r="AA60" s="138"/>
      <c r="AB60" s="395">
        <f t="shared" si="91"/>
        <v>0.66218000000000643</v>
      </c>
      <c r="AC60" s="396">
        <f t="shared" si="92"/>
        <v>6.1415228221340474E-3</v>
      </c>
      <c r="AD60" s="53"/>
      <c r="AE60" s="411"/>
      <c r="AF60" s="411"/>
      <c r="AG60" s="394">
        <f>AG58+AG59</f>
        <v>109.4778743432</v>
      </c>
      <c r="AH60" s="138"/>
      <c r="AI60" s="395">
        <f t="shared" si="93"/>
        <v>0.99553000000000225</v>
      </c>
      <c r="AJ60" s="396">
        <f t="shared" si="94"/>
        <v>9.1768850132008147E-3</v>
      </c>
      <c r="AK60" s="53"/>
      <c r="AL60" s="411"/>
      <c r="AM60" s="411"/>
      <c r="AN60" s="394">
        <f>AN58+AN59</f>
        <v>109.99654434319997</v>
      </c>
      <c r="AO60" s="138"/>
      <c r="AP60" s="395">
        <f t="shared" si="95"/>
        <v>0.51866999999997176</v>
      </c>
      <c r="AQ60" s="396">
        <f t="shared" si="96"/>
        <v>4.7376696260470275E-3</v>
      </c>
      <c r="AR60" s="397"/>
    </row>
    <row r="61" spans="1:44" ht="12" customHeight="1">
      <c r="A61" s="53"/>
      <c r="B61" s="626" t="s">
        <v>304</v>
      </c>
      <c r="C61" s="616"/>
      <c r="D61" s="616"/>
      <c r="E61" s="328"/>
      <c r="F61" s="450">
        <f>F55</f>
        <v>0.23499999999999999</v>
      </c>
      <c r="G61" s="138"/>
      <c r="H61" s="486">
        <f>F61*H58</f>
        <v>22.058756707699999</v>
      </c>
      <c r="I61" s="411"/>
      <c r="J61" s="452">
        <f>F61</f>
        <v>0.23499999999999999</v>
      </c>
      <c r="K61" s="411"/>
      <c r="L61" s="506">
        <f>J61*L58</f>
        <v>21.821412540399997</v>
      </c>
      <c r="M61" s="138"/>
      <c r="N61" s="451">
        <f t="shared" si="87"/>
        <v>-0.23734416730000163</v>
      </c>
      <c r="O61" s="453">
        <f t="shared" si="88"/>
        <v>-1.0759634844567304E-2</v>
      </c>
      <c r="P61" s="53"/>
      <c r="Q61" s="452">
        <f>J61</f>
        <v>0.23499999999999999</v>
      </c>
      <c r="R61" s="411"/>
      <c r="S61" s="506">
        <f>Q61*S58</f>
        <v>22.422777540399995</v>
      </c>
      <c r="T61" s="138"/>
      <c r="U61" s="451">
        <f t="shared" si="89"/>
        <v>0.60136499999999771</v>
      </c>
      <c r="V61" s="453">
        <f t="shared" si="90"/>
        <v>2.7558481784194084E-2</v>
      </c>
      <c r="W61" s="53"/>
      <c r="X61" s="452">
        <f>Q61</f>
        <v>0.23499999999999999</v>
      </c>
      <c r="Y61" s="411"/>
      <c r="Z61" s="506">
        <f>X61*Z58</f>
        <v>22.5604875404</v>
      </c>
      <c r="AA61" s="138"/>
      <c r="AB61" s="451">
        <f t="shared" si="91"/>
        <v>0.13771000000000555</v>
      </c>
      <c r="AC61" s="453">
        <f t="shared" si="92"/>
        <v>6.1415228221342365E-3</v>
      </c>
      <c r="AD61" s="53"/>
      <c r="AE61" s="452">
        <f>X61</f>
        <v>0.23499999999999999</v>
      </c>
      <c r="AF61" s="411"/>
      <c r="AG61" s="506">
        <f>AE61*AG58</f>
        <v>22.767522540399998</v>
      </c>
      <c r="AH61" s="138"/>
      <c r="AI61" s="451">
        <f t="shared" si="93"/>
        <v>0.20703499999999764</v>
      </c>
      <c r="AJ61" s="453">
        <f t="shared" si="94"/>
        <v>9.1768850132006898E-3</v>
      </c>
      <c r="AK61" s="53"/>
      <c r="AL61" s="452">
        <f>AE61</f>
        <v>0.23499999999999999</v>
      </c>
      <c r="AM61" s="411"/>
      <c r="AN61" s="506">
        <f>AL61*AN58</f>
        <v>22.875387540399995</v>
      </c>
      <c r="AO61" s="138"/>
      <c r="AP61" s="451">
        <f t="shared" si="95"/>
        <v>0.10786499999999677</v>
      </c>
      <c r="AQ61" s="453">
        <f t="shared" si="96"/>
        <v>4.7376696260471437E-3</v>
      </c>
      <c r="AR61" s="454"/>
    </row>
    <row r="62" spans="1:44" ht="12" customHeight="1">
      <c r="A62" s="53"/>
      <c r="B62" s="627" t="s">
        <v>350</v>
      </c>
      <c r="C62" s="608"/>
      <c r="D62" s="600"/>
      <c r="E62" s="455"/>
      <c r="F62" s="463"/>
      <c r="G62" s="489"/>
      <c r="H62" s="490">
        <f>H60-H61</f>
        <v>84.011009588900009</v>
      </c>
      <c r="I62" s="464"/>
      <c r="J62" s="464"/>
      <c r="K62" s="464"/>
      <c r="L62" s="465">
        <f>L60-L61</f>
        <v>83.107081802799996</v>
      </c>
      <c r="M62" s="466"/>
      <c r="N62" s="467">
        <f t="shared" si="87"/>
        <v>-0.90392778610001301</v>
      </c>
      <c r="O62" s="468">
        <f t="shared" si="88"/>
        <v>-1.0759634844567382E-2</v>
      </c>
      <c r="P62" s="53"/>
      <c r="Q62" s="464"/>
      <c r="R62" s="464"/>
      <c r="S62" s="465">
        <f>S60-S61</f>
        <v>85.3973868028</v>
      </c>
      <c r="T62" s="466"/>
      <c r="U62" s="467">
        <f t="shared" si="89"/>
        <v>2.2903050000000036</v>
      </c>
      <c r="V62" s="468">
        <f t="shared" si="90"/>
        <v>2.7558481784194233E-2</v>
      </c>
      <c r="W62" s="53"/>
      <c r="X62" s="464"/>
      <c r="Y62" s="464"/>
      <c r="Z62" s="465">
        <f>Z60-Z61</f>
        <v>85.921856802799994</v>
      </c>
      <c r="AA62" s="466"/>
      <c r="AB62" s="467">
        <f t="shared" si="91"/>
        <v>0.52446999999999377</v>
      </c>
      <c r="AC62" s="468">
        <f t="shared" si="92"/>
        <v>6.1415228221339147E-3</v>
      </c>
      <c r="AD62" s="53"/>
      <c r="AE62" s="464"/>
      <c r="AF62" s="464"/>
      <c r="AG62" s="465">
        <f>AG60-AG61</f>
        <v>86.710351802800005</v>
      </c>
      <c r="AH62" s="466"/>
      <c r="AI62" s="467">
        <f t="shared" si="93"/>
        <v>0.78849500000001171</v>
      </c>
      <c r="AJ62" s="468">
        <f t="shared" si="94"/>
        <v>9.1768850132009309E-3</v>
      </c>
      <c r="AK62" s="53"/>
      <c r="AL62" s="464"/>
      <c r="AM62" s="464"/>
      <c r="AN62" s="465">
        <f>AN60-AN61</f>
        <v>87.121156802799973</v>
      </c>
      <c r="AO62" s="466"/>
      <c r="AP62" s="467">
        <f t="shared" si="95"/>
        <v>0.41080499999996789</v>
      </c>
      <c r="AQ62" s="468">
        <f t="shared" si="96"/>
        <v>4.7376696260469147E-3</v>
      </c>
      <c r="AR62" s="462"/>
    </row>
    <row r="63" spans="1:44" ht="12" customHeight="1">
      <c r="A63" s="53"/>
      <c r="B63" s="428"/>
      <c r="C63" s="429"/>
      <c r="D63" s="429"/>
      <c r="E63" s="429"/>
      <c r="F63" s="469"/>
      <c r="G63" s="434"/>
      <c r="H63" s="491"/>
      <c r="I63" s="470"/>
      <c r="J63" s="469"/>
      <c r="K63" s="470"/>
      <c r="L63" s="435"/>
      <c r="M63" s="434"/>
      <c r="N63" s="471"/>
      <c r="O63" s="436"/>
      <c r="P63" s="53"/>
      <c r="Q63" s="469"/>
      <c r="R63" s="470"/>
      <c r="S63" s="435"/>
      <c r="T63" s="434"/>
      <c r="U63" s="471"/>
      <c r="V63" s="436"/>
      <c r="W63" s="53"/>
      <c r="X63" s="469"/>
      <c r="Y63" s="470"/>
      <c r="Z63" s="435"/>
      <c r="AA63" s="434"/>
      <c r="AB63" s="471"/>
      <c r="AC63" s="436"/>
      <c r="AD63" s="53"/>
      <c r="AE63" s="469"/>
      <c r="AF63" s="470"/>
      <c r="AG63" s="435"/>
      <c r="AH63" s="434"/>
      <c r="AI63" s="471"/>
      <c r="AJ63" s="436"/>
      <c r="AK63" s="53"/>
      <c r="AL63" s="469"/>
      <c r="AM63" s="470"/>
      <c r="AN63" s="435"/>
      <c r="AO63" s="434"/>
      <c r="AP63" s="471"/>
      <c r="AQ63" s="436"/>
      <c r="AR63" s="437"/>
    </row>
    <row r="64" spans="1:44" ht="12" customHeight="1">
      <c r="A64" s="53"/>
      <c r="B64" s="53"/>
      <c r="C64" s="53"/>
      <c r="D64" s="53"/>
      <c r="E64" s="53"/>
      <c r="F64" s="53"/>
      <c r="G64" s="53"/>
      <c r="H64" s="53"/>
      <c r="I64" s="53"/>
      <c r="J64" s="53"/>
      <c r="K64" s="53"/>
      <c r="L64" s="196"/>
      <c r="M64" s="53"/>
      <c r="N64" s="53"/>
      <c r="O64" s="53"/>
      <c r="P64" s="53"/>
      <c r="Q64" s="53"/>
      <c r="R64" s="53"/>
      <c r="S64" s="196"/>
      <c r="T64" s="53"/>
      <c r="U64" s="53"/>
      <c r="V64" s="53"/>
      <c r="W64" s="53"/>
      <c r="X64" s="53"/>
      <c r="Y64" s="53"/>
      <c r="Z64" s="196"/>
      <c r="AA64" s="53"/>
      <c r="AB64" s="53"/>
      <c r="AC64" s="53"/>
      <c r="AD64" s="53"/>
      <c r="AE64" s="53"/>
      <c r="AF64" s="53"/>
      <c r="AG64" s="196"/>
      <c r="AH64" s="53"/>
      <c r="AI64" s="53"/>
      <c r="AJ64" s="53"/>
      <c r="AK64" s="53"/>
      <c r="AL64" s="53"/>
      <c r="AM64" s="53"/>
      <c r="AN64" s="196"/>
      <c r="AO64" s="53"/>
      <c r="AP64" s="53"/>
      <c r="AQ64" s="53"/>
      <c r="AR64" s="53"/>
    </row>
    <row r="65" spans="1:44" ht="12" customHeight="1">
      <c r="A65" s="53"/>
      <c r="B65" s="314" t="s">
        <v>351</v>
      </c>
      <c r="C65" s="53"/>
      <c r="D65" s="53"/>
      <c r="E65" s="53"/>
      <c r="F65" s="472">
        <f>'Proposed Rates'!$E$306</f>
        <v>3.3799999999999997E-2</v>
      </c>
      <c r="G65" s="53"/>
      <c r="H65" s="53"/>
      <c r="I65" s="53"/>
      <c r="J65" s="472">
        <f>'Proposed Rates'!$F$306</f>
        <v>3.32E-2</v>
      </c>
      <c r="K65" s="53"/>
      <c r="L65" s="53"/>
      <c r="M65" s="53"/>
      <c r="N65" s="53"/>
      <c r="O65" s="53"/>
      <c r="P65" s="53"/>
      <c r="Q65" s="472">
        <f>'Proposed Rates'!$G$306</f>
        <v>3.32E-2</v>
      </c>
      <c r="R65" s="53"/>
      <c r="S65" s="53"/>
      <c r="T65" s="53"/>
      <c r="U65" s="53"/>
      <c r="V65" s="53"/>
      <c r="W65" s="53"/>
      <c r="X65" s="472">
        <f>'Proposed Rates'!$H$306</f>
        <v>3.32E-2</v>
      </c>
      <c r="Y65" s="53"/>
      <c r="Z65" s="53"/>
      <c r="AA65" s="53"/>
      <c r="AB65" s="53"/>
      <c r="AC65" s="53"/>
      <c r="AD65" s="53"/>
      <c r="AE65" s="472">
        <f>'Proposed Rates'!$I$306</f>
        <v>3.32E-2</v>
      </c>
      <c r="AF65" s="53"/>
      <c r="AG65" s="53"/>
      <c r="AH65" s="53"/>
      <c r="AI65" s="53"/>
      <c r="AJ65" s="53"/>
      <c r="AK65" s="53"/>
      <c r="AL65" s="472">
        <f>'Proposed Rates'!$J$306</f>
        <v>3.32E-2</v>
      </c>
      <c r="AM65" s="53"/>
      <c r="AN65" s="53"/>
      <c r="AO65" s="53"/>
      <c r="AP65" s="53"/>
      <c r="AQ65" s="53"/>
      <c r="AR65" s="53"/>
    </row>
    <row r="66" spans="1:44"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ht="12" customHeight="1">
      <c r="A67" s="47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ht="12" customHeight="1">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row>
    <row r="70" spans="1:44" ht="12" customHeight="1">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ht="12" customHeight="1">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ht="12" customHeight="1">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ht="12" customHeight="1">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ht="12" customHeight="1">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ht="12" customHeight="1">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ht="12" customHeight="1">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ht="12" customHeight="1">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ht="12" customHeight="1">
      <c r="A81" s="474"/>
      <c r="B81" s="53" t="s">
        <v>362</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ht="12" customHeight="1">
      <c r="A83" s="53"/>
      <c r="B83" s="53" t="s">
        <v>363</v>
      </c>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row>
    <row r="91" spans="1:44"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row r="98" spans="1:44"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c r="AR98" s="53"/>
    </row>
    <row r="99" spans="1:44"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row>
    <row r="100" spans="1:44"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c r="AR100" s="53"/>
    </row>
    <row r="101" spans="1:44"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row>
    <row r="102" spans="1:44"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c r="AR102" s="53"/>
    </row>
    <row r="103" spans="1:44"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row>
    <row r="104" spans="1:44"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row>
    <row r="105" spans="1:44"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c r="AR105" s="53"/>
    </row>
    <row r="106" spans="1:44"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row>
    <row r="107" spans="1:44"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row>
    <row r="108" spans="1:44"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row>
    <row r="109" spans="1:44"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row>
    <row r="110" spans="1:44"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row>
    <row r="111" spans="1:44"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row>
    <row r="112" spans="1:44"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row>
    <row r="113" spans="1:44"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c r="AR113" s="53"/>
    </row>
    <row r="114" spans="1:44"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row>
    <row r="115" spans="1:44"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c r="AR115" s="53"/>
    </row>
    <row r="116" spans="1:44"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c r="AR116" s="53"/>
    </row>
    <row r="117" spans="1:44"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c r="AR117" s="53"/>
    </row>
    <row r="118" spans="1:44"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row>
    <row r="119" spans="1:44"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c r="AR119" s="53"/>
    </row>
    <row r="120" spans="1:44"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row>
    <row r="121" spans="1:44"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row>
    <row r="122" spans="1:44"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row>
    <row r="123" spans="1:44"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row>
    <row r="124" spans="1:44"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row>
    <row r="125" spans="1:44"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row>
    <row r="126" spans="1:44"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row>
    <row r="127" spans="1:44"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row>
    <row r="128" spans="1:44"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row>
    <row r="129" spans="1:44"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row>
    <row r="130" spans="1:44"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row>
    <row r="131" spans="1:44"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row>
    <row r="132" spans="1:44"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row>
    <row r="133" spans="1:44"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row>
    <row r="134" spans="1:44"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row>
    <row r="135" spans="1:44"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row>
    <row r="136" spans="1:44"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row>
    <row r="137" spans="1:44"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row>
    <row r="138" spans="1:44"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row>
    <row r="139" spans="1:44"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row>
    <row r="140" spans="1:44"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row>
    <row r="141" spans="1:44"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row>
    <row r="142" spans="1:44"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row>
    <row r="143" spans="1:44"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c r="AR143" s="53"/>
    </row>
    <row r="144" spans="1:44"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row>
    <row r="145" spans="1:44"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c r="AR145" s="53"/>
    </row>
    <row r="146" spans="1:44"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c r="AR146" s="53"/>
    </row>
    <row r="147" spans="1:44"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c r="AR147" s="53"/>
    </row>
    <row r="148" spans="1:44"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row>
    <row r="149" spans="1:44"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c r="AR149" s="53"/>
    </row>
    <row r="150" spans="1:44"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c r="AR150" s="53"/>
    </row>
    <row r="151" spans="1:44"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row>
    <row r="152" spans="1:44"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row>
    <row r="153" spans="1:44"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row>
    <row r="154" spans="1:44"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c r="AR154" s="53"/>
    </row>
    <row r="155" spans="1:44"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c r="AR155" s="53"/>
    </row>
    <row r="156" spans="1:44"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c r="AR156" s="53"/>
    </row>
    <row r="157" spans="1:44"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c r="AR157" s="53"/>
    </row>
    <row r="158" spans="1:44"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c r="AR158" s="53"/>
    </row>
    <row r="159" spans="1:44"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c r="AR159" s="53"/>
    </row>
    <row r="160" spans="1:44"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row>
    <row r="161" spans="1:44"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row>
    <row r="162" spans="1:44"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c r="AR162" s="53"/>
    </row>
    <row r="163" spans="1:44"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c r="AR163" s="53"/>
    </row>
    <row r="164" spans="1:44"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c r="AR164" s="53"/>
    </row>
    <row r="165" spans="1:44"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c r="AR165" s="53"/>
    </row>
    <row r="166" spans="1:44"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c r="AR166" s="53"/>
    </row>
    <row r="167" spans="1:44"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c r="AR167" s="53"/>
    </row>
    <row r="168" spans="1:44"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c r="AR168" s="53"/>
    </row>
    <row r="169" spans="1:44"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row>
    <row r="170" spans="1:44"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c r="AR170" s="53"/>
    </row>
    <row r="171" spans="1:44"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c r="AR171" s="53"/>
    </row>
    <row r="172" spans="1:44"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c r="AR172" s="53"/>
    </row>
    <row r="173" spans="1:44"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c r="AR173" s="53"/>
    </row>
    <row r="174" spans="1:44"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row>
    <row r="175" spans="1:44"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row>
    <row r="176" spans="1:44"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row>
    <row r="177" spans="1:44"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c r="AR177" s="53"/>
    </row>
    <row r="178" spans="1:44"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c r="AR178" s="53"/>
    </row>
    <row r="179" spans="1:44"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row>
    <row r="180" spans="1:44"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c r="AR180" s="53"/>
    </row>
    <row r="181" spans="1:44"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row>
    <row r="182" spans="1:44"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row>
    <row r="183" spans="1:44"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row>
    <row r="184" spans="1:44"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row>
    <row r="185" spans="1:44"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c r="AR185" s="53"/>
    </row>
    <row r="186" spans="1:44"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row>
    <row r="187" spans="1:44"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c r="AR187" s="53"/>
    </row>
    <row r="188" spans="1:44"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row>
    <row r="189" spans="1:44"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row>
    <row r="190" spans="1:44"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row>
    <row r="191" spans="1:44"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row>
    <row r="192" spans="1:44"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2" customHeight="1">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c r="AA282" s="53"/>
      <c r="AB282" s="53"/>
      <c r="AC282" s="53"/>
      <c r="AD282" s="53"/>
      <c r="AE282" s="53"/>
      <c r="AF282" s="53"/>
      <c r="AG282" s="53"/>
      <c r="AH282" s="53"/>
      <c r="AI282" s="53"/>
      <c r="AJ282" s="53"/>
      <c r="AK282" s="53"/>
      <c r="AL282" s="53"/>
      <c r="AM282" s="53"/>
      <c r="AN282" s="53"/>
      <c r="AO282" s="53"/>
      <c r="AP282" s="53"/>
      <c r="AQ282" s="53"/>
    </row>
    <row r="283" spans="1:43" ht="12" customHeight="1">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c r="AA283" s="53"/>
      <c r="AB283" s="53"/>
      <c r="AC283" s="53"/>
      <c r="AD283" s="53"/>
      <c r="AE283" s="53"/>
      <c r="AF283" s="53"/>
      <c r="AG283" s="53"/>
      <c r="AH283" s="53"/>
      <c r="AI283" s="53"/>
      <c r="AJ283" s="53"/>
      <c r="AK283" s="53"/>
      <c r="AL283" s="53"/>
      <c r="AM283" s="53"/>
      <c r="AN283" s="53"/>
      <c r="AO283" s="53"/>
      <c r="AP283" s="53"/>
      <c r="AQ283" s="53"/>
    </row>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6:D56"/>
    <mergeCell ref="B61:D61"/>
    <mergeCell ref="B62:D62"/>
    <mergeCell ref="U13:U14"/>
    <mergeCell ref="V13:V14"/>
    <mergeCell ref="D13:D14"/>
    <mergeCell ref="AP12:AQ12"/>
    <mergeCell ref="N12:O12"/>
    <mergeCell ref="N13:N14"/>
    <mergeCell ref="O13:O14"/>
    <mergeCell ref="B55:D55"/>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2800-000000000000}">
      <formula1>"TOU,non-TOU"</formula1>
    </dataValidation>
    <dataValidation type="list" allowBlank="1" showErrorMessage="1" sqref="E15:E28 E30:E38 E40:E41 E43:E51 E57 E63" xr:uid="{00000000-0002-0000-2800-000001000000}">
      <formula1>#REF!</formula1>
    </dataValidation>
    <dataValidation type="list" allowBlank="1" showInputMessage="1" showErrorMessage="1" prompt="Select Charge Unit - monthly, per kWh, per kW" sqref="D15:D28 D30:D38 D40:D41 D43:D51 D57 D63" xr:uid="{00000000-0002-0000-2800-000002000000}">
      <formula1>"Monthly,per kWh,per kW"</formula1>
    </dataValidation>
  </dataValidations>
  <pageMargins left="0.74803149606299213" right="0.74803149606299213" top="0.98425196850393704" bottom="0.98425196850393704"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15"/>
  <sheetViews>
    <sheetView workbookViewId="0"/>
  </sheetViews>
  <sheetFormatPr defaultColWidth="12.5703125" defaultRowHeight="15" customHeight="1"/>
  <cols>
    <col min="1" max="1" width="54" customWidth="1"/>
    <col min="2" max="2" width="16.42578125" customWidth="1"/>
    <col min="3" max="3" width="10.42578125" customWidth="1"/>
    <col min="4" max="4" width="9.42578125" customWidth="1"/>
    <col min="5" max="24" width="9.140625" customWidth="1"/>
  </cols>
  <sheetData>
    <row r="1" spans="1:26" ht="23.25" customHeight="1">
      <c r="A1" s="588" t="s">
        <v>26</v>
      </c>
      <c r="B1" s="589"/>
      <c r="C1" s="589"/>
      <c r="D1" s="590"/>
      <c r="E1" s="54"/>
      <c r="F1" s="54"/>
      <c r="G1" s="54"/>
      <c r="H1" s="54"/>
      <c r="I1" s="54"/>
      <c r="J1" s="54"/>
      <c r="K1" s="54"/>
      <c r="L1" s="54"/>
      <c r="M1" s="54"/>
      <c r="N1" s="54"/>
      <c r="O1" s="54"/>
      <c r="P1" s="54"/>
      <c r="Q1" s="54"/>
      <c r="R1" s="54"/>
      <c r="S1" s="54"/>
      <c r="T1" s="54"/>
      <c r="U1" s="54"/>
      <c r="V1" s="54"/>
      <c r="W1" s="54"/>
      <c r="X1" s="54"/>
      <c r="Y1" s="54"/>
      <c r="Z1" s="54"/>
    </row>
    <row r="2" spans="1:26" ht="18" customHeight="1">
      <c r="A2" s="591" t="s">
        <v>225</v>
      </c>
      <c r="B2" s="589"/>
      <c r="C2" s="589"/>
      <c r="D2" s="590"/>
      <c r="E2" s="54"/>
      <c r="F2" s="54"/>
      <c r="G2" s="54"/>
      <c r="H2" s="54"/>
      <c r="I2" s="54"/>
      <c r="J2" s="54"/>
      <c r="K2" s="54"/>
      <c r="L2" s="54"/>
      <c r="M2" s="54"/>
      <c r="N2" s="54"/>
      <c r="O2" s="54"/>
      <c r="P2" s="54"/>
      <c r="Q2" s="54"/>
      <c r="R2" s="54"/>
      <c r="S2" s="54"/>
      <c r="T2" s="54"/>
      <c r="U2" s="54"/>
      <c r="V2" s="54"/>
      <c r="W2" s="54"/>
      <c r="X2" s="54"/>
      <c r="Y2" s="54"/>
      <c r="Z2" s="54"/>
    </row>
    <row r="3" spans="1:26" ht="15.75" customHeight="1">
      <c r="A3" s="592" t="s">
        <v>232</v>
      </c>
      <c r="B3" s="589"/>
      <c r="C3" s="589"/>
      <c r="D3" s="590"/>
      <c r="E3" s="54"/>
      <c r="F3" s="54"/>
      <c r="G3" s="54"/>
      <c r="H3" s="54"/>
      <c r="I3" s="54"/>
      <c r="J3" s="54"/>
      <c r="K3" s="54"/>
      <c r="L3" s="54"/>
      <c r="M3" s="54"/>
      <c r="N3" s="54"/>
      <c r="O3" s="54"/>
      <c r="P3" s="54"/>
      <c r="Q3" s="54"/>
      <c r="R3" s="54"/>
      <c r="S3" s="54"/>
      <c r="T3" s="54"/>
      <c r="U3" s="54"/>
      <c r="V3" s="54"/>
      <c r="W3" s="54"/>
      <c r="X3" s="54"/>
      <c r="Y3" s="54"/>
      <c r="Z3" s="54"/>
    </row>
    <row r="4" spans="1:26" ht="11.25" customHeight="1">
      <c r="A4" s="593" t="s">
        <v>30</v>
      </c>
      <c r="B4" s="589"/>
      <c r="C4" s="589"/>
      <c r="D4" s="590"/>
      <c r="E4" s="54"/>
      <c r="F4" s="54"/>
      <c r="G4" s="54"/>
      <c r="H4" s="54"/>
      <c r="I4" s="54"/>
      <c r="J4" s="54"/>
      <c r="K4" s="54"/>
      <c r="L4" s="54"/>
      <c r="M4" s="54"/>
      <c r="N4" s="54"/>
      <c r="O4" s="54"/>
      <c r="P4" s="54"/>
      <c r="Q4" s="54"/>
      <c r="R4" s="54"/>
      <c r="S4" s="54"/>
      <c r="T4" s="54"/>
      <c r="U4" s="54"/>
      <c r="V4" s="54"/>
      <c r="W4" s="54"/>
      <c r="X4" s="54"/>
      <c r="Y4" s="54"/>
      <c r="Z4" s="54"/>
    </row>
    <row r="5" spans="1:26" ht="11.25" customHeight="1">
      <c r="A5" s="593" t="s">
        <v>31</v>
      </c>
      <c r="B5" s="589"/>
      <c r="C5" s="589"/>
      <c r="D5" s="590"/>
      <c r="E5" s="54"/>
      <c r="F5" s="54"/>
      <c r="G5" s="54"/>
      <c r="H5" s="54"/>
      <c r="I5" s="54"/>
      <c r="J5" s="54"/>
      <c r="K5" s="54"/>
      <c r="L5" s="54"/>
      <c r="M5" s="54"/>
      <c r="N5" s="54"/>
      <c r="O5" s="54"/>
      <c r="P5" s="54"/>
      <c r="Q5" s="54"/>
      <c r="R5" s="54"/>
      <c r="S5" s="54"/>
      <c r="T5" s="54"/>
      <c r="U5" s="54"/>
      <c r="V5" s="54"/>
      <c r="W5" s="54"/>
      <c r="X5" s="54"/>
      <c r="Y5" s="54"/>
      <c r="Z5" s="54"/>
    </row>
    <row r="6" spans="1:26" ht="11.25" customHeight="1">
      <c r="A6" s="594" t="s">
        <v>32</v>
      </c>
      <c r="B6" s="589"/>
      <c r="C6" s="589"/>
      <c r="D6" s="590"/>
      <c r="E6" s="54"/>
      <c r="F6" s="54"/>
      <c r="G6" s="54"/>
      <c r="H6" s="54"/>
      <c r="I6" s="54"/>
      <c r="J6" s="54"/>
      <c r="K6" s="54"/>
      <c r="L6" s="54"/>
      <c r="M6" s="54"/>
      <c r="N6" s="54"/>
      <c r="O6" s="54"/>
      <c r="P6" s="54"/>
      <c r="Q6" s="54"/>
      <c r="R6" s="54"/>
      <c r="S6" s="54"/>
      <c r="T6" s="54"/>
      <c r="U6" s="54"/>
      <c r="V6" s="54"/>
      <c r="W6" s="54"/>
      <c r="X6" s="54"/>
      <c r="Y6" s="54"/>
      <c r="Z6" s="54"/>
    </row>
    <row r="7" spans="1:26" ht="18.75" customHeight="1">
      <c r="A7" s="595" t="s">
        <v>33</v>
      </c>
      <c r="B7" s="589"/>
      <c r="C7" s="589"/>
      <c r="D7" s="590"/>
      <c r="E7" s="54"/>
      <c r="F7" s="54"/>
      <c r="G7" s="54"/>
      <c r="H7" s="54"/>
      <c r="I7" s="54"/>
      <c r="J7" s="54"/>
      <c r="K7" s="54"/>
      <c r="L7" s="54"/>
      <c r="M7" s="54"/>
      <c r="N7" s="54"/>
      <c r="O7" s="54"/>
      <c r="P7" s="54"/>
      <c r="Q7" s="54"/>
      <c r="R7" s="54"/>
      <c r="S7" s="54"/>
      <c r="T7" s="54"/>
      <c r="U7" s="54"/>
      <c r="V7" s="54"/>
      <c r="W7" s="54"/>
      <c r="X7" s="54"/>
      <c r="Y7" s="54"/>
      <c r="Z7" s="54"/>
    </row>
    <row r="8" spans="1:26" ht="72" customHeight="1">
      <c r="A8" s="596" t="s">
        <v>34</v>
      </c>
      <c r="B8" s="589"/>
      <c r="C8" s="589"/>
      <c r="D8" s="590"/>
      <c r="E8" s="54"/>
      <c r="F8" s="54"/>
      <c r="G8" s="54"/>
      <c r="H8" s="54"/>
      <c r="I8" s="54"/>
      <c r="J8" s="54"/>
      <c r="K8" s="54"/>
      <c r="L8" s="54"/>
      <c r="M8" s="54"/>
      <c r="N8" s="54"/>
      <c r="O8" s="54"/>
      <c r="P8" s="54"/>
      <c r="Q8" s="54"/>
      <c r="R8" s="54"/>
      <c r="S8" s="54"/>
      <c r="T8" s="54"/>
      <c r="U8" s="54"/>
      <c r="V8" s="54"/>
      <c r="W8" s="54"/>
      <c r="X8" s="54"/>
      <c r="Y8" s="54"/>
      <c r="Z8" s="54"/>
    </row>
    <row r="9" spans="1:26" ht="6.75" customHeight="1">
      <c r="A9" s="55"/>
      <c r="B9" s="55"/>
      <c r="C9" s="55"/>
      <c r="D9" s="56"/>
      <c r="E9" s="54"/>
      <c r="F9" s="54"/>
      <c r="G9" s="54"/>
      <c r="H9" s="54"/>
      <c r="I9" s="54"/>
      <c r="J9" s="54"/>
      <c r="K9" s="54"/>
      <c r="L9" s="54"/>
      <c r="M9" s="54"/>
      <c r="N9" s="54"/>
      <c r="O9" s="54"/>
      <c r="P9" s="54"/>
      <c r="Q9" s="54"/>
      <c r="R9" s="54"/>
      <c r="S9" s="54"/>
      <c r="T9" s="54"/>
      <c r="U9" s="54"/>
      <c r="V9" s="54"/>
      <c r="W9" s="54"/>
      <c r="X9" s="54"/>
      <c r="Y9" s="54"/>
      <c r="Z9" s="54"/>
    </row>
    <row r="10" spans="1:26" ht="11.25" customHeight="1">
      <c r="A10" s="597" t="s">
        <v>35</v>
      </c>
      <c r="B10" s="589"/>
      <c r="C10" s="589"/>
      <c r="D10" s="590"/>
      <c r="E10" s="54"/>
      <c r="F10" s="54"/>
      <c r="G10" s="54"/>
      <c r="H10" s="54"/>
      <c r="I10" s="54"/>
      <c r="J10" s="54"/>
      <c r="K10" s="54"/>
      <c r="L10" s="54"/>
      <c r="M10" s="54"/>
      <c r="N10" s="54"/>
      <c r="O10" s="54"/>
      <c r="P10" s="54"/>
      <c r="Q10" s="54"/>
      <c r="R10" s="54"/>
      <c r="S10" s="54"/>
      <c r="T10" s="54"/>
      <c r="U10" s="54"/>
      <c r="V10" s="54"/>
      <c r="W10" s="54"/>
      <c r="X10" s="54"/>
      <c r="Y10" s="54"/>
      <c r="Z10" s="54"/>
    </row>
    <row r="11" spans="1:26" ht="6.75" customHeight="1">
      <c r="A11" s="57"/>
      <c r="B11" s="58"/>
      <c r="C11" s="58"/>
      <c r="D11" s="59"/>
      <c r="E11" s="54"/>
      <c r="F11" s="54"/>
      <c r="G11" s="54"/>
      <c r="H11" s="54"/>
      <c r="I11" s="54"/>
      <c r="J11" s="54"/>
      <c r="K11" s="54"/>
      <c r="L11" s="54"/>
      <c r="M11" s="54"/>
      <c r="N11" s="54"/>
      <c r="O11" s="54"/>
      <c r="P11" s="54"/>
      <c r="Q11" s="54"/>
      <c r="R11" s="54"/>
      <c r="S11" s="54"/>
      <c r="T11" s="54"/>
      <c r="U11" s="54"/>
      <c r="V11" s="54"/>
      <c r="W11" s="54"/>
      <c r="X11" s="54"/>
      <c r="Y11" s="54"/>
      <c r="Z11" s="54"/>
    </row>
    <row r="12" spans="1:26" ht="36" customHeight="1">
      <c r="A12" s="596" t="s">
        <v>36</v>
      </c>
      <c r="B12" s="589"/>
      <c r="C12" s="589"/>
      <c r="D12" s="590"/>
      <c r="E12" s="54"/>
      <c r="F12" s="54"/>
      <c r="G12" s="54"/>
      <c r="H12" s="54"/>
      <c r="I12" s="54"/>
      <c r="J12" s="54"/>
      <c r="K12" s="54"/>
      <c r="L12" s="54"/>
      <c r="M12" s="54"/>
      <c r="N12" s="54"/>
      <c r="O12" s="54"/>
      <c r="P12" s="54"/>
      <c r="Q12" s="54"/>
      <c r="R12" s="54"/>
      <c r="S12" s="54"/>
      <c r="T12" s="54"/>
      <c r="U12" s="54"/>
      <c r="V12" s="54"/>
      <c r="W12" s="54"/>
      <c r="X12" s="54"/>
      <c r="Y12" s="54"/>
      <c r="Z12" s="54"/>
    </row>
    <row r="13" spans="1:26" ht="6.75" customHeight="1">
      <c r="A13" s="55"/>
      <c r="B13" s="55"/>
      <c r="C13" s="55"/>
      <c r="D13" s="56"/>
      <c r="E13" s="54"/>
      <c r="F13" s="54"/>
      <c r="G13" s="54"/>
      <c r="H13" s="54"/>
      <c r="I13" s="54"/>
      <c r="J13" s="54"/>
      <c r="K13" s="54"/>
      <c r="L13" s="54"/>
      <c r="M13" s="54"/>
      <c r="N13" s="54"/>
      <c r="O13" s="54"/>
      <c r="P13" s="54"/>
      <c r="Q13" s="54"/>
      <c r="R13" s="54"/>
      <c r="S13" s="54"/>
      <c r="T13" s="54"/>
      <c r="U13" s="54"/>
      <c r="V13" s="54"/>
      <c r="W13" s="54"/>
      <c r="X13" s="54"/>
      <c r="Y13" s="54"/>
      <c r="Z13" s="54"/>
    </row>
    <row r="14" spans="1:26" ht="48" customHeight="1">
      <c r="A14" s="596" t="s">
        <v>37</v>
      </c>
      <c r="B14" s="589"/>
      <c r="C14" s="589"/>
      <c r="D14" s="590"/>
      <c r="E14" s="54"/>
      <c r="F14" s="54"/>
      <c r="G14" s="54"/>
      <c r="H14" s="54"/>
      <c r="I14" s="54"/>
      <c r="J14" s="54"/>
      <c r="K14" s="54"/>
      <c r="L14" s="54"/>
      <c r="M14" s="54"/>
      <c r="N14" s="54"/>
      <c r="O14" s="54"/>
      <c r="P14" s="54"/>
      <c r="Q14" s="54"/>
      <c r="R14" s="54"/>
      <c r="S14" s="54"/>
      <c r="T14" s="54"/>
      <c r="U14" s="54"/>
      <c r="V14" s="54"/>
      <c r="W14" s="54"/>
      <c r="X14" s="54"/>
      <c r="Y14" s="54"/>
      <c r="Z14" s="54"/>
    </row>
    <row r="15" spans="1:26" ht="6.75" customHeight="1">
      <c r="A15" s="55"/>
      <c r="B15" s="55"/>
      <c r="C15" s="55"/>
      <c r="D15" s="56"/>
      <c r="E15" s="54"/>
      <c r="F15" s="54"/>
      <c r="G15" s="54"/>
      <c r="H15" s="54"/>
      <c r="I15" s="54"/>
      <c r="J15" s="54"/>
      <c r="K15" s="54"/>
      <c r="L15" s="54"/>
      <c r="M15" s="54"/>
      <c r="N15" s="54"/>
      <c r="O15" s="54"/>
      <c r="P15" s="54"/>
      <c r="Q15" s="54"/>
      <c r="R15" s="54"/>
      <c r="S15" s="54"/>
      <c r="T15" s="54"/>
      <c r="U15" s="54"/>
      <c r="V15" s="54"/>
      <c r="W15" s="54"/>
      <c r="X15" s="54"/>
      <c r="Y15" s="54"/>
      <c r="Z15" s="54"/>
    </row>
    <row r="16" spans="1:26" ht="48" customHeight="1">
      <c r="A16" s="596" t="s">
        <v>38</v>
      </c>
      <c r="B16" s="589"/>
      <c r="C16" s="589"/>
      <c r="D16" s="590"/>
      <c r="E16" s="54"/>
      <c r="F16" s="54"/>
      <c r="G16" s="54"/>
      <c r="H16" s="54"/>
      <c r="I16" s="54"/>
      <c r="J16" s="54"/>
      <c r="K16" s="54"/>
      <c r="L16" s="54"/>
      <c r="M16" s="54"/>
      <c r="N16" s="54"/>
      <c r="O16" s="54"/>
      <c r="P16" s="54"/>
      <c r="Q16" s="54"/>
      <c r="R16" s="54"/>
      <c r="S16" s="54"/>
      <c r="T16" s="54"/>
      <c r="U16" s="54"/>
      <c r="V16" s="54"/>
      <c r="W16" s="54"/>
      <c r="X16" s="54"/>
      <c r="Y16" s="54"/>
      <c r="Z16" s="54"/>
    </row>
    <row r="17" spans="1:26" ht="6.75" customHeight="1">
      <c r="A17" s="55"/>
      <c r="B17" s="55"/>
      <c r="C17" s="55"/>
      <c r="D17" s="56"/>
      <c r="E17" s="54"/>
      <c r="F17" s="54"/>
      <c r="G17" s="54"/>
      <c r="H17" s="54"/>
      <c r="I17" s="54"/>
      <c r="J17" s="54"/>
      <c r="K17" s="54"/>
      <c r="L17" s="54"/>
      <c r="M17" s="54"/>
      <c r="N17" s="54"/>
      <c r="O17" s="54"/>
      <c r="P17" s="54"/>
      <c r="Q17" s="54"/>
      <c r="R17" s="54"/>
      <c r="S17" s="54"/>
      <c r="T17" s="54"/>
      <c r="U17" s="54"/>
      <c r="V17" s="54"/>
      <c r="W17" s="54"/>
      <c r="X17" s="54"/>
      <c r="Y17" s="54"/>
      <c r="Z17" s="54"/>
    </row>
    <row r="18" spans="1:26" ht="36" customHeight="1">
      <c r="A18" s="596" t="s">
        <v>39</v>
      </c>
      <c r="B18" s="589"/>
      <c r="C18" s="589"/>
      <c r="D18" s="590"/>
      <c r="E18" s="54"/>
      <c r="F18" s="54"/>
      <c r="G18" s="54"/>
      <c r="H18" s="54"/>
      <c r="I18" s="54"/>
      <c r="J18" s="54"/>
      <c r="K18" s="54"/>
      <c r="L18" s="54"/>
      <c r="M18" s="54"/>
      <c r="N18" s="54"/>
      <c r="O18" s="54"/>
      <c r="P18" s="54"/>
      <c r="Q18" s="54"/>
      <c r="R18" s="54"/>
      <c r="S18" s="54"/>
      <c r="T18" s="54"/>
      <c r="U18" s="54"/>
      <c r="V18" s="54"/>
      <c r="W18" s="54"/>
      <c r="X18" s="54"/>
      <c r="Y18" s="54"/>
      <c r="Z18" s="54"/>
    </row>
    <row r="19" spans="1:26" ht="6.75" customHeight="1">
      <c r="A19" s="55"/>
      <c r="B19" s="55"/>
      <c r="C19" s="55"/>
      <c r="D19" s="56"/>
      <c r="E19" s="54"/>
      <c r="F19" s="54"/>
      <c r="G19" s="54"/>
      <c r="H19" s="54"/>
      <c r="I19" s="54"/>
      <c r="J19" s="54"/>
      <c r="K19" s="54"/>
      <c r="L19" s="54"/>
      <c r="M19" s="54"/>
      <c r="N19" s="54"/>
      <c r="O19" s="54"/>
      <c r="P19" s="54"/>
      <c r="Q19" s="54"/>
      <c r="R19" s="54"/>
      <c r="S19" s="54"/>
      <c r="T19" s="54"/>
      <c r="U19" s="54"/>
      <c r="V19" s="54"/>
      <c r="W19" s="54"/>
      <c r="X19" s="54"/>
      <c r="Y19" s="54"/>
      <c r="Z19" s="54"/>
    </row>
    <row r="20" spans="1:26" ht="15" customHeight="1">
      <c r="A20" s="75" t="s">
        <v>40</v>
      </c>
      <c r="B20" s="64"/>
      <c r="C20" s="64"/>
      <c r="D20" s="64"/>
      <c r="E20" s="54"/>
      <c r="F20" s="54"/>
      <c r="G20" s="54"/>
      <c r="H20" s="54"/>
      <c r="I20" s="54"/>
      <c r="J20" s="54"/>
      <c r="K20" s="54"/>
      <c r="L20" s="54"/>
      <c r="M20" s="54"/>
      <c r="N20" s="54"/>
      <c r="O20" s="54"/>
      <c r="P20" s="54"/>
      <c r="Q20" s="54"/>
      <c r="R20" s="54"/>
      <c r="S20" s="54"/>
      <c r="T20" s="54"/>
      <c r="U20" s="54"/>
      <c r="V20" s="54"/>
      <c r="W20" s="54"/>
      <c r="X20" s="54"/>
      <c r="Y20" s="54"/>
      <c r="Z20" s="54"/>
    </row>
    <row r="21" spans="1:26" ht="6.75" customHeight="1">
      <c r="A21" s="60"/>
      <c r="B21" s="61"/>
      <c r="C21" s="61"/>
      <c r="D21" s="62"/>
      <c r="E21" s="54"/>
      <c r="F21" s="54"/>
      <c r="G21" s="54"/>
      <c r="H21" s="54"/>
      <c r="I21" s="54"/>
      <c r="J21" s="54"/>
      <c r="K21" s="54"/>
      <c r="L21" s="54"/>
      <c r="M21" s="54"/>
      <c r="N21" s="54"/>
      <c r="O21" s="54"/>
      <c r="P21" s="54"/>
      <c r="Q21" s="54"/>
      <c r="R21" s="54"/>
      <c r="S21" s="54"/>
      <c r="T21" s="54"/>
      <c r="U21" s="54"/>
      <c r="V21" s="54"/>
      <c r="W21" s="54"/>
      <c r="X21" s="54"/>
      <c r="Y21" s="54"/>
      <c r="Z21" s="54"/>
    </row>
    <row r="22" spans="1:26" ht="10.5" customHeight="1">
      <c r="A22" s="63" t="s">
        <v>41</v>
      </c>
      <c r="B22" s="64"/>
      <c r="C22" s="65" t="s">
        <v>42</v>
      </c>
      <c r="D22" s="290">
        <f>'Proposed Rates'!H8</f>
        <v>43.93</v>
      </c>
      <c r="E22" s="54"/>
      <c r="F22" s="54"/>
      <c r="G22" s="54"/>
      <c r="H22" s="54"/>
      <c r="I22" s="54"/>
      <c r="J22" s="54"/>
      <c r="K22" s="54"/>
      <c r="L22" s="54"/>
      <c r="M22" s="54"/>
      <c r="N22" s="54"/>
      <c r="O22" s="54"/>
      <c r="P22" s="54"/>
      <c r="Q22" s="54"/>
      <c r="R22" s="54"/>
      <c r="S22" s="54"/>
      <c r="T22" s="54"/>
      <c r="U22" s="54"/>
      <c r="V22" s="54"/>
      <c r="W22" s="54"/>
      <c r="X22" s="54"/>
      <c r="Y22" s="54"/>
      <c r="Z22" s="54"/>
    </row>
    <row r="23" spans="1:26" ht="11.25" customHeight="1">
      <c r="A23" s="63" t="s">
        <v>44</v>
      </c>
      <c r="B23" s="64"/>
      <c r="C23" s="65" t="s">
        <v>42</v>
      </c>
      <c r="D23" s="291">
        <f>'Proposed Rates'!H90</f>
        <v>0</v>
      </c>
      <c r="E23" s="54"/>
      <c r="F23" s="54"/>
      <c r="G23" s="54"/>
      <c r="H23" s="54"/>
      <c r="I23" s="54"/>
      <c r="J23" s="54"/>
      <c r="K23" s="54"/>
      <c r="L23" s="54"/>
      <c r="M23" s="54"/>
      <c r="N23" s="54"/>
      <c r="O23" s="54"/>
      <c r="P23" s="54"/>
      <c r="Q23" s="54"/>
      <c r="R23" s="54"/>
      <c r="S23" s="54"/>
      <c r="T23" s="54"/>
      <c r="U23" s="54"/>
      <c r="V23" s="54"/>
      <c r="W23" s="54"/>
      <c r="X23" s="54"/>
      <c r="Y23" s="54"/>
      <c r="Z23" s="54"/>
    </row>
    <row r="24" spans="1:26" ht="11.25" customHeight="1">
      <c r="A24" s="63" t="s">
        <v>45</v>
      </c>
      <c r="B24" s="64"/>
      <c r="C24" s="65" t="s">
        <v>42</v>
      </c>
      <c r="D24" s="291">
        <f>'Proposed Rates'!H64</f>
        <v>0</v>
      </c>
      <c r="E24" s="54"/>
      <c r="F24" s="54"/>
      <c r="G24" s="54"/>
      <c r="H24" s="54"/>
      <c r="I24" s="54"/>
      <c r="J24" s="54"/>
      <c r="K24" s="54"/>
      <c r="L24" s="54"/>
      <c r="M24" s="54"/>
      <c r="N24" s="54"/>
      <c r="O24" s="54"/>
      <c r="P24" s="54"/>
      <c r="Q24" s="54"/>
      <c r="R24" s="54"/>
      <c r="S24" s="54"/>
      <c r="T24" s="54"/>
      <c r="U24" s="54"/>
      <c r="V24" s="54"/>
      <c r="W24" s="54"/>
      <c r="X24" s="54"/>
      <c r="Y24" s="54"/>
      <c r="Z24" s="54"/>
    </row>
    <row r="25" spans="1:26" ht="11.25" customHeight="1">
      <c r="A25" s="63" t="s">
        <v>46</v>
      </c>
      <c r="B25" s="64"/>
      <c r="C25" s="65" t="s">
        <v>42</v>
      </c>
      <c r="D25" s="292">
        <f>'Proposed Rates'!H280</f>
        <v>0.43</v>
      </c>
      <c r="E25" s="54"/>
      <c r="F25" s="54"/>
      <c r="G25" s="54"/>
      <c r="H25" s="54"/>
      <c r="I25" s="54"/>
      <c r="J25" s="54"/>
      <c r="K25" s="54"/>
      <c r="L25" s="54"/>
      <c r="M25" s="54"/>
      <c r="N25" s="54"/>
      <c r="O25" s="54"/>
      <c r="P25" s="54"/>
      <c r="Q25" s="54"/>
      <c r="R25" s="54"/>
      <c r="S25" s="54"/>
      <c r="T25" s="54"/>
      <c r="U25" s="54"/>
      <c r="V25" s="54"/>
      <c r="W25" s="54"/>
      <c r="X25" s="54"/>
      <c r="Y25" s="54"/>
      <c r="Z25" s="54"/>
    </row>
    <row r="26" spans="1:26" ht="11.25" customHeight="1">
      <c r="A26" s="63" t="s">
        <v>47</v>
      </c>
      <c r="B26" s="64"/>
      <c r="C26" s="65" t="s">
        <v>48</v>
      </c>
      <c r="D26" s="293">
        <f>'Proposed Rates'!H267</f>
        <v>8.0000000000000007E-5</v>
      </c>
      <c r="E26" s="54"/>
      <c r="F26" s="54"/>
      <c r="G26" s="54"/>
      <c r="H26" s="54"/>
      <c r="I26" s="54"/>
      <c r="J26" s="54"/>
      <c r="K26" s="54"/>
      <c r="L26" s="54"/>
      <c r="M26" s="54"/>
      <c r="N26" s="54"/>
      <c r="O26" s="54"/>
      <c r="P26" s="54"/>
      <c r="Q26" s="54"/>
      <c r="R26" s="54"/>
      <c r="S26" s="54"/>
      <c r="T26" s="54"/>
      <c r="U26" s="54"/>
      <c r="V26" s="54"/>
      <c r="W26" s="54"/>
      <c r="X26" s="54"/>
      <c r="Y26" s="54"/>
      <c r="Z26" s="54"/>
    </row>
    <row r="27" spans="1:26" ht="11.25" customHeight="1">
      <c r="A27" s="63" t="s">
        <v>49</v>
      </c>
      <c r="B27" s="64"/>
      <c r="C27" s="65" t="s">
        <v>48</v>
      </c>
      <c r="D27" s="291">
        <f>'Proposed Rates'!H37</f>
        <v>0</v>
      </c>
      <c r="E27" s="54"/>
      <c r="F27" s="54"/>
      <c r="G27" s="54"/>
      <c r="H27" s="54"/>
      <c r="I27" s="54"/>
      <c r="J27" s="54"/>
      <c r="K27" s="54"/>
      <c r="L27" s="54"/>
      <c r="M27" s="54"/>
      <c r="N27" s="54"/>
      <c r="O27" s="54"/>
      <c r="P27" s="54"/>
      <c r="Q27" s="54"/>
      <c r="R27" s="54"/>
      <c r="S27" s="54"/>
      <c r="T27" s="54"/>
      <c r="U27" s="54"/>
      <c r="V27" s="54"/>
      <c r="W27" s="54"/>
      <c r="X27" s="54"/>
      <c r="Y27" s="54"/>
      <c r="Z27" s="54"/>
    </row>
    <row r="28" spans="1:26" ht="11.25" customHeight="1">
      <c r="A28" s="63" t="s">
        <v>233</v>
      </c>
      <c r="B28" s="64"/>
      <c r="C28" s="65" t="s">
        <v>48</v>
      </c>
      <c r="D28" s="291">
        <f>'Proposed Rates'!H145</f>
        <v>0</v>
      </c>
      <c r="E28" s="54"/>
      <c r="F28" s="54"/>
      <c r="G28" s="54"/>
      <c r="H28" s="54"/>
      <c r="I28" s="54"/>
      <c r="J28" s="54"/>
      <c r="K28" s="54"/>
      <c r="L28" s="54"/>
      <c r="M28" s="54"/>
      <c r="N28" s="54"/>
      <c r="O28" s="54"/>
      <c r="P28" s="54"/>
      <c r="Q28" s="54"/>
      <c r="R28" s="54"/>
      <c r="S28" s="54"/>
      <c r="T28" s="54"/>
      <c r="U28" s="54"/>
      <c r="V28" s="54"/>
      <c r="W28" s="54"/>
      <c r="X28" s="54"/>
      <c r="Y28" s="54"/>
      <c r="Z28" s="54"/>
    </row>
    <row r="29" spans="1:26" ht="11.25" customHeight="1">
      <c r="A29" s="63" t="s">
        <v>52</v>
      </c>
      <c r="B29" s="64"/>
      <c r="C29" s="65" t="s">
        <v>48</v>
      </c>
      <c r="D29" s="291">
        <f>'Proposed Rates'!H186</f>
        <v>1.38E-2</v>
      </c>
      <c r="E29" s="54"/>
      <c r="F29" s="54"/>
      <c r="G29" s="54"/>
      <c r="H29" s="54"/>
      <c r="I29" s="54"/>
      <c r="J29" s="54"/>
      <c r="K29" s="54"/>
      <c r="L29" s="54"/>
      <c r="M29" s="54"/>
      <c r="N29" s="54"/>
      <c r="O29" s="54"/>
      <c r="P29" s="54"/>
      <c r="Q29" s="54"/>
      <c r="R29" s="54"/>
      <c r="S29" s="54"/>
      <c r="T29" s="54"/>
      <c r="U29" s="54"/>
      <c r="V29" s="54"/>
      <c r="W29" s="54"/>
      <c r="X29" s="54"/>
      <c r="Y29" s="54"/>
      <c r="Z29" s="54"/>
    </row>
    <row r="30" spans="1:26" ht="11.25" customHeight="1">
      <c r="A30" s="63" t="s">
        <v>53</v>
      </c>
      <c r="B30" s="64"/>
      <c r="C30" s="65" t="s">
        <v>48</v>
      </c>
      <c r="D30" s="291">
        <f>'Proposed Rates'!H201</f>
        <v>7.7999999999999996E-3</v>
      </c>
      <c r="E30" s="54"/>
      <c r="F30" s="54"/>
      <c r="G30" s="54"/>
      <c r="H30" s="54"/>
      <c r="I30" s="54"/>
      <c r="J30" s="54"/>
      <c r="K30" s="54"/>
      <c r="L30" s="54"/>
      <c r="M30" s="54"/>
      <c r="N30" s="54"/>
      <c r="O30" s="54"/>
      <c r="P30" s="54"/>
      <c r="Q30" s="54"/>
      <c r="R30" s="54"/>
      <c r="S30" s="54"/>
      <c r="T30" s="54"/>
      <c r="U30" s="54"/>
      <c r="V30" s="54"/>
      <c r="W30" s="54"/>
      <c r="X30" s="54"/>
      <c r="Y30" s="54"/>
      <c r="Z30" s="54"/>
    </row>
    <row r="31" spans="1:26" ht="9.75" customHeight="1">
      <c r="A31" s="65"/>
      <c r="B31" s="65"/>
      <c r="C31" s="65"/>
      <c r="D31" s="74"/>
      <c r="E31" s="54"/>
      <c r="F31" s="54"/>
      <c r="G31" s="54"/>
      <c r="H31" s="54"/>
      <c r="I31" s="54"/>
      <c r="J31" s="54"/>
      <c r="K31" s="54"/>
      <c r="L31" s="54"/>
      <c r="M31" s="54"/>
      <c r="N31" s="54"/>
      <c r="O31" s="54"/>
      <c r="P31" s="54"/>
      <c r="Q31" s="54"/>
      <c r="R31" s="54"/>
      <c r="S31" s="54"/>
      <c r="T31" s="54"/>
      <c r="U31" s="54"/>
      <c r="V31" s="54"/>
      <c r="W31" s="54"/>
      <c r="X31" s="54"/>
      <c r="Y31" s="54"/>
      <c r="Z31" s="54"/>
    </row>
    <row r="32" spans="1:26" ht="15" customHeight="1">
      <c r="A32" s="75" t="s">
        <v>54</v>
      </c>
      <c r="B32" s="64"/>
      <c r="C32" s="65"/>
      <c r="D32" s="74"/>
      <c r="E32" s="54"/>
      <c r="F32" s="54"/>
      <c r="G32" s="54"/>
      <c r="H32" s="54"/>
      <c r="I32" s="54"/>
      <c r="J32" s="54"/>
      <c r="K32" s="54"/>
      <c r="L32" s="54"/>
      <c r="M32" s="54"/>
      <c r="N32" s="54"/>
      <c r="O32" s="54"/>
      <c r="P32" s="54"/>
      <c r="Q32" s="54"/>
      <c r="R32" s="54"/>
      <c r="S32" s="54"/>
      <c r="T32" s="54"/>
      <c r="U32" s="54"/>
      <c r="V32" s="54"/>
      <c r="W32" s="54"/>
      <c r="X32" s="54"/>
      <c r="Y32" s="54"/>
      <c r="Z32" s="54"/>
    </row>
    <row r="33" spans="1:26" ht="6.75" customHeight="1">
      <c r="A33" s="60"/>
      <c r="B33" s="65"/>
      <c r="C33" s="65"/>
      <c r="D33" s="74"/>
      <c r="E33" s="54"/>
      <c r="F33" s="54"/>
      <c r="G33" s="54"/>
      <c r="H33" s="54"/>
      <c r="I33" s="54"/>
      <c r="J33" s="54"/>
      <c r="K33" s="54"/>
      <c r="L33" s="54"/>
      <c r="M33" s="54"/>
      <c r="N33" s="54"/>
      <c r="O33" s="54"/>
      <c r="P33" s="54"/>
      <c r="Q33" s="54"/>
      <c r="R33" s="54"/>
      <c r="S33" s="54"/>
      <c r="T33" s="54"/>
      <c r="U33" s="54"/>
      <c r="V33" s="54"/>
      <c r="W33" s="54"/>
      <c r="X33" s="54"/>
      <c r="Y33" s="54"/>
      <c r="Z33" s="54"/>
    </row>
    <row r="34" spans="1:26" ht="11.25" customHeight="1">
      <c r="A34" s="63" t="s">
        <v>55</v>
      </c>
      <c r="B34" s="64"/>
      <c r="C34" s="65" t="s">
        <v>48</v>
      </c>
      <c r="D34" s="74">
        <v>4.1000000000000003E-3</v>
      </c>
      <c r="E34" s="54"/>
      <c r="F34" s="54"/>
      <c r="G34" s="54"/>
      <c r="H34" s="54"/>
      <c r="I34" s="54"/>
      <c r="J34" s="54"/>
      <c r="K34" s="54"/>
      <c r="L34" s="54"/>
      <c r="M34" s="54"/>
      <c r="N34" s="54"/>
      <c r="O34" s="54"/>
      <c r="P34" s="54"/>
      <c r="Q34" s="54"/>
      <c r="R34" s="54"/>
      <c r="S34" s="54"/>
      <c r="T34" s="54"/>
      <c r="U34" s="54"/>
      <c r="V34" s="54"/>
      <c r="W34" s="54"/>
      <c r="X34" s="54"/>
      <c r="Y34" s="54"/>
      <c r="Z34" s="54"/>
    </row>
    <row r="35" spans="1:26" ht="11.25" customHeight="1">
      <c r="A35" s="63" t="s">
        <v>56</v>
      </c>
      <c r="B35" s="64"/>
      <c r="C35" s="65" t="s">
        <v>48</v>
      </c>
      <c r="D35" s="69">
        <f>'Proposed Rates'!H216-'2026'!D37</f>
        <v>5.9999999999999984E-4</v>
      </c>
      <c r="E35" s="54"/>
      <c r="F35" s="54"/>
      <c r="G35" s="54"/>
      <c r="H35" s="54"/>
      <c r="I35" s="54"/>
      <c r="J35" s="54"/>
      <c r="K35" s="54"/>
      <c r="L35" s="54"/>
      <c r="M35" s="54"/>
      <c r="N35" s="54"/>
      <c r="O35" s="54"/>
      <c r="P35" s="54"/>
      <c r="Q35" s="54"/>
      <c r="R35" s="54"/>
      <c r="S35" s="54"/>
      <c r="T35" s="54"/>
      <c r="U35" s="54"/>
      <c r="V35" s="54"/>
      <c r="W35" s="54"/>
      <c r="X35" s="54"/>
      <c r="Y35" s="54"/>
      <c r="Z35" s="54"/>
    </row>
    <row r="36" spans="1:26" ht="11.25" customHeight="1">
      <c r="A36" s="63" t="s">
        <v>57</v>
      </c>
      <c r="B36" s="64"/>
      <c r="C36" s="65" t="s">
        <v>48</v>
      </c>
      <c r="D36" s="69">
        <f>'Proposed Rates'!H229</f>
        <v>5.9999999999999995E-4</v>
      </c>
      <c r="E36" s="54"/>
      <c r="F36" s="54"/>
      <c r="G36" s="54"/>
      <c r="H36" s="54"/>
      <c r="I36" s="54"/>
      <c r="J36" s="54"/>
      <c r="K36" s="54"/>
      <c r="L36" s="54"/>
      <c r="M36" s="54"/>
      <c r="N36" s="54"/>
      <c r="O36" s="54"/>
      <c r="P36" s="54"/>
      <c r="Q36" s="54"/>
      <c r="R36" s="54"/>
      <c r="S36" s="54"/>
      <c r="T36" s="54"/>
      <c r="U36" s="54"/>
      <c r="V36" s="54"/>
      <c r="W36" s="54"/>
      <c r="X36" s="54"/>
      <c r="Y36" s="54"/>
      <c r="Z36" s="54"/>
    </row>
    <row r="37" spans="1:26" ht="11.25" customHeight="1">
      <c r="A37" s="63" t="s">
        <v>58</v>
      </c>
      <c r="B37" s="64"/>
      <c r="C37" s="65" t="s">
        <v>42</v>
      </c>
      <c r="D37" s="69">
        <f>'Proposed Rates'!H243</f>
        <v>0.25</v>
      </c>
      <c r="E37" s="54"/>
      <c r="F37" s="54"/>
      <c r="G37" s="54"/>
      <c r="H37" s="54"/>
      <c r="I37" s="54"/>
      <c r="J37" s="54"/>
      <c r="K37" s="54"/>
      <c r="L37" s="54"/>
      <c r="M37" s="54"/>
      <c r="N37" s="54"/>
      <c r="O37" s="54"/>
      <c r="P37" s="54"/>
      <c r="Q37" s="54"/>
      <c r="R37" s="54"/>
      <c r="S37" s="54"/>
      <c r="T37" s="54"/>
      <c r="U37" s="54"/>
      <c r="V37" s="54"/>
      <c r="W37" s="54"/>
      <c r="X37" s="54"/>
      <c r="Y37" s="54"/>
      <c r="Z37" s="54"/>
    </row>
    <row r="38" spans="1:26" ht="11.25" customHeight="1">
      <c r="A38" s="63"/>
      <c r="B38" s="64"/>
      <c r="C38" s="65"/>
      <c r="D38" s="74"/>
      <c r="E38" s="54"/>
      <c r="F38" s="54"/>
      <c r="G38" s="54"/>
      <c r="H38" s="54"/>
      <c r="I38" s="54"/>
      <c r="J38" s="54"/>
      <c r="K38" s="54"/>
      <c r="L38" s="54"/>
      <c r="M38" s="54"/>
      <c r="N38" s="54"/>
      <c r="O38" s="54"/>
      <c r="P38" s="54"/>
      <c r="Q38" s="54"/>
      <c r="R38" s="54"/>
      <c r="S38" s="54"/>
      <c r="T38" s="54"/>
      <c r="U38" s="54"/>
      <c r="V38" s="54"/>
      <c r="W38" s="54"/>
      <c r="X38" s="54"/>
      <c r="Y38" s="54"/>
      <c r="Z38" s="54"/>
    </row>
    <row r="39" spans="1:26" ht="23.25" customHeight="1">
      <c r="A39" s="588" t="str">
        <f>$A$1</f>
        <v>Hydro Ottawa Limited</v>
      </c>
      <c r="B39" s="589"/>
      <c r="C39" s="589"/>
      <c r="D39" s="590"/>
      <c r="E39" s="54"/>
      <c r="F39" s="54"/>
      <c r="G39" s="54"/>
      <c r="H39" s="54"/>
      <c r="I39" s="54"/>
      <c r="J39" s="54"/>
      <c r="K39" s="54"/>
      <c r="L39" s="54"/>
      <c r="M39" s="54"/>
      <c r="N39" s="54"/>
      <c r="O39" s="54"/>
      <c r="P39" s="54"/>
      <c r="Q39" s="54"/>
      <c r="R39" s="54"/>
      <c r="S39" s="54"/>
      <c r="T39" s="54"/>
      <c r="U39" s="54"/>
      <c r="V39" s="54"/>
      <c r="W39" s="54"/>
      <c r="X39" s="54"/>
      <c r="Y39" s="54"/>
      <c r="Z39" s="54"/>
    </row>
    <row r="40" spans="1:26" ht="18" customHeight="1">
      <c r="A40" s="591" t="str">
        <f>$A$2</f>
        <v>PROPOSED - TARIFF OF RATES AND CHARGES</v>
      </c>
      <c r="B40" s="589"/>
      <c r="C40" s="589"/>
      <c r="D40" s="590"/>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592" t="str">
        <f>$A$3</f>
        <v>Effective and Implementation Date January 1, 2028</v>
      </c>
      <c r="B41" s="589"/>
      <c r="C41" s="589"/>
      <c r="D41" s="590"/>
      <c r="E41" s="54"/>
      <c r="F41" s="54"/>
      <c r="G41" s="54"/>
      <c r="H41" s="54"/>
      <c r="I41" s="54"/>
      <c r="J41" s="54"/>
      <c r="K41" s="54"/>
      <c r="L41" s="54"/>
      <c r="M41" s="54"/>
      <c r="N41" s="54"/>
      <c r="O41" s="54"/>
      <c r="P41" s="54"/>
      <c r="Q41" s="54"/>
      <c r="R41" s="54"/>
      <c r="S41" s="54"/>
      <c r="T41" s="54"/>
      <c r="U41" s="54"/>
      <c r="V41" s="54"/>
      <c r="W41" s="54"/>
      <c r="X41" s="54"/>
      <c r="Y41" s="54"/>
      <c r="Z41" s="54"/>
    </row>
    <row r="42" spans="1:26" ht="11.25" customHeight="1">
      <c r="A42" s="593" t="str">
        <f>$A$4</f>
        <v>This schedule supersedes and replaces all previously</v>
      </c>
      <c r="B42" s="589"/>
      <c r="C42" s="589"/>
      <c r="D42" s="590"/>
      <c r="E42" s="54"/>
      <c r="F42" s="54"/>
      <c r="G42" s="54"/>
      <c r="H42" s="54"/>
      <c r="I42" s="54"/>
      <c r="J42" s="54"/>
      <c r="K42" s="54"/>
      <c r="L42" s="54"/>
      <c r="M42" s="54"/>
      <c r="N42" s="54"/>
      <c r="O42" s="54"/>
      <c r="P42" s="54"/>
      <c r="Q42" s="54"/>
      <c r="R42" s="54"/>
      <c r="S42" s="54"/>
      <c r="T42" s="54"/>
      <c r="U42" s="54"/>
      <c r="V42" s="54"/>
      <c r="W42" s="54"/>
      <c r="X42" s="54"/>
      <c r="Y42" s="54"/>
      <c r="Z42" s="54"/>
    </row>
    <row r="43" spans="1:26" ht="11.25" customHeight="1">
      <c r="A43" s="593" t="str">
        <f>$A$5</f>
        <v>approved schedules of Rates, Charges and Loss Factors</v>
      </c>
      <c r="B43" s="589"/>
      <c r="C43" s="589"/>
      <c r="D43" s="590"/>
      <c r="E43" s="54"/>
      <c r="F43" s="54"/>
      <c r="G43" s="54"/>
      <c r="H43" s="54"/>
      <c r="I43" s="54"/>
      <c r="J43" s="54"/>
      <c r="K43" s="54"/>
      <c r="L43" s="54"/>
      <c r="M43" s="54"/>
      <c r="N43" s="54"/>
      <c r="O43" s="54"/>
      <c r="P43" s="54"/>
      <c r="Q43" s="54"/>
      <c r="R43" s="54"/>
      <c r="S43" s="54"/>
      <c r="T43" s="54"/>
      <c r="U43" s="54"/>
      <c r="V43" s="54"/>
      <c r="W43" s="54"/>
      <c r="X43" s="54"/>
      <c r="Y43" s="54"/>
      <c r="Z43" s="76"/>
    </row>
    <row r="44" spans="1:26" ht="11.25" customHeight="1">
      <c r="A44" s="594" t="str">
        <f>$A$6</f>
        <v>EB-2024-0115</v>
      </c>
      <c r="B44" s="589"/>
      <c r="C44" s="589"/>
      <c r="D44" s="590"/>
      <c r="E44" s="54"/>
      <c r="F44" s="54"/>
      <c r="G44" s="54"/>
      <c r="H44" s="54"/>
      <c r="I44" s="54"/>
      <c r="J44" s="54"/>
      <c r="K44" s="54"/>
      <c r="L44" s="54"/>
      <c r="M44" s="54"/>
      <c r="N44" s="54"/>
      <c r="O44" s="54"/>
      <c r="P44" s="54"/>
      <c r="Q44" s="54"/>
      <c r="R44" s="54"/>
      <c r="S44" s="54"/>
      <c r="T44" s="54"/>
      <c r="U44" s="54"/>
      <c r="V44" s="54"/>
      <c r="W44" s="54"/>
      <c r="X44" s="54"/>
      <c r="Y44" s="54"/>
      <c r="Z44" s="54"/>
    </row>
    <row r="45" spans="1:26" ht="18.75" customHeight="1">
      <c r="A45" s="595" t="s">
        <v>59</v>
      </c>
      <c r="B45" s="589"/>
      <c r="C45" s="589"/>
      <c r="D45" s="590"/>
      <c r="E45" s="76"/>
      <c r="F45" s="76"/>
      <c r="G45" s="76"/>
      <c r="H45" s="76"/>
      <c r="I45" s="76"/>
      <c r="J45" s="76"/>
      <c r="K45" s="76"/>
      <c r="L45" s="76"/>
      <c r="M45" s="76"/>
      <c r="N45" s="76"/>
      <c r="O45" s="76"/>
      <c r="P45" s="76"/>
      <c r="Q45" s="76"/>
      <c r="R45" s="76"/>
      <c r="S45" s="76"/>
      <c r="T45" s="76"/>
      <c r="U45" s="76"/>
      <c r="V45" s="76"/>
      <c r="W45" s="76"/>
      <c r="X45" s="76"/>
      <c r="Y45" s="76"/>
    </row>
    <row r="46" spans="1:26" ht="48" customHeight="1">
      <c r="A46" s="596" t="s">
        <v>60</v>
      </c>
      <c r="B46" s="589"/>
      <c r="C46" s="589"/>
      <c r="D46" s="590"/>
      <c r="E46" s="54"/>
      <c r="F46" s="54"/>
      <c r="G46" s="54"/>
      <c r="H46" s="54"/>
      <c r="I46" s="54"/>
      <c r="J46" s="54"/>
      <c r="K46" s="54"/>
      <c r="L46" s="54"/>
      <c r="M46" s="54"/>
      <c r="N46" s="54"/>
      <c r="O46" s="54"/>
      <c r="P46" s="54"/>
      <c r="Q46" s="54"/>
      <c r="R46" s="54"/>
      <c r="S46" s="54"/>
      <c r="T46" s="54"/>
      <c r="U46" s="54"/>
      <c r="V46" s="54"/>
      <c r="W46" s="54"/>
      <c r="X46" s="54"/>
      <c r="Y46" s="54"/>
      <c r="Z46" s="54"/>
    </row>
    <row r="47" spans="1:26" ht="6.75" customHeight="1">
      <c r="A47" s="55"/>
      <c r="B47" s="55"/>
      <c r="C47" s="55"/>
      <c r="D47" s="56"/>
      <c r="E47" s="54"/>
      <c r="F47" s="54"/>
      <c r="G47" s="54"/>
      <c r="H47" s="54"/>
      <c r="I47" s="54"/>
      <c r="J47" s="54"/>
      <c r="K47" s="54"/>
      <c r="L47" s="54"/>
      <c r="M47" s="54"/>
      <c r="N47" s="54"/>
      <c r="O47" s="54"/>
      <c r="P47" s="54"/>
      <c r="Q47" s="54"/>
      <c r="R47" s="54"/>
      <c r="S47" s="54"/>
      <c r="T47" s="54"/>
      <c r="U47" s="54"/>
      <c r="V47" s="54"/>
      <c r="W47" s="54"/>
      <c r="X47" s="54"/>
      <c r="Y47" s="54"/>
      <c r="Z47" s="54"/>
    </row>
    <row r="48" spans="1:26" ht="11.25" customHeight="1">
      <c r="A48" s="597" t="s">
        <v>35</v>
      </c>
      <c r="B48" s="589"/>
      <c r="C48" s="589"/>
      <c r="D48" s="590"/>
      <c r="E48" s="54"/>
      <c r="F48" s="54"/>
      <c r="G48" s="54"/>
      <c r="H48" s="54"/>
      <c r="I48" s="54"/>
      <c r="J48" s="54"/>
      <c r="K48" s="54"/>
      <c r="L48" s="54"/>
      <c r="M48" s="54"/>
      <c r="N48" s="54"/>
      <c r="O48" s="54"/>
      <c r="P48" s="54"/>
      <c r="Q48" s="54"/>
      <c r="R48" s="54"/>
      <c r="S48" s="54"/>
      <c r="T48" s="54"/>
      <c r="U48" s="54"/>
      <c r="V48" s="54"/>
      <c r="W48" s="54"/>
      <c r="X48" s="54"/>
      <c r="Y48" s="54"/>
      <c r="Z48" s="54"/>
    </row>
    <row r="49" spans="1:26" ht="6.75" customHeight="1">
      <c r="A49" s="57"/>
      <c r="B49" s="58"/>
      <c r="C49" s="58"/>
      <c r="D49" s="59"/>
      <c r="E49" s="54"/>
      <c r="F49" s="54"/>
      <c r="G49" s="54"/>
      <c r="H49" s="54"/>
      <c r="I49" s="54"/>
      <c r="J49" s="54"/>
      <c r="K49" s="54"/>
      <c r="L49" s="54"/>
      <c r="M49" s="54"/>
      <c r="N49" s="54"/>
      <c r="O49" s="54"/>
      <c r="P49" s="54"/>
      <c r="Q49" s="54"/>
      <c r="R49" s="54"/>
      <c r="S49" s="54"/>
      <c r="T49" s="54"/>
      <c r="U49" s="54"/>
      <c r="V49" s="54"/>
      <c r="W49" s="54"/>
      <c r="X49" s="54"/>
      <c r="Y49" s="54"/>
      <c r="Z49" s="54"/>
    </row>
    <row r="50" spans="1:26" ht="36" customHeight="1">
      <c r="A50" s="596" t="s">
        <v>36</v>
      </c>
      <c r="B50" s="589"/>
      <c r="C50" s="589"/>
      <c r="D50" s="590"/>
      <c r="E50" s="54"/>
      <c r="F50" s="54"/>
      <c r="G50" s="54"/>
      <c r="H50" s="54"/>
      <c r="I50" s="54"/>
      <c r="J50" s="54"/>
      <c r="K50" s="54"/>
      <c r="L50" s="54"/>
      <c r="M50" s="54"/>
      <c r="N50" s="54"/>
      <c r="O50" s="54"/>
      <c r="P50" s="54"/>
      <c r="Q50" s="54"/>
      <c r="R50" s="54"/>
      <c r="S50" s="54"/>
      <c r="T50" s="54"/>
      <c r="U50" s="54"/>
      <c r="V50" s="54"/>
      <c r="W50" s="54"/>
      <c r="X50" s="54"/>
      <c r="Y50" s="54"/>
      <c r="Z50" s="54"/>
    </row>
    <row r="51" spans="1:26" ht="6.75" customHeight="1">
      <c r="A51" s="55"/>
      <c r="B51" s="55"/>
      <c r="C51" s="55"/>
      <c r="D51" s="56"/>
      <c r="E51" s="54"/>
      <c r="F51" s="54"/>
      <c r="G51" s="54"/>
      <c r="H51" s="54"/>
      <c r="I51" s="54"/>
      <c r="J51" s="54"/>
      <c r="K51" s="54"/>
      <c r="L51" s="54"/>
      <c r="M51" s="54"/>
      <c r="N51" s="54"/>
      <c r="O51" s="54"/>
      <c r="P51" s="54"/>
      <c r="Q51" s="54"/>
      <c r="R51" s="54"/>
      <c r="S51" s="54"/>
      <c r="T51" s="54"/>
      <c r="U51" s="54"/>
      <c r="V51" s="54"/>
      <c r="W51" s="54"/>
      <c r="X51" s="54"/>
      <c r="Y51" s="54"/>
      <c r="Z51" s="54"/>
    </row>
    <row r="52" spans="1:26" ht="48" customHeight="1">
      <c r="A52" s="596" t="s">
        <v>37</v>
      </c>
      <c r="B52" s="589"/>
      <c r="C52" s="589"/>
      <c r="D52" s="590"/>
      <c r="E52" s="54"/>
      <c r="F52" s="54"/>
      <c r="G52" s="54"/>
      <c r="H52" s="54"/>
      <c r="I52" s="54"/>
      <c r="J52" s="54"/>
      <c r="K52" s="54"/>
      <c r="L52" s="54"/>
      <c r="M52" s="54"/>
      <c r="N52" s="54"/>
      <c r="O52" s="54"/>
      <c r="P52" s="54"/>
      <c r="Q52" s="54"/>
      <c r="R52" s="54"/>
      <c r="S52" s="54"/>
      <c r="T52" s="54"/>
      <c r="U52" s="54"/>
      <c r="V52" s="54"/>
      <c r="W52" s="54"/>
      <c r="X52" s="54"/>
      <c r="Y52" s="54"/>
      <c r="Z52" s="54"/>
    </row>
    <row r="53" spans="1:26" ht="6.75" customHeight="1">
      <c r="A53" s="55"/>
      <c r="B53" s="55"/>
      <c r="C53" s="55"/>
      <c r="D53" s="56"/>
      <c r="E53" s="54"/>
      <c r="F53" s="54"/>
      <c r="G53" s="54"/>
      <c r="H53" s="54"/>
      <c r="I53" s="54"/>
      <c r="J53" s="54"/>
      <c r="K53" s="54"/>
      <c r="L53" s="54"/>
      <c r="M53" s="54"/>
      <c r="N53" s="54"/>
      <c r="O53" s="54"/>
      <c r="P53" s="54"/>
      <c r="Q53" s="54"/>
      <c r="R53" s="54"/>
      <c r="S53" s="54"/>
      <c r="T53" s="54"/>
      <c r="U53" s="54"/>
      <c r="V53" s="54"/>
      <c r="W53" s="54"/>
      <c r="X53" s="54"/>
      <c r="Y53" s="54"/>
      <c r="Z53" s="54"/>
    </row>
    <row r="54" spans="1:26" ht="48" customHeight="1">
      <c r="A54" s="596" t="s">
        <v>38</v>
      </c>
      <c r="B54" s="589"/>
      <c r="C54" s="589"/>
      <c r="D54" s="590"/>
      <c r="E54" s="54"/>
      <c r="F54" s="54"/>
      <c r="G54" s="54"/>
      <c r="H54" s="54"/>
      <c r="I54" s="54"/>
      <c r="J54" s="54"/>
      <c r="K54" s="54"/>
      <c r="L54" s="54"/>
      <c r="M54" s="54"/>
      <c r="N54" s="54"/>
      <c r="O54" s="54"/>
      <c r="P54" s="54"/>
      <c r="Q54" s="54"/>
      <c r="R54" s="54"/>
      <c r="S54" s="54"/>
      <c r="T54" s="54"/>
      <c r="U54" s="54"/>
      <c r="V54" s="54"/>
      <c r="W54" s="54"/>
      <c r="X54" s="54"/>
      <c r="Y54" s="54"/>
      <c r="Z54" s="54"/>
    </row>
    <row r="55" spans="1:26" ht="6.75" customHeight="1">
      <c r="A55" s="55"/>
      <c r="B55" s="55"/>
      <c r="C55" s="55"/>
      <c r="D55" s="56"/>
      <c r="E55" s="54"/>
      <c r="F55" s="54"/>
      <c r="G55" s="54"/>
      <c r="H55" s="54"/>
      <c r="I55" s="54"/>
      <c r="J55" s="54"/>
      <c r="K55" s="54"/>
      <c r="L55" s="54"/>
      <c r="M55" s="54"/>
      <c r="N55" s="54"/>
      <c r="O55" s="54"/>
      <c r="P55" s="54"/>
      <c r="Q55" s="54"/>
      <c r="R55" s="54"/>
      <c r="S55" s="54"/>
      <c r="T55" s="54"/>
      <c r="U55" s="54"/>
      <c r="V55" s="54"/>
      <c r="W55" s="54"/>
      <c r="X55" s="54"/>
      <c r="Y55" s="54"/>
      <c r="Z55" s="54"/>
    </row>
    <row r="56" spans="1:26" ht="36" customHeight="1">
      <c r="A56" s="596" t="s">
        <v>61</v>
      </c>
      <c r="B56" s="589"/>
      <c r="C56" s="589"/>
      <c r="D56" s="590"/>
      <c r="E56" s="54"/>
      <c r="F56" s="54"/>
      <c r="G56" s="54"/>
      <c r="H56" s="54"/>
      <c r="I56" s="54"/>
      <c r="J56" s="54"/>
      <c r="K56" s="54"/>
      <c r="L56" s="54"/>
      <c r="M56" s="54"/>
      <c r="N56" s="54"/>
      <c r="O56" s="54"/>
      <c r="P56" s="54"/>
      <c r="Q56" s="54"/>
      <c r="R56" s="54"/>
      <c r="S56" s="54"/>
      <c r="T56" s="54"/>
      <c r="U56" s="54"/>
      <c r="V56" s="54"/>
      <c r="W56" s="54"/>
      <c r="X56" s="54"/>
      <c r="Y56" s="54"/>
      <c r="Z56" s="54"/>
    </row>
    <row r="57" spans="1:26" ht="6.75" customHeight="1">
      <c r="A57" s="55"/>
      <c r="B57" s="55"/>
      <c r="C57" s="55"/>
      <c r="D57" s="56"/>
      <c r="E57" s="54"/>
      <c r="F57" s="54"/>
      <c r="G57" s="54"/>
      <c r="H57" s="54"/>
      <c r="I57" s="54"/>
      <c r="J57" s="54"/>
      <c r="K57" s="54"/>
      <c r="L57" s="54"/>
      <c r="M57" s="54"/>
      <c r="N57" s="54"/>
      <c r="O57" s="54"/>
      <c r="P57" s="54"/>
      <c r="Q57" s="54"/>
      <c r="R57" s="54"/>
      <c r="S57" s="54"/>
      <c r="T57" s="54"/>
      <c r="U57" s="54"/>
      <c r="V57" s="54"/>
      <c r="W57" s="54"/>
      <c r="X57" s="54"/>
      <c r="Y57" s="54"/>
      <c r="Z57" s="54"/>
    </row>
    <row r="58" spans="1:26" ht="15" customHeight="1">
      <c r="A58" s="598" t="s">
        <v>40</v>
      </c>
      <c r="B58" s="589"/>
      <c r="C58" s="589"/>
      <c r="D58" s="590"/>
      <c r="E58" s="54"/>
      <c r="F58" s="54"/>
      <c r="G58" s="54"/>
      <c r="H58" s="54"/>
      <c r="I58" s="54"/>
      <c r="J58" s="54"/>
      <c r="K58" s="54"/>
      <c r="L58" s="54"/>
      <c r="M58" s="54"/>
      <c r="N58" s="54"/>
      <c r="O58" s="54"/>
      <c r="P58" s="54"/>
      <c r="Q58" s="54"/>
      <c r="R58" s="54"/>
      <c r="S58" s="54"/>
      <c r="T58" s="54"/>
      <c r="U58" s="54"/>
      <c r="V58" s="54"/>
      <c r="W58" s="54"/>
      <c r="X58" s="54"/>
      <c r="Y58" s="54"/>
      <c r="Z58" s="54"/>
    </row>
    <row r="59" spans="1:26" ht="6.75" customHeight="1">
      <c r="A59" s="60"/>
      <c r="B59" s="61"/>
      <c r="C59" s="61"/>
      <c r="D59" s="62"/>
      <c r="E59" s="54"/>
      <c r="F59" s="54"/>
      <c r="G59" s="54"/>
      <c r="H59" s="54"/>
      <c r="I59" s="54"/>
      <c r="J59" s="54"/>
      <c r="K59" s="54"/>
      <c r="L59" s="54"/>
      <c r="M59" s="54"/>
      <c r="N59" s="54"/>
      <c r="O59" s="54"/>
      <c r="P59" s="54"/>
      <c r="Q59" s="54"/>
      <c r="R59" s="54"/>
      <c r="S59" s="54"/>
      <c r="T59" s="54"/>
      <c r="U59" s="54"/>
      <c r="V59" s="54"/>
      <c r="W59" s="54"/>
      <c r="X59" s="54"/>
      <c r="Y59" s="54"/>
      <c r="Z59" s="54"/>
    </row>
    <row r="60" spans="1:26" ht="10.5" customHeight="1">
      <c r="A60" s="63" t="s">
        <v>41</v>
      </c>
      <c r="B60" s="64"/>
      <c r="C60" s="65" t="s">
        <v>42</v>
      </c>
      <c r="D60" s="290">
        <f>'Proposed Rates'!H9</f>
        <v>29.3</v>
      </c>
      <c r="E60" s="54"/>
      <c r="F60" s="54"/>
      <c r="G60" s="54"/>
      <c r="H60" s="54"/>
      <c r="I60" s="54"/>
      <c r="J60" s="54"/>
      <c r="K60" s="54"/>
      <c r="L60" s="54"/>
      <c r="M60" s="54"/>
      <c r="N60" s="54"/>
      <c r="O60" s="54"/>
      <c r="P60" s="54"/>
      <c r="Q60" s="54"/>
      <c r="R60" s="54"/>
      <c r="S60" s="54"/>
      <c r="T60" s="54"/>
      <c r="U60" s="54"/>
      <c r="V60" s="54"/>
      <c r="W60" s="54"/>
      <c r="X60" s="54"/>
      <c r="Y60" s="54"/>
      <c r="Z60" s="54"/>
    </row>
    <row r="61" spans="1:26" ht="10.5" customHeight="1">
      <c r="A61" s="63" t="s">
        <v>46</v>
      </c>
      <c r="B61" s="64"/>
      <c r="C61" s="65" t="s">
        <v>42</v>
      </c>
      <c r="D61" s="292">
        <f>'Proposed Rates'!H281</f>
        <v>0.43</v>
      </c>
      <c r="E61" s="54"/>
      <c r="F61" s="54"/>
      <c r="G61" s="54"/>
      <c r="H61" s="54"/>
      <c r="I61" s="54"/>
      <c r="J61" s="54"/>
      <c r="K61" s="54"/>
      <c r="L61" s="54"/>
      <c r="M61" s="54"/>
      <c r="N61" s="54"/>
      <c r="O61" s="54"/>
      <c r="P61" s="54"/>
      <c r="Q61" s="54"/>
      <c r="R61" s="54"/>
      <c r="S61" s="54"/>
      <c r="T61" s="54"/>
      <c r="U61" s="54"/>
      <c r="V61" s="54"/>
      <c r="W61" s="54"/>
      <c r="X61" s="54"/>
      <c r="Y61" s="54"/>
      <c r="Z61" s="54"/>
    </row>
    <row r="62" spans="1:26" ht="10.5" customHeight="1">
      <c r="A62" s="63" t="s">
        <v>62</v>
      </c>
      <c r="B62" s="64"/>
      <c r="C62" s="65" t="s">
        <v>48</v>
      </c>
      <c r="D62" s="291">
        <f>'Proposed Rates'!H22</f>
        <v>3.7900000000000003E-2</v>
      </c>
      <c r="E62" s="54"/>
      <c r="F62" s="54"/>
      <c r="G62" s="54"/>
      <c r="H62" s="54"/>
      <c r="I62" s="54"/>
      <c r="J62" s="54"/>
      <c r="K62" s="54"/>
      <c r="L62" s="54"/>
      <c r="M62" s="54"/>
      <c r="N62" s="54"/>
      <c r="O62" s="54"/>
      <c r="P62" s="54"/>
      <c r="Q62" s="54"/>
      <c r="R62" s="54"/>
      <c r="S62" s="54"/>
      <c r="T62" s="54"/>
      <c r="U62" s="54"/>
      <c r="V62" s="54"/>
      <c r="W62" s="54"/>
      <c r="X62" s="54"/>
      <c r="Y62" s="54"/>
      <c r="Z62" s="54"/>
    </row>
    <row r="63" spans="1:26" ht="10.5" customHeight="1">
      <c r="A63" s="63" t="s">
        <v>47</v>
      </c>
      <c r="B63" s="64"/>
      <c r="C63" s="65" t="s">
        <v>48</v>
      </c>
      <c r="D63" s="293">
        <f>'Proposed Rates'!H268</f>
        <v>6.0000000000000002E-5</v>
      </c>
      <c r="E63" s="54"/>
      <c r="F63" s="54"/>
      <c r="G63" s="54"/>
      <c r="H63" s="54"/>
      <c r="I63" s="54"/>
      <c r="J63" s="54"/>
      <c r="K63" s="54"/>
      <c r="L63" s="54"/>
      <c r="M63" s="54"/>
      <c r="N63" s="54"/>
      <c r="O63" s="54"/>
      <c r="P63" s="54"/>
      <c r="Q63" s="54"/>
      <c r="R63" s="54"/>
      <c r="S63" s="54"/>
      <c r="T63" s="54"/>
      <c r="U63" s="54"/>
      <c r="V63" s="54"/>
      <c r="W63" s="54"/>
      <c r="X63" s="54"/>
      <c r="Y63" s="54"/>
      <c r="Z63" s="54"/>
    </row>
    <row r="64" spans="1:26" ht="10.5" customHeight="1">
      <c r="A64" s="63" t="s">
        <v>49</v>
      </c>
      <c r="B64" s="64"/>
      <c r="C64" s="65" t="s">
        <v>48</v>
      </c>
      <c r="D64" s="291">
        <f>'Proposed Rates'!H38</f>
        <v>0</v>
      </c>
      <c r="E64" s="54"/>
      <c r="F64" s="54"/>
      <c r="G64" s="54"/>
      <c r="H64" s="54"/>
      <c r="I64" s="54"/>
      <c r="J64" s="54"/>
      <c r="K64" s="54"/>
      <c r="L64" s="54"/>
      <c r="M64" s="54"/>
      <c r="N64" s="54"/>
      <c r="O64" s="54"/>
      <c r="P64" s="54"/>
      <c r="Q64" s="54"/>
      <c r="R64" s="54"/>
      <c r="S64" s="54"/>
      <c r="T64" s="54"/>
      <c r="U64" s="54"/>
      <c r="V64" s="54"/>
      <c r="W64" s="54"/>
      <c r="X64" s="54"/>
      <c r="Y64" s="54"/>
      <c r="Z64" s="54"/>
    </row>
    <row r="65" spans="1:26" ht="10.5" customHeight="1">
      <c r="A65" s="63" t="s">
        <v>45</v>
      </c>
      <c r="B65" s="64"/>
      <c r="C65" s="65" t="s">
        <v>48</v>
      </c>
      <c r="D65" s="291">
        <f>'Proposed Rates'!H65</f>
        <v>0</v>
      </c>
      <c r="E65" s="54"/>
      <c r="F65" s="54"/>
      <c r="G65" s="54"/>
      <c r="H65" s="54"/>
      <c r="I65" s="54"/>
      <c r="J65" s="54"/>
      <c r="K65" s="54"/>
      <c r="L65" s="54"/>
      <c r="M65" s="54"/>
      <c r="N65" s="54"/>
      <c r="O65" s="54"/>
      <c r="P65" s="54"/>
      <c r="Q65" s="54"/>
      <c r="R65" s="54"/>
      <c r="S65" s="54"/>
      <c r="T65" s="54"/>
      <c r="U65" s="54"/>
      <c r="V65" s="54"/>
      <c r="W65" s="54"/>
      <c r="X65" s="54"/>
      <c r="Y65" s="54"/>
      <c r="Z65" s="54"/>
    </row>
    <row r="66" spans="1:26" ht="10.5" customHeight="1">
      <c r="A66" s="63" t="s">
        <v>44</v>
      </c>
      <c r="B66" s="64"/>
      <c r="C66" s="65" t="s">
        <v>48</v>
      </c>
      <c r="D66" s="291">
        <f>'Proposed Rates'!H91</f>
        <v>0</v>
      </c>
      <c r="E66" s="54"/>
      <c r="F66" s="54"/>
      <c r="G66" s="54"/>
      <c r="H66" s="54"/>
      <c r="I66" s="54"/>
      <c r="J66" s="54"/>
      <c r="K66" s="54"/>
      <c r="L66" s="54"/>
      <c r="M66" s="54"/>
      <c r="N66" s="54"/>
      <c r="O66" s="54"/>
      <c r="P66" s="54"/>
      <c r="Q66" s="54"/>
      <c r="R66" s="54"/>
      <c r="S66" s="54"/>
      <c r="T66" s="54"/>
      <c r="U66" s="54"/>
      <c r="V66" s="54"/>
      <c r="W66" s="54"/>
      <c r="X66" s="54"/>
      <c r="Y66" s="54"/>
      <c r="Z66" s="54"/>
    </row>
    <row r="67" spans="1:26" ht="10.5" customHeight="1">
      <c r="A67" s="63" t="s">
        <v>233</v>
      </c>
      <c r="B67" s="64"/>
      <c r="C67" s="65" t="s">
        <v>48</v>
      </c>
      <c r="D67" s="291">
        <f>'Proposed Rates'!H146</f>
        <v>0</v>
      </c>
      <c r="E67" s="54"/>
      <c r="F67" s="54"/>
      <c r="G67" s="54"/>
      <c r="H67" s="54"/>
      <c r="I67" s="54"/>
      <c r="J67" s="54"/>
      <c r="K67" s="54"/>
      <c r="L67" s="54"/>
      <c r="M67" s="54"/>
      <c r="N67" s="54"/>
      <c r="O67" s="54"/>
      <c r="P67" s="54"/>
      <c r="Q67" s="54"/>
      <c r="R67" s="54"/>
      <c r="S67" s="54"/>
      <c r="T67" s="54"/>
      <c r="U67" s="54"/>
      <c r="V67" s="54"/>
      <c r="W67" s="54"/>
      <c r="X67" s="54"/>
      <c r="Y67" s="54"/>
      <c r="Z67" s="54"/>
    </row>
    <row r="68" spans="1:26" ht="10.5" customHeight="1">
      <c r="A68" s="63" t="s">
        <v>52</v>
      </c>
      <c r="B68" s="64"/>
      <c r="C68" s="65" t="s">
        <v>48</v>
      </c>
      <c r="D68" s="291">
        <f>'Proposed Rates'!H187</f>
        <v>1.0699999999999999E-2</v>
      </c>
      <c r="E68" s="54"/>
      <c r="F68" s="54"/>
      <c r="G68" s="54"/>
      <c r="H68" s="54"/>
      <c r="I68" s="54"/>
      <c r="J68" s="54"/>
      <c r="K68" s="54"/>
      <c r="L68" s="54"/>
      <c r="M68" s="54"/>
      <c r="N68" s="54"/>
      <c r="O68" s="54"/>
      <c r="P68" s="54"/>
      <c r="Q68" s="54"/>
      <c r="R68" s="54"/>
      <c r="S68" s="54"/>
      <c r="T68" s="54"/>
      <c r="U68" s="54"/>
      <c r="V68" s="54"/>
      <c r="W68" s="54"/>
      <c r="X68" s="54"/>
      <c r="Y68" s="54"/>
      <c r="Z68" s="54"/>
    </row>
    <row r="69" spans="1:26" ht="10.5" customHeight="1">
      <c r="A69" s="63" t="s">
        <v>53</v>
      </c>
      <c r="B69" s="65"/>
      <c r="C69" s="65" t="s">
        <v>48</v>
      </c>
      <c r="D69" s="291">
        <f>'Proposed Rates'!H202</f>
        <v>6.1000000000000004E-3</v>
      </c>
      <c r="E69" s="54"/>
      <c r="F69" s="54"/>
      <c r="G69" s="54"/>
      <c r="H69" s="54"/>
      <c r="I69" s="54"/>
      <c r="J69" s="54"/>
      <c r="K69" s="54"/>
      <c r="L69" s="54"/>
      <c r="M69" s="54"/>
      <c r="N69" s="54"/>
      <c r="O69" s="54"/>
      <c r="P69" s="54"/>
      <c r="Q69" s="54"/>
      <c r="R69" s="54"/>
      <c r="S69" s="54"/>
      <c r="T69" s="54"/>
      <c r="U69" s="54"/>
      <c r="V69" s="54"/>
      <c r="W69" s="54"/>
      <c r="X69" s="54"/>
      <c r="Y69" s="54"/>
      <c r="Z69" s="54"/>
    </row>
    <row r="70" spans="1:26" ht="11.25" customHeight="1">
      <c r="A70" s="65"/>
      <c r="B70" s="64"/>
      <c r="C70" s="65"/>
      <c r="D70" s="294"/>
      <c r="E70" s="54"/>
      <c r="F70" s="54"/>
      <c r="G70" s="54"/>
      <c r="H70" s="54"/>
      <c r="I70" s="54"/>
      <c r="J70" s="54"/>
      <c r="K70" s="54"/>
      <c r="L70" s="54"/>
      <c r="M70" s="54"/>
      <c r="N70" s="54"/>
      <c r="O70" s="54"/>
      <c r="P70" s="54"/>
      <c r="Q70" s="54"/>
      <c r="R70" s="54"/>
      <c r="S70" s="54"/>
      <c r="T70" s="54"/>
      <c r="U70" s="54"/>
      <c r="V70" s="54"/>
      <c r="W70" s="54"/>
      <c r="X70" s="54"/>
      <c r="Y70" s="54"/>
      <c r="Z70" s="54"/>
    </row>
    <row r="71" spans="1:26" ht="11.25" customHeight="1">
      <c r="A71" s="75" t="s">
        <v>54</v>
      </c>
      <c r="B71" s="65"/>
      <c r="C71" s="65"/>
      <c r="D71" s="294"/>
      <c r="E71" s="54"/>
      <c r="F71" s="54"/>
      <c r="G71" s="54"/>
      <c r="H71" s="54"/>
      <c r="I71" s="54"/>
      <c r="J71" s="54"/>
      <c r="K71" s="54"/>
      <c r="L71" s="54"/>
      <c r="M71" s="54"/>
      <c r="N71" s="54"/>
      <c r="O71" s="54"/>
      <c r="P71" s="54"/>
      <c r="Q71" s="54"/>
      <c r="R71" s="54"/>
      <c r="S71" s="54"/>
      <c r="T71" s="54"/>
      <c r="U71" s="54"/>
      <c r="V71" s="54"/>
      <c r="W71" s="54"/>
      <c r="X71" s="54"/>
      <c r="Y71" s="54"/>
      <c r="Z71" s="54"/>
    </row>
    <row r="72" spans="1:26" ht="7.5" customHeight="1">
      <c r="A72" s="60"/>
      <c r="B72" s="64"/>
      <c r="C72" s="65"/>
      <c r="D72" s="294"/>
      <c r="E72" s="54"/>
      <c r="F72" s="54"/>
      <c r="G72" s="54"/>
      <c r="H72" s="54"/>
      <c r="I72" s="54"/>
      <c r="J72" s="54"/>
      <c r="K72" s="54"/>
      <c r="L72" s="54"/>
      <c r="M72" s="54"/>
      <c r="N72" s="54"/>
      <c r="O72" s="54"/>
      <c r="P72" s="54"/>
      <c r="Q72" s="54"/>
      <c r="R72" s="54"/>
      <c r="S72" s="54"/>
      <c r="T72" s="54"/>
      <c r="U72" s="54"/>
      <c r="V72" s="54"/>
      <c r="W72" s="54"/>
      <c r="X72" s="54"/>
      <c r="Y72" s="54"/>
      <c r="Z72" s="54"/>
    </row>
    <row r="73" spans="1:26" ht="10.5" customHeight="1">
      <c r="A73" s="63" t="s">
        <v>55</v>
      </c>
      <c r="B73" s="64"/>
      <c r="C73" s="65" t="s">
        <v>48</v>
      </c>
      <c r="D73" s="294">
        <f>$D$34</f>
        <v>4.1000000000000003E-3</v>
      </c>
      <c r="E73" s="54"/>
      <c r="F73" s="54"/>
      <c r="G73" s="54"/>
      <c r="H73" s="54"/>
      <c r="I73" s="54"/>
      <c r="J73" s="54"/>
      <c r="K73" s="54"/>
      <c r="L73" s="54"/>
      <c r="M73" s="54"/>
      <c r="N73" s="54"/>
      <c r="O73" s="54"/>
      <c r="P73" s="54"/>
      <c r="Q73" s="54"/>
      <c r="R73" s="54"/>
      <c r="S73" s="54"/>
      <c r="T73" s="54"/>
      <c r="U73" s="54"/>
      <c r="V73" s="54"/>
      <c r="W73" s="54"/>
      <c r="X73" s="54"/>
      <c r="Y73" s="54"/>
      <c r="Z73" s="54"/>
    </row>
    <row r="74" spans="1:26" ht="10.5" customHeight="1">
      <c r="A74" s="63" t="s">
        <v>56</v>
      </c>
      <c r="B74" s="64"/>
      <c r="C74" s="65" t="s">
        <v>48</v>
      </c>
      <c r="D74" s="291">
        <f>'Proposed Rates'!H217-'2026'!D80</f>
        <v>5.9999999999999984E-4</v>
      </c>
      <c r="E74" s="54"/>
      <c r="F74" s="54"/>
      <c r="G74" s="54"/>
      <c r="H74" s="54"/>
      <c r="I74" s="54"/>
      <c r="J74" s="54"/>
      <c r="K74" s="54"/>
      <c r="L74" s="54"/>
      <c r="M74" s="54"/>
      <c r="N74" s="54"/>
      <c r="O74" s="54"/>
      <c r="P74" s="54"/>
      <c r="Q74" s="54"/>
      <c r="R74" s="54"/>
      <c r="S74" s="54"/>
      <c r="T74" s="54"/>
      <c r="U74" s="54"/>
      <c r="V74" s="54"/>
      <c r="W74" s="54"/>
      <c r="X74" s="54"/>
      <c r="Y74" s="54"/>
      <c r="Z74" s="54"/>
    </row>
    <row r="75" spans="1:26" ht="10.5" customHeight="1">
      <c r="A75" s="63" t="s">
        <v>57</v>
      </c>
      <c r="B75" s="64"/>
      <c r="C75" s="65" t="s">
        <v>48</v>
      </c>
      <c r="D75" s="291">
        <f>'Proposed Rates'!H230</f>
        <v>5.9999999999999995E-4</v>
      </c>
      <c r="E75" s="54"/>
      <c r="F75" s="54"/>
      <c r="G75" s="54"/>
      <c r="H75" s="54"/>
      <c r="I75" s="54"/>
      <c r="J75" s="54"/>
      <c r="K75" s="54"/>
      <c r="L75" s="54"/>
      <c r="M75" s="54"/>
      <c r="N75" s="54"/>
      <c r="O75" s="54"/>
      <c r="P75" s="54"/>
      <c r="Q75" s="54"/>
      <c r="R75" s="54"/>
      <c r="S75" s="54"/>
      <c r="T75" s="54"/>
      <c r="U75" s="54"/>
      <c r="V75" s="54"/>
      <c r="W75" s="54"/>
      <c r="X75" s="54"/>
      <c r="Y75" s="54"/>
      <c r="Z75" s="54"/>
    </row>
    <row r="76" spans="1:26" ht="10.5" customHeight="1">
      <c r="A76" s="63" t="s">
        <v>58</v>
      </c>
      <c r="B76" s="64"/>
      <c r="C76" s="65" t="s">
        <v>42</v>
      </c>
      <c r="D76" s="291">
        <f>'Proposed Rates'!H244</f>
        <v>0.25</v>
      </c>
      <c r="E76" s="54"/>
      <c r="F76" s="54"/>
      <c r="G76" s="54"/>
      <c r="H76" s="54"/>
      <c r="I76" s="54"/>
      <c r="J76" s="54"/>
      <c r="K76" s="54"/>
      <c r="L76" s="54"/>
      <c r="M76" s="54"/>
      <c r="N76" s="54"/>
      <c r="O76" s="54"/>
      <c r="P76" s="54"/>
      <c r="Q76" s="54"/>
      <c r="R76" s="54"/>
      <c r="S76" s="54"/>
      <c r="T76" s="54"/>
      <c r="U76" s="54"/>
      <c r="V76" s="54"/>
      <c r="W76" s="54"/>
      <c r="X76" s="54"/>
      <c r="Y76" s="54"/>
      <c r="Z76" s="54"/>
    </row>
    <row r="77" spans="1:26" ht="5.25" customHeight="1">
      <c r="A77" s="65"/>
      <c r="B77" s="64"/>
      <c r="C77" s="65"/>
      <c r="D77" s="74"/>
      <c r="E77" s="54"/>
      <c r="F77" s="54"/>
      <c r="G77" s="54"/>
      <c r="H77" s="54"/>
      <c r="I77" s="54"/>
      <c r="J77" s="54"/>
      <c r="K77" s="54"/>
      <c r="L77" s="54"/>
      <c r="M77" s="54"/>
      <c r="N77" s="54"/>
      <c r="O77" s="54"/>
      <c r="P77" s="54"/>
      <c r="Q77" s="54"/>
      <c r="R77" s="54"/>
      <c r="S77" s="54"/>
      <c r="T77" s="54"/>
      <c r="U77" s="54"/>
      <c r="V77" s="54"/>
      <c r="W77" s="54"/>
      <c r="X77" s="54"/>
      <c r="Y77" s="54"/>
      <c r="Z77" s="54"/>
    </row>
    <row r="78" spans="1:26" ht="23.25" customHeight="1">
      <c r="A78" s="588" t="str">
        <f>$A$1</f>
        <v>Hydro Ottawa Limited</v>
      </c>
      <c r="B78" s="589"/>
      <c r="C78" s="589"/>
      <c r="D78" s="590"/>
      <c r="E78" s="54"/>
      <c r="F78" s="54"/>
      <c r="G78" s="54"/>
      <c r="H78" s="54"/>
      <c r="I78" s="54"/>
      <c r="J78" s="54"/>
      <c r="K78" s="54"/>
      <c r="L78" s="54"/>
      <c r="M78" s="54"/>
      <c r="N78" s="54"/>
      <c r="O78" s="54"/>
      <c r="P78" s="54"/>
      <c r="Q78" s="54"/>
      <c r="R78" s="54"/>
      <c r="S78" s="54"/>
      <c r="T78" s="54"/>
      <c r="U78" s="54"/>
      <c r="V78" s="54"/>
      <c r="W78" s="54"/>
      <c r="X78" s="54"/>
      <c r="Y78" s="54"/>
      <c r="Z78" s="54"/>
    </row>
    <row r="79" spans="1:26" ht="18" customHeight="1">
      <c r="A79" s="591" t="str">
        <f>$A$2</f>
        <v>PROPOSED - TARIFF OF RATES AND CHARGES</v>
      </c>
      <c r="B79" s="589"/>
      <c r="C79" s="589"/>
      <c r="D79" s="590"/>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92" t="str">
        <f>$A$3</f>
        <v>Effective and Implementation Date January 1, 2028</v>
      </c>
      <c r="B80" s="589"/>
      <c r="C80" s="589"/>
      <c r="D80" s="590"/>
      <c r="E80" s="54"/>
      <c r="F80" s="54"/>
      <c r="G80" s="54"/>
      <c r="H80" s="54"/>
      <c r="I80" s="54"/>
      <c r="J80" s="54"/>
      <c r="K80" s="54"/>
      <c r="L80" s="54"/>
      <c r="M80" s="54"/>
      <c r="N80" s="54"/>
      <c r="O80" s="54"/>
      <c r="P80" s="54"/>
      <c r="Q80" s="54"/>
      <c r="R80" s="54"/>
      <c r="S80" s="54"/>
      <c r="T80" s="54"/>
      <c r="U80" s="54"/>
      <c r="V80" s="54"/>
      <c r="W80" s="54"/>
      <c r="X80" s="54"/>
      <c r="Y80" s="54"/>
      <c r="Z80" s="54"/>
    </row>
    <row r="81" spans="1:26" ht="11.25" customHeight="1">
      <c r="A81" s="593" t="str">
        <f>$A$4</f>
        <v>This schedule supersedes and replaces all previously</v>
      </c>
      <c r="B81" s="589"/>
      <c r="C81" s="589"/>
      <c r="D81" s="590"/>
      <c r="E81" s="54"/>
      <c r="F81" s="54"/>
      <c r="G81" s="54"/>
      <c r="H81" s="54"/>
      <c r="I81" s="54"/>
      <c r="J81" s="54"/>
      <c r="K81" s="54"/>
      <c r="L81" s="54"/>
      <c r="M81" s="54"/>
      <c r="N81" s="54"/>
      <c r="O81" s="54"/>
      <c r="P81" s="54"/>
      <c r="Q81" s="54"/>
      <c r="R81" s="54"/>
      <c r="S81" s="54"/>
      <c r="T81" s="54"/>
      <c r="U81" s="54"/>
      <c r="V81" s="54"/>
      <c r="W81" s="54"/>
      <c r="X81" s="54"/>
      <c r="Y81" s="54"/>
      <c r="Z81" s="54"/>
    </row>
    <row r="82" spans="1:26" ht="11.25" customHeight="1">
      <c r="A82" s="593" t="str">
        <f>$A$5</f>
        <v>approved schedules of Rates, Charges and Loss Factors</v>
      </c>
      <c r="B82" s="589"/>
      <c r="C82" s="589"/>
      <c r="D82" s="590"/>
      <c r="E82" s="54"/>
      <c r="F82" s="54"/>
      <c r="G82" s="54"/>
      <c r="H82" s="54"/>
      <c r="I82" s="54"/>
      <c r="J82" s="54"/>
      <c r="K82" s="54"/>
      <c r="L82" s="54"/>
      <c r="M82" s="54"/>
      <c r="N82" s="54"/>
      <c r="O82" s="54"/>
      <c r="P82" s="54"/>
      <c r="Q82" s="54"/>
      <c r="R82" s="54"/>
      <c r="S82" s="54"/>
      <c r="T82" s="54"/>
      <c r="U82" s="54"/>
      <c r="V82" s="54"/>
      <c r="W82" s="54"/>
      <c r="X82" s="54"/>
      <c r="Y82" s="54"/>
      <c r="Z82" s="54"/>
    </row>
    <row r="83" spans="1:26" ht="11.25" customHeight="1">
      <c r="A83" s="594" t="str">
        <f>$A$6</f>
        <v>EB-2024-0115</v>
      </c>
      <c r="B83" s="589"/>
      <c r="C83" s="589"/>
      <c r="D83" s="590"/>
      <c r="E83" s="54"/>
      <c r="F83" s="54"/>
      <c r="G83" s="54"/>
      <c r="H83" s="54"/>
      <c r="I83" s="54"/>
      <c r="J83" s="54"/>
      <c r="K83" s="54"/>
      <c r="L83" s="54"/>
      <c r="M83" s="54"/>
      <c r="N83" s="54"/>
      <c r="O83" s="54"/>
      <c r="P83" s="54"/>
      <c r="Q83" s="54"/>
      <c r="R83" s="54"/>
      <c r="S83" s="54"/>
      <c r="T83" s="54"/>
      <c r="U83" s="54"/>
      <c r="V83" s="54"/>
      <c r="W83" s="54"/>
      <c r="X83" s="54"/>
      <c r="Y83" s="54"/>
      <c r="Z83" s="54"/>
    </row>
    <row r="84" spans="1:26" ht="18.75" customHeight="1">
      <c r="A84" s="595" t="s">
        <v>64</v>
      </c>
      <c r="B84" s="589"/>
      <c r="C84" s="589"/>
      <c r="D84" s="590"/>
      <c r="E84" s="76"/>
      <c r="F84" s="76"/>
      <c r="G84" s="76"/>
      <c r="H84" s="76"/>
      <c r="I84" s="76"/>
      <c r="J84" s="76"/>
      <c r="K84" s="76"/>
      <c r="L84" s="76"/>
      <c r="M84" s="76"/>
      <c r="N84" s="76"/>
      <c r="O84" s="76"/>
      <c r="P84" s="76"/>
      <c r="Q84" s="76"/>
      <c r="R84" s="76"/>
      <c r="S84" s="76"/>
      <c r="T84" s="76"/>
      <c r="U84" s="76"/>
      <c r="V84" s="76"/>
      <c r="W84" s="76"/>
      <c r="X84" s="76"/>
      <c r="Y84" s="76"/>
      <c r="Z84" s="76"/>
    </row>
    <row r="85" spans="1:26" ht="48" customHeight="1">
      <c r="A85" s="596" t="s">
        <v>65</v>
      </c>
      <c r="B85" s="589"/>
      <c r="C85" s="589"/>
      <c r="D85" s="590"/>
      <c r="E85" s="54"/>
      <c r="F85" s="54"/>
      <c r="G85" s="54"/>
      <c r="H85" s="54"/>
      <c r="I85" s="54"/>
      <c r="J85" s="54"/>
      <c r="K85" s="54"/>
      <c r="L85" s="54"/>
      <c r="M85" s="54"/>
      <c r="N85" s="54"/>
      <c r="O85" s="54"/>
      <c r="P85" s="54"/>
      <c r="Q85" s="54"/>
      <c r="R85" s="54"/>
      <c r="S85" s="54"/>
      <c r="T85" s="54"/>
      <c r="U85" s="54"/>
      <c r="V85" s="54"/>
      <c r="W85" s="54"/>
      <c r="X85" s="54"/>
      <c r="Y85" s="54"/>
      <c r="Z85" s="54"/>
    </row>
    <row r="86" spans="1:26" ht="6.75" customHeight="1">
      <c r="A86" s="55"/>
      <c r="B86" s="55"/>
      <c r="C86" s="55"/>
      <c r="D86" s="56"/>
      <c r="E86" s="54"/>
      <c r="F86" s="54"/>
      <c r="G86" s="54"/>
      <c r="H86" s="54"/>
      <c r="I86" s="54"/>
      <c r="J86" s="54"/>
      <c r="K86" s="54"/>
      <c r="L86" s="54"/>
      <c r="M86" s="54"/>
      <c r="N86" s="54"/>
      <c r="O86" s="54"/>
      <c r="P86" s="54"/>
      <c r="Q86" s="54"/>
      <c r="R86" s="54"/>
      <c r="S86" s="54"/>
      <c r="T86" s="54"/>
      <c r="U86" s="54"/>
      <c r="V86" s="54"/>
      <c r="W86" s="54"/>
      <c r="X86" s="54"/>
      <c r="Y86" s="54"/>
      <c r="Z86" s="54"/>
    </row>
    <row r="87" spans="1:26" ht="11.25" customHeight="1">
      <c r="A87" s="597" t="s">
        <v>35</v>
      </c>
      <c r="B87" s="589"/>
      <c r="C87" s="589"/>
      <c r="D87" s="590"/>
      <c r="E87" s="54"/>
      <c r="F87" s="54"/>
      <c r="G87" s="54"/>
      <c r="H87" s="54"/>
      <c r="I87" s="54"/>
      <c r="J87" s="54"/>
      <c r="K87" s="54"/>
      <c r="L87" s="54"/>
      <c r="M87" s="54"/>
      <c r="N87" s="54"/>
      <c r="O87" s="54"/>
      <c r="P87" s="54"/>
      <c r="Q87" s="54"/>
      <c r="R87" s="54"/>
      <c r="S87" s="54"/>
      <c r="T87" s="54"/>
      <c r="U87" s="54"/>
      <c r="V87" s="54"/>
      <c r="W87" s="54"/>
      <c r="X87" s="54"/>
      <c r="Y87" s="54"/>
      <c r="Z87" s="54"/>
    </row>
    <row r="88" spans="1:26" ht="6.75" customHeight="1">
      <c r="A88" s="57"/>
      <c r="B88" s="58"/>
      <c r="C88" s="58"/>
      <c r="D88" s="59"/>
      <c r="E88" s="54"/>
      <c r="F88" s="54"/>
      <c r="G88" s="54"/>
      <c r="H88" s="54"/>
      <c r="I88" s="54"/>
      <c r="J88" s="54"/>
      <c r="K88" s="54"/>
      <c r="L88" s="54"/>
      <c r="M88" s="54"/>
      <c r="N88" s="54"/>
      <c r="O88" s="54"/>
      <c r="P88" s="54"/>
      <c r="Q88" s="54"/>
      <c r="R88" s="54"/>
      <c r="S88" s="54"/>
      <c r="T88" s="54"/>
      <c r="U88" s="54"/>
      <c r="V88" s="54"/>
      <c r="W88" s="54"/>
      <c r="X88" s="54"/>
      <c r="Y88" s="54"/>
      <c r="Z88" s="54"/>
    </row>
    <row r="89" spans="1:26" ht="36" customHeight="1">
      <c r="A89" s="596" t="s">
        <v>36</v>
      </c>
      <c r="B89" s="589"/>
      <c r="C89" s="589"/>
      <c r="D89" s="590"/>
      <c r="E89" s="54"/>
      <c r="F89" s="54"/>
      <c r="G89" s="54"/>
      <c r="H89" s="54"/>
      <c r="I89" s="54"/>
      <c r="J89" s="54"/>
      <c r="K89" s="54"/>
      <c r="L89" s="54"/>
      <c r="M89" s="54"/>
      <c r="N89" s="54"/>
      <c r="O89" s="54"/>
      <c r="P89" s="54"/>
      <c r="Q89" s="54"/>
      <c r="R89" s="54"/>
      <c r="S89" s="54"/>
      <c r="T89" s="54"/>
      <c r="U89" s="54"/>
      <c r="V89" s="54"/>
      <c r="W89" s="54"/>
      <c r="X89" s="54"/>
      <c r="Y89" s="54"/>
      <c r="Z89" s="54"/>
    </row>
    <row r="90" spans="1:26" ht="6.75" customHeight="1">
      <c r="A90" s="55"/>
      <c r="B90" s="55"/>
      <c r="C90" s="55"/>
      <c r="D90" s="56"/>
      <c r="E90" s="54"/>
      <c r="F90" s="54"/>
      <c r="G90" s="54"/>
      <c r="H90" s="54"/>
      <c r="I90" s="54"/>
      <c r="J90" s="54"/>
      <c r="K90" s="54"/>
      <c r="L90" s="54"/>
      <c r="M90" s="54"/>
      <c r="N90" s="54"/>
      <c r="O90" s="54"/>
      <c r="P90" s="54"/>
      <c r="Q90" s="54"/>
      <c r="R90" s="54"/>
      <c r="S90" s="54"/>
      <c r="T90" s="54"/>
      <c r="U90" s="54"/>
      <c r="V90" s="54"/>
      <c r="W90" s="54"/>
      <c r="X90" s="54"/>
      <c r="Y90" s="54"/>
      <c r="Z90" s="54"/>
    </row>
    <row r="91" spans="1:26" ht="48" customHeight="1">
      <c r="A91" s="596" t="s">
        <v>37</v>
      </c>
      <c r="B91" s="589"/>
      <c r="C91" s="589"/>
      <c r="D91" s="590"/>
      <c r="E91" s="54"/>
      <c r="F91" s="54"/>
      <c r="G91" s="54"/>
      <c r="H91" s="54"/>
      <c r="I91" s="54"/>
      <c r="J91" s="54"/>
      <c r="K91" s="54"/>
      <c r="L91" s="54"/>
      <c r="M91" s="54"/>
      <c r="N91" s="54"/>
      <c r="O91" s="54"/>
      <c r="P91" s="54"/>
      <c r="Q91" s="54"/>
      <c r="R91" s="54"/>
      <c r="S91" s="54"/>
      <c r="T91" s="54"/>
      <c r="U91" s="54"/>
      <c r="V91" s="54"/>
      <c r="W91" s="54"/>
      <c r="X91" s="54"/>
      <c r="Y91" s="54"/>
      <c r="Z91" s="54"/>
    </row>
    <row r="92" spans="1:26" ht="6.75" customHeight="1">
      <c r="A92" s="55"/>
      <c r="B92" s="55"/>
      <c r="C92" s="55"/>
      <c r="D92" s="56"/>
      <c r="E92" s="54"/>
      <c r="F92" s="54"/>
      <c r="G92" s="54"/>
      <c r="H92" s="54"/>
      <c r="I92" s="54"/>
      <c r="J92" s="54"/>
      <c r="K92" s="54"/>
      <c r="L92" s="54"/>
      <c r="M92" s="54"/>
      <c r="N92" s="54"/>
      <c r="O92" s="54"/>
      <c r="P92" s="54"/>
      <c r="Q92" s="54"/>
      <c r="R92" s="54"/>
      <c r="S92" s="54"/>
      <c r="T92" s="54"/>
      <c r="U92" s="54"/>
      <c r="V92" s="54"/>
      <c r="W92" s="54"/>
      <c r="X92" s="54"/>
      <c r="Y92" s="54"/>
      <c r="Z92" s="54"/>
    </row>
    <row r="93" spans="1:26" ht="48" customHeight="1">
      <c r="A93" s="596" t="s">
        <v>38</v>
      </c>
      <c r="B93" s="589"/>
      <c r="C93" s="589"/>
      <c r="D93" s="590"/>
      <c r="E93" s="54"/>
      <c r="F93" s="54"/>
      <c r="G93" s="54"/>
      <c r="H93" s="54"/>
      <c r="I93" s="54"/>
      <c r="J93" s="54"/>
      <c r="K93" s="54"/>
      <c r="L93" s="54"/>
      <c r="M93" s="54"/>
      <c r="N93" s="54"/>
      <c r="O93" s="54"/>
      <c r="P93" s="54"/>
      <c r="Q93" s="54"/>
      <c r="R93" s="54"/>
      <c r="S93" s="54"/>
      <c r="T93" s="54"/>
      <c r="U93" s="54"/>
      <c r="V93" s="54"/>
      <c r="W93" s="54"/>
      <c r="X93" s="54"/>
      <c r="Y93" s="54"/>
      <c r="Z93" s="54"/>
    </row>
    <row r="94" spans="1:26" ht="6.75" customHeight="1">
      <c r="A94" s="55"/>
      <c r="B94" s="55"/>
      <c r="C94" s="55"/>
      <c r="D94" s="56"/>
      <c r="E94" s="54"/>
      <c r="F94" s="54"/>
      <c r="G94" s="54"/>
      <c r="H94" s="54"/>
      <c r="I94" s="54"/>
      <c r="J94" s="54"/>
      <c r="K94" s="54"/>
      <c r="L94" s="54"/>
      <c r="M94" s="54"/>
      <c r="N94" s="54"/>
      <c r="O94" s="54"/>
      <c r="P94" s="54"/>
      <c r="Q94" s="54"/>
      <c r="R94" s="54"/>
      <c r="S94" s="54"/>
      <c r="T94" s="54"/>
      <c r="U94" s="54"/>
      <c r="V94" s="54"/>
      <c r="W94" s="54"/>
      <c r="X94" s="54"/>
      <c r="Y94" s="54"/>
      <c r="Z94" s="54"/>
    </row>
    <row r="95" spans="1:26" ht="96" customHeight="1">
      <c r="A95" s="596" t="s">
        <v>66</v>
      </c>
      <c r="B95" s="589"/>
      <c r="C95" s="589"/>
      <c r="D95" s="590"/>
      <c r="E95" s="54"/>
      <c r="F95" s="54"/>
      <c r="G95" s="54"/>
      <c r="H95" s="54"/>
      <c r="I95" s="54"/>
      <c r="J95" s="54"/>
      <c r="K95" s="54"/>
      <c r="L95" s="54"/>
      <c r="M95" s="54"/>
      <c r="N95" s="54"/>
      <c r="O95" s="54"/>
      <c r="P95" s="54"/>
      <c r="Q95" s="54"/>
      <c r="R95" s="54"/>
      <c r="S95" s="54"/>
      <c r="T95" s="54"/>
      <c r="U95" s="54"/>
      <c r="V95" s="54"/>
      <c r="W95" s="54"/>
      <c r="X95" s="54"/>
      <c r="Y95" s="54"/>
      <c r="Z95" s="54"/>
    </row>
    <row r="96" spans="1:26" ht="96" customHeight="1">
      <c r="A96" s="596" t="s">
        <v>67</v>
      </c>
      <c r="B96" s="589"/>
      <c r="C96" s="589"/>
      <c r="D96" s="590"/>
      <c r="E96" s="54"/>
      <c r="F96" s="54"/>
      <c r="G96" s="54"/>
      <c r="H96" s="54"/>
      <c r="I96" s="54"/>
      <c r="J96" s="54"/>
      <c r="K96" s="54"/>
      <c r="L96" s="54"/>
      <c r="M96" s="54"/>
      <c r="N96" s="54"/>
      <c r="O96" s="54"/>
      <c r="P96" s="54"/>
      <c r="Q96" s="54"/>
      <c r="R96" s="54"/>
      <c r="S96" s="54"/>
      <c r="T96" s="54"/>
      <c r="U96" s="54"/>
      <c r="V96" s="54"/>
      <c r="W96" s="54"/>
      <c r="X96" s="54"/>
      <c r="Y96" s="54"/>
      <c r="Z96" s="54"/>
    </row>
    <row r="97" spans="1:26" ht="36" customHeight="1">
      <c r="A97" s="596" t="s">
        <v>39</v>
      </c>
      <c r="B97" s="589"/>
      <c r="C97" s="589"/>
      <c r="D97" s="590"/>
      <c r="E97" s="54"/>
      <c r="F97" s="54"/>
      <c r="G97" s="54"/>
      <c r="H97" s="54"/>
      <c r="I97" s="54"/>
      <c r="J97" s="54"/>
      <c r="K97" s="54"/>
      <c r="L97" s="54"/>
      <c r="M97" s="54"/>
      <c r="N97" s="54"/>
      <c r="O97" s="54"/>
      <c r="P97" s="54"/>
      <c r="Q97" s="54"/>
      <c r="R97" s="54"/>
      <c r="S97" s="54"/>
      <c r="T97" s="54"/>
      <c r="U97" s="54"/>
      <c r="V97" s="54"/>
      <c r="W97" s="54"/>
      <c r="X97" s="54"/>
      <c r="Y97" s="54"/>
      <c r="Z97" s="54"/>
    </row>
    <row r="98" spans="1:26" ht="24" customHeight="1">
      <c r="A98" s="601" t="s">
        <v>68</v>
      </c>
      <c r="B98" s="589"/>
      <c r="C98" s="589"/>
      <c r="D98" s="590"/>
      <c r="E98" s="54"/>
      <c r="F98" s="54"/>
      <c r="G98" s="54"/>
      <c r="H98" s="54"/>
      <c r="I98" s="54"/>
      <c r="J98" s="54"/>
      <c r="K98" s="54"/>
      <c r="L98" s="54"/>
      <c r="M98" s="54"/>
      <c r="N98" s="54"/>
      <c r="O98" s="54"/>
      <c r="P98" s="54"/>
      <c r="Q98" s="54"/>
      <c r="R98" s="54"/>
      <c r="S98" s="54"/>
      <c r="T98" s="54"/>
      <c r="U98" s="54"/>
      <c r="V98" s="54"/>
      <c r="W98" s="54"/>
      <c r="X98" s="54"/>
      <c r="Y98" s="54"/>
      <c r="Z98" s="54"/>
    </row>
    <row r="99" spans="1:26" ht="6.75" customHeight="1">
      <c r="A99" s="78"/>
      <c r="B99" s="78"/>
      <c r="C99" s="78"/>
      <c r="D99" s="79"/>
      <c r="E99" s="54"/>
      <c r="F99" s="54"/>
      <c r="G99" s="54"/>
      <c r="H99" s="54"/>
      <c r="I99" s="54"/>
      <c r="J99" s="54"/>
      <c r="K99" s="54"/>
      <c r="L99" s="54"/>
      <c r="M99" s="54"/>
      <c r="N99" s="54"/>
      <c r="O99" s="54"/>
      <c r="P99" s="54"/>
      <c r="Q99" s="54"/>
      <c r="R99" s="54"/>
      <c r="S99" s="54"/>
      <c r="T99" s="54"/>
      <c r="U99" s="54"/>
      <c r="V99" s="54"/>
      <c r="W99" s="54"/>
      <c r="X99" s="54"/>
      <c r="Y99" s="54"/>
      <c r="Z99" s="54"/>
    </row>
    <row r="100" spans="1:26" ht="15" customHeight="1">
      <c r="A100" s="598" t="s">
        <v>40</v>
      </c>
      <c r="B100" s="589"/>
      <c r="C100" s="589"/>
      <c r="D100" s="590"/>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6.75" customHeight="1">
      <c r="A101" s="60"/>
      <c r="B101" s="61"/>
      <c r="C101" s="61"/>
      <c r="D101" s="62"/>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2" customHeight="1">
      <c r="A102" s="63" t="s">
        <v>41</v>
      </c>
      <c r="B102" s="64"/>
      <c r="C102" s="65" t="s">
        <v>42</v>
      </c>
      <c r="D102" s="290">
        <f>'Proposed Rates'!H10</f>
        <v>200</v>
      </c>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2" customHeight="1">
      <c r="A103" s="63" t="s">
        <v>62</v>
      </c>
      <c r="B103" s="64"/>
      <c r="C103" s="65" t="s">
        <v>69</v>
      </c>
      <c r="D103" s="291">
        <f>'Proposed Rates'!H23</f>
        <v>8.7073</v>
      </c>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 customHeight="1">
      <c r="A104" s="63" t="s">
        <v>47</v>
      </c>
      <c r="B104" s="64"/>
      <c r="C104" s="65" t="s">
        <v>69</v>
      </c>
      <c r="D104" s="293">
        <f>'Proposed Rates'!H269</f>
        <v>2.4209999999999999E-2</v>
      </c>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 customHeight="1">
      <c r="A105" s="63" t="s">
        <v>49</v>
      </c>
      <c r="B105" s="64"/>
      <c r="C105" s="65" t="s">
        <v>69</v>
      </c>
      <c r="D105" s="291">
        <f>'Proposed Rates'!H39</f>
        <v>0</v>
      </c>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 customHeight="1">
      <c r="A106" s="63" t="s">
        <v>45</v>
      </c>
      <c r="B106" s="64"/>
      <c r="C106" s="65" t="s">
        <v>69</v>
      </c>
      <c r="D106" s="291">
        <f>'Proposed Rates'!H66</f>
        <v>0</v>
      </c>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 customHeight="1">
      <c r="A107" s="63" t="s">
        <v>44</v>
      </c>
      <c r="B107" s="64"/>
      <c r="C107" s="65" t="s">
        <v>69</v>
      </c>
      <c r="D107" s="291">
        <f>'Proposed Rates'!H92</f>
        <v>0</v>
      </c>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2" customHeight="1">
      <c r="A108" s="63" t="s">
        <v>233</v>
      </c>
      <c r="B108" s="64"/>
      <c r="C108" s="65" t="s">
        <v>48</v>
      </c>
      <c r="D108" s="291">
        <f>'Proposed Rates'!H148</f>
        <v>0</v>
      </c>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2" customHeight="1">
      <c r="A109" s="63" t="s">
        <v>70</v>
      </c>
      <c r="B109" s="64"/>
      <c r="C109" s="65" t="s">
        <v>48</v>
      </c>
      <c r="D109" s="291">
        <f>'Proposed Rates'!H161</f>
        <v>0</v>
      </c>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2" customHeight="1">
      <c r="A110" s="63" t="s">
        <v>52</v>
      </c>
      <c r="B110" s="64"/>
      <c r="C110" s="65" t="s">
        <v>69</v>
      </c>
      <c r="D110" s="291">
        <f>'Proposed Rates'!H188</f>
        <v>4.5787000000000004</v>
      </c>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2" customHeight="1">
      <c r="A111" s="63" t="s">
        <v>71</v>
      </c>
      <c r="B111" s="64"/>
      <c r="C111" s="65" t="s">
        <v>69</v>
      </c>
      <c r="D111" s="291">
        <f>'Proposed Rates'!H189</f>
        <v>0.77839999999999998</v>
      </c>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2" customHeight="1">
      <c r="A112" s="63" t="s">
        <v>53</v>
      </c>
      <c r="B112" s="64"/>
      <c r="C112" s="65" t="s">
        <v>69</v>
      </c>
      <c r="D112" s="291">
        <f>'Proposed Rates'!H203</f>
        <v>2.5918000000000001</v>
      </c>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2" customHeight="1">
      <c r="A113" s="63" t="s">
        <v>72</v>
      </c>
      <c r="B113" s="64"/>
      <c r="C113" s="65" t="s">
        <v>69</v>
      </c>
      <c r="D113" s="291">
        <f>'Proposed Rates'!H204</f>
        <v>0.44059999999999999</v>
      </c>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11.25" customHeight="1">
      <c r="A114" s="65"/>
      <c r="B114" s="65"/>
      <c r="C114" s="65"/>
      <c r="D114" s="29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1.25" customHeight="1">
      <c r="A115" s="75" t="s">
        <v>54</v>
      </c>
      <c r="B115" s="64"/>
      <c r="C115" s="65"/>
      <c r="D115" s="29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11.25" customHeight="1">
      <c r="A116" s="60"/>
      <c r="B116" s="65"/>
      <c r="C116" s="65"/>
      <c r="D116" s="29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 customHeight="1">
      <c r="A117" s="63" t="s">
        <v>55</v>
      </c>
      <c r="B117" s="64"/>
      <c r="C117" s="65" t="s">
        <v>48</v>
      </c>
      <c r="D117" s="294">
        <f>$D$34</f>
        <v>4.1000000000000003E-3</v>
      </c>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2" customHeight="1">
      <c r="A118" s="63" t="s">
        <v>56</v>
      </c>
      <c r="B118" s="64"/>
      <c r="C118" s="65" t="s">
        <v>48</v>
      </c>
      <c r="D118" s="291">
        <f>'Proposed Rates'!H218-'2026'!D127</f>
        <v>5.9999999999999984E-4</v>
      </c>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2" customHeight="1">
      <c r="A119" s="63" t="s">
        <v>57</v>
      </c>
      <c r="B119" s="64"/>
      <c r="C119" s="65" t="s">
        <v>48</v>
      </c>
      <c r="D119" s="291">
        <f>'Proposed Rates'!H231</f>
        <v>5.9999999999999995E-4</v>
      </c>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2" customHeight="1">
      <c r="A120" s="63" t="s">
        <v>58</v>
      </c>
      <c r="B120" s="64"/>
      <c r="C120" s="65" t="s">
        <v>42</v>
      </c>
      <c r="D120" s="291">
        <f>'Proposed Rates'!H245</f>
        <v>0.25</v>
      </c>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1.25" customHeight="1">
      <c r="A121" s="65"/>
      <c r="B121" s="64"/>
      <c r="C121" s="65"/>
      <c r="D121" s="7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1.25" customHeight="1">
      <c r="A122" s="63" t="s">
        <v>234</v>
      </c>
      <c r="B122" s="64"/>
      <c r="C122" s="65"/>
      <c r="D122" s="7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1.25" customHeight="1">
      <c r="A123" s="63" t="s">
        <v>74</v>
      </c>
      <c r="B123" s="64"/>
      <c r="C123" s="65"/>
      <c r="D123" s="7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1.25" customHeight="1">
      <c r="A124" s="63" t="s">
        <v>75</v>
      </c>
      <c r="B124" s="64"/>
      <c r="C124" s="65"/>
      <c r="D124" s="7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1.25" customHeight="1">
      <c r="A125" s="65"/>
      <c r="B125" s="64"/>
      <c r="C125" s="65"/>
      <c r="D125" s="7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23.25" customHeight="1">
      <c r="A126" s="588" t="str">
        <f>$A$1</f>
        <v>Hydro Ottawa Limited</v>
      </c>
      <c r="B126" s="589"/>
      <c r="C126" s="589"/>
      <c r="D126" s="590"/>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8" customHeight="1">
      <c r="A127" s="591" t="str">
        <f>$A$2</f>
        <v>PROPOSED - TARIFF OF RATES AND CHARGES</v>
      </c>
      <c r="B127" s="589"/>
      <c r="C127" s="589"/>
      <c r="D127" s="590"/>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92" t="str">
        <f>$A$3</f>
        <v>Effective and Implementation Date January 1, 2028</v>
      </c>
      <c r="B128" s="589"/>
      <c r="C128" s="589"/>
      <c r="D128" s="590"/>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1.25" customHeight="1">
      <c r="A129" s="593" t="str">
        <f>$A$4</f>
        <v>This schedule supersedes and replaces all previously</v>
      </c>
      <c r="B129" s="589"/>
      <c r="C129" s="589"/>
      <c r="D129" s="590"/>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1.25" customHeight="1">
      <c r="A130" s="593" t="str">
        <f>$A$5</f>
        <v>approved schedules of Rates, Charges and Loss Factors</v>
      </c>
      <c r="B130" s="589"/>
      <c r="C130" s="589"/>
      <c r="D130" s="590"/>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1.25" customHeight="1">
      <c r="A131" s="594" t="str">
        <f>$A$6</f>
        <v>EB-2024-0115</v>
      </c>
      <c r="B131" s="589"/>
      <c r="C131" s="589"/>
      <c r="D131" s="590"/>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8.75" customHeight="1">
      <c r="A132" s="595" t="s">
        <v>76</v>
      </c>
      <c r="B132" s="589"/>
      <c r="C132" s="589"/>
      <c r="D132" s="590"/>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48" customHeight="1">
      <c r="A133" s="596" t="s">
        <v>77</v>
      </c>
      <c r="B133" s="589"/>
      <c r="C133" s="589"/>
      <c r="D133" s="590"/>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6.75" customHeight="1">
      <c r="A134" s="55"/>
      <c r="B134" s="55"/>
      <c r="C134" s="55"/>
      <c r="D134" s="56"/>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1.25" customHeight="1">
      <c r="A135" s="597" t="s">
        <v>35</v>
      </c>
      <c r="B135" s="589"/>
      <c r="C135" s="589"/>
      <c r="D135" s="590"/>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6.75" customHeight="1">
      <c r="A136" s="57"/>
      <c r="B136" s="58"/>
      <c r="C136" s="58"/>
      <c r="D136" s="59"/>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36" customHeight="1">
      <c r="A137" s="596" t="s">
        <v>36</v>
      </c>
      <c r="B137" s="589"/>
      <c r="C137" s="589"/>
      <c r="D137" s="590"/>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6.75" customHeight="1">
      <c r="A138" s="55"/>
      <c r="B138" s="55"/>
      <c r="C138" s="55"/>
      <c r="D138" s="56"/>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48" customHeight="1">
      <c r="A139" s="596" t="s">
        <v>78</v>
      </c>
      <c r="B139" s="589"/>
      <c r="C139" s="589"/>
      <c r="D139" s="590"/>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6.75" customHeight="1">
      <c r="A140" s="55"/>
      <c r="B140" s="55"/>
      <c r="C140" s="55"/>
      <c r="D140" s="56"/>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48" customHeight="1">
      <c r="A141" s="596" t="s">
        <v>38</v>
      </c>
      <c r="B141" s="589"/>
      <c r="C141" s="589"/>
      <c r="D141" s="590"/>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6.75" customHeight="1">
      <c r="A142" s="55"/>
      <c r="B142" s="55"/>
      <c r="C142" s="55"/>
      <c r="D142" s="56"/>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96" customHeight="1">
      <c r="A143" s="596" t="s">
        <v>66</v>
      </c>
      <c r="B143" s="589"/>
      <c r="C143" s="589"/>
      <c r="D143" s="590"/>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96" customHeight="1">
      <c r="A144" s="596" t="s">
        <v>67</v>
      </c>
      <c r="B144" s="589"/>
      <c r="C144" s="589"/>
      <c r="D144" s="590"/>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36" customHeight="1">
      <c r="A145" s="596" t="s">
        <v>39</v>
      </c>
      <c r="B145" s="589"/>
      <c r="C145" s="589"/>
      <c r="D145" s="590"/>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24" customHeight="1">
      <c r="A146" s="601" t="s">
        <v>68</v>
      </c>
      <c r="B146" s="589"/>
      <c r="C146" s="589"/>
      <c r="D146" s="590"/>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6.75" customHeight="1">
      <c r="A147" s="78"/>
      <c r="B147" s="78"/>
      <c r="C147" s="78"/>
      <c r="D147" s="79"/>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 customHeight="1">
      <c r="A148" s="598" t="s">
        <v>40</v>
      </c>
      <c r="B148" s="589"/>
      <c r="C148" s="589"/>
      <c r="D148" s="590"/>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6.75" customHeight="1">
      <c r="A149" s="60"/>
      <c r="B149" s="61"/>
      <c r="C149" s="61"/>
      <c r="D149" s="62"/>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2" customHeight="1">
      <c r="A150" s="63" t="s">
        <v>41</v>
      </c>
      <c r="B150" s="64"/>
      <c r="C150" s="65" t="s">
        <v>42</v>
      </c>
      <c r="D150" s="290">
        <f>'Proposed Rates'!H11</f>
        <v>4126.75</v>
      </c>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2" customHeight="1">
      <c r="A151" s="63" t="s">
        <v>62</v>
      </c>
      <c r="B151" s="64"/>
      <c r="C151" s="65" t="s">
        <v>69</v>
      </c>
      <c r="D151" s="291">
        <f>'Proposed Rates'!H24</f>
        <v>8.4582999999999995</v>
      </c>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2" customHeight="1">
      <c r="A152" s="63" t="s">
        <v>47</v>
      </c>
      <c r="B152" s="64"/>
      <c r="C152" s="65" t="s">
        <v>69</v>
      </c>
      <c r="D152" s="293">
        <f>'Proposed Rates'!H270</f>
        <v>2.402E-2</v>
      </c>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2" customHeight="1">
      <c r="A153" s="63" t="s">
        <v>49</v>
      </c>
      <c r="B153" s="64"/>
      <c r="C153" s="65" t="s">
        <v>69</v>
      </c>
      <c r="D153" s="291">
        <f>'Proposed Rates'!H40</f>
        <v>0</v>
      </c>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2" customHeight="1">
      <c r="A154" s="63" t="s">
        <v>45</v>
      </c>
      <c r="B154" s="64"/>
      <c r="C154" s="65" t="s">
        <v>69</v>
      </c>
      <c r="D154" s="291">
        <f>'Proposed Rates'!H67</f>
        <v>0</v>
      </c>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2" customHeight="1">
      <c r="A155" s="63" t="s">
        <v>44</v>
      </c>
      <c r="B155" s="64"/>
      <c r="C155" s="65" t="s">
        <v>69</v>
      </c>
      <c r="D155" s="291">
        <f>'Proposed Rates'!H93</f>
        <v>0</v>
      </c>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2" customHeight="1">
      <c r="A156" s="63" t="s">
        <v>233</v>
      </c>
      <c r="B156" s="64"/>
      <c r="C156" s="65" t="s">
        <v>48</v>
      </c>
      <c r="D156" s="291">
        <f>'Proposed Rates'!H148</f>
        <v>0</v>
      </c>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2" customHeight="1">
      <c r="A157" s="63" t="s">
        <v>70</v>
      </c>
      <c r="B157" s="64"/>
      <c r="C157" s="65" t="s">
        <v>48</v>
      </c>
      <c r="D157" s="291">
        <f>'Proposed Rates'!H162</f>
        <v>0</v>
      </c>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2" customHeight="1">
      <c r="A158" s="63" t="s">
        <v>52</v>
      </c>
      <c r="B158" s="64"/>
      <c r="C158" s="65" t="s">
        <v>69</v>
      </c>
      <c r="D158" s="291">
        <f>'Proposed Rates'!H190</f>
        <v>4.5423999999999998</v>
      </c>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2" customHeight="1">
      <c r="A159" s="63" t="s">
        <v>71</v>
      </c>
      <c r="B159" s="64"/>
      <c r="C159" s="65" t="s">
        <v>69</v>
      </c>
      <c r="D159" s="291">
        <f>'Proposed Rates'!H191</f>
        <v>0.7722</v>
      </c>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2" customHeight="1">
      <c r="A160" s="63" t="s">
        <v>53</v>
      </c>
      <c r="B160" s="64"/>
      <c r="C160" s="65" t="s">
        <v>69</v>
      </c>
      <c r="D160" s="291">
        <f>'Proposed Rates'!H205</f>
        <v>2.5712000000000002</v>
      </c>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2" customHeight="1">
      <c r="A161" s="63" t="s">
        <v>72</v>
      </c>
      <c r="B161" s="64"/>
      <c r="C161" s="65" t="s">
        <v>69</v>
      </c>
      <c r="D161" s="291">
        <f>'Proposed Rates'!H206</f>
        <v>0.43709999999999999</v>
      </c>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3.75" customHeight="1">
      <c r="A162" s="65"/>
      <c r="B162" s="65"/>
      <c r="C162" s="65"/>
      <c r="D162" s="29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1.25" customHeight="1">
      <c r="A163" s="75" t="s">
        <v>54</v>
      </c>
      <c r="B163" s="64"/>
      <c r="C163" s="65"/>
      <c r="D163" s="29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3.75" customHeight="1">
      <c r="A164" s="60"/>
      <c r="B164" s="65"/>
      <c r="C164" s="65"/>
      <c r="D164" s="29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2" customHeight="1">
      <c r="A165" s="63" t="s">
        <v>55</v>
      </c>
      <c r="B165" s="64"/>
      <c r="C165" s="65" t="s">
        <v>48</v>
      </c>
      <c r="D165" s="294">
        <f>$D$34</f>
        <v>4.1000000000000003E-3</v>
      </c>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2" customHeight="1">
      <c r="A166" s="63" t="s">
        <v>56</v>
      </c>
      <c r="B166" s="64"/>
      <c r="C166" s="65" t="s">
        <v>48</v>
      </c>
      <c r="D166" s="291">
        <f>'Proposed Rates'!H219-'2026'!D178</f>
        <v>5.9999999999999984E-4</v>
      </c>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2" customHeight="1">
      <c r="A167" s="63" t="s">
        <v>57</v>
      </c>
      <c r="B167" s="64"/>
      <c r="C167" s="65" t="s">
        <v>48</v>
      </c>
      <c r="D167" s="291">
        <f>'Proposed Rates'!H232</f>
        <v>5.9999999999999995E-4</v>
      </c>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2" customHeight="1">
      <c r="A168" s="63" t="s">
        <v>58</v>
      </c>
      <c r="B168" s="64"/>
      <c r="C168" s="65" t="s">
        <v>42</v>
      </c>
      <c r="D168" s="291">
        <f>'Proposed Rates'!H246</f>
        <v>0.25</v>
      </c>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9" customHeight="1">
      <c r="A169" s="65"/>
      <c r="B169" s="64"/>
      <c r="C169" s="65"/>
      <c r="D169" s="7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9" customHeight="1">
      <c r="A170" s="63" t="s">
        <v>235</v>
      </c>
      <c r="B170" s="64"/>
      <c r="C170" s="65"/>
      <c r="D170" s="7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9" customHeight="1">
      <c r="A171" s="63" t="s">
        <v>74</v>
      </c>
      <c r="B171" s="64"/>
      <c r="C171" s="65"/>
      <c r="D171" s="7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9" customHeight="1">
      <c r="A172" s="63" t="s">
        <v>75</v>
      </c>
      <c r="B172" s="64"/>
      <c r="C172" s="65"/>
      <c r="D172" s="7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9" customHeight="1">
      <c r="A173" s="65"/>
      <c r="B173" s="64"/>
      <c r="C173" s="65"/>
      <c r="D173" s="7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23.25" customHeight="1">
      <c r="A174" s="588" t="str">
        <f>$A$1</f>
        <v>Hydro Ottawa Limited</v>
      </c>
      <c r="B174" s="589"/>
      <c r="C174" s="589"/>
      <c r="D174" s="590"/>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8" customHeight="1">
      <c r="A175" s="591" t="str">
        <f>$A$2</f>
        <v>PROPOSED - TARIFF OF RATES AND CHARGES</v>
      </c>
      <c r="B175" s="589"/>
      <c r="C175" s="589"/>
      <c r="D175" s="590"/>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92" t="str">
        <f>$A$3</f>
        <v>Effective and Implementation Date January 1, 2028</v>
      </c>
      <c r="B176" s="589"/>
      <c r="C176" s="589"/>
      <c r="D176" s="590"/>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1.25" customHeight="1">
      <c r="A177" s="593" t="str">
        <f>$A$4</f>
        <v>This schedule supersedes and replaces all previously</v>
      </c>
      <c r="B177" s="589"/>
      <c r="C177" s="589"/>
      <c r="D177" s="590"/>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1.25" customHeight="1">
      <c r="A178" s="593" t="str">
        <f>$A$5</f>
        <v>approved schedules of Rates, Charges and Loss Factors</v>
      </c>
      <c r="B178" s="589"/>
      <c r="C178" s="589"/>
      <c r="D178" s="590"/>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1.25" customHeight="1">
      <c r="A179" s="594" t="str">
        <f>$A$6</f>
        <v>EB-2024-0115</v>
      </c>
      <c r="B179" s="589"/>
      <c r="C179" s="589"/>
      <c r="D179" s="590"/>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8.75" customHeight="1">
      <c r="A180" s="595" t="s">
        <v>80</v>
      </c>
      <c r="B180" s="589"/>
      <c r="C180" s="589"/>
      <c r="D180" s="590"/>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48" customHeight="1">
      <c r="A181" s="596" t="s">
        <v>81</v>
      </c>
      <c r="B181" s="589"/>
      <c r="C181" s="589"/>
      <c r="D181" s="590"/>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6.75" customHeight="1">
      <c r="A182" s="55"/>
      <c r="B182" s="55"/>
      <c r="C182" s="55"/>
      <c r="D182" s="56"/>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1.25" customHeight="1">
      <c r="A183" s="597" t="s">
        <v>35</v>
      </c>
      <c r="B183" s="589"/>
      <c r="C183" s="589"/>
      <c r="D183" s="590"/>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6.75" customHeight="1">
      <c r="A184" s="57"/>
      <c r="B184" s="58"/>
      <c r="C184" s="58"/>
      <c r="D184" s="59"/>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36" customHeight="1">
      <c r="A185" s="596" t="s">
        <v>36</v>
      </c>
      <c r="B185" s="589"/>
      <c r="C185" s="589"/>
      <c r="D185" s="590"/>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6.75" customHeight="1">
      <c r="A186" s="55"/>
      <c r="B186" s="55"/>
      <c r="C186" s="55"/>
      <c r="D186" s="56"/>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48" customHeight="1">
      <c r="A187" s="596" t="s">
        <v>82</v>
      </c>
      <c r="B187" s="589"/>
      <c r="C187" s="589"/>
      <c r="D187" s="590"/>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6.75" customHeight="1">
      <c r="A188" s="55"/>
      <c r="B188" s="55"/>
      <c r="C188" s="55"/>
      <c r="D188" s="56"/>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48" customHeight="1">
      <c r="A189" s="596" t="s">
        <v>38</v>
      </c>
      <c r="B189" s="589"/>
      <c r="C189" s="589"/>
      <c r="D189" s="590"/>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6.75" customHeight="1">
      <c r="A190" s="55"/>
      <c r="B190" s="55"/>
      <c r="C190" s="55"/>
      <c r="D190" s="56"/>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96" customHeight="1">
      <c r="A191" s="596" t="s">
        <v>66</v>
      </c>
      <c r="B191" s="589"/>
      <c r="C191" s="589"/>
      <c r="D191" s="590"/>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96" customHeight="1">
      <c r="A192" s="596" t="s">
        <v>67</v>
      </c>
      <c r="B192" s="589"/>
      <c r="C192" s="589"/>
      <c r="D192" s="590"/>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36" customHeight="1">
      <c r="A193" s="596" t="s">
        <v>39</v>
      </c>
      <c r="B193" s="589"/>
      <c r="C193" s="589"/>
      <c r="D193" s="590"/>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24" customHeight="1">
      <c r="A194" s="601" t="s">
        <v>68</v>
      </c>
      <c r="B194" s="589"/>
      <c r="C194" s="589"/>
      <c r="D194" s="590"/>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6.75" customHeight="1">
      <c r="A195" s="78"/>
      <c r="B195" s="78"/>
      <c r="C195" s="78"/>
      <c r="D195" s="79"/>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 customHeight="1">
      <c r="A196" s="598" t="s">
        <v>40</v>
      </c>
      <c r="B196" s="589"/>
      <c r="C196" s="589"/>
      <c r="D196" s="590"/>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6" customHeight="1">
      <c r="A197" s="60"/>
      <c r="B197" s="61"/>
      <c r="C197" s="61"/>
      <c r="D197" s="62"/>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2" customHeight="1">
      <c r="A198" s="63" t="s">
        <v>41</v>
      </c>
      <c r="B198" s="64"/>
      <c r="C198" s="65" t="s">
        <v>42</v>
      </c>
      <c r="D198" s="290">
        <f>'Proposed Rates'!H12</f>
        <v>14946.93</v>
      </c>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2" customHeight="1">
      <c r="A199" s="63" t="s">
        <v>62</v>
      </c>
      <c r="B199" s="64"/>
      <c r="C199" s="65" t="s">
        <v>69</v>
      </c>
      <c r="D199" s="291">
        <f>'Proposed Rates'!H25</f>
        <v>9.1717999999999993</v>
      </c>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2" customHeight="1">
      <c r="A200" s="63" t="s">
        <v>47</v>
      </c>
      <c r="B200" s="64"/>
      <c r="C200" s="65" t="s">
        <v>69</v>
      </c>
      <c r="D200" s="293">
        <f>'Proposed Rates'!H271</f>
        <v>2.8209999999999999E-2</v>
      </c>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2" customHeight="1">
      <c r="A201" s="63" t="s">
        <v>49</v>
      </c>
      <c r="B201" s="64"/>
      <c r="C201" s="65" t="s">
        <v>69</v>
      </c>
      <c r="D201" s="291">
        <f>'Proposed Rates'!H41</f>
        <v>0</v>
      </c>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2" customHeight="1">
      <c r="A202" s="63" t="s">
        <v>45</v>
      </c>
      <c r="B202" s="64"/>
      <c r="C202" s="65" t="s">
        <v>69</v>
      </c>
      <c r="D202" s="291">
        <f>'Proposed Rates'!H68</f>
        <v>0</v>
      </c>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2" customHeight="1">
      <c r="A203" s="63" t="s">
        <v>44</v>
      </c>
      <c r="B203" s="64"/>
      <c r="C203" s="65" t="s">
        <v>69</v>
      </c>
      <c r="D203" s="291">
        <f>'Proposed Rates'!H94</f>
        <v>0</v>
      </c>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2" customHeight="1">
      <c r="A204" s="63" t="s">
        <v>233</v>
      </c>
      <c r="B204" s="64"/>
      <c r="C204" s="65" t="s">
        <v>48</v>
      </c>
      <c r="D204" s="291">
        <f>'Proposed Rates'!H149</f>
        <v>0</v>
      </c>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2" customHeight="1">
      <c r="A205" s="63" t="s">
        <v>52</v>
      </c>
      <c r="B205" s="64"/>
      <c r="C205" s="65" t="s">
        <v>69</v>
      </c>
      <c r="D205" s="291">
        <f>'Proposed Rates'!H192</f>
        <v>5.3339999999999996</v>
      </c>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2" customHeight="1">
      <c r="A206" s="63" t="s">
        <v>53</v>
      </c>
      <c r="B206" s="64"/>
      <c r="C206" s="65" t="s">
        <v>69</v>
      </c>
      <c r="D206" s="291">
        <f>'Proposed Rates'!H207</f>
        <v>3.0192999999999999</v>
      </c>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4.5" customHeight="1">
      <c r="A207" s="65"/>
      <c r="B207" s="65"/>
      <c r="C207" s="65"/>
      <c r="D207" s="29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1.25" customHeight="1">
      <c r="A208" s="75" t="s">
        <v>54</v>
      </c>
      <c r="B208" s="64"/>
      <c r="C208" s="65"/>
      <c r="D208" s="29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5.25" customHeight="1">
      <c r="A209" s="60"/>
      <c r="B209" s="65"/>
      <c r="C209" s="65"/>
      <c r="D209" s="29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2" customHeight="1">
      <c r="A210" s="63" t="s">
        <v>55</v>
      </c>
      <c r="B210" s="64"/>
      <c r="C210" s="65" t="s">
        <v>48</v>
      </c>
      <c r="D210" s="294">
        <f>$D$34</f>
        <v>4.1000000000000003E-3</v>
      </c>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2" customHeight="1">
      <c r="A211" s="63" t="s">
        <v>56</v>
      </c>
      <c r="B211" s="64"/>
      <c r="C211" s="65" t="s">
        <v>48</v>
      </c>
      <c r="D211" s="291">
        <f>'Proposed Rates'!G220-'2026'!H227</f>
        <v>4.7000000000000002E-3</v>
      </c>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2" customHeight="1">
      <c r="A212" s="63" t="s">
        <v>57</v>
      </c>
      <c r="B212" s="64"/>
      <c r="C212" s="65" t="s">
        <v>48</v>
      </c>
      <c r="D212" s="291">
        <f>'Proposed Rates'!H233</f>
        <v>5.9999999999999995E-4</v>
      </c>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2" customHeight="1">
      <c r="A213" s="63" t="s">
        <v>58</v>
      </c>
      <c r="B213" s="64"/>
      <c r="C213" s="65" t="s">
        <v>42</v>
      </c>
      <c r="D213" s="291">
        <f>'Proposed Rates'!H247</f>
        <v>0.25</v>
      </c>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3.5" customHeight="1">
      <c r="A214" s="89"/>
      <c r="B214" s="64"/>
      <c r="C214" s="65"/>
      <c r="D214" s="7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23.25" customHeight="1">
      <c r="A215" s="588" t="str">
        <f>$A$1</f>
        <v>Hydro Ottawa Limited</v>
      </c>
      <c r="B215" s="589"/>
      <c r="C215" s="589"/>
      <c r="D215" s="590"/>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8" customHeight="1">
      <c r="A216" s="591" t="str">
        <f>$A$2</f>
        <v>PROPOSED - TARIFF OF RATES AND CHARGES</v>
      </c>
      <c r="B216" s="589"/>
      <c r="C216" s="589"/>
      <c r="D216" s="590"/>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92" t="str">
        <f>$A$3</f>
        <v>Effective and Implementation Date January 1, 2028</v>
      </c>
      <c r="B217" s="589"/>
      <c r="C217" s="589"/>
      <c r="D217" s="590"/>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1.25" customHeight="1">
      <c r="A218" s="593" t="str">
        <f>$A$4</f>
        <v>This schedule supersedes and replaces all previously</v>
      </c>
      <c r="B218" s="589"/>
      <c r="C218" s="589"/>
      <c r="D218" s="590"/>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1.25" customHeight="1">
      <c r="A219" s="593" t="str">
        <f>$A$5</f>
        <v>approved schedules of Rates, Charges and Loss Factors</v>
      </c>
      <c r="B219" s="589"/>
      <c r="C219" s="589"/>
      <c r="D219" s="590"/>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1.25" customHeight="1">
      <c r="A220" s="594" t="str">
        <f>$A$6</f>
        <v>EB-2024-0115</v>
      </c>
      <c r="B220" s="589"/>
      <c r="C220" s="589"/>
      <c r="D220" s="590"/>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8.75" customHeight="1">
      <c r="A221" s="595" t="s">
        <v>83</v>
      </c>
      <c r="B221" s="589"/>
      <c r="C221" s="589"/>
      <c r="D221" s="590"/>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84" customHeight="1">
      <c r="A222" s="596" t="s">
        <v>84</v>
      </c>
      <c r="B222" s="589"/>
      <c r="C222" s="589"/>
      <c r="D222" s="590"/>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6.75" customHeight="1">
      <c r="A223" s="55"/>
      <c r="B223" s="55"/>
      <c r="C223" s="55"/>
      <c r="D223" s="56"/>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1.25" customHeight="1">
      <c r="A224" s="597" t="s">
        <v>35</v>
      </c>
      <c r="B224" s="589"/>
      <c r="C224" s="589"/>
      <c r="D224" s="590"/>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6.75" customHeight="1">
      <c r="A225" s="57"/>
      <c r="B225" s="58"/>
      <c r="C225" s="58"/>
      <c r="D225" s="59"/>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36" customHeight="1">
      <c r="A226" s="596" t="s">
        <v>36</v>
      </c>
      <c r="B226" s="589"/>
      <c r="C226" s="589"/>
      <c r="D226" s="590"/>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6.75" customHeight="1">
      <c r="A227" s="55"/>
      <c r="B227" s="55"/>
      <c r="C227" s="55"/>
      <c r="D227" s="56"/>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48" customHeight="1">
      <c r="A228" s="596" t="s">
        <v>37</v>
      </c>
      <c r="B228" s="589"/>
      <c r="C228" s="589"/>
      <c r="D228" s="590"/>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6.75" customHeight="1">
      <c r="A229" s="55"/>
      <c r="B229" s="55"/>
      <c r="C229" s="55"/>
      <c r="D229" s="56"/>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48" customHeight="1">
      <c r="A230" s="596" t="s">
        <v>38</v>
      </c>
      <c r="B230" s="589"/>
      <c r="C230" s="589"/>
      <c r="D230" s="590"/>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6.75" customHeight="1">
      <c r="A231" s="55"/>
      <c r="B231" s="55"/>
      <c r="C231" s="55"/>
      <c r="D231" s="56"/>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36" customHeight="1">
      <c r="A232" s="596" t="s">
        <v>39</v>
      </c>
      <c r="B232" s="589"/>
      <c r="C232" s="589"/>
      <c r="D232" s="590"/>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6.75" customHeight="1">
      <c r="A233" s="55"/>
      <c r="B233" s="55"/>
      <c r="C233" s="55"/>
      <c r="D233" s="56"/>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 customHeight="1">
      <c r="A234" s="75" t="s">
        <v>40</v>
      </c>
      <c r="B234" s="64"/>
      <c r="C234" s="64"/>
      <c r="D234" s="6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6.75" customHeight="1">
      <c r="A235" s="60"/>
      <c r="B235" s="61"/>
      <c r="C235" s="61"/>
      <c r="D235" s="62"/>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2" customHeight="1">
      <c r="A236" s="63" t="s">
        <v>85</v>
      </c>
      <c r="B236" s="64"/>
      <c r="C236" s="65" t="s">
        <v>42</v>
      </c>
      <c r="D236" s="290">
        <f>'Proposed Rates'!H15</f>
        <v>8.9700000000000006</v>
      </c>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2" customHeight="1">
      <c r="A237" s="63" t="s">
        <v>62</v>
      </c>
      <c r="B237" s="64"/>
      <c r="C237" s="65" t="s">
        <v>48</v>
      </c>
      <c r="D237" s="291">
        <f>'Proposed Rates'!H28</f>
        <v>4.2700000000000002E-2</v>
      </c>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2" customHeight="1">
      <c r="A238" s="63" t="s">
        <v>47</v>
      </c>
      <c r="B238" s="64"/>
      <c r="C238" s="65" t="s">
        <v>48</v>
      </c>
      <c r="D238" s="293">
        <f>'Proposed Rates'!H274</f>
        <v>4.0000000000000003E-5</v>
      </c>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2" customHeight="1">
      <c r="A239" s="63" t="s">
        <v>49</v>
      </c>
      <c r="B239" s="64"/>
      <c r="C239" s="65" t="s">
        <v>48</v>
      </c>
      <c r="D239" s="291">
        <f>'Proposed Rates'!H44</f>
        <v>0</v>
      </c>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2" customHeight="1">
      <c r="A240" s="63" t="s">
        <v>45</v>
      </c>
      <c r="B240" s="64"/>
      <c r="C240" s="65" t="s">
        <v>48</v>
      </c>
      <c r="D240" s="291">
        <f>'Proposed Rates'!H71</f>
        <v>0</v>
      </c>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2" customHeight="1">
      <c r="A241" s="63" t="s">
        <v>44</v>
      </c>
      <c r="B241" s="64"/>
      <c r="C241" s="65" t="s">
        <v>48</v>
      </c>
      <c r="D241" s="291">
        <f>'Proposed Rates'!H97</f>
        <v>0</v>
      </c>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2" customHeight="1">
      <c r="A242" s="63" t="s">
        <v>52</v>
      </c>
      <c r="B242" s="64"/>
      <c r="C242" s="65" t="s">
        <v>48</v>
      </c>
      <c r="D242" s="291">
        <f>'Proposed Rates'!H195</f>
        <v>7.4999999999999997E-3</v>
      </c>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2" customHeight="1">
      <c r="A243" s="63" t="s">
        <v>53</v>
      </c>
      <c r="B243" s="64"/>
      <c r="C243" s="65" t="s">
        <v>48</v>
      </c>
      <c r="D243" s="291">
        <f>'Proposed Rates'!H210</f>
        <v>4.3E-3</v>
      </c>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3" customHeight="1">
      <c r="A244" s="65"/>
      <c r="B244" s="65"/>
      <c r="C244" s="65"/>
      <c r="D244" s="29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1.25" customHeight="1">
      <c r="A245" s="75" t="s">
        <v>54</v>
      </c>
      <c r="B245" s="64"/>
      <c r="C245" s="65"/>
      <c r="D245" s="29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3.75" customHeight="1">
      <c r="A246" s="60"/>
      <c r="B246" s="65"/>
      <c r="C246" s="65"/>
      <c r="D246" s="29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2" customHeight="1">
      <c r="A247" s="63" t="s">
        <v>55</v>
      </c>
      <c r="B247" s="64"/>
      <c r="C247" s="65" t="s">
        <v>48</v>
      </c>
      <c r="D247" s="294">
        <f>$D$34</f>
        <v>4.1000000000000003E-3</v>
      </c>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2" customHeight="1">
      <c r="A248" s="63" t="s">
        <v>56</v>
      </c>
      <c r="B248" s="64"/>
      <c r="C248" s="65" t="s">
        <v>48</v>
      </c>
      <c r="D248" s="291">
        <f>'Proposed Rates'!H223-'2026'!D268</f>
        <v>5.9999999999999984E-4</v>
      </c>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2" customHeight="1">
      <c r="A249" s="63" t="s">
        <v>57</v>
      </c>
      <c r="B249" s="64"/>
      <c r="C249" s="65" t="s">
        <v>48</v>
      </c>
      <c r="D249" s="291">
        <f>'Proposed Rates'!H236</f>
        <v>5.9999999999999995E-4</v>
      </c>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2" customHeight="1">
      <c r="A250" s="63" t="s">
        <v>58</v>
      </c>
      <c r="B250" s="64"/>
      <c r="C250" s="65" t="s">
        <v>42</v>
      </c>
      <c r="D250" s="291">
        <f>'Proposed Rates'!H250</f>
        <v>0.25</v>
      </c>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1.25" customHeight="1">
      <c r="A251" s="63"/>
      <c r="B251" s="64"/>
      <c r="C251" s="65"/>
      <c r="D251" s="7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23.25" customHeight="1">
      <c r="A252" s="588" t="str">
        <f>$A$1</f>
        <v>Hydro Ottawa Limited</v>
      </c>
      <c r="B252" s="589"/>
      <c r="C252" s="589"/>
      <c r="D252" s="590"/>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8" customHeight="1">
      <c r="A253" s="591" t="str">
        <f>$A$2</f>
        <v>PROPOSED - TARIFF OF RATES AND CHARGES</v>
      </c>
      <c r="B253" s="589"/>
      <c r="C253" s="589"/>
      <c r="D253" s="590"/>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92" t="str">
        <f>$A$3</f>
        <v>Effective and Implementation Date January 1, 2028</v>
      </c>
      <c r="B254" s="589"/>
      <c r="C254" s="589"/>
      <c r="D254" s="590"/>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1.25" customHeight="1">
      <c r="A255" s="593" t="str">
        <f>$A$4</f>
        <v>This schedule supersedes and replaces all previously</v>
      </c>
      <c r="B255" s="589"/>
      <c r="C255" s="589"/>
      <c r="D255" s="590"/>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1.25" customHeight="1">
      <c r="A256" s="593" t="str">
        <f>$A$5</f>
        <v>approved schedules of Rates, Charges and Loss Factors</v>
      </c>
      <c r="B256" s="589"/>
      <c r="C256" s="589"/>
      <c r="D256" s="590"/>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1.25" customHeight="1">
      <c r="A257" s="594" t="str">
        <f>$A$6</f>
        <v>EB-2024-0115</v>
      </c>
      <c r="B257" s="589"/>
      <c r="C257" s="589"/>
      <c r="D257" s="590"/>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8.75" customHeight="1">
      <c r="A258" s="595" t="s">
        <v>86</v>
      </c>
      <c r="B258" s="589"/>
      <c r="C258" s="589"/>
      <c r="D258" s="590"/>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36" customHeight="1">
      <c r="A259" s="596" t="s">
        <v>87</v>
      </c>
      <c r="B259" s="589"/>
      <c r="C259" s="589"/>
      <c r="D259" s="590"/>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6.75" customHeight="1">
      <c r="A260" s="55"/>
      <c r="B260" s="55"/>
      <c r="C260" s="55"/>
      <c r="D260" s="56"/>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1.25" customHeight="1">
      <c r="A261" s="597" t="s">
        <v>35</v>
      </c>
      <c r="B261" s="589"/>
      <c r="C261" s="589"/>
      <c r="D261" s="590"/>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6.75" customHeight="1">
      <c r="A262" s="57"/>
      <c r="B262" s="58"/>
      <c r="C262" s="58"/>
      <c r="D262" s="59"/>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36" customHeight="1">
      <c r="A263" s="596" t="s">
        <v>36</v>
      </c>
      <c r="B263" s="589"/>
      <c r="C263" s="589"/>
      <c r="D263" s="590"/>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6.75" customHeight="1">
      <c r="A264" s="55"/>
      <c r="B264" s="55"/>
      <c r="C264" s="55"/>
      <c r="D264" s="56"/>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48" customHeight="1">
      <c r="A265" s="596" t="s">
        <v>37</v>
      </c>
      <c r="B265" s="589"/>
      <c r="C265" s="589"/>
      <c r="D265" s="590"/>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6.75" customHeight="1">
      <c r="A266" s="55"/>
      <c r="B266" s="55"/>
      <c r="C266" s="55"/>
      <c r="D266" s="56"/>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24" customHeight="1">
      <c r="A267" s="596" t="s">
        <v>88</v>
      </c>
      <c r="B267" s="589"/>
      <c r="C267" s="589"/>
      <c r="D267" s="590"/>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6.75" customHeight="1">
      <c r="A268" s="55"/>
      <c r="B268" s="55"/>
      <c r="C268" s="55"/>
      <c r="D268" s="56"/>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36" customHeight="1">
      <c r="A269" s="596" t="s">
        <v>89</v>
      </c>
      <c r="B269" s="589"/>
      <c r="C269" s="589"/>
      <c r="D269" s="590"/>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6.75" customHeight="1">
      <c r="A270" s="55"/>
      <c r="B270" s="55"/>
      <c r="C270" s="55"/>
      <c r="D270" s="56"/>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 customHeight="1">
      <c r="A271" s="598" t="s">
        <v>90</v>
      </c>
      <c r="B271" s="589"/>
      <c r="C271" s="589"/>
      <c r="D271" s="590"/>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6.75" customHeight="1">
      <c r="A272" s="60"/>
      <c r="B272" s="61"/>
      <c r="C272" s="61"/>
      <c r="D272" s="62"/>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1.25" customHeight="1">
      <c r="A273" s="296" t="s">
        <v>41</v>
      </c>
      <c r="B273" s="84"/>
      <c r="C273" s="297" t="s">
        <v>42</v>
      </c>
      <c r="D273" s="298">
        <f>'Proposed Rates'!H16</f>
        <v>186.89</v>
      </c>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1.25" customHeight="1">
      <c r="A274" s="296" t="s">
        <v>91</v>
      </c>
      <c r="B274" s="84"/>
      <c r="C274" s="297" t="s">
        <v>69</v>
      </c>
      <c r="D274" s="299">
        <f>'Proposed Rates'!H29</f>
        <v>4.3536999999999999</v>
      </c>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1.25" customHeight="1">
      <c r="A275" s="296" t="s">
        <v>92</v>
      </c>
      <c r="B275" s="84"/>
      <c r="C275" s="297" t="s">
        <v>69</v>
      </c>
      <c r="D275" s="299">
        <f>'Proposed Rates'!H30</f>
        <v>4.2291999999999996</v>
      </c>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1.25" customHeight="1">
      <c r="A276" s="296" t="s">
        <v>93</v>
      </c>
      <c r="B276" s="84"/>
      <c r="C276" s="297" t="s">
        <v>69</v>
      </c>
      <c r="D276" s="299">
        <f>'Proposed Rates'!H31</f>
        <v>4.5858999999999996</v>
      </c>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1.25" customHeight="1">
      <c r="A277" s="73" t="s">
        <v>94</v>
      </c>
      <c r="B277" s="84"/>
      <c r="C277" s="89" t="s">
        <v>69</v>
      </c>
      <c r="D277" s="92">
        <f>'Proposed Rates'!H23</f>
        <v>8.7073</v>
      </c>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1.25" customHeight="1">
      <c r="A278" s="73" t="s">
        <v>95</v>
      </c>
      <c r="B278" s="84"/>
      <c r="C278" s="89" t="s">
        <v>69</v>
      </c>
      <c r="D278" s="92">
        <f>'Proposed Rates'!H24</f>
        <v>8.4582999999999995</v>
      </c>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1.25" customHeight="1">
      <c r="A279" s="73" t="s">
        <v>96</v>
      </c>
      <c r="B279" s="84"/>
      <c r="C279" s="89" t="s">
        <v>69</v>
      </c>
      <c r="D279" s="92">
        <f>'Proposed Rates'!H25</f>
        <v>9.1717999999999993</v>
      </c>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9.5" customHeight="1">
      <c r="A280" s="89"/>
      <c r="B280" s="64"/>
      <c r="C280" s="65"/>
      <c r="D280" s="29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23.25" customHeight="1">
      <c r="A281" s="588" t="str">
        <f>$A$1</f>
        <v>Hydro Ottawa Limited</v>
      </c>
      <c r="B281" s="589"/>
      <c r="C281" s="589"/>
      <c r="D281" s="590"/>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8" customHeight="1">
      <c r="A282" s="591" t="str">
        <f>$A$2</f>
        <v>PROPOSED - TARIFF OF RATES AND CHARGES</v>
      </c>
      <c r="B282" s="589"/>
      <c r="C282" s="589"/>
      <c r="D282" s="590"/>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92" t="str">
        <f>$A$3</f>
        <v>Effective and Implementation Date January 1, 2028</v>
      </c>
      <c r="B283" s="589"/>
      <c r="C283" s="589"/>
      <c r="D283" s="590"/>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1.25" customHeight="1">
      <c r="A284" s="593" t="str">
        <f>$A$4</f>
        <v>This schedule supersedes and replaces all previously</v>
      </c>
      <c r="B284" s="589"/>
      <c r="C284" s="589"/>
      <c r="D284" s="590"/>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1.25" customHeight="1">
      <c r="A285" s="593" t="str">
        <f>$A$5</f>
        <v>approved schedules of Rates, Charges and Loss Factors</v>
      </c>
      <c r="B285" s="589"/>
      <c r="C285" s="589"/>
      <c r="D285" s="590"/>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1.25" customHeight="1">
      <c r="A286" s="594" t="str">
        <f>$A$6</f>
        <v>EB-2024-0115</v>
      </c>
      <c r="B286" s="589"/>
      <c r="C286" s="589"/>
      <c r="D286" s="590"/>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8.75" customHeight="1">
      <c r="A287" s="595" t="s">
        <v>100</v>
      </c>
      <c r="B287" s="589"/>
      <c r="C287" s="589"/>
      <c r="D287" s="590"/>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36" customHeight="1">
      <c r="A288" s="596" t="s">
        <v>101</v>
      </c>
      <c r="B288" s="589"/>
      <c r="C288" s="589"/>
      <c r="D288" s="590"/>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6.75" customHeight="1">
      <c r="A289" s="55"/>
      <c r="B289" s="55"/>
      <c r="C289" s="55"/>
      <c r="D289" s="56"/>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1.25" customHeight="1">
      <c r="A290" s="597" t="s">
        <v>35</v>
      </c>
      <c r="B290" s="589"/>
      <c r="C290" s="589"/>
      <c r="D290" s="590"/>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6.75" customHeight="1">
      <c r="A291" s="57"/>
      <c r="B291" s="58"/>
      <c r="C291" s="58"/>
      <c r="D291" s="59"/>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36" customHeight="1">
      <c r="A292" s="596" t="s">
        <v>36</v>
      </c>
      <c r="B292" s="589"/>
      <c r="C292" s="589"/>
      <c r="D292" s="590"/>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6.75" customHeight="1">
      <c r="A293" s="55"/>
      <c r="B293" s="55"/>
      <c r="C293" s="55"/>
      <c r="D293" s="56"/>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48" customHeight="1">
      <c r="A294" s="596" t="s">
        <v>37</v>
      </c>
      <c r="B294" s="589"/>
      <c r="C294" s="589"/>
      <c r="D294" s="590"/>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6.75" customHeight="1">
      <c r="A295" s="55"/>
      <c r="B295" s="55"/>
      <c r="C295" s="55"/>
      <c r="D295" s="56"/>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48" customHeight="1">
      <c r="A296" s="596" t="s">
        <v>38</v>
      </c>
      <c r="B296" s="589"/>
      <c r="C296" s="589"/>
      <c r="D296" s="590"/>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6.75" customHeight="1">
      <c r="A297" s="55"/>
      <c r="B297" s="55"/>
      <c r="C297" s="55"/>
      <c r="D297" s="56"/>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36" customHeight="1">
      <c r="A298" s="596" t="s">
        <v>39</v>
      </c>
      <c r="B298" s="589"/>
      <c r="C298" s="589"/>
      <c r="D298" s="590"/>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6.75" customHeight="1">
      <c r="A299" s="55"/>
      <c r="B299" s="55"/>
      <c r="C299" s="55"/>
      <c r="D299" s="56"/>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 customHeight="1">
      <c r="A300" s="598" t="s">
        <v>40</v>
      </c>
      <c r="B300" s="589"/>
      <c r="C300" s="589"/>
      <c r="D300" s="590"/>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6.75" customHeight="1">
      <c r="A301" s="60"/>
      <c r="B301" s="61"/>
      <c r="C301" s="61"/>
      <c r="D301" s="62"/>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0.5" customHeight="1">
      <c r="A302" s="63" t="s">
        <v>85</v>
      </c>
      <c r="B302" s="64"/>
      <c r="C302" s="65" t="s">
        <v>42</v>
      </c>
      <c r="D302" s="290">
        <f>'Proposed Rates'!H14</f>
        <v>8.99</v>
      </c>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0.5" customHeight="1">
      <c r="A303" s="63" t="s">
        <v>62</v>
      </c>
      <c r="B303" s="64"/>
      <c r="C303" s="65" t="s">
        <v>69</v>
      </c>
      <c r="D303" s="291">
        <f>'Proposed Rates'!H27</f>
        <v>42.134099999999997</v>
      </c>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0.5" customHeight="1">
      <c r="A304" s="63" t="s">
        <v>47</v>
      </c>
      <c r="B304" s="64"/>
      <c r="C304" s="65" t="s">
        <v>69</v>
      </c>
      <c r="D304" s="293">
        <f>'Proposed Rates'!H273</f>
        <v>4.5199999999999997E-3</v>
      </c>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0.5" customHeight="1">
      <c r="A305" s="63" t="s">
        <v>49</v>
      </c>
      <c r="B305" s="64"/>
      <c r="C305" s="65" t="s">
        <v>69</v>
      </c>
      <c r="D305" s="291">
        <f>'Proposed Rates'!H43</f>
        <v>0</v>
      </c>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0.5" customHeight="1">
      <c r="A306" s="63" t="s">
        <v>45</v>
      </c>
      <c r="B306" s="64"/>
      <c r="C306" s="65" t="s">
        <v>69</v>
      </c>
      <c r="D306" s="291">
        <f>'Proposed Rates'!H70</f>
        <v>0</v>
      </c>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0.5" customHeight="1">
      <c r="A307" s="63" t="s">
        <v>233</v>
      </c>
      <c r="B307" s="64"/>
      <c r="C307" s="65" t="s">
        <v>48</v>
      </c>
      <c r="D307" s="291">
        <f>'Proposed Rates'!H151</f>
        <v>0</v>
      </c>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0.5" customHeight="1">
      <c r="A308" s="63" t="s">
        <v>52</v>
      </c>
      <c r="B308" s="64"/>
      <c r="C308" s="65" t="s">
        <v>69</v>
      </c>
      <c r="D308" s="291">
        <f>'Proposed Rates'!H194</f>
        <v>0.85450000000000004</v>
      </c>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0.5" customHeight="1">
      <c r="A309" s="94" t="s">
        <v>53</v>
      </c>
      <c r="B309" s="64"/>
      <c r="C309" s="95" t="s">
        <v>69</v>
      </c>
      <c r="D309" s="300">
        <f>'Proposed Rates'!H209</f>
        <v>0.48370000000000002</v>
      </c>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6" customHeight="1">
      <c r="A310" s="94"/>
      <c r="B310" s="64"/>
      <c r="C310" s="95"/>
      <c r="D310" s="301"/>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5.75" customHeight="1">
      <c r="A311" s="75" t="s">
        <v>54</v>
      </c>
      <c r="B311" s="64"/>
      <c r="C311" s="65"/>
      <c r="D311" s="29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5.25" customHeight="1">
      <c r="A312" s="60"/>
      <c r="B312" s="65"/>
      <c r="C312" s="65"/>
      <c r="D312" s="29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0.5" customHeight="1">
      <c r="A313" s="63" t="s">
        <v>55</v>
      </c>
      <c r="B313" s="64"/>
      <c r="C313" s="65" t="s">
        <v>48</v>
      </c>
      <c r="D313" s="294">
        <f>$D$34</f>
        <v>4.1000000000000003E-3</v>
      </c>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0.5" customHeight="1">
      <c r="A314" s="63" t="s">
        <v>56</v>
      </c>
      <c r="B314" s="64"/>
      <c r="C314" s="65" t="s">
        <v>48</v>
      </c>
      <c r="D314" s="291">
        <f>'Proposed Rates'!H222-'2026'!D345</f>
        <v>5.9999999999999984E-4</v>
      </c>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0.5" customHeight="1">
      <c r="A315" s="63" t="s">
        <v>57</v>
      </c>
      <c r="B315" s="64"/>
      <c r="C315" s="65" t="s">
        <v>48</v>
      </c>
      <c r="D315" s="291">
        <f>'Proposed Rates'!H235</f>
        <v>5.9999999999999995E-4</v>
      </c>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0.5" customHeight="1">
      <c r="A316" s="63" t="s">
        <v>58</v>
      </c>
      <c r="B316" s="64"/>
      <c r="C316" s="65" t="s">
        <v>42</v>
      </c>
      <c r="D316" s="291">
        <f>'Proposed Rates'!H249</f>
        <v>0.25</v>
      </c>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1.25" customHeight="1">
      <c r="A317" s="63"/>
      <c r="B317" s="64"/>
      <c r="C317" s="65"/>
      <c r="D317" s="7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23.25" customHeight="1">
      <c r="A318" s="588" t="str">
        <f>$A$1</f>
        <v>Hydro Ottawa Limited</v>
      </c>
      <c r="B318" s="589"/>
      <c r="C318" s="589"/>
      <c r="D318" s="590"/>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8" customHeight="1">
      <c r="A319" s="591" t="str">
        <f>$A$2</f>
        <v>PROPOSED - TARIFF OF RATES AND CHARGES</v>
      </c>
      <c r="B319" s="589"/>
      <c r="C319" s="589"/>
      <c r="D319" s="590"/>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92" t="str">
        <f>$A$3</f>
        <v>Effective and Implementation Date January 1, 2028</v>
      </c>
      <c r="B320" s="589"/>
      <c r="C320" s="589"/>
      <c r="D320" s="590"/>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1.25" customHeight="1">
      <c r="A321" s="593" t="str">
        <f>$A$4</f>
        <v>This schedule supersedes and replaces all previously</v>
      </c>
      <c r="B321" s="589"/>
      <c r="C321" s="589"/>
      <c r="D321" s="590"/>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1.25" customHeight="1">
      <c r="A322" s="593" t="str">
        <f>$A$5</f>
        <v>approved schedules of Rates, Charges and Loss Factors</v>
      </c>
      <c r="B322" s="589"/>
      <c r="C322" s="589"/>
      <c r="D322" s="590"/>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1.25" customHeight="1">
      <c r="A323" s="594" t="str">
        <f>$A$6</f>
        <v>EB-2024-0115</v>
      </c>
      <c r="B323" s="589"/>
      <c r="C323" s="589"/>
      <c r="D323" s="590"/>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8.75" customHeight="1">
      <c r="A324" s="595" t="s">
        <v>102</v>
      </c>
      <c r="B324" s="589"/>
      <c r="C324" s="589"/>
      <c r="D324" s="590"/>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60" customHeight="1">
      <c r="A325" s="596" t="s">
        <v>103</v>
      </c>
      <c r="B325" s="589"/>
      <c r="C325" s="589"/>
      <c r="D325" s="590"/>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6.75" customHeight="1">
      <c r="A326" s="55"/>
      <c r="B326" s="55"/>
      <c r="C326" s="55"/>
      <c r="D326" s="56"/>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1.25" customHeight="1">
      <c r="A327" s="597" t="s">
        <v>35</v>
      </c>
      <c r="B327" s="589"/>
      <c r="C327" s="589"/>
      <c r="D327" s="590"/>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6.75" customHeight="1">
      <c r="A328" s="57"/>
      <c r="B328" s="58"/>
      <c r="C328" s="58"/>
      <c r="D328" s="59"/>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36" customHeight="1">
      <c r="A329" s="596" t="s">
        <v>36</v>
      </c>
      <c r="B329" s="589"/>
      <c r="C329" s="589"/>
      <c r="D329" s="590"/>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6.75" customHeight="1">
      <c r="A330" s="55"/>
      <c r="B330" s="55"/>
      <c r="C330" s="55"/>
      <c r="D330" s="56"/>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48" customHeight="1">
      <c r="A331" s="596" t="s">
        <v>37</v>
      </c>
      <c r="B331" s="589"/>
      <c r="C331" s="589"/>
      <c r="D331" s="590"/>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6.75" customHeight="1">
      <c r="A332" s="55"/>
      <c r="B332" s="55"/>
      <c r="C332" s="55"/>
      <c r="D332" s="56"/>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48" customHeight="1">
      <c r="A333" s="596" t="s">
        <v>38</v>
      </c>
      <c r="B333" s="589"/>
      <c r="C333" s="589"/>
      <c r="D333" s="590"/>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6.75" customHeight="1">
      <c r="A334" s="55"/>
      <c r="B334" s="55"/>
      <c r="C334" s="55"/>
      <c r="D334" s="56"/>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36" customHeight="1">
      <c r="A335" s="596" t="s">
        <v>104</v>
      </c>
      <c r="B335" s="589"/>
      <c r="C335" s="589"/>
      <c r="D335" s="590"/>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6.75" customHeight="1">
      <c r="A336" s="55"/>
      <c r="B336" s="55"/>
      <c r="C336" s="55"/>
      <c r="D336" s="56"/>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 customHeight="1">
      <c r="A337" s="598" t="s">
        <v>40</v>
      </c>
      <c r="B337" s="589"/>
      <c r="C337" s="589"/>
      <c r="D337" s="590"/>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6" customHeight="1">
      <c r="A338" s="60"/>
      <c r="B338" s="61"/>
      <c r="C338" s="61"/>
      <c r="D338" s="62"/>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2" customHeight="1">
      <c r="A339" s="63" t="s">
        <v>85</v>
      </c>
      <c r="B339" s="64"/>
      <c r="C339" s="65" t="s">
        <v>42</v>
      </c>
      <c r="D339" s="290">
        <f>'Proposed Rates'!H13</f>
        <v>1.21</v>
      </c>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2" customHeight="1">
      <c r="A340" s="63" t="s">
        <v>62</v>
      </c>
      <c r="B340" s="64"/>
      <c r="C340" s="65" t="s">
        <v>69</v>
      </c>
      <c r="D340" s="291">
        <f>'Proposed Rates'!H26</f>
        <v>8.4370999999999992</v>
      </c>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2" customHeight="1">
      <c r="A341" s="63" t="s">
        <v>47</v>
      </c>
      <c r="B341" s="64"/>
      <c r="C341" s="65" t="s">
        <v>69</v>
      </c>
      <c r="D341" s="293">
        <f>'Proposed Rates'!H272</f>
        <v>1.141E-2</v>
      </c>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2" customHeight="1">
      <c r="A342" s="63" t="s">
        <v>49</v>
      </c>
      <c r="B342" s="64"/>
      <c r="C342" s="65" t="s">
        <v>69</v>
      </c>
      <c r="D342" s="291">
        <f>'Proposed Rates'!H42</f>
        <v>0</v>
      </c>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2" customHeight="1">
      <c r="A343" s="63" t="s">
        <v>45</v>
      </c>
      <c r="B343" s="64"/>
      <c r="C343" s="65" t="s">
        <v>69</v>
      </c>
      <c r="D343" s="291">
        <f>'Proposed Rates'!H69</f>
        <v>0</v>
      </c>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2" customHeight="1">
      <c r="A344" s="63" t="s">
        <v>44</v>
      </c>
      <c r="B344" s="64"/>
      <c r="C344" s="65" t="s">
        <v>69</v>
      </c>
      <c r="D344" s="291">
        <f>'Proposed Rates'!H95</f>
        <v>0</v>
      </c>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2" customHeight="1">
      <c r="A345" s="63" t="s">
        <v>233</v>
      </c>
      <c r="B345" s="64"/>
      <c r="C345" s="65" t="s">
        <v>48</v>
      </c>
      <c r="D345" s="291">
        <f>'Proposed Rates'!H150</f>
        <v>0</v>
      </c>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2" customHeight="1">
      <c r="A346" s="63" t="s">
        <v>52</v>
      </c>
      <c r="B346" s="64"/>
      <c r="C346" s="65" t="s">
        <v>69</v>
      </c>
      <c r="D346" s="291">
        <f>'Proposed Rates'!H193</f>
        <v>2.1576</v>
      </c>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2" customHeight="1">
      <c r="A347" s="63" t="s">
        <v>53</v>
      </c>
      <c r="B347" s="64"/>
      <c r="C347" s="65" t="s">
        <v>69</v>
      </c>
      <c r="D347" s="291">
        <f>'Proposed Rates'!H208</f>
        <v>1.2213000000000001</v>
      </c>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3" customHeight="1">
      <c r="A348" s="65"/>
      <c r="B348" s="65"/>
      <c r="C348" s="65"/>
      <c r="D348" s="29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1.25" customHeight="1">
      <c r="A349" s="75" t="s">
        <v>54</v>
      </c>
      <c r="B349" s="64"/>
      <c r="C349" s="65"/>
      <c r="D349" s="29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3.75" customHeight="1">
      <c r="A350" s="60"/>
      <c r="B350" s="65"/>
      <c r="C350" s="65"/>
      <c r="D350" s="29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2" customHeight="1">
      <c r="A351" s="63" t="s">
        <v>55</v>
      </c>
      <c r="B351" s="64"/>
      <c r="C351" s="65" t="s">
        <v>48</v>
      </c>
      <c r="D351" s="294">
        <f>$D$34</f>
        <v>4.1000000000000003E-3</v>
      </c>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2" customHeight="1">
      <c r="A352" s="63" t="s">
        <v>56</v>
      </c>
      <c r="B352" s="64"/>
      <c r="C352" s="65" t="s">
        <v>48</v>
      </c>
      <c r="D352" s="291">
        <f>'Proposed Rates'!H221-'2026'!D388</f>
        <v>5.9999999999999984E-4</v>
      </c>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2" customHeight="1">
      <c r="A353" s="63" t="s">
        <v>57</v>
      </c>
      <c r="B353" s="64"/>
      <c r="C353" s="65" t="s">
        <v>48</v>
      </c>
      <c r="D353" s="291">
        <f>'Proposed Rates'!H234</f>
        <v>5.9999999999999995E-4</v>
      </c>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2" customHeight="1">
      <c r="A354" s="63" t="s">
        <v>58</v>
      </c>
      <c r="B354" s="64"/>
      <c r="C354" s="65" t="s">
        <v>42</v>
      </c>
      <c r="D354" s="291">
        <f>'Proposed Rates'!H248</f>
        <v>0.25</v>
      </c>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15" customHeight="1">
      <c r="A355" s="65"/>
      <c r="B355" s="64"/>
      <c r="C355" s="65"/>
      <c r="D355" s="7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23.25" customHeight="1">
      <c r="A356" s="588" t="str">
        <f>$A$1</f>
        <v>Hydro Ottawa Limited</v>
      </c>
      <c r="B356" s="589"/>
      <c r="C356" s="589"/>
      <c r="D356" s="590"/>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8" customHeight="1">
      <c r="A357" s="591" t="str">
        <f>$A$2</f>
        <v>PROPOSED - TARIFF OF RATES AND CHARGES</v>
      </c>
      <c r="B357" s="589"/>
      <c r="C357" s="589"/>
      <c r="D357" s="590"/>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92" t="str">
        <f>$A$3</f>
        <v>Effective and Implementation Date January 1, 2028</v>
      </c>
      <c r="B358" s="589"/>
      <c r="C358" s="589"/>
      <c r="D358" s="590"/>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1.25" customHeight="1">
      <c r="A359" s="593" t="str">
        <f>$A$4</f>
        <v>This schedule supersedes and replaces all previously</v>
      </c>
      <c r="B359" s="589"/>
      <c r="C359" s="589"/>
      <c r="D359" s="590"/>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1.25" customHeight="1">
      <c r="A360" s="593" t="str">
        <f>$A$5</f>
        <v>approved schedules of Rates, Charges and Loss Factors</v>
      </c>
      <c r="B360" s="589"/>
      <c r="C360" s="589"/>
      <c r="D360" s="590"/>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1.25" customHeight="1">
      <c r="A361" s="594" t="str">
        <f>$A$6</f>
        <v>EB-2024-0115</v>
      </c>
      <c r="B361" s="589"/>
      <c r="C361" s="589"/>
      <c r="D361" s="590"/>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8.75" customHeight="1">
      <c r="A362" s="595" t="s">
        <v>106</v>
      </c>
      <c r="B362" s="589"/>
      <c r="C362" s="589"/>
      <c r="D362" s="590"/>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36" customHeight="1">
      <c r="A363" s="596" t="s">
        <v>107</v>
      </c>
      <c r="B363" s="589"/>
      <c r="C363" s="589"/>
      <c r="D363" s="590"/>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6.75" customHeight="1">
      <c r="A364" s="55"/>
      <c r="B364" s="55"/>
      <c r="C364" s="55"/>
      <c r="D364" s="56"/>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1.25" customHeight="1">
      <c r="A365" s="597" t="s">
        <v>35</v>
      </c>
      <c r="B365" s="589"/>
      <c r="C365" s="589"/>
      <c r="D365" s="590"/>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6.75" customHeight="1">
      <c r="A366" s="57"/>
      <c r="B366" s="58"/>
      <c r="C366" s="58"/>
      <c r="D366" s="59"/>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36" customHeight="1">
      <c r="A367" s="596" t="s">
        <v>36</v>
      </c>
      <c r="B367" s="589"/>
      <c r="C367" s="589"/>
      <c r="D367" s="590"/>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6.75" customHeight="1">
      <c r="A368" s="55"/>
      <c r="B368" s="55"/>
      <c r="C368" s="55"/>
      <c r="D368" s="56"/>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48" customHeight="1">
      <c r="A369" s="596" t="s">
        <v>37</v>
      </c>
      <c r="B369" s="589"/>
      <c r="C369" s="589"/>
      <c r="D369" s="590"/>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6.75" customHeight="1">
      <c r="A370" s="55"/>
      <c r="B370" s="55"/>
      <c r="C370" s="55"/>
      <c r="D370" s="56"/>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24" customHeight="1">
      <c r="A371" s="596" t="s">
        <v>108</v>
      </c>
      <c r="B371" s="589"/>
      <c r="C371" s="589"/>
      <c r="D371" s="590"/>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6.75" customHeight="1">
      <c r="A372" s="55"/>
      <c r="B372" s="55"/>
      <c r="C372" s="55"/>
      <c r="D372" s="56"/>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36" customHeight="1">
      <c r="A373" s="596" t="s">
        <v>104</v>
      </c>
      <c r="B373" s="589"/>
      <c r="C373" s="589"/>
      <c r="D373" s="590"/>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6.75" customHeight="1">
      <c r="A374" s="55"/>
      <c r="B374" s="55"/>
      <c r="C374" s="55"/>
      <c r="D374" s="56"/>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 customHeight="1">
      <c r="A375" s="598" t="s">
        <v>40</v>
      </c>
      <c r="B375" s="589"/>
      <c r="C375" s="589"/>
      <c r="D375" s="590"/>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6.75" customHeight="1">
      <c r="A376" s="60"/>
      <c r="B376" s="61"/>
      <c r="C376" s="61"/>
      <c r="D376" s="62"/>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1.25" customHeight="1">
      <c r="A377" s="603" t="s">
        <v>41</v>
      </c>
      <c r="B377" s="590"/>
      <c r="C377" s="65" t="s">
        <v>42</v>
      </c>
      <c r="D377" s="98" t="str">
        <f>'Proposed Rates'!H379</f>
        <v>no charge</v>
      </c>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5.25" customHeight="1">
      <c r="A378" s="89"/>
      <c r="B378" s="64"/>
      <c r="C378" s="65"/>
      <c r="D378" s="7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23.25" customHeight="1">
      <c r="A379" s="588" t="str">
        <f>$A$1</f>
        <v>Hydro Ottawa Limited</v>
      </c>
      <c r="B379" s="589"/>
      <c r="C379" s="589"/>
      <c r="D379" s="590"/>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8" customHeight="1">
      <c r="A380" s="591" t="str">
        <f>$A$2</f>
        <v>PROPOSED - TARIFF OF RATES AND CHARGES</v>
      </c>
      <c r="B380" s="589"/>
      <c r="C380" s="589"/>
      <c r="D380" s="590"/>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92" t="str">
        <f>$A$3</f>
        <v>Effective and Implementation Date January 1, 2028</v>
      </c>
      <c r="B381" s="589"/>
      <c r="C381" s="589"/>
      <c r="D381" s="590"/>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1.25" customHeight="1">
      <c r="A382" s="593" t="str">
        <f>$A$4</f>
        <v>This schedule supersedes and replaces all previously</v>
      </c>
      <c r="B382" s="589"/>
      <c r="C382" s="589"/>
      <c r="D382" s="590"/>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1.25" customHeight="1">
      <c r="A383" s="593" t="str">
        <f>$A$5</f>
        <v>approved schedules of Rates, Charges and Loss Factors</v>
      </c>
      <c r="B383" s="589"/>
      <c r="C383" s="589"/>
      <c r="D383" s="590"/>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1.25" customHeight="1">
      <c r="A384" s="594" t="str">
        <f>$A$6</f>
        <v>EB-2024-0115</v>
      </c>
      <c r="B384" s="589"/>
      <c r="C384" s="589"/>
      <c r="D384" s="590"/>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8.75" customHeight="1">
      <c r="A385" s="595" t="s">
        <v>109</v>
      </c>
      <c r="B385" s="589"/>
      <c r="C385" s="589"/>
      <c r="D385" s="590"/>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36" customHeight="1">
      <c r="A386" s="607" t="s">
        <v>110</v>
      </c>
      <c r="B386" s="608"/>
      <c r="C386" s="608"/>
      <c r="D386" s="600"/>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6.75" customHeight="1">
      <c r="A387" s="55"/>
      <c r="B387" s="55"/>
      <c r="C387" s="55"/>
      <c r="D387" s="56"/>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1.25" customHeight="1">
      <c r="A388" s="597" t="s">
        <v>35</v>
      </c>
      <c r="B388" s="589"/>
      <c r="C388" s="589"/>
      <c r="D388" s="590"/>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6.75" customHeight="1">
      <c r="A389" s="57"/>
      <c r="B389" s="58"/>
      <c r="C389" s="58"/>
      <c r="D389" s="59"/>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36" customHeight="1">
      <c r="A390" s="596" t="s">
        <v>36</v>
      </c>
      <c r="B390" s="589"/>
      <c r="C390" s="589"/>
      <c r="D390" s="590"/>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6.75" customHeight="1">
      <c r="A391" s="55"/>
      <c r="B391" s="55"/>
      <c r="C391" s="55"/>
      <c r="D391" s="56"/>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48" customHeight="1">
      <c r="A392" s="596" t="s">
        <v>37</v>
      </c>
      <c r="B392" s="589"/>
      <c r="C392" s="589"/>
      <c r="D392" s="590"/>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6.75" customHeight="1">
      <c r="A393" s="55"/>
      <c r="B393" s="55"/>
      <c r="C393" s="55"/>
      <c r="D393" s="56"/>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24" customHeight="1">
      <c r="A394" s="596" t="s">
        <v>108</v>
      </c>
      <c r="B394" s="589"/>
      <c r="C394" s="589"/>
      <c r="D394" s="590"/>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6.75" customHeight="1">
      <c r="A395" s="55"/>
      <c r="B395" s="55"/>
      <c r="C395" s="55"/>
      <c r="D395" s="56"/>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36" customHeight="1">
      <c r="A396" s="596" t="s">
        <v>104</v>
      </c>
      <c r="B396" s="589"/>
      <c r="C396" s="589"/>
      <c r="D396" s="590"/>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6.75" customHeight="1">
      <c r="A397" s="55"/>
      <c r="B397" s="55"/>
      <c r="C397" s="55"/>
      <c r="D397" s="56"/>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 customHeight="1">
      <c r="A398" s="598" t="s">
        <v>40</v>
      </c>
      <c r="B398" s="589"/>
      <c r="C398" s="589"/>
      <c r="D398" s="590"/>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6.75" customHeight="1">
      <c r="A399" s="60"/>
      <c r="B399" s="61"/>
      <c r="C399" s="61"/>
      <c r="D399" s="62"/>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1.25" customHeight="1">
      <c r="A400" s="603" t="s">
        <v>41</v>
      </c>
      <c r="B400" s="590"/>
      <c r="C400" s="65" t="s">
        <v>42</v>
      </c>
      <c r="D400" s="98">
        <f>'Proposed Rates'!H376</f>
        <v>12</v>
      </c>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6.5" customHeight="1">
      <c r="A401" s="89"/>
      <c r="B401" s="64"/>
      <c r="C401" s="65"/>
      <c r="D401" s="7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23.25" customHeight="1">
      <c r="A402" s="588" t="str">
        <f>$A$1</f>
        <v>Hydro Ottawa Limited</v>
      </c>
      <c r="B402" s="589"/>
      <c r="C402" s="589"/>
      <c r="D402" s="590"/>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8" customHeight="1">
      <c r="A403" s="591" t="str">
        <f>$A$2</f>
        <v>PROPOSED - TARIFF OF RATES AND CHARGES</v>
      </c>
      <c r="B403" s="589"/>
      <c r="C403" s="589"/>
      <c r="D403" s="590"/>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92" t="str">
        <f>$A$3</f>
        <v>Effective and Implementation Date January 1, 2028</v>
      </c>
      <c r="B404" s="589"/>
      <c r="C404" s="589"/>
      <c r="D404" s="590"/>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1.25" customHeight="1">
      <c r="A405" s="593" t="str">
        <f>$A$4</f>
        <v>This schedule supersedes and replaces all previously</v>
      </c>
      <c r="B405" s="589"/>
      <c r="C405" s="589"/>
      <c r="D405" s="590"/>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1.25" customHeight="1">
      <c r="A406" s="593" t="str">
        <f>$A$5</f>
        <v>approved schedules of Rates, Charges and Loss Factors</v>
      </c>
      <c r="B406" s="589"/>
      <c r="C406" s="589"/>
      <c r="D406" s="590"/>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1.25" customHeight="1">
      <c r="A407" s="594" t="str">
        <f>$A$6</f>
        <v>EB-2024-0115</v>
      </c>
      <c r="B407" s="589"/>
      <c r="C407" s="589"/>
      <c r="D407" s="590"/>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8.75" customHeight="1">
      <c r="A408" s="595" t="s">
        <v>111</v>
      </c>
      <c r="B408" s="589"/>
      <c r="C408" s="589"/>
      <c r="D408" s="590"/>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36" customHeight="1">
      <c r="A409" s="607" t="s">
        <v>112</v>
      </c>
      <c r="B409" s="608"/>
      <c r="C409" s="608"/>
      <c r="D409" s="600"/>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6.75" customHeight="1">
      <c r="A410" s="55"/>
      <c r="B410" s="55"/>
      <c r="C410" s="55"/>
      <c r="D410" s="56"/>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1.25" customHeight="1">
      <c r="A411" s="597" t="s">
        <v>35</v>
      </c>
      <c r="B411" s="589"/>
      <c r="C411" s="589"/>
      <c r="D411" s="590"/>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6.75" customHeight="1">
      <c r="A412" s="57"/>
      <c r="B412" s="58"/>
      <c r="C412" s="58"/>
      <c r="D412" s="59"/>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36" customHeight="1">
      <c r="A413" s="596" t="s">
        <v>36</v>
      </c>
      <c r="B413" s="589"/>
      <c r="C413" s="589"/>
      <c r="D413" s="590"/>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6.75" customHeight="1">
      <c r="A414" s="55"/>
      <c r="B414" s="55"/>
      <c r="C414" s="55"/>
      <c r="D414" s="56"/>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48" customHeight="1">
      <c r="A415" s="596" t="s">
        <v>37</v>
      </c>
      <c r="B415" s="589"/>
      <c r="C415" s="589"/>
      <c r="D415" s="590"/>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6.75" customHeight="1">
      <c r="A416" s="55"/>
      <c r="B416" s="55"/>
      <c r="C416" s="55"/>
      <c r="D416" s="56"/>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24" customHeight="1">
      <c r="A417" s="596" t="s">
        <v>108</v>
      </c>
      <c r="B417" s="589"/>
      <c r="C417" s="589"/>
      <c r="D417" s="590"/>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6.75" customHeight="1">
      <c r="A418" s="55"/>
      <c r="B418" s="55"/>
      <c r="C418" s="55"/>
      <c r="D418" s="56"/>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36" customHeight="1">
      <c r="A419" s="596" t="s">
        <v>104</v>
      </c>
      <c r="B419" s="589"/>
      <c r="C419" s="589"/>
      <c r="D419" s="590"/>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6.75" customHeight="1">
      <c r="A420" s="55"/>
      <c r="B420" s="55"/>
      <c r="C420" s="55"/>
      <c r="D420" s="56"/>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 customHeight="1">
      <c r="A421" s="598" t="s">
        <v>40</v>
      </c>
      <c r="B421" s="589"/>
      <c r="C421" s="589"/>
      <c r="D421" s="590"/>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6.75" customHeight="1">
      <c r="A422" s="60"/>
      <c r="B422" s="61"/>
      <c r="C422" s="61"/>
      <c r="D422" s="62"/>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1.25" customHeight="1">
      <c r="A423" s="603" t="s">
        <v>41</v>
      </c>
      <c r="B423" s="590"/>
      <c r="C423" s="65" t="s">
        <v>42</v>
      </c>
      <c r="D423" s="98">
        <f>'Proposed Rates'!H377</f>
        <v>91</v>
      </c>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7.5" customHeight="1">
      <c r="A424" s="89"/>
      <c r="B424" s="64"/>
      <c r="C424" s="65"/>
      <c r="D424" s="7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23.25" customHeight="1">
      <c r="A425" s="588" t="str">
        <f>$A$1</f>
        <v>Hydro Ottawa Limited</v>
      </c>
      <c r="B425" s="589"/>
      <c r="C425" s="589"/>
      <c r="D425" s="590"/>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8" customHeight="1">
      <c r="A426" s="591" t="str">
        <f>$A$2</f>
        <v>PROPOSED - TARIFF OF RATES AND CHARGES</v>
      </c>
      <c r="B426" s="589"/>
      <c r="C426" s="589"/>
      <c r="D426" s="590"/>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92" t="str">
        <f>$A$3</f>
        <v>Effective and Implementation Date January 1, 2028</v>
      </c>
      <c r="B427" s="589"/>
      <c r="C427" s="589"/>
      <c r="D427" s="590"/>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1.25" customHeight="1">
      <c r="A428" s="593" t="str">
        <f>$A$4</f>
        <v>This schedule supersedes and replaces all previously</v>
      </c>
      <c r="B428" s="589"/>
      <c r="C428" s="589"/>
      <c r="D428" s="590"/>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1.25" customHeight="1">
      <c r="A429" s="593" t="str">
        <f>$A$5</f>
        <v>approved schedules of Rates, Charges and Loss Factors</v>
      </c>
      <c r="B429" s="589"/>
      <c r="C429" s="589"/>
      <c r="D429" s="590"/>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1.25" customHeight="1">
      <c r="A430" s="594" t="str">
        <f>$A$6</f>
        <v>EB-2024-0115</v>
      </c>
      <c r="B430" s="589"/>
      <c r="C430" s="589"/>
      <c r="D430" s="590"/>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8.75" customHeight="1">
      <c r="A431" s="595" t="s">
        <v>113</v>
      </c>
      <c r="B431" s="589"/>
      <c r="C431" s="589"/>
      <c r="D431" s="590"/>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36" customHeight="1">
      <c r="A432" s="596" t="s">
        <v>114</v>
      </c>
      <c r="B432" s="589"/>
      <c r="C432" s="589"/>
      <c r="D432" s="590"/>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6.75" customHeight="1">
      <c r="A433" s="55"/>
      <c r="B433" s="55"/>
      <c r="C433" s="55"/>
      <c r="D433" s="56"/>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1.25" customHeight="1">
      <c r="A434" s="597" t="s">
        <v>35</v>
      </c>
      <c r="B434" s="589"/>
      <c r="C434" s="589"/>
      <c r="D434" s="590"/>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6.75" customHeight="1">
      <c r="A435" s="57"/>
      <c r="B435" s="58"/>
      <c r="C435" s="58"/>
      <c r="D435" s="59"/>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36" customHeight="1">
      <c r="A436" s="596" t="s">
        <v>36</v>
      </c>
      <c r="B436" s="589"/>
      <c r="C436" s="589"/>
      <c r="D436" s="590"/>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6.75" customHeight="1">
      <c r="A437" s="55"/>
      <c r="B437" s="55"/>
      <c r="C437" s="55"/>
      <c r="D437" s="56"/>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48" customHeight="1">
      <c r="A438" s="596" t="s">
        <v>37</v>
      </c>
      <c r="B438" s="589"/>
      <c r="C438" s="589"/>
      <c r="D438" s="590"/>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6.75" customHeight="1">
      <c r="A439" s="55"/>
      <c r="B439" s="55"/>
      <c r="C439" s="55"/>
      <c r="D439" s="56"/>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24" customHeight="1">
      <c r="A440" s="596" t="s">
        <v>108</v>
      </c>
      <c r="B440" s="589"/>
      <c r="C440" s="589"/>
      <c r="D440" s="590"/>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6.75" customHeight="1">
      <c r="A441" s="55"/>
      <c r="B441" s="55"/>
      <c r="C441" s="55"/>
      <c r="D441" s="56"/>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36" customHeight="1">
      <c r="A442" s="596" t="s">
        <v>104</v>
      </c>
      <c r="B442" s="589"/>
      <c r="C442" s="589"/>
      <c r="D442" s="590"/>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6.75" customHeight="1">
      <c r="A443" s="55"/>
      <c r="B443" s="55"/>
      <c r="C443" s="55"/>
      <c r="D443" s="56"/>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 customHeight="1">
      <c r="A444" s="598" t="s">
        <v>40</v>
      </c>
      <c r="B444" s="589"/>
      <c r="C444" s="589"/>
      <c r="D444" s="590"/>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6.75" customHeight="1">
      <c r="A445" s="60"/>
      <c r="B445" s="61"/>
      <c r="C445" s="61"/>
      <c r="D445" s="62"/>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1.25" customHeight="1">
      <c r="A446" s="603" t="s">
        <v>41</v>
      </c>
      <c r="B446" s="590"/>
      <c r="C446" s="65" t="s">
        <v>42</v>
      </c>
      <c r="D446" s="98">
        <f>'Proposed Rates'!H378</f>
        <v>277</v>
      </c>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6.75" customHeight="1">
      <c r="A447" s="104"/>
      <c r="B447" s="89"/>
      <c r="C447" s="65"/>
      <c r="D447" s="29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8" customHeight="1">
      <c r="A448" s="105" t="s">
        <v>115</v>
      </c>
      <c r="B448" s="106"/>
      <c r="C448" s="106"/>
      <c r="D448" s="305"/>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1.25" customHeight="1">
      <c r="A449" s="603" t="s">
        <v>116</v>
      </c>
      <c r="B449" s="590"/>
      <c r="C449" s="107" t="s">
        <v>117</v>
      </c>
      <c r="D449" s="294">
        <v>-1</v>
      </c>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2" customHeight="1">
      <c r="A450" s="89"/>
      <c r="B450" s="64"/>
      <c r="C450" s="107"/>
      <c r="D450" s="7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23.25" customHeight="1">
      <c r="A451" s="588" t="str">
        <f>$A$1</f>
        <v>Hydro Ottawa Limited</v>
      </c>
      <c r="B451" s="589"/>
      <c r="C451" s="589"/>
      <c r="D451" s="590"/>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8" customHeight="1">
      <c r="A452" s="591" t="str">
        <f>$A$2</f>
        <v>PROPOSED - TARIFF OF RATES AND CHARGES</v>
      </c>
      <c r="B452" s="589"/>
      <c r="C452" s="589"/>
      <c r="D452" s="590"/>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92" t="str">
        <f>$A$3</f>
        <v>Effective and Implementation Date January 1, 2028</v>
      </c>
      <c r="B453" s="589"/>
      <c r="C453" s="589"/>
      <c r="D453" s="590"/>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1.25" customHeight="1">
      <c r="A454" s="593" t="str">
        <f>$A$4</f>
        <v>This schedule supersedes and replaces all previously</v>
      </c>
      <c r="B454" s="589"/>
      <c r="C454" s="589"/>
      <c r="D454" s="590"/>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1.25" customHeight="1">
      <c r="A455" s="593" t="str">
        <f>$A$5</f>
        <v>approved schedules of Rates, Charges and Loss Factors</v>
      </c>
      <c r="B455" s="589"/>
      <c r="C455" s="589"/>
      <c r="D455" s="590"/>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1.25" customHeight="1">
      <c r="A456" s="594" t="str">
        <f>$A$6</f>
        <v>EB-2024-0115</v>
      </c>
      <c r="B456" s="589"/>
      <c r="C456" s="589"/>
      <c r="D456" s="590"/>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8" customHeight="1">
      <c r="A457" s="105" t="s">
        <v>118</v>
      </c>
      <c r="B457" s="106"/>
      <c r="C457" s="106"/>
      <c r="D457" s="77"/>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6.75" customHeight="1">
      <c r="A458" s="105"/>
      <c r="B458" s="106"/>
      <c r="C458" s="106"/>
      <c r="D458" s="77"/>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1.25" customHeight="1">
      <c r="A459" s="609" t="s">
        <v>35</v>
      </c>
      <c r="B459" s="589"/>
      <c r="C459" s="589"/>
      <c r="D459" s="590"/>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6.75" customHeight="1">
      <c r="A460" s="108"/>
      <c r="B460" s="55"/>
      <c r="C460" s="55"/>
      <c r="D460" s="56"/>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36" customHeight="1">
      <c r="A461" s="596" t="s">
        <v>36</v>
      </c>
      <c r="B461" s="589"/>
      <c r="C461" s="589"/>
      <c r="D461" s="590"/>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6.75" customHeight="1">
      <c r="A462" s="55"/>
      <c r="B462" s="55"/>
      <c r="C462" s="55"/>
      <c r="D462" s="56"/>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48" customHeight="1">
      <c r="A463" s="596" t="s">
        <v>119</v>
      </c>
      <c r="B463" s="589"/>
      <c r="C463" s="589"/>
      <c r="D463" s="590"/>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6.75" customHeight="1">
      <c r="A464" s="55"/>
      <c r="B464" s="55"/>
      <c r="C464" s="55"/>
      <c r="D464" s="56"/>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36" customHeight="1">
      <c r="A465" s="596" t="s">
        <v>39</v>
      </c>
      <c r="B465" s="589"/>
      <c r="C465" s="589"/>
      <c r="D465" s="590"/>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6.75" customHeight="1">
      <c r="A466" s="55"/>
      <c r="B466" s="55"/>
      <c r="C466" s="55"/>
      <c r="D466" s="56"/>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 customHeight="1">
      <c r="A467" s="109" t="s">
        <v>120</v>
      </c>
      <c r="B467" s="106"/>
      <c r="C467" s="106"/>
      <c r="D467" s="77"/>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1.25" customHeight="1">
      <c r="A468" s="63" t="s">
        <v>121</v>
      </c>
      <c r="B468" s="64"/>
      <c r="C468" s="65" t="s">
        <v>42</v>
      </c>
      <c r="D468" s="306">
        <f>'Proposed Rates'!H326</f>
        <v>0</v>
      </c>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1.25" customHeight="1">
      <c r="A469" s="65" t="s">
        <v>122</v>
      </c>
      <c r="B469" s="65"/>
      <c r="C469" s="65" t="s">
        <v>42</v>
      </c>
      <c r="D469" s="306">
        <f>'Proposed Rates'!H327</f>
        <v>30</v>
      </c>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1.25" customHeight="1">
      <c r="A470" s="63" t="s">
        <v>123</v>
      </c>
      <c r="B470" s="64"/>
      <c r="C470" s="65" t="s">
        <v>42</v>
      </c>
      <c r="D470" s="306">
        <f>'Proposed Rates'!H328</f>
        <v>7</v>
      </c>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1.25" customHeight="1">
      <c r="A471" s="63" t="s">
        <v>124</v>
      </c>
      <c r="B471" s="64"/>
      <c r="C471" s="65" t="s">
        <v>42</v>
      </c>
      <c r="D471" s="306">
        <f>'Proposed Rates'!H329</f>
        <v>147</v>
      </c>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1.25" customHeight="1">
      <c r="A472" s="63" t="s">
        <v>125</v>
      </c>
      <c r="B472" s="64"/>
      <c r="C472" s="65" t="s">
        <v>42</v>
      </c>
      <c r="D472" s="306">
        <f>'Proposed Rates'!H330</f>
        <v>20</v>
      </c>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1.25" customHeight="1">
      <c r="A473" s="63" t="s">
        <v>126</v>
      </c>
      <c r="B473" s="64"/>
      <c r="C473" s="65" t="s">
        <v>42</v>
      </c>
      <c r="D473" s="306">
        <f>'Proposed Rates'!H331</f>
        <v>25</v>
      </c>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1.25" customHeight="1">
      <c r="A474" s="63" t="s">
        <v>127</v>
      </c>
      <c r="B474" s="64"/>
      <c r="C474" s="65" t="s">
        <v>42</v>
      </c>
      <c r="D474" s="306">
        <f>'Proposed Rates'!H332</f>
        <v>10</v>
      </c>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1.25" customHeight="1">
      <c r="A475" s="63" t="s">
        <v>128</v>
      </c>
      <c r="B475" s="64"/>
      <c r="C475" s="65" t="s">
        <v>42</v>
      </c>
      <c r="D475" s="306">
        <f>'Proposed Rates'!H335</f>
        <v>382</v>
      </c>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1.25" customHeight="1">
      <c r="A476" s="63" t="s">
        <v>129</v>
      </c>
      <c r="B476" s="64"/>
      <c r="C476" s="65" t="s">
        <v>42</v>
      </c>
      <c r="D476" s="306">
        <f>'Proposed Rates'!H336</f>
        <v>335</v>
      </c>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6.75" customHeight="1">
      <c r="A477" s="65"/>
      <c r="B477" s="65"/>
      <c r="C477" s="65"/>
      <c r="D477" s="29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 customHeight="1">
      <c r="A478" s="109" t="s">
        <v>130</v>
      </c>
      <c r="B478" s="106"/>
      <c r="C478" s="95"/>
      <c r="D478" s="301"/>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22.5" customHeight="1">
      <c r="A479" s="63" t="s">
        <v>131</v>
      </c>
      <c r="B479" s="64"/>
      <c r="C479" s="65" t="s">
        <v>117</v>
      </c>
      <c r="D479" s="307">
        <f>'Proposed Rates'!H339</f>
        <v>1.4999999999999999E-2</v>
      </c>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1.25" customHeight="1">
      <c r="A480" s="63" t="s">
        <v>132</v>
      </c>
      <c r="B480" s="64"/>
      <c r="C480" s="65" t="s">
        <v>42</v>
      </c>
      <c r="D480" s="306">
        <f>'Proposed Rates'!H340</f>
        <v>72</v>
      </c>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1.25" customHeight="1">
      <c r="A481" s="63" t="s">
        <v>133</v>
      </c>
      <c r="B481" s="64"/>
      <c r="C481" s="65" t="s">
        <v>42</v>
      </c>
      <c r="D481" s="306">
        <f>'Proposed Rates'!H341</f>
        <v>98</v>
      </c>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1.25" customHeight="1">
      <c r="A482" s="63" t="s">
        <v>134</v>
      </c>
      <c r="B482" s="64"/>
      <c r="C482" s="65" t="s">
        <v>42</v>
      </c>
      <c r="D482" s="306">
        <f>'Proposed Rates'!H342</f>
        <v>331</v>
      </c>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2" customHeight="1">
      <c r="A483" s="63" t="s">
        <v>135</v>
      </c>
      <c r="B483" s="64"/>
      <c r="C483" s="65" t="s">
        <v>42</v>
      </c>
      <c r="D483" s="306">
        <f>'Proposed Rates'!H343</f>
        <v>500</v>
      </c>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9.75" customHeight="1">
      <c r="A484" s="65"/>
      <c r="B484" s="65"/>
      <c r="C484" s="65"/>
      <c r="D484" s="29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 customHeight="1">
      <c r="A485" s="109" t="s">
        <v>136</v>
      </c>
      <c r="B485" s="106"/>
      <c r="C485" s="95"/>
      <c r="D485" s="29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1.25" customHeight="1">
      <c r="A486" s="63" t="s">
        <v>137</v>
      </c>
      <c r="B486" s="64"/>
      <c r="C486" s="65" t="s">
        <v>42</v>
      </c>
      <c r="D486" s="306">
        <f>'Proposed Rates'!H346</f>
        <v>1125</v>
      </c>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1.25" customHeight="1">
      <c r="A487" s="63" t="s">
        <v>138</v>
      </c>
      <c r="B487" s="64"/>
      <c r="C487" s="65" t="s">
        <v>42</v>
      </c>
      <c r="D487" s="306">
        <f>'Proposed Rates'!H347</f>
        <v>1483</v>
      </c>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1.25" customHeight="1">
      <c r="A488" s="63" t="s">
        <v>139</v>
      </c>
      <c r="B488" s="64"/>
      <c r="C488" s="65" t="s">
        <v>42</v>
      </c>
      <c r="D488" s="306">
        <f>'Proposed Rates'!H348</f>
        <v>5223</v>
      </c>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22.5" customHeight="1">
      <c r="A489" s="63" t="s">
        <v>140</v>
      </c>
      <c r="B489" s="64"/>
      <c r="C489" s="65" t="s">
        <v>42</v>
      </c>
      <c r="D489" s="98">
        <f>'Proposed Rates'!H349</f>
        <v>40.590000000000003</v>
      </c>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1.25" customHeight="1">
      <c r="A490" s="63" t="s">
        <v>141</v>
      </c>
      <c r="B490" s="64"/>
      <c r="C490" s="65"/>
      <c r="D490" s="294" t="str">
        <f>'Proposed Rates'!H350</f>
        <v>Per Attached Table</v>
      </c>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1.25" customHeight="1">
      <c r="A491" s="63" t="s">
        <v>142</v>
      </c>
      <c r="B491" s="64"/>
      <c r="C491" s="65" t="s">
        <v>42</v>
      </c>
      <c r="D491" s="306">
        <f>'Proposed Rates'!H351</f>
        <v>172</v>
      </c>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7.5" customHeight="1">
      <c r="A492" s="603"/>
      <c r="B492" s="590"/>
      <c r="C492" s="65"/>
      <c r="D492" s="7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23.25" customHeight="1">
      <c r="A493" s="588" t="str">
        <f>$A$1</f>
        <v>Hydro Ottawa Limited</v>
      </c>
      <c r="B493" s="589"/>
      <c r="C493" s="589"/>
      <c r="D493" s="590"/>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8" customHeight="1">
      <c r="A494" s="591" t="str">
        <f>$A$2</f>
        <v>PROPOSED - TARIFF OF RATES AND CHARGES</v>
      </c>
      <c r="B494" s="589"/>
      <c r="C494" s="589"/>
      <c r="D494" s="590"/>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92" t="str">
        <f>$A$3</f>
        <v>Effective and Implementation Date January 1, 2028</v>
      </c>
      <c r="B495" s="589"/>
      <c r="C495" s="589"/>
      <c r="D495" s="590"/>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1.25" customHeight="1">
      <c r="A496" s="593" t="str">
        <f>$A$4</f>
        <v>This schedule supersedes and replaces all previously</v>
      </c>
      <c r="B496" s="589"/>
      <c r="C496" s="589"/>
      <c r="D496" s="590"/>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1.25" customHeight="1">
      <c r="A497" s="593" t="str">
        <f>$A$5</f>
        <v>approved schedules of Rates, Charges and Loss Factors</v>
      </c>
      <c r="B497" s="589"/>
      <c r="C497" s="589"/>
      <c r="D497" s="590"/>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1.25" customHeight="1">
      <c r="A498" s="594" t="str">
        <f>$A$6</f>
        <v>EB-2024-0115</v>
      </c>
      <c r="B498" s="589"/>
      <c r="C498" s="589"/>
      <c r="D498" s="590"/>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6.75" customHeight="1">
      <c r="A499" s="105"/>
      <c r="B499" s="106"/>
      <c r="C499" s="106"/>
      <c r="D499" s="77"/>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36" customHeight="1">
      <c r="A500" s="596" t="s">
        <v>144</v>
      </c>
      <c r="B500" s="589"/>
      <c r="C500" s="589"/>
      <c r="D500" s="590"/>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6.75" customHeight="1">
      <c r="A501" s="55"/>
      <c r="B501" s="55"/>
      <c r="C501" s="55"/>
      <c r="D501" s="56"/>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48" customHeight="1">
      <c r="A502" s="596" t="s">
        <v>37</v>
      </c>
      <c r="B502" s="589"/>
      <c r="C502" s="589"/>
      <c r="D502" s="590"/>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6.75" customHeight="1">
      <c r="A503" s="55"/>
      <c r="B503" s="55"/>
      <c r="C503" s="55"/>
      <c r="D503" s="56"/>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24" customHeight="1">
      <c r="A504" s="596" t="s">
        <v>88</v>
      </c>
      <c r="B504" s="589"/>
      <c r="C504" s="589"/>
      <c r="D504" s="590"/>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6.75" customHeight="1">
      <c r="A505" s="55"/>
      <c r="B505" s="55"/>
      <c r="C505" s="55"/>
      <c r="D505" s="56"/>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36" customHeight="1">
      <c r="A506" s="596" t="s">
        <v>39</v>
      </c>
      <c r="B506" s="589"/>
      <c r="C506" s="589"/>
      <c r="D506" s="590"/>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6.75" customHeight="1">
      <c r="A507" s="55"/>
      <c r="B507" s="55"/>
      <c r="C507" s="55"/>
      <c r="D507" s="56"/>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24" customHeight="1">
      <c r="A508" s="596" t="s">
        <v>145</v>
      </c>
      <c r="B508" s="589"/>
      <c r="C508" s="589"/>
      <c r="D508" s="590"/>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6" customHeight="1">
      <c r="A509" s="55"/>
      <c r="B509" s="64"/>
      <c r="C509" s="64"/>
      <c r="D509" s="64"/>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12" customHeight="1">
      <c r="A510" s="63" t="s">
        <v>146</v>
      </c>
      <c r="B510" s="64"/>
      <c r="C510" s="112" t="s">
        <v>42</v>
      </c>
      <c r="D510" s="308">
        <f>'Proposed Rates'!H354</f>
        <v>125.72</v>
      </c>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2" customHeight="1">
      <c r="A511" s="63" t="s">
        <v>147</v>
      </c>
      <c r="B511" s="64"/>
      <c r="C511" s="112" t="s">
        <v>42</v>
      </c>
      <c r="D511" s="308">
        <f>'Proposed Rates'!H355</f>
        <v>50.29</v>
      </c>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2" customHeight="1">
      <c r="A512" s="63" t="s">
        <v>148</v>
      </c>
      <c r="B512" s="64"/>
      <c r="C512" s="112" t="s">
        <v>149</v>
      </c>
      <c r="D512" s="308">
        <f>'Proposed Rates'!H356</f>
        <v>1.24</v>
      </c>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2" customHeight="1">
      <c r="A513" s="63" t="s">
        <v>150</v>
      </c>
      <c r="B513" s="64"/>
      <c r="C513" s="112" t="s">
        <v>149</v>
      </c>
      <c r="D513" s="308">
        <f>'Proposed Rates'!H357</f>
        <v>0.74</v>
      </c>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2" customHeight="1">
      <c r="A514" s="63" t="s">
        <v>151</v>
      </c>
      <c r="B514" s="64"/>
      <c r="C514" s="112" t="s">
        <v>149</v>
      </c>
      <c r="D514" s="308">
        <f>'Proposed Rates'!H358</f>
        <v>-0.74</v>
      </c>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2" customHeight="1">
      <c r="A515" s="63" t="s">
        <v>152</v>
      </c>
      <c r="B515" s="64"/>
      <c r="C515" s="63"/>
      <c r="D515" s="308"/>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2" customHeight="1">
      <c r="A516" s="63" t="s">
        <v>153</v>
      </c>
      <c r="B516" s="64"/>
      <c r="C516" s="112" t="s">
        <v>42</v>
      </c>
      <c r="D516" s="308">
        <f>'Proposed Rates'!H360</f>
        <v>0.63</v>
      </c>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2" customHeight="1">
      <c r="A517" s="63" t="s">
        <v>154</v>
      </c>
      <c r="B517" s="64"/>
      <c r="C517" s="112" t="s">
        <v>42</v>
      </c>
      <c r="D517" s="308">
        <f>'Proposed Rates'!H361</f>
        <v>1.24</v>
      </c>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4.5" customHeight="1">
      <c r="A518" s="63"/>
      <c r="B518" s="64"/>
      <c r="C518" s="112"/>
      <c r="D518" s="308"/>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12" customHeight="1">
      <c r="A519" s="63" t="s">
        <v>155</v>
      </c>
      <c r="B519" s="64"/>
      <c r="C519" s="115"/>
      <c r="D519" s="308"/>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2" customHeight="1">
      <c r="A520" s="63" t="s">
        <v>156</v>
      </c>
      <c r="B520" s="64"/>
      <c r="C520" s="115"/>
      <c r="D520" s="308"/>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2" customHeight="1">
      <c r="A521" s="63" t="s">
        <v>157</v>
      </c>
      <c r="B521" s="64"/>
      <c r="C521" s="115"/>
      <c r="D521" s="308"/>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2" customHeight="1">
      <c r="A522" s="63" t="s">
        <v>158</v>
      </c>
      <c r="B522" s="64"/>
      <c r="C522" s="112" t="s">
        <v>42</v>
      </c>
      <c r="D522" s="308" t="str">
        <f>'Proposed Rates'!H365</f>
        <v>no charge</v>
      </c>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2" customHeight="1">
      <c r="A523" s="63" t="s">
        <v>159</v>
      </c>
      <c r="B523" s="64"/>
      <c r="C523" s="112" t="s">
        <v>42</v>
      </c>
      <c r="D523" s="308">
        <f>'Proposed Rates'!H366</f>
        <v>5.03</v>
      </c>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4.5" customHeight="1">
      <c r="A524" s="63"/>
      <c r="B524" s="64"/>
      <c r="C524" s="112"/>
      <c r="D524" s="308"/>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12" customHeight="1">
      <c r="A525" s="63" t="s">
        <v>160</v>
      </c>
      <c r="B525" s="64"/>
      <c r="C525" s="115"/>
      <c r="D525" s="308"/>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2" customHeight="1">
      <c r="A526" s="63" t="s">
        <v>161</v>
      </c>
      <c r="B526" s="64"/>
      <c r="C526" s="112" t="s">
        <v>42</v>
      </c>
      <c r="D526" s="308">
        <f>'Proposed Rates'!H368</f>
        <v>2.5099999999999998</v>
      </c>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0.5" customHeight="1">
      <c r="A527" s="73"/>
      <c r="B527" s="73"/>
      <c r="C527" s="112"/>
      <c r="D527" s="97"/>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23.25" customHeight="1">
      <c r="A528" s="588" t="str">
        <f>$A$1</f>
        <v>Hydro Ottawa Limited</v>
      </c>
      <c r="B528" s="589"/>
      <c r="C528" s="589"/>
      <c r="D528" s="590"/>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18" customHeight="1">
      <c r="A529" s="591" t="str">
        <f>$A$2</f>
        <v>PROPOSED - TARIFF OF RATES AND CHARGES</v>
      </c>
      <c r="B529" s="589"/>
      <c r="C529" s="589"/>
      <c r="D529" s="590"/>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92" t="str">
        <f>$A$3</f>
        <v>Effective and Implementation Date January 1, 2028</v>
      </c>
      <c r="B530" s="589"/>
      <c r="C530" s="589"/>
      <c r="D530" s="590"/>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1.25" customHeight="1">
      <c r="A531" s="593" t="str">
        <f>$A$4</f>
        <v>This schedule supersedes and replaces all previously</v>
      </c>
      <c r="B531" s="589"/>
      <c r="C531" s="589"/>
      <c r="D531" s="590"/>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1.25" customHeight="1">
      <c r="A532" s="593" t="str">
        <f>$A$5</f>
        <v>approved schedules of Rates, Charges and Loss Factors</v>
      </c>
      <c r="B532" s="589"/>
      <c r="C532" s="589"/>
      <c r="D532" s="590"/>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1.25" customHeight="1">
      <c r="A533" s="594" t="str">
        <f>$A$6</f>
        <v>EB-2024-0115</v>
      </c>
      <c r="B533" s="589"/>
      <c r="C533" s="589"/>
      <c r="D533" s="590"/>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5" customHeight="1">
      <c r="A534" s="116" t="s">
        <v>162</v>
      </c>
      <c r="B534" s="116"/>
      <c r="C534" s="117"/>
      <c r="D534" s="118"/>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6.75" customHeight="1">
      <c r="A535" s="116"/>
      <c r="B535" s="116"/>
      <c r="C535" s="117"/>
      <c r="D535" s="118"/>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22.5" customHeight="1">
      <c r="A536" s="610" t="s">
        <v>163</v>
      </c>
      <c r="B536" s="589"/>
      <c r="C536" s="589"/>
      <c r="D536" s="590"/>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11.25" customHeight="1">
      <c r="A537" s="603" t="s">
        <v>164</v>
      </c>
      <c r="B537" s="589"/>
      <c r="C537" s="590"/>
      <c r="D537" s="294">
        <f>'Proposed Rates'!H319</f>
        <v>1.0331999999999999</v>
      </c>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1.25" customHeight="1">
      <c r="A538" s="603" t="s">
        <v>165</v>
      </c>
      <c r="B538" s="589"/>
      <c r="C538" s="590"/>
      <c r="D538" s="291">
        <f>'Proposed Rates'!H320</f>
        <v>1.0149999999999999</v>
      </c>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1.25" customHeight="1">
      <c r="A539" s="603" t="s">
        <v>166</v>
      </c>
      <c r="B539" s="589"/>
      <c r="C539" s="590"/>
      <c r="D539" s="294">
        <f>'Proposed Rates'!H321</f>
        <v>1.0227999999999999</v>
      </c>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1.25" customHeight="1">
      <c r="A540" s="603" t="s">
        <v>167</v>
      </c>
      <c r="B540" s="589"/>
      <c r="C540" s="590"/>
      <c r="D540" s="294">
        <f>'Proposed Rates'!H322</f>
        <v>1.0047999999999999</v>
      </c>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27.5" customHeight="1">
      <c r="A541" s="54"/>
      <c r="B541" s="54"/>
      <c r="C541" s="54"/>
      <c r="D541" s="119"/>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27.5" customHeight="1">
      <c r="A542" s="54"/>
      <c r="B542" s="54"/>
      <c r="C542" s="54"/>
      <c r="D542" s="119"/>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27.5" customHeight="1">
      <c r="A543" s="54"/>
      <c r="B543" s="54"/>
      <c r="C543" s="54"/>
      <c r="D543" s="119"/>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27.5" customHeight="1">
      <c r="A544" s="54"/>
      <c r="B544" s="54"/>
      <c r="C544" s="54"/>
      <c r="D544" s="119"/>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27.5" customHeight="1">
      <c r="A545" s="54"/>
      <c r="B545" s="54"/>
      <c r="C545" s="54"/>
      <c r="D545" s="119"/>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27.5" customHeight="1">
      <c r="A546" s="54"/>
      <c r="B546" s="54"/>
      <c r="C546" s="54"/>
      <c r="D546" s="119"/>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27.5" customHeight="1">
      <c r="A547" s="54"/>
      <c r="B547" s="54"/>
      <c r="C547" s="54"/>
      <c r="D547" s="119"/>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27.5" customHeight="1">
      <c r="A548" s="54"/>
      <c r="B548" s="54"/>
      <c r="C548" s="54"/>
      <c r="D548" s="119"/>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27.5" customHeight="1">
      <c r="A549" s="54"/>
      <c r="B549" s="54"/>
      <c r="C549" s="54"/>
      <c r="D549" s="119"/>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27.5" customHeight="1">
      <c r="A550" s="54"/>
      <c r="B550" s="54"/>
      <c r="C550" s="54"/>
      <c r="D550" s="119"/>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27.5" customHeight="1">
      <c r="A551" s="54"/>
      <c r="B551" s="54"/>
      <c r="C551" s="54"/>
      <c r="D551" s="119"/>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27.5" customHeight="1">
      <c r="A552" s="54"/>
      <c r="B552" s="54"/>
      <c r="C552" s="54"/>
      <c r="D552" s="119"/>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27.5" customHeight="1">
      <c r="A553" s="54"/>
      <c r="B553" s="54"/>
      <c r="C553" s="54"/>
      <c r="D553" s="119"/>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27.5" customHeight="1">
      <c r="A554" s="54"/>
      <c r="B554" s="54"/>
      <c r="C554" s="54"/>
      <c r="D554" s="119"/>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27.5" customHeight="1">
      <c r="A555" s="54"/>
      <c r="B555" s="54"/>
      <c r="C555" s="54"/>
      <c r="D555" s="119"/>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27.5" customHeight="1">
      <c r="A556" s="54"/>
      <c r="B556" s="54"/>
      <c r="C556" s="54"/>
      <c r="D556" s="119"/>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27.5" customHeight="1">
      <c r="A557" s="54"/>
      <c r="B557" s="54"/>
      <c r="C557" s="54"/>
      <c r="D557" s="119"/>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27.5" customHeight="1">
      <c r="A558" s="54"/>
      <c r="B558" s="54"/>
      <c r="C558" s="54"/>
      <c r="D558" s="119"/>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27.5" customHeight="1">
      <c r="A559" s="54"/>
      <c r="B559" s="54"/>
      <c r="C559" s="54"/>
      <c r="D559" s="119"/>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27.5" customHeight="1">
      <c r="A560" s="54"/>
      <c r="B560" s="54"/>
      <c r="C560" s="54"/>
      <c r="D560" s="119"/>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27.5" customHeight="1">
      <c r="A561" s="54"/>
      <c r="B561" s="54"/>
      <c r="C561" s="54"/>
      <c r="D561" s="119"/>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27.5" customHeight="1">
      <c r="A562" s="54"/>
      <c r="B562" s="54"/>
      <c r="C562" s="54"/>
      <c r="D562" s="119"/>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27.5" customHeight="1">
      <c r="A563" s="54"/>
      <c r="B563" s="54"/>
      <c r="C563" s="54"/>
      <c r="D563" s="119"/>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27.5" customHeight="1">
      <c r="A564" s="54"/>
      <c r="B564" s="54"/>
      <c r="C564" s="54"/>
      <c r="D564" s="119"/>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27.5" customHeight="1">
      <c r="A565" s="54"/>
      <c r="B565" s="54"/>
      <c r="C565" s="54"/>
      <c r="D565" s="119"/>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27.5" customHeight="1">
      <c r="A566" s="54"/>
      <c r="B566" s="54"/>
      <c r="C566" s="54"/>
      <c r="D566" s="119"/>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27.5" customHeight="1">
      <c r="A567" s="54"/>
      <c r="B567" s="54"/>
      <c r="C567" s="54"/>
      <c r="D567" s="119"/>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27.5" customHeight="1">
      <c r="A568" s="54"/>
      <c r="B568" s="54"/>
      <c r="C568" s="54"/>
      <c r="D568" s="119"/>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27.5" customHeight="1">
      <c r="A569" s="54"/>
      <c r="B569" s="54"/>
      <c r="C569" s="54"/>
      <c r="D569" s="119"/>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27.5" customHeight="1">
      <c r="A570" s="54"/>
      <c r="B570" s="54"/>
      <c r="C570" s="54"/>
      <c r="D570" s="119"/>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27.5" customHeight="1">
      <c r="A571" s="54"/>
      <c r="B571" s="54"/>
      <c r="C571" s="54"/>
      <c r="D571" s="119"/>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27.5" customHeight="1">
      <c r="A572" s="54"/>
      <c r="B572" s="54"/>
      <c r="C572" s="54"/>
      <c r="D572" s="119"/>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27.5" customHeight="1">
      <c r="A573" s="54"/>
      <c r="B573" s="54"/>
      <c r="C573" s="54"/>
      <c r="D573" s="119"/>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27.5" customHeight="1">
      <c r="A574" s="54"/>
      <c r="B574" s="54"/>
      <c r="C574" s="54"/>
      <c r="D574" s="119"/>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27.5" customHeight="1">
      <c r="A575" s="54"/>
      <c r="B575" s="54"/>
      <c r="C575" s="54"/>
      <c r="D575" s="119"/>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27.5" customHeight="1">
      <c r="A576" s="54"/>
      <c r="B576" s="54"/>
      <c r="C576" s="54"/>
      <c r="D576" s="119"/>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27.5" customHeight="1">
      <c r="A577" s="54"/>
      <c r="B577" s="54"/>
      <c r="C577" s="54"/>
      <c r="D577" s="119"/>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27.5" customHeight="1">
      <c r="A578" s="54"/>
      <c r="B578" s="54"/>
      <c r="C578" s="54"/>
      <c r="D578" s="119"/>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27.5" customHeight="1">
      <c r="A579" s="54"/>
      <c r="B579" s="54"/>
      <c r="C579" s="54"/>
      <c r="D579" s="119"/>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27.5" customHeight="1">
      <c r="A580" s="54"/>
      <c r="B580" s="54"/>
      <c r="C580" s="54"/>
      <c r="D580" s="119"/>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27.5" customHeight="1">
      <c r="A581" s="54"/>
      <c r="B581" s="54"/>
      <c r="C581" s="54"/>
      <c r="D581" s="119"/>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27.5" customHeight="1">
      <c r="A582" s="54"/>
      <c r="B582" s="54"/>
      <c r="C582" s="54"/>
      <c r="D582" s="119"/>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27.5" customHeight="1">
      <c r="A583" s="54"/>
      <c r="B583" s="54"/>
      <c r="C583" s="54"/>
      <c r="D583" s="119"/>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27.5" customHeight="1">
      <c r="A584" s="54"/>
      <c r="B584" s="54"/>
      <c r="C584" s="54"/>
      <c r="D584" s="119"/>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27.5" customHeight="1">
      <c r="A585" s="54"/>
      <c r="B585" s="54"/>
      <c r="C585" s="54"/>
      <c r="D585" s="119"/>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27.5" customHeight="1">
      <c r="A586" s="54"/>
      <c r="B586" s="54"/>
      <c r="C586" s="54"/>
      <c r="D586" s="119"/>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27.5" customHeight="1">
      <c r="A587" s="54"/>
      <c r="B587" s="54"/>
      <c r="C587" s="54"/>
      <c r="D587" s="119"/>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27.5" customHeight="1">
      <c r="A588" s="54"/>
      <c r="B588" s="54"/>
      <c r="C588" s="54"/>
      <c r="D588" s="119"/>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27.5" customHeight="1">
      <c r="A589" s="54"/>
      <c r="B589" s="54"/>
      <c r="C589" s="54"/>
      <c r="D589" s="119"/>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27.5" customHeight="1">
      <c r="A590" s="54"/>
      <c r="B590" s="54"/>
      <c r="C590" s="54"/>
      <c r="D590" s="119"/>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27.5" customHeight="1">
      <c r="A591" s="54"/>
      <c r="B591" s="54"/>
      <c r="C591" s="54"/>
      <c r="D591" s="119"/>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27.5" customHeight="1">
      <c r="A592" s="54"/>
      <c r="B592" s="54"/>
      <c r="C592" s="54"/>
      <c r="D592" s="119"/>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27.5" customHeight="1">
      <c r="A593" s="54"/>
      <c r="B593" s="54"/>
      <c r="C593" s="54"/>
      <c r="D593" s="119"/>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27.5" customHeight="1">
      <c r="A594" s="54"/>
      <c r="B594" s="54"/>
      <c r="C594" s="54"/>
      <c r="D594" s="119"/>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27.5" customHeight="1">
      <c r="A595" s="54"/>
      <c r="B595" s="54"/>
      <c r="C595" s="54"/>
      <c r="D595" s="119"/>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27.5" customHeight="1">
      <c r="A596" s="54"/>
      <c r="B596" s="54"/>
      <c r="C596" s="54"/>
      <c r="D596" s="119"/>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27.5" customHeight="1">
      <c r="A597" s="54"/>
      <c r="B597" s="54"/>
      <c r="C597" s="54"/>
      <c r="D597" s="119"/>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27.5" customHeight="1">
      <c r="A598" s="54"/>
      <c r="B598" s="54"/>
      <c r="C598" s="54"/>
      <c r="D598" s="119"/>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27.5" customHeight="1">
      <c r="A599" s="54"/>
      <c r="B599" s="54"/>
      <c r="C599" s="54"/>
      <c r="D599" s="119"/>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27.5" customHeight="1">
      <c r="A600" s="54"/>
      <c r="B600" s="54"/>
      <c r="C600" s="54"/>
      <c r="D600" s="119"/>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27.5" customHeight="1">
      <c r="A601" s="54"/>
      <c r="B601" s="54"/>
      <c r="C601" s="54"/>
      <c r="D601" s="119"/>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27.5" customHeight="1">
      <c r="A602" s="54"/>
      <c r="B602" s="54"/>
      <c r="C602" s="54"/>
      <c r="D602" s="119"/>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27.5" customHeight="1">
      <c r="A603" s="54"/>
      <c r="B603" s="54"/>
      <c r="C603" s="54"/>
      <c r="D603" s="119"/>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27.5" customHeight="1">
      <c r="A604" s="54"/>
      <c r="B604" s="54"/>
      <c r="C604" s="54"/>
      <c r="D604" s="119"/>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27.5" customHeight="1">
      <c r="A605" s="54"/>
      <c r="B605" s="54"/>
      <c r="C605" s="54"/>
      <c r="D605" s="119"/>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27.5" customHeight="1">
      <c r="A606" s="54"/>
      <c r="B606" s="54"/>
      <c r="C606" s="54"/>
      <c r="D606" s="119"/>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27.5" customHeight="1">
      <c r="A607" s="54"/>
      <c r="B607" s="54"/>
      <c r="C607" s="54"/>
      <c r="D607" s="119"/>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27.5" customHeight="1">
      <c r="A608" s="54"/>
      <c r="B608" s="54"/>
      <c r="C608" s="54"/>
      <c r="D608" s="119"/>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27.5" customHeight="1">
      <c r="A609" s="54"/>
      <c r="B609" s="54"/>
      <c r="C609" s="54"/>
      <c r="D609" s="119"/>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27.5" customHeight="1">
      <c r="A610" s="54"/>
      <c r="B610" s="54"/>
      <c r="C610" s="54"/>
      <c r="D610" s="119"/>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27.5" customHeight="1">
      <c r="A611" s="54"/>
      <c r="B611" s="54"/>
      <c r="C611" s="54"/>
      <c r="D611" s="119"/>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27.5" customHeight="1">
      <c r="A612" s="54"/>
      <c r="B612" s="54"/>
      <c r="C612" s="54"/>
      <c r="D612" s="119"/>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27.5" customHeight="1">
      <c r="A613" s="54"/>
      <c r="B613" s="54"/>
      <c r="C613" s="54"/>
      <c r="D613" s="119"/>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27.5" customHeight="1">
      <c r="A614" s="54"/>
      <c r="B614" s="54"/>
      <c r="C614" s="54"/>
      <c r="D614" s="119"/>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27.5" customHeight="1">
      <c r="A615" s="54"/>
      <c r="B615" s="54"/>
      <c r="C615" s="54"/>
      <c r="D615" s="119"/>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27.5" customHeight="1">
      <c r="A616" s="54"/>
      <c r="B616" s="54"/>
      <c r="C616" s="54"/>
      <c r="D616" s="119"/>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27.5" customHeight="1">
      <c r="A617" s="54"/>
      <c r="B617" s="54"/>
      <c r="C617" s="54"/>
      <c r="D617" s="119"/>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27.5" customHeight="1">
      <c r="A618" s="54"/>
      <c r="B618" s="54"/>
      <c r="C618" s="54"/>
      <c r="D618" s="119"/>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27.5" customHeight="1">
      <c r="A619" s="54"/>
      <c r="B619" s="54"/>
      <c r="C619" s="54"/>
      <c r="D619" s="119"/>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27.5" customHeight="1">
      <c r="A620" s="54"/>
      <c r="B620" s="54"/>
      <c r="C620" s="54"/>
      <c r="D620" s="119"/>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27.5" customHeight="1">
      <c r="A621" s="54"/>
      <c r="B621" s="54"/>
      <c r="C621" s="54"/>
      <c r="D621" s="119"/>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27.5" customHeight="1">
      <c r="A622" s="54"/>
      <c r="B622" s="54"/>
      <c r="C622" s="54"/>
      <c r="D622" s="119"/>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27.5" customHeight="1">
      <c r="A623" s="54"/>
      <c r="B623" s="54"/>
      <c r="C623" s="54"/>
      <c r="D623" s="119"/>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27.5" customHeight="1">
      <c r="A624" s="54"/>
      <c r="B624" s="54"/>
      <c r="C624" s="54"/>
      <c r="D624" s="119"/>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27.5" customHeight="1">
      <c r="A625" s="54"/>
      <c r="B625" s="54"/>
      <c r="C625" s="54"/>
      <c r="D625" s="119"/>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27.5" customHeight="1">
      <c r="A626" s="54"/>
      <c r="B626" s="54"/>
      <c r="C626" s="54"/>
      <c r="D626" s="119"/>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27.5" customHeight="1">
      <c r="A627" s="54"/>
      <c r="B627" s="54"/>
      <c r="C627" s="54"/>
      <c r="D627" s="119"/>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27.5" customHeight="1">
      <c r="A628" s="54"/>
      <c r="B628" s="54"/>
      <c r="C628" s="54"/>
      <c r="D628" s="119"/>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27.5" customHeight="1">
      <c r="A629" s="54"/>
      <c r="B629" s="54"/>
      <c r="C629" s="54"/>
      <c r="D629" s="119"/>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27.5" customHeight="1">
      <c r="A630" s="54"/>
      <c r="B630" s="54"/>
      <c r="C630" s="54"/>
      <c r="D630" s="119"/>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27.5" customHeight="1">
      <c r="A631" s="54"/>
      <c r="B631" s="54"/>
      <c r="C631" s="54"/>
      <c r="D631" s="119"/>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27.5" customHeight="1">
      <c r="A632" s="54"/>
      <c r="B632" s="54"/>
      <c r="C632" s="54"/>
      <c r="D632" s="119"/>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27.5" customHeight="1">
      <c r="A633" s="54"/>
      <c r="B633" s="54"/>
      <c r="C633" s="54"/>
      <c r="D633" s="119"/>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27.5" customHeight="1">
      <c r="A634" s="54"/>
      <c r="B634" s="54"/>
      <c r="C634" s="54"/>
      <c r="D634" s="119"/>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27.5" customHeight="1">
      <c r="A635" s="54"/>
      <c r="B635" s="54"/>
      <c r="C635" s="54"/>
      <c r="D635" s="119"/>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27.5" customHeight="1">
      <c r="A636" s="54"/>
      <c r="B636" s="54"/>
      <c r="C636" s="54"/>
      <c r="D636" s="119"/>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27.5" customHeight="1">
      <c r="A637" s="54"/>
      <c r="B637" s="54"/>
      <c r="C637" s="54"/>
      <c r="D637" s="119"/>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27.5" customHeight="1">
      <c r="A638" s="54"/>
      <c r="B638" s="54"/>
      <c r="C638" s="54"/>
      <c r="D638" s="119"/>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27.5" customHeight="1">
      <c r="A639" s="54"/>
      <c r="B639" s="54"/>
      <c r="C639" s="54"/>
      <c r="D639" s="119"/>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27.5" customHeight="1">
      <c r="A640" s="54"/>
      <c r="B640" s="54"/>
      <c r="C640" s="54"/>
      <c r="D640" s="119"/>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27.5" customHeight="1">
      <c r="A641" s="54"/>
      <c r="B641" s="54"/>
      <c r="C641" s="54"/>
      <c r="D641" s="119"/>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27.5" customHeight="1">
      <c r="A642" s="54"/>
      <c r="B642" s="54"/>
      <c r="C642" s="54"/>
      <c r="D642" s="119"/>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27.5" customHeight="1">
      <c r="A643" s="54"/>
      <c r="B643" s="54"/>
      <c r="C643" s="54"/>
      <c r="D643" s="119"/>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27.5" customHeight="1">
      <c r="A644" s="54"/>
      <c r="B644" s="54"/>
      <c r="C644" s="54"/>
      <c r="D644" s="119"/>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27.5" customHeight="1">
      <c r="A645" s="54"/>
      <c r="B645" s="54"/>
      <c r="C645" s="54"/>
      <c r="D645" s="119"/>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27.5" customHeight="1">
      <c r="A646" s="54"/>
      <c r="B646" s="54"/>
      <c r="C646" s="54"/>
      <c r="D646" s="119"/>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27.5" customHeight="1">
      <c r="A647" s="54"/>
      <c r="B647" s="54"/>
      <c r="C647" s="54"/>
      <c r="D647" s="119"/>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27.5" customHeight="1">
      <c r="A648" s="54"/>
      <c r="B648" s="54"/>
      <c r="C648" s="54"/>
      <c r="D648" s="119"/>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27.5" customHeight="1">
      <c r="A649" s="54"/>
      <c r="B649" s="54"/>
      <c r="C649" s="54"/>
      <c r="D649" s="119"/>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27.5" customHeight="1">
      <c r="A650" s="54"/>
      <c r="B650" s="54"/>
      <c r="C650" s="54"/>
      <c r="D650" s="119"/>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27.5" customHeight="1">
      <c r="A651" s="54"/>
      <c r="B651" s="54"/>
      <c r="C651" s="54"/>
      <c r="D651" s="119"/>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27.5" customHeight="1">
      <c r="A652" s="54"/>
      <c r="B652" s="54"/>
      <c r="C652" s="54"/>
      <c r="D652" s="119"/>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27.5" customHeight="1">
      <c r="A653" s="54"/>
      <c r="B653" s="54"/>
      <c r="C653" s="54"/>
      <c r="D653" s="119"/>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27.5" customHeight="1">
      <c r="A654" s="54"/>
      <c r="B654" s="54"/>
      <c r="C654" s="54"/>
      <c r="D654" s="119"/>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27.5" customHeight="1">
      <c r="A655" s="54"/>
      <c r="B655" s="54"/>
      <c r="C655" s="54"/>
      <c r="D655" s="119"/>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27.5" customHeight="1">
      <c r="A656" s="54"/>
      <c r="B656" s="54"/>
      <c r="C656" s="54"/>
      <c r="D656" s="119"/>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27.5" customHeight="1">
      <c r="A657" s="54"/>
      <c r="B657" s="54"/>
      <c r="C657" s="54"/>
      <c r="D657" s="119"/>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27.5" customHeight="1">
      <c r="A658" s="54"/>
      <c r="B658" s="54"/>
      <c r="C658" s="54"/>
      <c r="D658" s="119"/>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27.5" customHeight="1">
      <c r="A659" s="54"/>
      <c r="B659" s="54"/>
      <c r="C659" s="54"/>
      <c r="D659" s="119"/>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27.5" customHeight="1">
      <c r="A660" s="54"/>
      <c r="B660" s="54"/>
      <c r="C660" s="54"/>
      <c r="D660" s="119"/>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27.5" customHeight="1">
      <c r="A661" s="54"/>
      <c r="B661" s="54"/>
      <c r="C661" s="54"/>
      <c r="D661" s="119"/>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27.5" customHeight="1">
      <c r="A662" s="54"/>
      <c r="B662" s="54"/>
      <c r="C662" s="54"/>
      <c r="D662" s="119"/>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27.5" customHeight="1">
      <c r="A663" s="54"/>
      <c r="B663" s="54"/>
      <c r="C663" s="54"/>
      <c r="D663" s="119"/>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27.5" customHeight="1">
      <c r="A664" s="54"/>
      <c r="B664" s="54"/>
      <c r="C664" s="54"/>
      <c r="D664" s="119"/>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27.5" customHeight="1">
      <c r="A665" s="54"/>
      <c r="B665" s="54"/>
      <c r="C665" s="54"/>
      <c r="D665" s="119"/>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27.5" customHeight="1">
      <c r="A666" s="54"/>
      <c r="B666" s="54"/>
      <c r="C666" s="54"/>
      <c r="D666" s="119"/>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5.75" customHeight="1">
      <c r="A667" s="54"/>
      <c r="B667" s="54"/>
      <c r="C667" s="54"/>
      <c r="D667" s="119"/>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119"/>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119"/>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119"/>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119"/>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119"/>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119"/>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119"/>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119"/>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119"/>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119"/>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119"/>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119"/>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119"/>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119"/>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119"/>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119"/>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119"/>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119"/>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119"/>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119"/>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119"/>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119"/>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119"/>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119"/>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119"/>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119"/>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119"/>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119"/>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119"/>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119"/>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119"/>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119"/>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119"/>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119"/>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119"/>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119"/>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119"/>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119"/>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119"/>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119"/>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119"/>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119"/>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119"/>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119"/>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119"/>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119"/>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119"/>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119"/>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119"/>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119"/>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119"/>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119"/>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119"/>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119"/>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119"/>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119"/>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119"/>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119"/>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119"/>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119"/>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119"/>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119"/>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119"/>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119"/>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119"/>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119"/>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119"/>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119"/>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119"/>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119"/>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119"/>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119"/>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119"/>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row r="742" spans="1:26" ht="15.75" customHeight="1"/>
    <row r="743" spans="1:26" ht="15.75" customHeight="1"/>
    <row r="744" spans="1:26" ht="15.75" customHeight="1"/>
    <row r="745" spans="1:26" ht="15.75" customHeight="1"/>
    <row r="746" spans="1:26" ht="15.75" customHeight="1"/>
    <row r="747" spans="1:26" ht="15.75" customHeight="1"/>
    <row r="748" spans="1:26" ht="15.75" customHeight="1"/>
    <row r="749" spans="1:26" ht="15.75" customHeight="1"/>
    <row r="750" spans="1:26" ht="15.75" customHeight="1"/>
    <row r="751" spans="1:26" ht="15.75" customHeight="1"/>
    <row r="752" spans="1:2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227">
    <mergeCell ref="A411:D411"/>
    <mergeCell ref="A413:D413"/>
    <mergeCell ref="A415:D415"/>
    <mergeCell ref="A417:D417"/>
    <mergeCell ref="A400:B400"/>
    <mergeCell ref="A402:D402"/>
    <mergeCell ref="A403:D403"/>
    <mergeCell ref="A404:D404"/>
    <mergeCell ref="A405:D405"/>
    <mergeCell ref="A406:D406"/>
    <mergeCell ref="A407:D407"/>
    <mergeCell ref="A408:D408"/>
    <mergeCell ref="A409:D409"/>
    <mergeCell ref="A384:D384"/>
    <mergeCell ref="A385:D385"/>
    <mergeCell ref="A386:D386"/>
    <mergeCell ref="A388:D388"/>
    <mergeCell ref="A390:D390"/>
    <mergeCell ref="A392:D392"/>
    <mergeCell ref="A394:D394"/>
    <mergeCell ref="A396:D396"/>
    <mergeCell ref="A398:D398"/>
    <mergeCell ref="A371:D371"/>
    <mergeCell ref="A373:D373"/>
    <mergeCell ref="A375:D375"/>
    <mergeCell ref="A377:B377"/>
    <mergeCell ref="A379:D379"/>
    <mergeCell ref="A380:D380"/>
    <mergeCell ref="A381:D381"/>
    <mergeCell ref="A382:D382"/>
    <mergeCell ref="A383:D383"/>
    <mergeCell ref="A358:D358"/>
    <mergeCell ref="A359:D359"/>
    <mergeCell ref="A360:D360"/>
    <mergeCell ref="A361:D361"/>
    <mergeCell ref="A362:D362"/>
    <mergeCell ref="A363:D363"/>
    <mergeCell ref="A365:D365"/>
    <mergeCell ref="A367:D367"/>
    <mergeCell ref="A369:D369"/>
    <mergeCell ref="A97:D97"/>
    <mergeCell ref="A185:D185"/>
    <mergeCell ref="A187:D187"/>
    <mergeCell ref="A189:D189"/>
    <mergeCell ref="A191:D191"/>
    <mergeCell ref="A192:D192"/>
    <mergeCell ref="A193:D193"/>
    <mergeCell ref="A194:D194"/>
    <mergeCell ref="A318:D318"/>
    <mergeCell ref="A83:D83"/>
    <mergeCell ref="A84:D84"/>
    <mergeCell ref="A85:D85"/>
    <mergeCell ref="A87:D87"/>
    <mergeCell ref="A89:D89"/>
    <mergeCell ref="A91:D91"/>
    <mergeCell ref="A93:D93"/>
    <mergeCell ref="A95:D95"/>
    <mergeCell ref="A96:D96"/>
    <mergeCell ref="A52:D52"/>
    <mergeCell ref="A54:D54"/>
    <mergeCell ref="A56:D56"/>
    <mergeCell ref="A58:D58"/>
    <mergeCell ref="A78:D78"/>
    <mergeCell ref="A79:D79"/>
    <mergeCell ref="A80:D80"/>
    <mergeCell ref="A81:D81"/>
    <mergeCell ref="A82:D82"/>
    <mergeCell ref="A183:D183"/>
    <mergeCell ref="A1:D1"/>
    <mergeCell ref="A2:D2"/>
    <mergeCell ref="A3:D3"/>
    <mergeCell ref="A4:D4"/>
    <mergeCell ref="A5:D5"/>
    <mergeCell ref="A6:D6"/>
    <mergeCell ref="A7:D7"/>
    <mergeCell ref="A8:D8"/>
    <mergeCell ref="A10:D10"/>
    <mergeCell ref="A12:D12"/>
    <mergeCell ref="A14:D14"/>
    <mergeCell ref="A16:D16"/>
    <mergeCell ref="A18:D18"/>
    <mergeCell ref="A39:D39"/>
    <mergeCell ref="A40:D40"/>
    <mergeCell ref="A41:D41"/>
    <mergeCell ref="A42:D42"/>
    <mergeCell ref="A43:D43"/>
    <mergeCell ref="A44:D44"/>
    <mergeCell ref="A45:D45"/>
    <mergeCell ref="A46:D46"/>
    <mergeCell ref="A48:D48"/>
    <mergeCell ref="A50:D50"/>
    <mergeCell ref="A148:D148"/>
    <mergeCell ref="A174:D174"/>
    <mergeCell ref="A175:D175"/>
    <mergeCell ref="A176:D176"/>
    <mergeCell ref="A177:D177"/>
    <mergeCell ref="A178:D178"/>
    <mergeCell ref="A179:D179"/>
    <mergeCell ref="A180:D180"/>
    <mergeCell ref="A181:D181"/>
    <mergeCell ref="A133:D133"/>
    <mergeCell ref="A135:D135"/>
    <mergeCell ref="A137:D137"/>
    <mergeCell ref="A139:D139"/>
    <mergeCell ref="A141:D141"/>
    <mergeCell ref="A143:D143"/>
    <mergeCell ref="A144:D144"/>
    <mergeCell ref="A145:D145"/>
    <mergeCell ref="A146:D146"/>
    <mergeCell ref="A98:D98"/>
    <mergeCell ref="A100:D100"/>
    <mergeCell ref="A126:D126"/>
    <mergeCell ref="A127:D127"/>
    <mergeCell ref="A128:D128"/>
    <mergeCell ref="A129:D129"/>
    <mergeCell ref="A130:D130"/>
    <mergeCell ref="A131:D131"/>
    <mergeCell ref="A132:D132"/>
    <mergeCell ref="A290:D290"/>
    <mergeCell ref="A292:D292"/>
    <mergeCell ref="A294:D294"/>
    <mergeCell ref="A296:D296"/>
    <mergeCell ref="A298:D298"/>
    <mergeCell ref="A300:D300"/>
    <mergeCell ref="A465:D465"/>
    <mergeCell ref="A492:B492"/>
    <mergeCell ref="A493:D493"/>
    <mergeCell ref="A319:D319"/>
    <mergeCell ref="A320:D320"/>
    <mergeCell ref="A321:D321"/>
    <mergeCell ref="A322:D322"/>
    <mergeCell ref="A323:D323"/>
    <mergeCell ref="A324:D324"/>
    <mergeCell ref="A325:D325"/>
    <mergeCell ref="A327:D327"/>
    <mergeCell ref="A329:D329"/>
    <mergeCell ref="A331:D331"/>
    <mergeCell ref="A333:D333"/>
    <mergeCell ref="A335:D335"/>
    <mergeCell ref="A337:D337"/>
    <mergeCell ref="A356:D356"/>
    <mergeCell ref="A357:D357"/>
    <mergeCell ref="A271:D271"/>
    <mergeCell ref="A281:D281"/>
    <mergeCell ref="A282:D282"/>
    <mergeCell ref="A283:D283"/>
    <mergeCell ref="A284:D284"/>
    <mergeCell ref="A285:D285"/>
    <mergeCell ref="A286:D286"/>
    <mergeCell ref="A287:D287"/>
    <mergeCell ref="A288:D288"/>
    <mergeCell ref="A256:D256"/>
    <mergeCell ref="A257:D257"/>
    <mergeCell ref="A258:D258"/>
    <mergeCell ref="A259:D259"/>
    <mergeCell ref="A261:D261"/>
    <mergeCell ref="A263:D263"/>
    <mergeCell ref="A265:D265"/>
    <mergeCell ref="A267:D267"/>
    <mergeCell ref="A269:D269"/>
    <mergeCell ref="A224:D224"/>
    <mergeCell ref="A226:D226"/>
    <mergeCell ref="A228:D228"/>
    <mergeCell ref="A230:D230"/>
    <mergeCell ref="A232:D232"/>
    <mergeCell ref="A252:D252"/>
    <mergeCell ref="A253:D253"/>
    <mergeCell ref="A254:D254"/>
    <mergeCell ref="A255:D255"/>
    <mergeCell ref="A196:D196"/>
    <mergeCell ref="A215:D215"/>
    <mergeCell ref="A216:D216"/>
    <mergeCell ref="A217:D217"/>
    <mergeCell ref="A218:D218"/>
    <mergeCell ref="A219:D219"/>
    <mergeCell ref="A220:D220"/>
    <mergeCell ref="A221:D221"/>
    <mergeCell ref="A222:D222"/>
    <mergeCell ref="A539:C539"/>
    <mergeCell ref="A540:C540"/>
    <mergeCell ref="A529:D529"/>
    <mergeCell ref="A530:D530"/>
    <mergeCell ref="A531:D531"/>
    <mergeCell ref="A532:D532"/>
    <mergeCell ref="A533:D533"/>
    <mergeCell ref="A536:D536"/>
    <mergeCell ref="A537:C537"/>
    <mergeCell ref="A463:D463"/>
    <mergeCell ref="A498:D498"/>
    <mergeCell ref="A500:D500"/>
    <mergeCell ref="A502:D502"/>
    <mergeCell ref="A504:D504"/>
    <mergeCell ref="A506:D506"/>
    <mergeCell ref="A508:D508"/>
    <mergeCell ref="A528:D528"/>
    <mergeCell ref="A538:C538"/>
    <mergeCell ref="A494:D494"/>
    <mergeCell ref="A495:D495"/>
    <mergeCell ref="A496:D496"/>
    <mergeCell ref="A497:D497"/>
    <mergeCell ref="A449:B449"/>
    <mergeCell ref="A451:D451"/>
    <mergeCell ref="A452:D452"/>
    <mergeCell ref="A453:D453"/>
    <mergeCell ref="A454:D454"/>
    <mergeCell ref="A455:D455"/>
    <mergeCell ref="A456:D456"/>
    <mergeCell ref="A459:D459"/>
    <mergeCell ref="A461:D461"/>
    <mergeCell ref="A431:D431"/>
    <mergeCell ref="A432:D432"/>
    <mergeCell ref="A434:D434"/>
    <mergeCell ref="A436:D436"/>
    <mergeCell ref="A438:D438"/>
    <mergeCell ref="A440:D440"/>
    <mergeCell ref="A442:D442"/>
    <mergeCell ref="A444:D444"/>
    <mergeCell ref="A446:B446"/>
    <mergeCell ref="A419:D419"/>
    <mergeCell ref="A421:D421"/>
    <mergeCell ref="A423:B423"/>
    <mergeCell ref="A425:D425"/>
    <mergeCell ref="A426:D426"/>
    <mergeCell ref="A427:D427"/>
    <mergeCell ref="A428:D428"/>
    <mergeCell ref="A429:D429"/>
    <mergeCell ref="A430:D430"/>
  </mergeCells>
  <pageMargins left="0.7" right="0.7" top="0.75" bottom="0.75" header="0" footer="0"/>
  <pageSetup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15"/>
  <sheetViews>
    <sheetView workbookViewId="0"/>
  </sheetViews>
  <sheetFormatPr defaultColWidth="12.5703125" defaultRowHeight="15" customHeight="1"/>
  <cols>
    <col min="1" max="1" width="70.42578125" customWidth="1"/>
    <col min="2" max="2" width="16.42578125" customWidth="1"/>
    <col min="3" max="3" width="10.42578125" customWidth="1"/>
    <col min="4" max="4" width="9.42578125" customWidth="1"/>
    <col min="5" max="24" width="9.140625" customWidth="1"/>
  </cols>
  <sheetData>
    <row r="1" spans="1:26" ht="23.25" customHeight="1">
      <c r="A1" s="588" t="s">
        <v>26</v>
      </c>
      <c r="B1" s="589"/>
      <c r="C1" s="589"/>
      <c r="D1" s="590"/>
      <c r="E1" s="54"/>
      <c r="F1" s="54"/>
      <c r="G1" s="54"/>
      <c r="H1" s="54"/>
      <c r="I1" s="54"/>
      <c r="J1" s="54"/>
      <c r="K1" s="54"/>
      <c r="L1" s="54"/>
      <c r="M1" s="54"/>
      <c r="N1" s="54"/>
      <c r="O1" s="54"/>
      <c r="P1" s="54"/>
      <c r="Q1" s="54"/>
      <c r="R1" s="54"/>
      <c r="S1" s="54"/>
      <c r="T1" s="54"/>
      <c r="U1" s="54"/>
      <c r="V1" s="54"/>
      <c r="W1" s="54"/>
      <c r="X1" s="54"/>
      <c r="Y1" s="54"/>
      <c r="Z1" s="54"/>
    </row>
    <row r="2" spans="1:26" ht="18" customHeight="1">
      <c r="A2" s="591" t="s">
        <v>225</v>
      </c>
      <c r="B2" s="589"/>
      <c r="C2" s="589"/>
      <c r="D2" s="590"/>
      <c r="E2" s="54"/>
      <c r="F2" s="54"/>
      <c r="G2" s="54"/>
      <c r="H2" s="54"/>
      <c r="I2" s="54"/>
      <c r="J2" s="54"/>
      <c r="K2" s="54"/>
      <c r="L2" s="54"/>
      <c r="M2" s="54"/>
      <c r="N2" s="54"/>
      <c r="O2" s="54"/>
      <c r="P2" s="54"/>
      <c r="Q2" s="54"/>
      <c r="R2" s="54"/>
      <c r="S2" s="54"/>
      <c r="T2" s="54"/>
      <c r="U2" s="54"/>
      <c r="V2" s="54"/>
      <c r="W2" s="54"/>
      <c r="X2" s="54"/>
      <c r="Y2" s="54"/>
      <c r="Z2" s="54"/>
    </row>
    <row r="3" spans="1:26" ht="15.75" customHeight="1">
      <c r="A3" s="592" t="s">
        <v>236</v>
      </c>
      <c r="B3" s="589"/>
      <c r="C3" s="589"/>
      <c r="D3" s="590"/>
      <c r="E3" s="54"/>
      <c r="F3" s="54"/>
      <c r="G3" s="54"/>
      <c r="H3" s="54"/>
      <c r="I3" s="54"/>
      <c r="J3" s="54"/>
      <c r="K3" s="54"/>
      <c r="L3" s="54"/>
      <c r="M3" s="54"/>
      <c r="N3" s="54"/>
      <c r="O3" s="54"/>
      <c r="P3" s="54"/>
      <c r="Q3" s="54"/>
      <c r="R3" s="54"/>
      <c r="S3" s="54"/>
      <c r="T3" s="54"/>
      <c r="U3" s="54"/>
      <c r="V3" s="54"/>
      <c r="W3" s="54"/>
      <c r="X3" s="54"/>
      <c r="Y3" s="54"/>
      <c r="Z3" s="54"/>
    </row>
    <row r="4" spans="1:26" ht="11.25" customHeight="1">
      <c r="A4" s="593" t="s">
        <v>30</v>
      </c>
      <c r="B4" s="589"/>
      <c r="C4" s="589"/>
      <c r="D4" s="590"/>
      <c r="E4" s="54"/>
      <c r="F4" s="54"/>
      <c r="G4" s="54"/>
      <c r="H4" s="54"/>
      <c r="I4" s="54"/>
      <c r="J4" s="54"/>
      <c r="K4" s="54"/>
      <c r="L4" s="54"/>
      <c r="M4" s="54"/>
      <c r="N4" s="54"/>
      <c r="O4" s="54"/>
      <c r="P4" s="54"/>
      <c r="Q4" s="54"/>
      <c r="R4" s="54"/>
      <c r="S4" s="54"/>
      <c r="T4" s="54"/>
      <c r="U4" s="54"/>
      <c r="V4" s="54"/>
      <c r="W4" s="54"/>
      <c r="X4" s="54"/>
      <c r="Y4" s="54"/>
      <c r="Z4" s="54"/>
    </row>
    <row r="5" spans="1:26" ht="11.25" customHeight="1">
      <c r="A5" s="593" t="s">
        <v>31</v>
      </c>
      <c r="B5" s="589"/>
      <c r="C5" s="589"/>
      <c r="D5" s="590"/>
      <c r="E5" s="54"/>
      <c r="F5" s="54"/>
      <c r="G5" s="54"/>
      <c r="H5" s="54"/>
      <c r="I5" s="54"/>
      <c r="J5" s="54"/>
      <c r="K5" s="54"/>
      <c r="L5" s="54"/>
      <c r="M5" s="54"/>
      <c r="N5" s="54"/>
      <c r="O5" s="54"/>
      <c r="P5" s="54"/>
      <c r="Q5" s="54"/>
      <c r="R5" s="54"/>
      <c r="S5" s="54"/>
      <c r="T5" s="54"/>
      <c r="U5" s="54"/>
      <c r="V5" s="54"/>
      <c r="W5" s="54"/>
      <c r="X5" s="54"/>
      <c r="Y5" s="54"/>
      <c r="Z5" s="54"/>
    </row>
    <row r="6" spans="1:26" ht="11.25" customHeight="1">
      <c r="A6" s="594" t="s">
        <v>32</v>
      </c>
      <c r="B6" s="589"/>
      <c r="C6" s="589"/>
      <c r="D6" s="590"/>
      <c r="E6" s="54"/>
      <c r="F6" s="54"/>
      <c r="G6" s="54"/>
      <c r="H6" s="54"/>
      <c r="I6" s="54"/>
      <c r="J6" s="54"/>
      <c r="K6" s="54"/>
      <c r="L6" s="54"/>
      <c r="M6" s="54"/>
      <c r="N6" s="54"/>
      <c r="O6" s="54"/>
      <c r="P6" s="54"/>
      <c r="Q6" s="54"/>
      <c r="R6" s="54"/>
      <c r="S6" s="54"/>
      <c r="T6" s="54"/>
      <c r="U6" s="54"/>
      <c r="V6" s="54"/>
      <c r="W6" s="54"/>
      <c r="X6" s="54"/>
      <c r="Y6" s="54"/>
      <c r="Z6" s="54"/>
    </row>
    <row r="7" spans="1:26" ht="18.75" customHeight="1">
      <c r="A7" s="595" t="s">
        <v>33</v>
      </c>
      <c r="B7" s="589"/>
      <c r="C7" s="589"/>
      <c r="D7" s="590"/>
      <c r="E7" s="54"/>
      <c r="F7" s="54"/>
      <c r="G7" s="54"/>
      <c r="H7" s="54"/>
      <c r="I7" s="54"/>
      <c r="J7" s="54"/>
      <c r="K7" s="54"/>
      <c r="L7" s="54"/>
      <c r="M7" s="54"/>
      <c r="N7" s="54"/>
      <c r="O7" s="54"/>
      <c r="P7" s="54"/>
      <c r="Q7" s="54"/>
      <c r="R7" s="54"/>
      <c r="S7" s="54"/>
      <c r="T7" s="54"/>
      <c r="U7" s="54"/>
      <c r="V7" s="54"/>
      <c r="W7" s="54"/>
      <c r="X7" s="54"/>
      <c r="Y7" s="54"/>
      <c r="Z7" s="54"/>
    </row>
    <row r="8" spans="1:26" ht="72" customHeight="1">
      <c r="A8" s="596" t="s">
        <v>34</v>
      </c>
      <c r="B8" s="589"/>
      <c r="C8" s="589"/>
      <c r="D8" s="590"/>
      <c r="E8" s="54"/>
      <c r="F8" s="309"/>
      <c r="G8" s="54"/>
      <c r="H8" s="54"/>
      <c r="I8" s="54"/>
      <c r="J8" s="54"/>
      <c r="K8" s="54"/>
      <c r="L8" s="54"/>
      <c r="M8" s="54"/>
      <c r="N8" s="54"/>
      <c r="O8" s="54"/>
      <c r="P8" s="54"/>
      <c r="Q8" s="54"/>
      <c r="R8" s="54"/>
      <c r="S8" s="54"/>
      <c r="T8" s="54"/>
      <c r="U8" s="54"/>
      <c r="V8" s="54"/>
      <c r="W8" s="54"/>
      <c r="X8" s="54"/>
      <c r="Y8" s="54"/>
      <c r="Z8" s="54"/>
    </row>
    <row r="9" spans="1:26" ht="6.75" customHeight="1">
      <c r="A9" s="55"/>
      <c r="B9" s="55"/>
      <c r="C9" s="55"/>
      <c r="D9" s="56"/>
      <c r="E9" s="54"/>
      <c r="F9" s="54"/>
      <c r="G9" s="54"/>
      <c r="H9" s="54"/>
      <c r="I9" s="54"/>
      <c r="J9" s="54"/>
      <c r="K9" s="54"/>
      <c r="L9" s="54"/>
      <c r="M9" s="54"/>
      <c r="N9" s="54"/>
      <c r="O9" s="54"/>
      <c r="P9" s="54"/>
      <c r="Q9" s="54"/>
      <c r="R9" s="54"/>
      <c r="S9" s="54"/>
      <c r="T9" s="54"/>
      <c r="U9" s="54"/>
      <c r="V9" s="54"/>
      <c r="W9" s="54"/>
      <c r="X9" s="54"/>
      <c r="Y9" s="54"/>
      <c r="Z9" s="54"/>
    </row>
    <row r="10" spans="1:26" ht="11.25" customHeight="1">
      <c r="A10" s="597" t="s">
        <v>35</v>
      </c>
      <c r="B10" s="589"/>
      <c r="C10" s="589"/>
      <c r="D10" s="590"/>
      <c r="E10" s="54"/>
      <c r="F10" s="54"/>
      <c r="G10" s="54"/>
      <c r="H10" s="54"/>
      <c r="I10" s="54"/>
      <c r="J10" s="54"/>
      <c r="K10" s="54"/>
      <c r="L10" s="54"/>
      <c r="M10" s="54"/>
      <c r="N10" s="54"/>
      <c r="O10" s="54"/>
      <c r="P10" s="54"/>
      <c r="Q10" s="54"/>
      <c r="R10" s="54"/>
      <c r="S10" s="54"/>
      <c r="T10" s="54"/>
      <c r="U10" s="54"/>
      <c r="V10" s="54"/>
      <c r="W10" s="54"/>
      <c r="X10" s="54"/>
      <c r="Y10" s="54"/>
      <c r="Z10" s="54"/>
    </row>
    <row r="11" spans="1:26" ht="6.75" customHeight="1">
      <c r="A11" s="57"/>
      <c r="B11" s="58"/>
      <c r="C11" s="58"/>
      <c r="D11" s="59"/>
      <c r="E11" s="54"/>
      <c r="F11" s="54"/>
      <c r="G11" s="54"/>
      <c r="H11" s="54"/>
      <c r="I11" s="54"/>
      <c r="J11" s="54"/>
      <c r="K11" s="54"/>
      <c r="L11" s="54"/>
      <c r="M11" s="54"/>
      <c r="N11" s="54"/>
      <c r="O11" s="54"/>
      <c r="P11" s="54"/>
      <c r="Q11" s="54"/>
      <c r="R11" s="54"/>
      <c r="S11" s="54"/>
      <c r="T11" s="54"/>
      <c r="U11" s="54"/>
      <c r="V11" s="54"/>
      <c r="W11" s="54"/>
      <c r="X11" s="54"/>
      <c r="Y11" s="54"/>
      <c r="Z11" s="54"/>
    </row>
    <row r="12" spans="1:26" ht="36" customHeight="1">
      <c r="A12" s="596" t="s">
        <v>36</v>
      </c>
      <c r="B12" s="589"/>
      <c r="C12" s="589"/>
      <c r="D12" s="590"/>
      <c r="E12" s="54"/>
      <c r="F12" s="54"/>
      <c r="G12" s="54"/>
      <c r="H12" s="54"/>
      <c r="I12" s="54"/>
      <c r="J12" s="54"/>
      <c r="K12" s="54"/>
      <c r="L12" s="54"/>
      <c r="M12" s="54"/>
      <c r="N12" s="54"/>
      <c r="O12" s="54"/>
      <c r="P12" s="54"/>
      <c r="Q12" s="54"/>
      <c r="R12" s="54"/>
      <c r="S12" s="54"/>
      <c r="T12" s="54"/>
      <c r="U12" s="54"/>
      <c r="V12" s="54"/>
      <c r="W12" s="54"/>
      <c r="X12" s="54"/>
      <c r="Y12" s="54"/>
      <c r="Z12" s="54"/>
    </row>
    <row r="13" spans="1:26" ht="6.75" customHeight="1">
      <c r="A13" s="55"/>
      <c r="B13" s="55"/>
      <c r="C13" s="55"/>
      <c r="D13" s="56"/>
      <c r="E13" s="54"/>
      <c r="F13" s="54"/>
      <c r="G13" s="54"/>
      <c r="H13" s="54"/>
      <c r="I13" s="54"/>
      <c r="J13" s="54"/>
      <c r="K13" s="54"/>
      <c r="L13" s="54"/>
      <c r="M13" s="54"/>
      <c r="N13" s="54"/>
      <c r="O13" s="54"/>
      <c r="P13" s="54"/>
      <c r="Q13" s="54"/>
      <c r="R13" s="54"/>
      <c r="S13" s="54"/>
      <c r="T13" s="54"/>
      <c r="U13" s="54"/>
      <c r="V13" s="54"/>
      <c r="W13" s="54"/>
      <c r="X13" s="54"/>
      <c r="Y13" s="54"/>
      <c r="Z13" s="54"/>
    </row>
    <row r="14" spans="1:26" ht="48" customHeight="1">
      <c r="A14" s="596" t="s">
        <v>37</v>
      </c>
      <c r="B14" s="589"/>
      <c r="C14" s="589"/>
      <c r="D14" s="590"/>
      <c r="E14" s="54"/>
      <c r="F14" s="54"/>
      <c r="G14" s="54"/>
      <c r="H14" s="54"/>
      <c r="I14" s="54"/>
      <c r="J14" s="54"/>
      <c r="K14" s="54"/>
      <c r="L14" s="54"/>
      <c r="M14" s="54"/>
      <c r="N14" s="54"/>
      <c r="O14" s="54"/>
      <c r="P14" s="54"/>
      <c r="Q14" s="54"/>
      <c r="R14" s="54"/>
      <c r="S14" s="54"/>
      <c r="T14" s="54"/>
      <c r="U14" s="54"/>
      <c r="V14" s="54"/>
      <c r="W14" s="54"/>
      <c r="X14" s="54"/>
      <c r="Y14" s="54"/>
      <c r="Z14" s="54"/>
    </row>
    <row r="15" spans="1:26" ht="6.75" customHeight="1">
      <c r="A15" s="55"/>
      <c r="B15" s="55"/>
      <c r="C15" s="55"/>
      <c r="D15" s="56"/>
      <c r="E15" s="54"/>
      <c r="F15" s="54"/>
      <c r="G15" s="54"/>
      <c r="H15" s="54"/>
      <c r="I15" s="54"/>
      <c r="J15" s="54"/>
      <c r="K15" s="54"/>
      <c r="L15" s="54"/>
      <c r="M15" s="54"/>
      <c r="N15" s="54"/>
      <c r="O15" s="54"/>
      <c r="P15" s="54"/>
      <c r="Q15" s="54"/>
      <c r="R15" s="54"/>
      <c r="S15" s="54"/>
      <c r="T15" s="54"/>
      <c r="U15" s="54"/>
      <c r="V15" s="54"/>
      <c r="W15" s="54"/>
      <c r="X15" s="54"/>
      <c r="Y15" s="54"/>
      <c r="Z15" s="54"/>
    </row>
    <row r="16" spans="1:26" ht="48" customHeight="1">
      <c r="A16" s="596" t="s">
        <v>38</v>
      </c>
      <c r="B16" s="589"/>
      <c r="C16" s="589"/>
      <c r="D16" s="590"/>
      <c r="E16" s="54"/>
      <c r="F16" s="54"/>
      <c r="G16" s="54"/>
      <c r="H16" s="54"/>
      <c r="I16" s="54"/>
      <c r="J16" s="54"/>
      <c r="K16" s="54"/>
      <c r="L16" s="54"/>
      <c r="M16" s="54"/>
      <c r="N16" s="54"/>
      <c r="O16" s="54"/>
      <c r="P16" s="54"/>
      <c r="Q16" s="54"/>
      <c r="R16" s="54"/>
      <c r="S16" s="54"/>
      <c r="T16" s="54"/>
      <c r="U16" s="54"/>
      <c r="V16" s="54"/>
      <c r="W16" s="54"/>
      <c r="X16" s="54"/>
      <c r="Y16" s="54"/>
      <c r="Z16" s="54"/>
    </row>
    <row r="17" spans="1:26" ht="6.75" customHeight="1">
      <c r="A17" s="55"/>
      <c r="B17" s="55"/>
      <c r="C17" s="55"/>
      <c r="D17" s="56"/>
      <c r="E17" s="54"/>
      <c r="F17" s="54"/>
      <c r="G17" s="54"/>
      <c r="H17" s="54"/>
      <c r="I17" s="54"/>
      <c r="J17" s="54"/>
      <c r="K17" s="54"/>
      <c r="L17" s="54"/>
      <c r="M17" s="54"/>
      <c r="N17" s="54"/>
      <c r="O17" s="54"/>
      <c r="P17" s="54"/>
      <c r="Q17" s="54"/>
      <c r="R17" s="54"/>
      <c r="S17" s="54"/>
      <c r="T17" s="54"/>
      <c r="U17" s="54"/>
      <c r="V17" s="54"/>
      <c r="W17" s="54"/>
      <c r="X17" s="54"/>
      <c r="Y17" s="54"/>
      <c r="Z17" s="54"/>
    </row>
    <row r="18" spans="1:26" ht="36" customHeight="1">
      <c r="A18" s="596" t="s">
        <v>39</v>
      </c>
      <c r="B18" s="589"/>
      <c r="C18" s="589"/>
      <c r="D18" s="590"/>
      <c r="E18" s="54"/>
      <c r="F18" s="54"/>
      <c r="G18" s="54"/>
      <c r="H18" s="54"/>
      <c r="I18" s="54"/>
      <c r="J18" s="54"/>
      <c r="K18" s="54"/>
      <c r="L18" s="54"/>
      <c r="M18" s="54"/>
      <c r="N18" s="54"/>
      <c r="O18" s="54"/>
      <c r="P18" s="54"/>
      <c r="Q18" s="54"/>
      <c r="R18" s="54"/>
      <c r="S18" s="54"/>
      <c r="T18" s="54"/>
      <c r="U18" s="54"/>
      <c r="V18" s="54"/>
      <c r="W18" s="54"/>
      <c r="X18" s="54"/>
      <c r="Y18" s="54"/>
      <c r="Z18" s="54"/>
    </row>
    <row r="19" spans="1:26" ht="6.75" customHeight="1">
      <c r="A19" s="55"/>
      <c r="B19" s="55"/>
      <c r="C19" s="55"/>
      <c r="D19" s="56"/>
      <c r="E19" s="54"/>
      <c r="F19" s="54"/>
      <c r="G19" s="54"/>
      <c r="H19" s="54"/>
      <c r="I19" s="54"/>
      <c r="J19" s="54"/>
      <c r="K19" s="54"/>
      <c r="L19" s="54"/>
      <c r="M19" s="54"/>
      <c r="N19" s="54"/>
      <c r="O19" s="54"/>
      <c r="P19" s="54"/>
      <c r="Q19" s="54"/>
      <c r="R19" s="54"/>
      <c r="S19" s="54"/>
      <c r="T19" s="54"/>
      <c r="U19" s="54"/>
      <c r="V19" s="54"/>
      <c r="W19" s="54"/>
      <c r="X19" s="54"/>
      <c r="Y19" s="54"/>
      <c r="Z19" s="54"/>
    </row>
    <row r="20" spans="1:26" ht="15" customHeight="1">
      <c r="A20" s="75" t="s">
        <v>40</v>
      </c>
      <c r="B20" s="64"/>
      <c r="C20" s="64"/>
      <c r="D20" s="64"/>
      <c r="E20" s="54"/>
      <c r="F20" s="54"/>
      <c r="G20" s="54"/>
      <c r="H20" s="54"/>
      <c r="I20" s="54"/>
      <c r="J20" s="54"/>
      <c r="K20" s="54"/>
      <c r="L20" s="54"/>
      <c r="M20" s="54"/>
      <c r="N20" s="54"/>
      <c r="O20" s="54"/>
      <c r="P20" s="54"/>
      <c r="Q20" s="54"/>
      <c r="R20" s="54"/>
      <c r="S20" s="54"/>
      <c r="T20" s="54"/>
      <c r="U20" s="54"/>
      <c r="V20" s="54"/>
      <c r="W20" s="54"/>
      <c r="X20" s="54"/>
      <c r="Y20" s="54"/>
      <c r="Z20" s="54"/>
    </row>
    <row r="21" spans="1:26" ht="6" customHeight="1">
      <c r="A21" s="60"/>
      <c r="B21" s="61"/>
      <c r="C21" s="61"/>
      <c r="D21" s="62"/>
      <c r="E21" s="54"/>
      <c r="F21" s="54"/>
      <c r="G21" s="54"/>
      <c r="H21" s="54"/>
      <c r="I21" s="54"/>
      <c r="J21" s="54"/>
      <c r="K21" s="54"/>
      <c r="L21" s="54"/>
      <c r="M21" s="54"/>
      <c r="N21" s="54"/>
      <c r="O21" s="54"/>
      <c r="P21" s="54"/>
      <c r="Q21" s="54"/>
      <c r="R21" s="54"/>
      <c r="S21" s="54"/>
      <c r="T21" s="54"/>
      <c r="U21" s="54"/>
      <c r="V21" s="54"/>
      <c r="W21" s="54"/>
      <c r="X21" s="54"/>
      <c r="Y21" s="54"/>
      <c r="Z21" s="54"/>
    </row>
    <row r="22" spans="1:26" ht="12" customHeight="1">
      <c r="A22" s="63" t="s">
        <v>41</v>
      </c>
      <c r="B22" s="64"/>
      <c r="C22" s="65" t="s">
        <v>42</v>
      </c>
      <c r="D22" s="290">
        <f>'Proposed Rates'!I8</f>
        <v>45.42</v>
      </c>
      <c r="E22" s="54"/>
      <c r="F22" s="54"/>
      <c r="G22" s="54"/>
      <c r="H22" s="54"/>
      <c r="I22" s="54"/>
      <c r="J22" s="54"/>
      <c r="K22" s="54"/>
      <c r="L22" s="54"/>
      <c r="M22" s="54"/>
      <c r="N22" s="54"/>
      <c r="O22" s="54"/>
      <c r="P22" s="54"/>
      <c r="Q22" s="54"/>
      <c r="R22" s="54"/>
      <c r="S22" s="54"/>
      <c r="T22" s="54"/>
      <c r="U22" s="54"/>
      <c r="V22" s="54"/>
      <c r="W22" s="54"/>
      <c r="X22" s="54"/>
      <c r="Y22" s="54"/>
      <c r="Z22" s="54"/>
    </row>
    <row r="23" spans="1:26" ht="12" customHeight="1">
      <c r="A23" s="63" t="s">
        <v>44</v>
      </c>
      <c r="B23" s="64"/>
      <c r="C23" s="65" t="s">
        <v>42</v>
      </c>
      <c r="D23" s="291">
        <f>'Proposed Rates'!I90</f>
        <v>0</v>
      </c>
      <c r="E23" s="54"/>
      <c r="F23" s="54"/>
      <c r="G23" s="54"/>
      <c r="H23" s="54"/>
      <c r="I23" s="54"/>
      <c r="J23" s="54"/>
      <c r="K23" s="54"/>
      <c r="L23" s="54"/>
      <c r="M23" s="54"/>
      <c r="N23" s="54"/>
      <c r="O23" s="54"/>
      <c r="P23" s="54"/>
      <c r="Q23" s="54"/>
      <c r="R23" s="54"/>
      <c r="S23" s="54"/>
      <c r="T23" s="54"/>
      <c r="U23" s="54"/>
      <c r="V23" s="54"/>
      <c r="W23" s="54"/>
      <c r="X23" s="54"/>
      <c r="Y23" s="54"/>
      <c r="Z23" s="54"/>
    </row>
    <row r="24" spans="1:26" ht="12" customHeight="1">
      <c r="A24" s="63" t="s">
        <v>45</v>
      </c>
      <c r="B24" s="64"/>
      <c r="C24" s="65" t="s">
        <v>42</v>
      </c>
      <c r="D24" s="292">
        <f>'Proposed Rates'!I64</f>
        <v>0</v>
      </c>
      <c r="E24" s="54"/>
      <c r="F24" s="54"/>
      <c r="G24" s="54"/>
      <c r="H24" s="54"/>
      <c r="I24" s="54"/>
      <c r="J24" s="54"/>
      <c r="K24" s="54"/>
      <c r="L24" s="54"/>
      <c r="M24" s="54"/>
      <c r="N24" s="54"/>
      <c r="O24" s="54"/>
      <c r="P24" s="54"/>
      <c r="Q24" s="54"/>
      <c r="R24" s="54"/>
      <c r="S24" s="54"/>
      <c r="T24" s="54"/>
      <c r="U24" s="54"/>
      <c r="V24" s="54"/>
      <c r="W24" s="54"/>
      <c r="X24" s="54"/>
      <c r="Y24" s="54"/>
      <c r="Z24" s="54"/>
    </row>
    <row r="25" spans="1:26" ht="12" customHeight="1">
      <c r="A25" s="63" t="s">
        <v>46</v>
      </c>
      <c r="B25" s="64"/>
      <c r="C25" s="65" t="s">
        <v>42</v>
      </c>
      <c r="D25" s="292">
        <f>'Proposed Rates'!I280</f>
        <v>0.44</v>
      </c>
      <c r="E25" s="54"/>
      <c r="F25" s="54"/>
      <c r="G25" s="54"/>
      <c r="H25" s="54"/>
      <c r="I25" s="54"/>
      <c r="J25" s="54"/>
      <c r="K25" s="54"/>
      <c r="L25" s="54"/>
      <c r="M25" s="54"/>
      <c r="N25" s="54"/>
      <c r="O25" s="54"/>
      <c r="P25" s="54"/>
      <c r="Q25" s="54"/>
      <c r="R25" s="54"/>
      <c r="S25" s="54"/>
      <c r="T25" s="54"/>
      <c r="U25" s="54"/>
      <c r="V25" s="54"/>
      <c r="W25" s="54"/>
      <c r="X25" s="54"/>
      <c r="Y25" s="54"/>
      <c r="Z25" s="54"/>
    </row>
    <row r="26" spans="1:26" ht="12" customHeight="1">
      <c r="A26" s="63" t="s">
        <v>47</v>
      </c>
      <c r="B26" s="64"/>
      <c r="C26" s="65" t="s">
        <v>48</v>
      </c>
      <c r="D26" s="293">
        <f>'Proposed Rates'!I267</f>
        <v>8.0000000000000007E-5</v>
      </c>
      <c r="E26" s="54"/>
      <c r="F26" s="54"/>
      <c r="G26" s="54"/>
      <c r="H26" s="54"/>
      <c r="I26" s="54"/>
      <c r="J26" s="54"/>
      <c r="K26" s="54"/>
      <c r="L26" s="54"/>
      <c r="M26" s="54"/>
      <c r="N26" s="54"/>
      <c r="O26" s="54"/>
      <c r="P26" s="54"/>
      <c r="Q26" s="54"/>
      <c r="R26" s="54"/>
      <c r="S26" s="54"/>
      <c r="T26" s="54"/>
      <c r="U26" s="54"/>
      <c r="V26" s="54"/>
      <c r="W26" s="54"/>
      <c r="X26" s="54"/>
      <c r="Y26" s="54"/>
      <c r="Z26" s="54"/>
    </row>
    <row r="27" spans="1:26" ht="12" customHeight="1">
      <c r="A27" s="63" t="s">
        <v>49</v>
      </c>
      <c r="B27" s="64"/>
      <c r="C27" s="65" t="s">
        <v>48</v>
      </c>
      <c r="D27" s="291">
        <f>'Proposed Rates'!I37</f>
        <v>0</v>
      </c>
      <c r="E27" s="54"/>
      <c r="F27" s="54"/>
      <c r="G27" s="54"/>
      <c r="H27" s="54"/>
      <c r="I27" s="54"/>
      <c r="J27" s="54"/>
      <c r="K27" s="54"/>
      <c r="L27" s="54"/>
      <c r="M27" s="54"/>
      <c r="N27" s="54"/>
      <c r="O27" s="54"/>
      <c r="P27" s="54"/>
      <c r="Q27" s="54"/>
      <c r="R27" s="54"/>
      <c r="S27" s="54"/>
      <c r="T27" s="54"/>
      <c r="U27" s="54"/>
      <c r="V27" s="54"/>
      <c r="W27" s="54"/>
      <c r="X27" s="54"/>
      <c r="Y27" s="54"/>
      <c r="Z27" s="54"/>
    </row>
    <row r="28" spans="1:26" ht="12" customHeight="1">
      <c r="A28" s="63" t="s">
        <v>233</v>
      </c>
      <c r="B28" s="64"/>
      <c r="C28" s="65" t="s">
        <v>48</v>
      </c>
      <c r="D28" s="291">
        <f>'Proposed Rates'!I145</f>
        <v>0</v>
      </c>
      <c r="E28" s="54"/>
      <c r="F28" s="54"/>
      <c r="G28" s="54"/>
      <c r="H28" s="54"/>
      <c r="I28" s="54"/>
      <c r="J28" s="54"/>
      <c r="K28" s="54"/>
      <c r="L28" s="54"/>
      <c r="M28" s="54"/>
      <c r="N28" s="54"/>
      <c r="O28" s="54"/>
      <c r="P28" s="54"/>
      <c r="Q28" s="54"/>
      <c r="R28" s="54"/>
      <c r="S28" s="54"/>
      <c r="T28" s="54"/>
      <c r="U28" s="54"/>
      <c r="V28" s="54"/>
      <c r="W28" s="54"/>
      <c r="X28" s="54"/>
      <c r="Y28" s="54"/>
      <c r="Z28" s="54"/>
    </row>
    <row r="29" spans="1:26" ht="12" customHeight="1">
      <c r="A29" s="63" t="s">
        <v>52</v>
      </c>
      <c r="B29" s="64"/>
      <c r="C29" s="65" t="s">
        <v>48</v>
      </c>
      <c r="D29" s="291">
        <f>'Proposed Rates'!I186</f>
        <v>1.38E-2</v>
      </c>
      <c r="E29" s="54"/>
      <c r="F29" s="54"/>
      <c r="G29" s="54"/>
      <c r="H29" s="54"/>
      <c r="I29" s="54"/>
      <c r="J29" s="54"/>
      <c r="K29" s="54"/>
      <c r="L29" s="54"/>
      <c r="M29" s="54"/>
      <c r="N29" s="54"/>
      <c r="O29" s="54"/>
      <c r="P29" s="54"/>
      <c r="Q29" s="54"/>
      <c r="R29" s="54"/>
      <c r="S29" s="54"/>
      <c r="T29" s="54"/>
      <c r="U29" s="54"/>
      <c r="V29" s="54"/>
      <c r="W29" s="54"/>
      <c r="X29" s="54"/>
      <c r="Y29" s="54"/>
      <c r="Z29" s="54"/>
    </row>
    <row r="30" spans="1:26" ht="12" customHeight="1">
      <c r="A30" s="63" t="s">
        <v>53</v>
      </c>
      <c r="B30" s="64"/>
      <c r="C30" s="65" t="s">
        <v>48</v>
      </c>
      <c r="D30" s="291">
        <f>'Proposed Rates'!I201</f>
        <v>7.7999999999999996E-3</v>
      </c>
      <c r="E30" s="54"/>
      <c r="F30" s="54"/>
      <c r="G30" s="54"/>
      <c r="H30" s="54"/>
      <c r="I30" s="54"/>
      <c r="J30" s="54"/>
      <c r="K30" s="54"/>
      <c r="L30" s="54"/>
      <c r="M30" s="54"/>
      <c r="N30" s="54"/>
      <c r="O30" s="54"/>
      <c r="P30" s="54"/>
      <c r="Q30" s="54"/>
      <c r="R30" s="54"/>
      <c r="S30" s="54"/>
      <c r="T30" s="54"/>
      <c r="U30" s="54"/>
      <c r="V30" s="54"/>
      <c r="W30" s="54"/>
      <c r="X30" s="54"/>
      <c r="Y30" s="54"/>
      <c r="Z30" s="54"/>
    </row>
    <row r="31" spans="1:26" ht="6.75" customHeight="1">
      <c r="A31" s="89"/>
      <c r="B31" s="89"/>
      <c r="C31" s="65"/>
      <c r="D31" s="74"/>
      <c r="E31" s="54"/>
      <c r="F31" s="54"/>
      <c r="G31" s="54"/>
      <c r="H31" s="54"/>
      <c r="I31" s="54"/>
      <c r="J31" s="54"/>
      <c r="K31" s="54"/>
      <c r="L31" s="54"/>
      <c r="M31" s="54"/>
      <c r="N31" s="54"/>
      <c r="O31" s="54"/>
      <c r="P31" s="54"/>
      <c r="Q31" s="54"/>
      <c r="R31" s="54"/>
      <c r="S31" s="54"/>
      <c r="T31" s="54"/>
      <c r="U31" s="54"/>
      <c r="V31" s="54"/>
      <c r="W31" s="54"/>
      <c r="X31" s="54"/>
      <c r="Y31" s="54"/>
      <c r="Z31" s="54"/>
    </row>
    <row r="32" spans="1:26" ht="15" customHeight="1">
      <c r="A32" s="83" t="s">
        <v>54</v>
      </c>
      <c r="B32" s="64"/>
      <c r="C32" s="65"/>
      <c r="D32" s="74"/>
      <c r="E32" s="54"/>
      <c r="F32" s="54"/>
      <c r="G32" s="54"/>
      <c r="H32" s="54"/>
      <c r="I32" s="54"/>
      <c r="J32" s="54"/>
      <c r="K32" s="54"/>
      <c r="L32" s="54"/>
      <c r="M32" s="54"/>
      <c r="N32" s="54"/>
      <c r="O32" s="54"/>
      <c r="P32" s="54"/>
      <c r="Q32" s="54"/>
      <c r="R32" s="54"/>
      <c r="S32" s="54"/>
      <c r="T32" s="54"/>
      <c r="U32" s="54"/>
      <c r="V32" s="54"/>
      <c r="W32" s="54"/>
      <c r="X32" s="54"/>
      <c r="Y32" s="54"/>
      <c r="Z32" s="54"/>
    </row>
    <row r="33" spans="1:26" ht="6.75" customHeight="1">
      <c r="A33" s="86"/>
      <c r="B33" s="89"/>
      <c r="C33" s="65"/>
      <c r="D33" s="74"/>
      <c r="E33" s="54"/>
      <c r="F33" s="54"/>
      <c r="G33" s="54"/>
      <c r="H33" s="54"/>
      <c r="I33" s="54"/>
      <c r="J33" s="54"/>
      <c r="K33" s="54"/>
      <c r="L33" s="54"/>
      <c r="M33" s="54"/>
      <c r="N33" s="54"/>
      <c r="O33" s="54"/>
      <c r="P33" s="54"/>
      <c r="Q33" s="54"/>
      <c r="R33" s="54"/>
      <c r="S33" s="54"/>
      <c r="T33" s="54"/>
      <c r="U33" s="54"/>
      <c r="V33" s="54"/>
      <c r="W33" s="54"/>
      <c r="X33" s="54"/>
      <c r="Y33" s="54"/>
      <c r="Z33" s="54"/>
    </row>
    <row r="34" spans="1:26" ht="12" customHeight="1">
      <c r="A34" s="63" t="s">
        <v>55</v>
      </c>
      <c r="B34" s="64"/>
      <c r="C34" s="65" t="s">
        <v>48</v>
      </c>
      <c r="D34" s="69">
        <v>4.1000000000000003E-3</v>
      </c>
      <c r="E34" s="54"/>
      <c r="F34" s="54"/>
      <c r="G34" s="54"/>
      <c r="H34" s="54"/>
      <c r="I34" s="54"/>
      <c r="J34" s="54"/>
      <c r="K34" s="54"/>
      <c r="L34" s="54"/>
      <c r="M34" s="54"/>
      <c r="N34" s="54"/>
      <c r="O34" s="54"/>
      <c r="P34" s="54"/>
      <c r="Q34" s="54"/>
      <c r="R34" s="54"/>
      <c r="S34" s="54"/>
      <c r="T34" s="54"/>
      <c r="U34" s="54"/>
      <c r="V34" s="54"/>
      <c r="W34" s="54"/>
      <c r="X34" s="54"/>
      <c r="Y34" s="54"/>
      <c r="Z34" s="54"/>
    </row>
    <row r="35" spans="1:26" ht="12" customHeight="1">
      <c r="A35" s="63" t="s">
        <v>56</v>
      </c>
      <c r="B35" s="64"/>
      <c r="C35" s="65" t="s">
        <v>48</v>
      </c>
      <c r="D35" s="69">
        <f>'Proposed Rates'!I216-'2026'!D37</f>
        <v>5.9999999999999984E-4</v>
      </c>
      <c r="E35" s="54"/>
      <c r="F35" s="54"/>
      <c r="G35" s="54"/>
      <c r="H35" s="54"/>
      <c r="I35" s="54"/>
      <c r="J35" s="54"/>
      <c r="K35" s="54"/>
      <c r="L35" s="54"/>
      <c r="M35" s="54"/>
      <c r="N35" s="54"/>
      <c r="O35" s="54"/>
      <c r="P35" s="54"/>
      <c r="Q35" s="54"/>
      <c r="R35" s="54"/>
      <c r="S35" s="54"/>
      <c r="T35" s="54"/>
      <c r="U35" s="54"/>
      <c r="V35" s="54"/>
      <c r="W35" s="54"/>
      <c r="X35" s="54"/>
      <c r="Y35" s="54"/>
      <c r="Z35" s="54"/>
    </row>
    <row r="36" spans="1:26" ht="12" customHeight="1">
      <c r="A36" s="63" t="s">
        <v>57</v>
      </c>
      <c r="B36" s="64"/>
      <c r="C36" s="65" t="s">
        <v>48</v>
      </c>
      <c r="D36" s="69">
        <f>'Proposed Rates'!I229</f>
        <v>5.9999999999999995E-4</v>
      </c>
      <c r="E36" s="54"/>
      <c r="F36" s="54"/>
      <c r="G36" s="54"/>
      <c r="H36" s="54"/>
      <c r="I36" s="54"/>
      <c r="J36" s="54"/>
      <c r="K36" s="54"/>
      <c r="L36" s="54"/>
      <c r="M36" s="54"/>
      <c r="N36" s="54"/>
      <c r="O36" s="54"/>
      <c r="P36" s="54"/>
      <c r="Q36" s="54"/>
      <c r="R36" s="54"/>
      <c r="S36" s="54"/>
      <c r="T36" s="54"/>
      <c r="U36" s="54"/>
      <c r="V36" s="54"/>
      <c r="W36" s="54"/>
      <c r="X36" s="54"/>
      <c r="Y36" s="54"/>
      <c r="Z36" s="54"/>
    </row>
    <row r="37" spans="1:26" ht="12" customHeight="1">
      <c r="A37" s="63" t="s">
        <v>58</v>
      </c>
      <c r="B37" s="64"/>
      <c r="C37" s="65" t="s">
        <v>42</v>
      </c>
      <c r="D37" s="69">
        <f>'Proposed Rates'!I243</f>
        <v>0.25</v>
      </c>
      <c r="E37" s="54"/>
      <c r="F37" s="54"/>
      <c r="G37" s="54"/>
      <c r="H37" s="54"/>
      <c r="I37" s="54"/>
      <c r="J37" s="54"/>
      <c r="K37" s="54"/>
      <c r="L37" s="54"/>
      <c r="M37" s="54"/>
      <c r="N37" s="54"/>
      <c r="O37" s="54"/>
      <c r="P37" s="54"/>
      <c r="Q37" s="54"/>
      <c r="R37" s="54"/>
      <c r="S37" s="54"/>
      <c r="T37" s="54"/>
      <c r="U37" s="54"/>
      <c r="V37" s="54"/>
      <c r="W37" s="54"/>
      <c r="X37" s="54"/>
      <c r="Y37" s="54"/>
      <c r="Z37" s="54"/>
    </row>
    <row r="38" spans="1:26" ht="15.75" customHeight="1">
      <c r="A38" s="63"/>
      <c r="B38" s="64"/>
      <c r="C38" s="65"/>
      <c r="D38" s="74"/>
      <c r="E38" s="54"/>
      <c r="F38" s="54"/>
      <c r="G38" s="54"/>
      <c r="H38" s="54"/>
      <c r="I38" s="54"/>
      <c r="J38" s="54"/>
      <c r="K38" s="54"/>
      <c r="L38" s="54"/>
      <c r="M38" s="54"/>
      <c r="N38" s="54"/>
      <c r="O38" s="54"/>
      <c r="P38" s="54"/>
      <c r="Q38" s="54"/>
      <c r="R38" s="54"/>
      <c r="S38" s="54"/>
      <c r="T38" s="54"/>
      <c r="U38" s="54"/>
      <c r="V38" s="54"/>
      <c r="W38" s="54"/>
      <c r="X38" s="54"/>
      <c r="Y38" s="54"/>
      <c r="Z38" s="54"/>
    </row>
    <row r="39" spans="1:26" ht="21.75" customHeight="1">
      <c r="A39" s="588" t="str">
        <f>$A$1</f>
        <v>Hydro Ottawa Limited</v>
      </c>
      <c r="B39" s="589"/>
      <c r="C39" s="589"/>
      <c r="D39" s="590"/>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c r="A40" s="591" t="str">
        <f>$A$2</f>
        <v>PROPOSED - TARIFF OF RATES AND CHARGES</v>
      </c>
      <c r="B40" s="589"/>
      <c r="C40" s="589"/>
      <c r="D40" s="590"/>
      <c r="E40" s="54"/>
      <c r="F40" s="54"/>
      <c r="G40" s="54"/>
      <c r="H40" s="54"/>
      <c r="I40" s="54"/>
      <c r="J40" s="54"/>
      <c r="K40" s="54"/>
      <c r="L40" s="54"/>
      <c r="M40" s="54"/>
      <c r="N40" s="54"/>
      <c r="O40" s="54"/>
      <c r="P40" s="54"/>
      <c r="Q40" s="54"/>
      <c r="R40" s="54"/>
      <c r="S40" s="54"/>
      <c r="T40" s="54"/>
      <c r="U40" s="54"/>
      <c r="V40" s="54"/>
      <c r="W40" s="54"/>
      <c r="X40" s="54"/>
      <c r="Y40" s="54"/>
      <c r="Z40" s="54"/>
    </row>
    <row r="41" spans="1:26" ht="15" customHeight="1">
      <c r="A41" s="592" t="str">
        <f>$A$3</f>
        <v>Effective and Implementation Date January 1, 2029</v>
      </c>
      <c r="B41" s="589"/>
      <c r="C41" s="589"/>
      <c r="D41" s="590"/>
      <c r="E41" s="54"/>
      <c r="F41" s="54"/>
      <c r="G41" s="54"/>
      <c r="H41" s="54"/>
      <c r="I41" s="54"/>
      <c r="J41" s="54"/>
      <c r="K41" s="54"/>
      <c r="L41" s="54"/>
      <c r="M41" s="54"/>
      <c r="N41" s="54"/>
      <c r="O41" s="54"/>
      <c r="P41" s="54"/>
      <c r="Q41" s="54"/>
      <c r="R41" s="54"/>
      <c r="S41" s="54"/>
      <c r="T41" s="54"/>
      <c r="U41" s="54"/>
      <c r="V41" s="54"/>
      <c r="W41" s="54"/>
      <c r="X41" s="54"/>
      <c r="Y41" s="54"/>
      <c r="Z41" s="54"/>
    </row>
    <row r="42" spans="1:26" ht="15" customHeight="1">
      <c r="A42" s="593" t="str">
        <f>$A$4</f>
        <v>This schedule supersedes and replaces all previously</v>
      </c>
      <c r="B42" s="589"/>
      <c r="C42" s="589"/>
      <c r="D42" s="590"/>
      <c r="E42" s="54"/>
      <c r="F42" s="54"/>
      <c r="G42" s="54"/>
      <c r="H42" s="54"/>
      <c r="I42" s="54"/>
      <c r="J42" s="54"/>
      <c r="K42" s="54"/>
      <c r="L42" s="54"/>
      <c r="M42" s="54"/>
      <c r="N42" s="54"/>
      <c r="O42" s="54"/>
      <c r="P42" s="54"/>
      <c r="Q42" s="54"/>
      <c r="R42" s="54"/>
      <c r="S42" s="54"/>
      <c r="T42" s="54"/>
      <c r="U42" s="54"/>
      <c r="V42" s="54"/>
      <c r="W42" s="54"/>
      <c r="X42" s="54"/>
      <c r="Y42" s="54"/>
      <c r="Z42" s="54"/>
    </row>
    <row r="43" spans="1:26" ht="15" customHeight="1">
      <c r="A43" s="593" t="str">
        <f>$A$5</f>
        <v>approved schedules of Rates, Charges and Loss Factors</v>
      </c>
      <c r="B43" s="589"/>
      <c r="C43" s="589"/>
      <c r="D43" s="590"/>
      <c r="E43" s="54"/>
      <c r="F43" s="54"/>
      <c r="G43" s="54"/>
      <c r="H43" s="54"/>
      <c r="I43" s="54"/>
      <c r="J43" s="54"/>
      <c r="K43" s="54"/>
      <c r="L43" s="54"/>
      <c r="M43" s="54"/>
      <c r="N43" s="54"/>
      <c r="O43" s="54"/>
      <c r="P43" s="54"/>
      <c r="Q43" s="54"/>
      <c r="R43" s="54"/>
      <c r="S43" s="54"/>
      <c r="T43" s="54"/>
      <c r="U43" s="54"/>
      <c r="V43" s="54"/>
      <c r="W43" s="54"/>
      <c r="X43" s="54"/>
      <c r="Y43" s="54"/>
      <c r="Z43" s="54"/>
    </row>
    <row r="44" spans="1:26" ht="9" customHeight="1">
      <c r="A44" s="594" t="str">
        <f>$A$6</f>
        <v>EB-2024-0115</v>
      </c>
      <c r="B44" s="589"/>
      <c r="C44" s="589"/>
      <c r="D44" s="590"/>
      <c r="E44" s="54"/>
      <c r="F44" s="54"/>
      <c r="G44" s="54"/>
      <c r="H44" s="54"/>
      <c r="I44" s="54"/>
      <c r="J44" s="54"/>
      <c r="K44" s="54"/>
      <c r="L44" s="54"/>
      <c r="M44" s="54"/>
      <c r="N44" s="54"/>
      <c r="O44" s="54"/>
      <c r="P44" s="54"/>
      <c r="Q44" s="54"/>
      <c r="R44" s="54"/>
      <c r="S44" s="54"/>
      <c r="T44" s="54"/>
      <c r="U44" s="54"/>
      <c r="V44" s="54"/>
      <c r="W44" s="54"/>
      <c r="X44" s="54"/>
      <c r="Y44" s="54"/>
      <c r="Z44" s="54"/>
    </row>
    <row r="45" spans="1:26" ht="18.75" customHeight="1">
      <c r="A45" s="595" t="s">
        <v>59</v>
      </c>
      <c r="B45" s="589"/>
      <c r="C45" s="589"/>
      <c r="D45" s="590"/>
      <c r="E45" s="76"/>
      <c r="F45" s="76"/>
      <c r="G45" s="76"/>
      <c r="H45" s="76"/>
      <c r="I45" s="76"/>
      <c r="J45" s="76"/>
      <c r="K45" s="76"/>
      <c r="L45" s="76"/>
      <c r="M45" s="76"/>
      <c r="N45" s="76"/>
      <c r="O45" s="76"/>
      <c r="P45" s="76"/>
      <c r="Q45" s="76"/>
      <c r="R45" s="76"/>
      <c r="S45" s="76"/>
      <c r="T45" s="76"/>
      <c r="U45" s="76"/>
      <c r="V45" s="76"/>
      <c r="W45" s="76"/>
      <c r="X45" s="76"/>
      <c r="Y45" s="76"/>
      <c r="Z45" s="76"/>
    </row>
    <row r="46" spans="1:26" ht="48" customHeight="1">
      <c r="A46" s="596" t="s">
        <v>60</v>
      </c>
      <c r="B46" s="589"/>
      <c r="C46" s="589"/>
      <c r="D46" s="590"/>
      <c r="E46" s="54"/>
      <c r="F46" s="54"/>
      <c r="G46" s="54"/>
      <c r="H46" s="54"/>
      <c r="I46" s="54"/>
      <c r="J46" s="54"/>
      <c r="K46" s="54"/>
      <c r="L46" s="54"/>
      <c r="M46" s="54"/>
      <c r="N46" s="54"/>
      <c r="O46" s="54"/>
      <c r="P46" s="54"/>
      <c r="Q46" s="54"/>
      <c r="R46" s="54"/>
      <c r="S46" s="54"/>
      <c r="T46" s="54"/>
      <c r="U46" s="54"/>
      <c r="V46" s="54"/>
      <c r="W46" s="54"/>
      <c r="X46" s="54"/>
      <c r="Y46" s="54"/>
      <c r="Z46" s="54"/>
    </row>
    <row r="47" spans="1:26" ht="6.75" customHeight="1">
      <c r="A47" s="55"/>
      <c r="B47" s="55"/>
      <c r="C47" s="55"/>
      <c r="D47" s="56"/>
      <c r="E47" s="54"/>
      <c r="F47" s="54"/>
      <c r="G47" s="54"/>
      <c r="H47" s="54"/>
      <c r="I47" s="54"/>
      <c r="J47" s="54"/>
      <c r="K47" s="54"/>
      <c r="L47" s="54"/>
      <c r="M47" s="54"/>
      <c r="N47" s="54"/>
      <c r="O47" s="54"/>
      <c r="P47" s="54"/>
      <c r="Q47" s="54"/>
      <c r="R47" s="54"/>
      <c r="S47" s="54"/>
      <c r="T47" s="54"/>
      <c r="U47" s="54"/>
      <c r="V47" s="54"/>
      <c r="W47" s="54"/>
      <c r="X47" s="54"/>
      <c r="Y47" s="54"/>
      <c r="Z47" s="54"/>
    </row>
    <row r="48" spans="1:26" ht="11.25" customHeight="1">
      <c r="A48" s="597" t="s">
        <v>35</v>
      </c>
      <c r="B48" s="589"/>
      <c r="C48" s="589"/>
      <c r="D48" s="590"/>
      <c r="E48" s="54"/>
      <c r="F48" s="54"/>
      <c r="G48" s="54"/>
      <c r="H48" s="54"/>
      <c r="I48" s="54"/>
      <c r="J48" s="54"/>
      <c r="K48" s="54"/>
      <c r="L48" s="54"/>
      <c r="M48" s="54"/>
      <c r="N48" s="54"/>
      <c r="O48" s="54"/>
      <c r="P48" s="54"/>
      <c r="Q48" s="54"/>
      <c r="R48" s="54"/>
      <c r="S48" s="54"/>
      <c r="T48" s="54"/>
      <c r="U48" s="54"/>
      <c r="V48" s="54"/>
      <c r="W48" s="54"/>
      <c r="X48" s="54"/>
      <c r="Y48" s="54"/>
      <c r="Z48" s="54"/>
    </row>
    <row r="49" spans="1:26" ht="6.75" customHeight="1">
      <c r="A49" s="57"/>
      <c r="B49" s="58"/>
      <c r="C49" s="58"/>
      <c r="D49" s="59"/>
      <c r="E49" s="54"/>
      <c r="F49" s="54"/>
      <c r="G49" s="54"/>
      <c r="H49" s="54"/>
      <c r="I49" s="54"/>
      <c r="J49" s="54"/>
      <c r="K49" s="54"/>
      <c r="L49" s="54"/>
      <c r="M49" s="54"/>
      <c r="N49" s="54"/>
      <c r="O49" s="54"/>
      <c r="P49" s="54"/>
      <c r="Q49" s="54"/>
      <c r="R49" s="54"/>
      <c r="S49" s="54"/>
      <c r="T49" s="54"/>
      <c r="U49" s="54"/>
      <c r="V49" s="54"/>
      <c r="W49" s="54"/>
      <c r="X49" s="54"/>
      <c r="Y49" s="54"/>
      <c r="Z49" s="54"/>
    </row>
    <row r="50" spans="1:26" ht="36" customHeight="1">
      <c r="A50" s="596" t="s">
        <v>36</v>
      </c>
      <c r="B50" s="589"/>
      <c r="C50" s="589"/>
      <c r="D50" s="590"/>
      <c r="E50" s="54"/>
      <c r="F50" s="54"/>
      <c r="G50" s="54"/>
      <c r="H50" s="54"/>
      <c r="I50" s="54"/>
      <c r="J50" s="54"/>
      <c r="K50" s="54"/>
      <c r="L50" s="54"/>
      <c r="M50" s="54"/>
      <c r="N50" s="54"/>
      <c r="O50" s="54"/>
      <c r="P50" s="54"/>
      <c r="Q50" s="54"/>
      <c r="R50" s="54"/>
      <c r="S50" s="54"/>
      <c r="T50" s="54"/>
      <c r="U50" s="54"/>
      <c r="V50" s="54"/>
      <c r="W50" s="54"/>
      <c r="X50" s="54"/>
      <c r="Y50" s="54"/>
      <c r="Z50" s="54"/>
    </row>
    <row r="51" spans="1:26" ht="6.75" customHeight="1">
      <c r="A51" s="55"/>
      <c r="B51" s="55"/>
      <c r="C51" s="55"/>
      <c r="D51" s="56"/>
      <c r="E51" s="54"/>
      <c r="F51" s="54"/>
      <c r="G51" s="54"/>
      <c r="H51" s="54"/>
      <c r="I51" s="54"/>
      <c r="J51" s="54"/>
      <c r="K51" s="54"/>
      <c r="L51" s="54"/>
      <c r="M51" s="54"/>
      <c r="N51" s="54"/>
      <c r="O51" s="54"/>
      <c r="P51" s="54"/>
      <c r="Q51" s="54"/>
      <c r="R51" s="54"/>
      <c r="S51" s="54"/>
      <c r="T51" s="54"/>
      <c r="U51" s="54"/>
      <c r="V51" s="54"/>
      <c r="W51" s="54"/>
      <c r="X51" s="54"/>
      <c r="Y51" s="54"/>
      <c r="Z51" s="54"/>
    </row>
    <row r="52" spans="1:26" ht="48" customHeight="1">
      <c r="A52" s="596" t="s">
        <v>37</v>
      </c>
      <c r="B52" s="589"/>
      <c r="C52" s="589"/>
      <c r="D52" s="590"/>
      <c r="E52" s="54"/>
      <c r="F52" s="54"/>
      <c r="G52" s="54"/>
      <c r="H52" s="54"/>
      <c r="I52" s="54"/>
      <c r="J52" s="54"/>
      <c r="K52" s="54"/>
      <c r="L52" s="54"/>
      <c r="M52" s="54"/>
      <c r="N52" s="54"/>
      <c r="O52" s="54"/>
      <c r="P52" s="54"/>
      <c r="Q52" s="54"/>
      <c r="R52" s="54"/>
      <c r="S52" s="54"/>
      <c r="T52" s="54"/>
      <c r="U52" s="54"/>
      <c r="V52" s="54"/>
      <c r="W52" s="54"/>
      <c r="X52" s="54"/>
      <c r="Y52" s="54"/>
      <c r="Z52" s="54"/>
    </row>
    <row r="53" spans="1:26" ht="6.75" customHeight="1">
      <c r="A53" s="55"/>
      <c r="B53" s="55"/>
      <c r="C53" s="55"/>
      <c r="D53" s="56"/>
      <c r="E53" s="54"/>
      <c r="F53" s="54"/>
      <c r="G53" s="54"/>
      <c r="H53" s="54"/>
      <c r="I53" s="54"/>
      <c r="J53" s="54"/>
      <c r="K53" s="54"/>
      <c r="L53" s="54"/>
      <c r="M53" s="54"/>
      <c r="N53" s="54"/>
      <c r="O53" s="54"/>
      <c r="P53" s="54"/>
      <c r="Q53" s="54"/>
      <c r="R53" s="54"/>
      <c r="S53" s="54"/>
      <c r="T53" s="54"/>
      <c r="U53" s="54"/>
      <c r="V53" s="54"/>
      <c r="W53" s="54"/>
      <c r="X53" s="54"/>
      <c r="Y53" s="54"/>
      <c r="Z53" s="54"/>
    </row>
    <row r="54" spans="1:26" ht="48" customHeight="1">
      <c r="A54" s="596" t="s">
        <v>38</v>
      </c>
      <c r="B54" s="589"/>
      <c r="C54" s="589"/>
      <c r="D54" s="590"/>
      <c r="E54" s="54"/>
      <c r="F54" s="54"/>
      <c r="G54" s="54"/>
      <c r="H54" s="54"/>
      <c r="I54" s="54"/>
      <c r="J54" s="54"/>
      <c r="K54" s="54"/>
      <c r="L54" s="54"/>
      <c r="M54" s="54"/>
      <c r="N54" s="54"/>
      <c r="O54" s="54"/>
      <c r="P54" s="54"/>
      <c r="Q54" s="54"/>
      <c r="R54" s="54"/>
      <c r="S54" s="54"/>
      <c r="T54" s="54"/>
      <c r="U54" s="54"/>
      <c r="V54" s="54"/>
      <c r="W54" s="54"/>
      <c r="X54" s="54"/>
      <c r="Y54" s="54"/>
      <c r="Z54" s="54"/>
    </row>
    <row r="55" spans="1:26" ht="6.75" customHeight="1">
      <c r="A55" s="55"/>
      <c r="B55" s="55"/>
      <c r="C55" s="55"/>
      <c r="D55" s="56"/>
      <c r="E55" s="54"/>
      <c r="F55" s="54"/>
      <c r="G55" s="54"/>
      <c r="H55" s="54"/>
      <c r="I55" s="54"/>
      <c r="J55" s="54"/>
      <c r="K55" s="54"/>
      <c r="L55" s="54"/>
      <c r="M55" s="54"/>
      <c r="N55" s="54"/>
      <c r="O55" s="54"/>
      <c r="P55" s="54"/>
      <c r="Q55" s="54"/>
      <c r="R55" s="54"/>
      <c r="S55" s="54"/>
      <c r="T55" s="54"/>
      <c r="U55" s="54"/>
      <c r="V55" s="54"/>
      <c r="W55" s="54"/>
      <c r="X55" s="54"/>
      <c r="Y55" s="54"/>
      <c r="Z55" s="54"/>
    </row>
    <row r="56" spans="1:26" ht="36" customHeight="1">
      <c r="A56" s="596" t="s">
        <v>61</v>
      </c>
      <c r="B56" s="589"/>
      <c r="C56" s="589"/>
      <c r="D56" s="590"/>
      <c r="E56" s="54"/>
      <c r="F56" s="54"/>
      <c r="G56" s="54"/>
      <c r="H56" s="54"/>
      <c r="I56" s="54"/>
      <c r="J56" s="54"/>
      <c r="K56" s="54"/>
      <c r="L56" s="54"/>
      <c r="M56" s="54"/>
      <c r="N56" s="54"/>
      <c r="O56" s="54"/>
      <c r="P56" s="54"/>
      <c r="Q56" s="54"/>
      <c r="R56" s="54"/>
      <c r="S56" s="54"/>
      <c r="T56" s="54"/>
      <c r="U56" s="54"/>
      <c r="V56" s="54"/>
      <c r="W56" s="54"/>
      <c r="X56" s="54"/>
      <c r="Y56" s="54"/>
      <c r="Z56" s="54"/>
    </row>
    <row r="57" spans="1:26" ht="6.75" customHeight="1">
      <c r="A57" s="55"/>
      <c r="B57" s="55"/>
      <c r="C57" s="55"/>
      <c r="D57" s="56"/>
      <c r="E57" s="54"/>
      <c r="F57" s="54"/>
      <c r="G57" s="54"/>
      <c r="H57" s="54"/>
      <c r="I57" s="54"/>
      <c r="J57" s="54"/>
      <c r="K57" s="54"/>
      <c r="L57" s="54"/>
      <c r="M57" s="54"/>
      <c r="N57" s="54"/>
      <c r="O57" s="54"/>
      <c r="P57" s="54"/>
      <c r="Q57" s="54"/>
      <c r="R57" s="54"/>
      <c r="S57" s="54"/>
      <c r="T57" s="54"/>
      <c r="U57" s="54"/>
      <c r="V57" s="54"/>
      <c r="W57" s="54"/>
      <c r="X57" s="54"/>
      <c r="Y57" s="54"/>
      <c r="Z57" s="54"/>
    </row>
    <row r="58" spans="1:26" ht="15" customHeight="1">
      <c r="A58" s="75" t="s">
        <v>40</v>
      </c>
      <c r="B58" s="64"/>
      <c r="C58" s="64"/>
      <c r="D58" s="64"/>
      <c r="E58" s="54"/>
      <c r="F58" s="54"/>
      <c r="G58" s="54"/>
      <c r="H58" s="54"/>
      <c r="I58" s="54"/>
      <c r="J58" s="54"/>
      <c r="K58" s="54"/>
      <c r="L58" s="54"/>
      <c r="M58" s="54"/>
      <c r="N58" s="54"/>
      <c r="O58" s="54"/>
      <c r="P58" s="54"/>
      <c r="Q58" s="54"/>
      <c r="R58" s="54"/>
      <c r="S58" s="54"/>
      <c r="T58" s="54"/>
      <c r="U58" s="54"/>
      <c r="V58" s="54"/>
      <c r="W58" s="54"/>
      <c r="X58" s="54"/>
      <c r="Y58" s="54"/>
      <c r="Z58" s="54"/>
    </row>
    <row r="59" spans="1:26" ht="6.75" customHeight="1">
      <c r="A59" s="60"/>
      <c r="B59" s="61"/>
      <c r="C59" s="61"/>
      <c r="D59" s="62"/>
      <c r="E59" s="54"/>
      <c r="F59" s="54"/>
      <c r="G59" s="54"/>
      <c r="H59" s="54"/>
      <c r="I59" s="54"/>
      <c r="J59" s="54"/>
      <c r="K59" s="54"/>
      <c r="L59" s="54"/>
      <c r="M59" s="54"/>
      <c r="N59" s="54"/>
      <c r="O59" s="54"/>
      <c r="P59" s="54"/>
      <c r="Q59" s="54"/>
      <c r="R59" s="54"/>
      <c r="S59" s="54"/>
      <c r="T59" s="54"/>
      <c r="U59" s="54"/>
      <c r="V59" s="54"/>
      <c r="W59" s="54"/>
      <c r="X59" s="54"/>
      <c r="Y59" s="54"/>
      <c r="Z59" s="54"/>
    </row>
    <row r="60" spans="1:26" ht="12" customHeight="1">
      <c r="A60" s="63" t="s">
        <v>41</v>
      </c>
      <c r="B60" s="64"/>
      <c r="C60" s="65" t="s">
        <v>42</v>
      </c>
      <c r="D60" s="290">
        <f>'Proposed Rates'!I9</f>
        <v>29.77</v>
      </c>
      <c r="E60" s="54"/>
      <c r="F60" s="54"/>
      <c r="G60" s="54"/>
      <c r="H60" s="54"/>
      <c r="I60" s="54"/>
      <c r="J60" s="54"/>
      <c r="K60" s="54"/>
      <c r="L60" s="54"/>
      <c r="M60" s="54"/>
      <c r="N60" s="54"/>
      <c r="O60" s="54"/>
      <c r="P60" s="54"/>
      <c r="Q60" s="54"/>
      <c r="R60" s="54"/>
      <c r="S60" s="54"/>
      <c r="T60" s="54"/>
      <c r="U60" s="54"/>
      <c r="V60" s="54"/>
      <c r="W60" s="54"/>
      <c r="X60" s="54"/>
      <c r="Y60" s="54"/>
      <c r="Z60" s="54"/>
    </row>
    <row r="61" spans="1:26" ht="12" customHeight="1">
      <c r="A61" s="63" t="s">
        <v>46</v>
      </c>
      <c r="B61" s="64"/>
      <c r="C61" s="65" t="s">
        <v>42</v>
      </c>
      <c r="D61" s="292">
        <f>'Proposed Rates'!I281</f>
        <v>0.44</v>
      </c>
      <c r="E61" s="54"/>
      <c r="F61" s="54"/>
      <c r="G61" s="54"/>
      <c r="H61" s="54"/>
      <c r="I61" s="54"/>
      <c r="J61" s="54"/>
      <c r="K61" s="54"/>
      <c r="L61" s="54"/>
      <c r="M61" s="54"/>
      <c r="N61" s="54"/>
      <c r="O61" s="54"/>
      <c r="P61" s="54"/>
      <c r="Q61" s="54"/>
      <c r="R61" s="54"/>
      <c r="S61" s="54"/>
      <c r="T61" s="54"/>
      <c r="U61" s="54"/>
      <c r="V61" s="54"/>
      <c r="W61" s="54"/>
      <c r="X61" s="54"/>
      <c r="Y61" s="54"/>
      <c r="Z61" s="54"/>
    </row>
    <row r="62" spans="1:26" ht="12" customHeight="1">
      <c r="A62" s="63" t="s">
        <v>62</v>
      </c>
      <c r="B62" s="64"/>
      <c r="C62" s="65" t="s">
        <v>48</v>
      </c>
      <c r="D62" s="291">
        <f>'Proposed Rates'!I22</f>
        <v>3.85E-2</v>
      </c>
      <c r="E62" s="54"/>
      <c r="F62" s="54"/>
      <c r="G62" s="54"/>
      <c r="H62" s="54"/>
      <c r="I62" s="54"/>
      <c r="J62" s="54"/>
      <c r="K62" s="54"/>
      <c r="L62" s="54"/>
      <c r="M62" s="54"/>
      <c r="N62" s="54"/>
      <c r="O62" s="54"/>
      <c r="P62" s="54"/>
      <c r="Q62" s="54"/>
      <c r="R62" s="54"/>
      <c r="S62" s="54"/>
      <c r="T62" s="54"/>
      <c r="U62" s="54"/>
      <c r="V62" s="54"/>
      <c r="W62" s="54"/>
      <c r="X62" s="54"/>
      <c r="Y62" s="54"/>
      <c r="Z62" s="54"/>
    </row>
    <row r="63" spans="1:26" ht="12" customHeight="1">
      <c r="A63" s="63" t="s">
        <v>47</v>
      </c>
      <c r="B63" s="64"/>
      <c r="C63" s="65" t="s">
        <v>48</v>
      </c>
      <c r="D63" s="293">
        <f>'Proposed Rates'!I268</f>
        <v>6.0000000000000002E-5</v>
      </c>
      <c r="E63" s="54"/>
      <c r="F63" s="54"/>
      <c r="G63" s="54"/>
      <c r="H63" s="54"/>
      <c r="I63" s="54"/>
      <c r="J63" s="54"/>
      <c r="K63" s="54"/>
      <c r="L63" s="54"/>
      <c r="M63" s="54"/>
      <c r="N63" s="54"/>
      <c r="O63" s="54"/>
      <c r="P63" s="54"/>
      <c r="Q63" s="54"/>
      <c r="R63" s="54"/>
      <c r="S63" s="54"/>
      <c r="T63" s="54"/>
      <c r="U63" s="54"/>
      <c r="V63" s="54"/>
      <c r="W63" s="54"/>
      <c r="X63" s="54"/>
      <c r="Y63" s="54"/>
      <c r="Z63" s="54"/>
    </row>
    <row r="64" spans="1:26" ht="12" customHeight="1">
      <c r="A64" s="63" t="s">
        <v>49</v>
      </c>
      <c r="B64" s="64"/>
      <c r="C64" s="65" t="s">
        <v>48</v>
      </c>
      <c r="D64" s="291">
        <f>'Proposed Rates'!I38</f>
        <v>0</v>
      </c>
      <c r="E64" s="54"/>
      <c r="F64" s="54"/>
      <c r="G64" s="54"/>
      <c r="H64" s="54"/>
      <c r="I64" s="54"/>
      <c r="J64" s="54"/>
      <c r="K64" s="54"/>
      <c r="L64" s="54"/>
      <c r="M64" s="54"/>
      <c r="N64" s="54"/>
      <c r="O64" s="54"/>
      <c r="P64" s="54"/>
      <c r="Q64" s="54"/>
      <c r="R64" s="54"/>
      <c r="S64" s="54"/>
      <c r="T64" s="54"/>
      <c r="U64" s="54"/>
      <c r="V64" s="54"/>
      <c r="W64" s="54"/>
      <c r="X64" s="54"/>
      <c r="Y64" s="54"/>
      <c r="Z64" s="54"/>
    </row>
    <row r="65" spans="1:26" ht="12" customHeight="1">
      <c r="A65" s="63" t="s">
        <v>45</v>
      </c>
      <c r="B65" s="64"/>
      <c r="C65" s="65" t="s">
        <v>48</v>
      </c>
      <c r="D65" s="291">
        <f>'Proposed Rates'!I65</f>
        <v>0</v>
      </c>
      <c r="E65" s="54"/>
      <c r="F65" s="54"/>
      <c r="G65" s="54"/>
      <c r="H65" s="54"/>
      <c r="I65" s="54"/>
      <c r="J65" s="54"/>
      <c r="K65" s="54"/>
      <c r="L65" s="54"/>
      <c r="M65" s="54"/>
      <c r="N65" s="54"/>
      <c r="O65" s="54"/>
      <c r="P65" s="54"/>
      <c r="Q65" s="54"/>
      <c r="R65" s="54"/>
      <c r="S65" s="54"/>
      <c r="T65" s="54"/>
      <c r="U65" s="54"/>
      <c r="V65" s="54"/>
      <c r="W65" s="54"/>
      <c r="X65" s="54"/>
      <c r="Y65" s="54"/>
      <c r="Z65" s="54"/>
    </row>
    <row r="66" spans="1:26" ht="12" customHeight="1">
      <c r="A66" s="63" t="s">
        <v>44</v>
      </c>
      <c r="B66" s="64"/>
      <c r="C66" s="65" t="s">
        <v>48</v>
      </c>
      <c r="D66" s="291">
        <f>'Proposed Rates'!I91</f>
        <v>0</v>
      </c>
      <c r="E66" s="54"/>
      <c r="F66" s="54"/>
      <c r="G66" s="54"/>
      <c r="H66" s="54"/>
      <c r="I66" s="54"/>
      <c r="J66" s="54"/>
      <c r="K66" s="54"/>
      <c r="L66" s="54"/>
      <c r="M66" s="54"/>
      <c r="N66" s="54"/>
      <c r="O66" s="54"/>
      <c r="P66" s="54"/>
      <c r="Q66" s="54"/>
      <c r="R66" s="54"/>
      <c r="S66" s="54"/>
      <c r="T66" s="54"/>
      <c r="U66" s="54"/>
      <c r="V66" s="54"/>
      <c r="W66" s="54"/>
      <c r="X66" s="54"/>
      <c r="Y66" s="54"/>
      <c r="Z66" s="54"/>
    </row>
    <row r="67" spans="1:26" ht="12" customHeight="1">
      <c r="A67" s="63" t="s">
        <v>233</v>
      </c>
      <c r="B67" s="64"/>
      <c r="C67" s="65" t="s">
        <v>48</v>
      </c>
      <c r="D67" s="291">
        <f>'Proposed Rates'!I146</f>
        <v>0</v>
      </c>
      <c r="E67" s="54"/>
      <c r="F67" s="54"/>
      <c r="G67" s="54"/>
      <c r="H67" s="54"/>
      <c r="I67" s="54"/>
      <c r="J67" s="54"/>
      <c r="K67" s="54"/>
      <c r="L67" s="54"/>
      <c r="M67" s="54"/>
      <c r="N67" s="54"/>
      <c r="O67" s="54"/>
      <c r="P67" s="54"/>
      <c r="Q67" s="54"/>
      <c r="R67" s="54"/>
      <c r="S67" s="54"/>
      <c r="T67" s="54"/>
      <c r="U67" s="54"/>
      <c r="V67" s="54"/>
      <c r="W67" s="54"/>
      <c r="X67" s="54"/>
      <c r="Y67" s="54"/>
      <c r="Z67" s="54"/>
    </row>
    <row r="68" spans="1:26" ht="12" customHeight="1">
      <c r="A68" s="63" t="s">
        <v>52</v>
      </c>
      <c r="B68" s="64"/>
      <c r="C68" s="65" t="s">
        <v>48</v>
      </c>
      <c r="D68" s="291">
        <f>'Proposed Rates'!I187</f>
        <v>1.0699999999999999E-2</v>
      </c>
      <c r="E68" s="54"/>
      <c r="F68" s="54"/>
      <c r="G68" s="54"/>
      <c r="H68" s="54"/>
      <c r="I68" s="54"/>
      <c r="J68" s="54"/>
      <c r="K68" s="54"/>
      <c r="L68" s="54"/>
      <c r="M68" s="54"/>
      <c r="N68" s="54"/>
      <c r="O68" s="54"/>
      <c r="P68" s="54"/>
      <c r="Q68" s="54"/>
      <c r="R68" s="54"/>
      <c r="S68" s="54"/>
      <c r="T68" s="54"/>
      <c r="U68" s="54"/>
      <c r="V68" s="54"/>
      <c r="W68" s="54"/>
      <c r="X68" s="54"/>
      <c r="Y68" s="54"/>
      <c r="Z68" s="54"/>
    </row>
    <row r="69" spans="1:26" ht="12" customHeight="1">
      <c r="A69" s="63" t="s">
        <v>53</v>
      </c>
      <c r="B69" s="63"/>
      <c r="C69" s="65" t="s">
        <v>48</v>
      </c>
      <c r="D69" s="291">
        <f>'Proposed Rates'!I202</f>
        <v>6.1000000000000004E-3</v>
      </c>
      <c r="E69" s="54"/>
      <c r="F69" s="54"/>
      <c r="G69" s="54"/>
      <c r="H69" s="54"/>
      <c r="I69" s="54"/>
      <c r="J69" s="54"/>
      <c r="K69" s="54"/>
      <c r="L69" s="54"/>
      <c r="M69" s="54"/>
      <c r="N69" s="54"/>
      <c r="O69" s="54"/>
      <c r="P69" s="54"/>
      <c r="Q69" s="54"/>
      <c r="R69" s="54"/>
      <c r="S69" s="54"/>
      <c r="T69" s="54"/>
      <c r="U69" s="54"/>
      <c r="V69" s="54"/>
      <c r="W69" s="54"/>
      <c r="X69" s="54"/>
      <c r="Y69" s="54"/>
      <c r="Z69" s="54"/>
    </row>
    <row r="70" spans="1:26" ht="3.75" customHeight="1">
      <c r="A70" s="63"/>
      <c r="B70" s="64"/>
      <c r="C70" s="65"/>
      <c r="D70" s="294"/>
      <c r="E70" s="54"/>
      <c r="F70" s="54"/>
      <c r="G70" s="54"/>
      <c r="H70" s="54"/>
      <c r="I70" s="54"/>
      <c r="J70" s="54"/>
      <c r="K70" s="54"/>
      <c r="L70" s="54"/>
      <c r="M70" s="54"/>
      <c r="N70" s="54"/>
      <c r="O70" s="54"/>
      <c r="P70" s="54"/>
      <c r="Q70" s="54"/>
      <c r="R70" s="54"/>
      <c r="S70" s="54"/>
      <c r="T70" s="54"/>
      <c r="U70" s="54"/>
      <c r="V70" s="54"/>
      <c r="W70" s="54"/>
      <c r="X70" s="54"/>
      <c r="Y70" s="54"/>
      <c r="Z70" s="54"/>
    </row>
    <row r="71" spans="1:26" ht="11.25" customHeight="1">
      <c r="A71" s="75" t="s">
        <v>54</v>
      </c>
      <c r="B71" s="63"/>
      <c r="C71" s="65"/>
      <c r="D71" s="294"/>
      <c r="E71" s="54"/>
      <c r="F71" s="54"/>
      <c r="G71" s="54"/>
      <c r="H71" s="54"/>
      <c r="I71" s="54"/>
      <c r="J71" s="54"/>
      <c r="K71" s="54"/>
      <c r="L71" s="54"/>
      <c r="M71" s="54"/>
      <c r="N71" s="54"/>
      <c r="O71" s="54"/>
      <c r="P71" s="54"/>
      <c r="Q71" s="54"/>
      <c r="R71" s="54"/>
      <c r="S71" s="54"/>
      <c r="T71" s="54"/>
      <c r="U71" s="54"/>
      <c r="V71" s="54"/>
      <c r="W71" s="54"/>
      <c r="X71" s="54"/>
      <c r="Y71" s="54"/>
      <c r="Z71" s="54"/>
    </row>
    <row r="72" spans="1:26" ht="3" customHeight="1">
      <c r="A72" s="75"/>
      <c r="B72" s="64"/>
      <c r="C72" s="65"/>
      <c r="D72" s="294"/>
      <c r="E72" s="54"/>
      <c r="F72" s="54"/>
      <c r="G72" s="54"/>
      <c r="H72" s="54"/>
      <c r="I72" s="54"/>
      <c r="J72" s="54"/>
      <c r="K72" s="54"/>
      <c r="L72" s="54"/>
      <c r="M72" s="54"/>
      <c r="N72" s="54"/>
      <c r="O72" s="54"/>
      <c r="P72" s="54"/>
      <c r="Q72" s="54"/>
      <c r="R72" s="54"/>
      <c r="S72" s="54"/>
      <c r="T72" s="54"/>
      <c r="U72" s="54"/>
      <c r="V72" s="54"/>
      <c r="W72" s="54"/>
      <c r="X72" s="54"/>
      <c r="Y72" s="54"/>
      <c r="Z72" s="54"/>
    </row>
    <row r="73" spans="1:26" ht="12" customHeight="1">
      <c r="A73" s="63" t="s">
        <v>55</v>
      </c>
      <c r="B73" s="64"/>
      <c r="C73" s="65" t="s">
        <v>48</v>
      </c>
      <c r="D73" s="291">
        <f>$D$34</f>
        <v>4.1000000000000003E-3</v>
      </c>
      <c r="E73" s="54"/>
      <c r="F73" s="54"/>
      <c r="G73" s="54"/>
      <c r="H73" s="54"/>
      <c r="I73" s="54"/>
      <c r="J73" s="54"/>
      <c r="K73" s="54"/>
      <c r="L73" s="54"/>
      <c r="M73" s="54"/>
      <c r="N73" s="54"/>
      <c r="O73" s="54"/>
      <c r="P73" s="54"/>
      <c r="Q73" s="54"/>
      <c r="R73" s="54"/>
      <c r="S73" s="54"/>
      <c r="T73" s="54"/>
      <c r="U73" s="54"/>
      <c r="V73" s="54"/>
      <c r="W73" s="54"/>
      <c r="X73" s="54"/>
      <c r="Y73" s="54"/>
      <c r="Z73" s="54"/>
    </row>
    <row r="74" spans="1:26" ht="12" customHeight="1">
      <c r="A74" s="63" t="s">
        <v>56</v>
      </c>
      <c r="B74" s="64"/>
      <c r="C74" s="65" t="s">
        <v>48</v>
      </c>
      <c r="D74" s="291">
        <f>'Proposed Rates'!I217-'2026'!D80</f>
        <v>5.9999999999999984E-4</v>
      </c>
      <c r="E74" s="54"/>
      <c r="F74" s="54"/>
      <c r="G74" s="54"/>
      <c r="H74" s="54"/>
      <c r="I74" s="54"/>
      <c r="J74" s="54"/>
      <c r="K74" s="54"/>
      <c r="L74" s="54"/>
      <c r="M74" s="54"/>
      <c r="N74" s="54"/>
      <c r="O74" s="54"/>
      <c r="P74" s="54"/>
      <c r="Q74" s="54"/>
      <c r="R74" s="54"/>
      <c r="S74" s="54"/>
      <c r="T74" s="54"/>
      <c r="U74" s="54"/>
      <c r="V74" s="54"/>
      <c r="W74" s="54"/>
      <c r="X74" s="54"/>
      <c r="Y74" s="54"/>
      <c r="Z74" s="54"/>
    </row>
    <row r="75" spans="1:26" ht="12" customHeight="1">
      <c r="A75" s="63" t="s">
        <v>57</v>
      </c>
      <c r="B75" s="64"/>
      <c r="C75" s="65" t="s">
        <v>48</v>
      </c>
      <c r="D75" s="291">
        <f>'Proposed Rates'!I230</f>
        <v>5.9999999999999995E-4</v>
      </c>
      <c r="E75" s="54"/>
      <c r="F75" s="54"/>
      <c r="G75" s="54"/>
      <c r="H75" s="54"/>
      <c r="I75" s="54"/>
      <c r="J75" s="54"/>
      <c r="K75" s="54"/>
      <c r="L75" s="54"/>
      <c r="M75" s="54"/>
      <c r="N75" s="54"/>
      <c r="O75" s="54"/>
      <c r="P75" s="54"/>
      <c r="Q75" s="54"/>
      <c r="R75" s="54"/>
      <c r="S75" s="54"/>
      <c r="T75" s="54"/>
      <c r="U75" s="54"/>
      <c r="V75" s="54"/>
      <c r="W75" s="54"/>
      <c r="X75" s="54"/>
      <c r="Y75" s="54"/>
      <c r="Z75" s="54"/>
    </row>
    <row r="76" spans="1:26" ht="12" customHeight="1">
      <c r="A76" s="63" t="s">
        <v>58</v>
      </c>
      <c r="B76" s="64"/>
      <c r="C76" s="65" t="s">
        <v>42</v>
      </c>
      <c r="D76" s="291">
        <f>'Proposed Rates'!I244</f>
        <v>0.25</v>
      </c>
      <c r="E76" s="54"/>
      <c r="F76" s="54"/>
      <c r="G76" s="54"/>
      <c r="H76" s="54"/>
      <c r="I76" s="54"/>
      <c r="J76" s="54"/>
      <c r="K76" s="54"/>
      <c r="L76" s="54"/>
      <c r="M76" s="54"/>
      <c r="N76" s="54"/>
      <c r="O76" s="54"/>
      <c r="P76" s="54"/>
      <c r="Q76" s="54"/>
      <c r="R76" s="54"/>
      <c r="S76" s="54"/>
      <c r="T76" s="54"/>
      <c r="U76" s="54"/>
      <c r="V76" s="54"/>
      <c r="W76" s="54"/>
      <c r="X76" s="54"/>
      <c r="Y76" s="54"/>
      <c r="Z76" s="54"/>
    </row>
    <row r="77" spans="1:26" ht="11.25" customHeight="1">
      <c r="A77" s="89"/>
      <c r="B77" s="64"/>
      <c r="C77" s="65"/>
      <c r="D77" s="74"/>
      <c r="E77" s="54"/>
      <c r="F77" s="54"/>
      <c r="G77" s="54"/>
      <c r="H77" s="54"/>
      <c r="I77" s="54"/>
      <c r="J77" s="54"/>
      <c r="K77" s="54"/>
      <c r="L77" s="54"/>
      <c r="M77" s="54"/>
      <c r="N77" s="54"/>
      <c r="O77" s="54"/>
      <c r="P77" s="54"/>
      <c r="Q77" s="54"/>
      <c r="R77" s="54"/>
      <c r="S77" s="54"/>
      <c r="T77" s="54"/>
      <c r="U77" s="54"/>
      <c r="V77" s="54"/>
      <c r="W77" s="54"/>
      <c r="X77" s="54"/>
      <c r="Y77" s="54"/>
      <c r="Z77" s="54"/>
    </row>
    <row r="78" spans="1:26" ht="21.75" customHeight="1">
      <c r="A78" s="588" t="str">
        <f>$A$1</f>
        <v>Hydro Ottawa Limited</v>
      </c>
      <c r="B78" s="589"/>
      <c r="C78" s="589"/>
      <c r="D78" s="590"/>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591" t="str">
        <f>$A$2</f>
        <v>PROPOSED - TARIFF OF RATES AND CHARGES</v>
      </c>
      <c r="B79" s="589"/>
      <c r="C79" s="589"/>
      <c r="D79" s="590"/>
      <c r="E79" s="54"/>
      <c r="F79" s="54"/>
      <c r="G79" s="54"/>
      <c r="H79" s="54"/>
      <c r="I79" s="54"/>
      <c r="J79" s="54"/>
      <c r="K79" s="54"/>
      <c r="L79" s="54"/>
      <c r="M79" s="54"/>
      <c r="N79" s="54"/>
      <c r="O79" s="54"/>
      <c r="P79" s="54"/>
      <c r="Q79" s="54"/>
      <c r="R79" s="54"/>
      <c r="S79" s="54"/>
      <c r="T79" s="54"/>
      <c r="U79" s="54"/>
      <c r="V79" s="54"/>
      <c r="W79" s="54"/>
      <c r="X79" s="54"/>
      <c r="Y79" s="54"/>
      <c r="Z79" s="54"/>
    </row>
    <row r="80" spans="1:26" ht="15" customHeight="1">
      <c r="A80" s="592" t="str">
        <f>$A$3</f>
        <v>Effective and Implementation Date January 1, 2029</v>
      </c>
      <c r="B80" s="589"/>
      <c r="C80" s="589"/>
      <c r="D80" s="590"/>
      <c r="E80" s="54"/>
      <c r="F80" s="54"/>
      <c r="G80" s="54"/>
      <c r="H80" s="54"/>
      <c r="I80" s="54"/>
      <c r="J80" s="54"/>
      <c r="K80" s="54"/>
      <c r="L80" s="54"/>
      <c r="M80" s="54"/>
      <c r="N80" s="54"/>
      <c r="O80" s="54"/>
      <c r="P80" s="54"/>
      <c r="Q80" s="54"/>
      <c r="R80" s="54"/>
      <c r="S80" s="54"/>
      <c r="T80" s="54"/>
      <c r="U80" s="54"/>
      <c r="V80" s="54"/>
      <c r="W80" s="54"/>
      <c r="X80" s="54"/>
      <c r="Y80" s="54"/>
      <c r="Z80" s="54"/>
    </row>
    <row r="81" spans="1:26" ht="15" customHeight="1">
      <c r="A81" s="593" t="str">
        <f>$A$4</f>
        <v>This schedule supersedes and replaces all previously</v>
      </c>
      <c r="B81" s="589"/>
      <c r="C81" s="589"/>
      <c r="D81" s="590"/>
      <c r="E81" s="54"/>
      <c r="F81" s="54"/>
      <c r="G81" s="54"/>
      <c r="H81" s="54"/>
      <c r="I81" s="54"/>
      <c r="J81" s="54"/>
      <c r="K81" s="54"/>
      <c r="L81" s="54"/>
      <c r="M81" s="54"/>
      <c r="N81" s="54"/>
      <c r="O81" s="54"/>
      <c r="P81" s="54"/>
      <c r="Q81" s="54"/>
      <c r="R81" s="54"/>
      <c r="S81" s="54"/>
      <c r="T81" s="54"/>
      <c r="U81" s="54"/>
      <c r="V81" s="54"/>
      <c r="W81" s="54"/>
      <c r="X81" s="54"/>
      <c r="Y81" s="54"/>
      <c r="Z81" s="54"/>
    </row>
    <row r="82" spans="1:26" ht="15" customHeight="1">
      <c r="A82" s="593" t="str">
        <f>$A$5</f>
        <v>approved schedules of Rates, Charges and Loss Factors</v>
      </c>
      <c r="B82" s="589"/>
      <c r="C82" s="589"/>
      <c r="D82" s="590"/>
      <c r="E82" s="54"/>
      <c r="F82" s="54"/>
      <c r="G82" s="54"/>
      <c r="H82" s="54"/>
      <c r="I82" s="54"/>
      <c r="J82" s="54"/>
      <c r="K82" s="54"/>
      <c r="L82" s="54"/>
      <c r="M82" s="54"/>
      <c r="N82" s="54"/>
      <c r="O82" s="54"/>
      <c r="P82" s="54"/>
      <c r="Q82" s="54"/>
      <c r="R82" s="54"/>
      <c r="S82" s="54"/>
      <c r="T82" s="54"/>
      <c r="U82" s="54"/>
      <c r="V82" s="54"/>
      <c r="W82" s="54"/>
      <c r="X82" s="54"/>
      <c r="Y82" s="54"/>
      <c r="Z82" s="54"/>
    </row>
    <row r="83" spans="1:26" ht="9" customHeight="1">
      <c r="A83" s="594" t="str">
        <f>$A$6</f>
        <v>EB-2024-0115</v>
      </c>
      <c r="B83" s="589"/>
      <c r="C83" s="589"/>
      <c r="D83" s="590"/>
      <c r="E83" s="54"/>
      <c r="F83" s="54"/>
      <c r="G83" s="54"/>
      <c r="H83" s="54"/>
      <c r="I83" s="54"/>
      <c r="J83" s="54"/>
      <c r="K83" s="54"/>
      <c r="L83" s="54"/>
      <c r="M83" s="54"/>
      <c r="N83" s="54"/>
      <c r="O83" s="54"/>
      <c r="P83" s="54"/>
      <c r="Q83" s="54"/>
      <c r="R83" s="54"/>
      <c r="S83" s="54"/>
      <c r="T83" s="54"/>
      <c r="U83" s="54"/>
      <c r="V83" s="54"/>
      <c r="W83" s="54"/>
      <c r="X83" s="54"/>
      <c r="Y83" s="54"/>
      <c r="Z83" s="54"/>
    </row>
    <row r="84" spans="1:26" ht="18.75" customHeight="1">
      <c r="A84" s="595" t="s">
        <v>64</v>
      </c>
      <c r="B84" s="589"/>
      <c r="C84" s="589"/>
      <c r="D84" s="590"/>
      <c r="E84" s="76"/>
      <c r="F84" s="76"/>
      <c r="G84" s="76"/>
      <c r="H84" s="76"/>
      <c r="I84" s="76"/>
      <c r="J84" s="76"/>
      <c r="K84" s="76"/>
      <c r="L84" s="76"/>
      <c r="M84" s="76"/>
      <c r="N84" s="76"/>
      <c r="O84" s="76"/>
      <c r="P84" s="76"/>
      <c r="Q84" s="76"/>
      <c r="R84" s="76"/>
      <c r="S84" s="76"/>
      <c r="T84" s="76"/>
      <c r="U84" s="76"/>
      <c r="V84" s="76"/>
      <c r="W84" s="76"/>
      <c r="X84" s="76"/>
      <c r="Y84" s="76"/>
      <c r="Z84" s="76"/>
    </row>
    <row r="85" spans="1:26" ht="48" customHeight="1">
      <c r="A85" s="596" t="s">
        <v>65</v>
      </c>
      <c r="B85" s="589"/>
      <c r="C85" s="589"/>
      <c r="D85" s="590"/>
      <c r="E85" s="54"/>
      <c r="F85" s="54"/>
      <c r="G85" s="54"/>
      <c r="H85" s="54"/>
      <c r="I85" s="54"/>
      <c r="J85" s="54"/>
      <c r="K85" s="54"/>
      <c r="L85" s="54"/>
      <c r="M85" s="54"/>
      <c r="N85" s="54"/>
      <c r="O85" s="54"/>
      <c r="P85" s="54"/>
      <c r="Q85" s="54"/>
      <c r="R85" s="54"/>
      <c r="S85" s="54"/>
      <c r="T85" s="54"/>
      <c r="U85" s="54"/>
      <c r="V85" s="54"/>
      <c r="W85" s="54"/>
      <c r="X85" s="54"/>
      <c r="Y85" s="54"/>
      <c r="Z85" s="54"/>
    </row>
    <row r="86" spans="1:26" ht="6.75" customHeight="1">
      <c r="A86" s="55"/>
      <c r="B86" s="55"/>
      <c r="C86" s="55"/>
      <c r="D86" s="56"/>
      <c r="E86" s="54"/>
      <c r="F86" s="54"/>
      <c r="G86" s="54"/>
      <c r="H86" s="54"/>
      <c r="I86" s="54"/>
      <c r="J86" s="54"/>
      <c r="K86" s="54"/>
      <c r="L86" s="54"/>
      <c r="M86" s="54"/>
      <c r="N86" s="54"/>
      <c r="O86" s="54"/>
      <c r="P86" s="54"/>
      <c r="Q86" s="54"/>
      <c r="R86" s="54"/>
      <c r="S86" s="54"/>
      <c r="T86" s="54"/>
      <c r="U86" s="54"/>
      <c r="V86" s="54"/>
      <c r="W86" s="54"/>
      <c r="X86" s="54"/>
      <c r="Y86" s="54"/>
      <c r="Z86" s="54"/>
    </row>
    <row r="87" spans="1:26" ht="11.25" customHeight="1">
      <c r="A87" s="597" t="s">
        <v>35</v>
      </c>
      <c r="B87" s="589"/>
      <c r="C87" s="589"/>
      <c r="D87" s="590"/>
      <c r="E87" s="54"/>
      <c r="F87" s="54"/>
      <c r="G87" s="54"/>
      <c r="H87" s="54"/>
      <c r="I87" s="54"/>
      <c r="J87" s="54"/>
      <c r="K87" s="54"/>
      <c r="L87" s="54"/>
      <c r="M87" s="54"/>
      <c r="N87" s="54"/>
      <c r="O87" s="54"/>
      <c r="P87" s="54"/>
      <c r="Q87" s="54"/>
      <c r="R87" s="54"/>
      <c r="S87" s="54"/>
      <c r="T87" s="54"/>
      <c r="U87" s="54"/>
      <c r="V87" s="54"/>
      <c r="W87" s="54"/>
      <c r="X87" s="54"/>
      <c r="Y87" s="54"/>
      <c r="Z87" s="54"/>
    </row>
    <row r="88" spans="1:26" ht="6.75" customHeight="1">
      <c r="A88" s="57"/>
      <c r="B88" s="58"/>
      <c r="C88" s="58"/>
      <c r="D88" s="59"/>
      <c r="E88" s="54"/>
      <c r="F88" s="54"/>
      <c r="G88" s="54"/>
      <c r="H88" s="54"/>
      <c r="I88" s="54"/>
      <c r="J88" s="54"/>
      <c r="K88" s="54"/>
      <c r="L88" s="54"/>
      <c r="M88" s="54"/>
      <c r="N88" s="54"/>
      <c r="O88" s="54"/>
      <c r="P88" s="54"/>
      <c r="Q88" s="54"/>
      <c r="R88" s="54"/>
      <c r="S88" s="54"/>
      <c r="T88" s="54"/>
      <c r="U88" s="54"/>
      <c r="V88" s="54"/>
      <c r="W88" s="54"/>
      <c r="X88" s="54"/>
      <c r="Y88" s="54"/>
      <c r="Z88" s="54"/>
    </row>
    <row r="89" spans="1:26" ht="36" customHeight="1">
      <c r="A89" s="596" t="s">
        <v>36</v>
      </c>
      <c r="B89" s="589"/>
      <c r="C89" s="589"/>
      <c r="D89" s="590"/>
      <c r="E89" s="54"/>
      <c r="F89" s="54"/>
      <c r="G89" s="54"/>
      <c r="H89" s="54"/>
      <c r="I89" s="54"/>
      <c r="J89" s="54"/>
      <c r="K89" s="54"/>
      <c r="L89" s="54"/>
      <c r="M89" s="54"/>
      <c r="N89" s="54"/>
      <c r="O89" s="54"/>
      <c r="P89" s="54"/>
      <c r="Q89" s="54"/>
      <c r="R89" s="54"/>
      <c r="S89" s="54"/>
      <c r="T89" s="54"/>
      <c r="U89" s="54"/>
      <c r="V89" s="54"/>
      <c r="W89" s="54"/>
      <c r="X89" s="54"/>
      <c r="Y89" s="54"/>
      <c r="Z89" s="54"/>
    </row>
    <row r="90" spans="1:26" ht="6.75" customHeight="1">
      <c r="A90" s="55"/>
      <c r="B90" s="55"/>
      <c r="C90" s="55"/>
      <c r="D90" s="56"/>
      <c r="E90" s="54"/>
      <c r="F90" s="54"/>
      <c r="G90" s="54"/>
      <c r="H90" s="54"/>
      <c r="I90" s="54"/>
      <c r="J90" s="54"/>
      <c r="K90" s="54"/>
      <c r="L90" s="54"/>
      <c r="M90" s="54"/>
      <c r="N90" s="54"/>
      <c r="O90" s="54"/>
      <c r="P90" s="54"/>
      <c r="Q90" s="54"/>
      <c r="R90" s="54"/>
      <c r="S90" s="54"/>
      <c r="T90" s="54"/>
      <c r="U90" s="54"/>
      <c r="V90" s="54"/>
      <c r="W90" s="54"/>
      <c r="X90" s="54"/>
      <c r="Y90" s="54"/>
      <c r="Z90" s="54"/>
    </row>
    <row r="91" spans="1:26" ht="48" customHeight="1">
      <c r="A91" s="596" t="s">
        <v>37</v>
      </c>
      <c r="B91" s="589"/>
      <c r="C91" s="589"/>
      <c r="D91" s="590"/>
      <c r="E91" s="54"/>
      <c r="F91" s="54"/>
      <c r="G91" s="54"/>
      <c r="H91" s="54"/>
      <c r="I91" s="54"/>
      <c r="J91" s="54"/>
      <c r="K91" s="54"/>
      <c r="L91" s="54"/>
      <c r="M91" s="54"/>
      <c r="N91" s="54"/>
      <c r="O91" s="54"/>
      <c r="P91" s="54"/>
      <c r="Q91" s="54"/>
      <c r="R91" s="54"/>
      <c r="S91" s="54"/>
      <c r="T91" s="54"/>
      <c r="U91" s="54"/>
      <c r="V91" s="54"/>
      <c r="W91" s="54"/>
      <c r="X91" s="54"/>
      <c r="Y91" s="54"/>
      <c r="Z91" s="54"/>
    </row>
    <row r="92" spans="1:26" ht="6.75" customHeight="1">
      <c r="A92" s="55"/>
      <c r="B92" s="55"/>
      <c r="C92" s="55"/>
      <c r="D92" s="56"/>
      <c r="E92" s="54"/>
      <c r="F92" s="54"/>
      <c r="G92" s="54"/>
      <c r="H92" s="54"/>
      <c r="I92" s="54"/>
      <c r="J92" s="54"/>
      <c r="K92" s="54"/>
      <c r="L92" s="54"/>
      <c r="M92" s="54"/>
      <c r="N92" s="54"/>
      <c r="O92" s="54"/>
      <c r="P92" s="54"/>
      <c r="Q92" s="54"/>
      <c r="R92" s="54"/>
      <c r="S92" s="54"/>
      <c r="T92" s="54"/>
      <c r="U92" s="54"/>
      <c r="V92" s="54"/>
      <c r="W92" s="54"/>
      <c r="X92" s="54"/>
      <c r="Y92" s="54"/>
      <c r="Z92" s="54"/>
    </row>
    <row r="93" spans="1:26" ht="48" customHeight="1">
      <c r="A93" s="596" t="s">
        <v>38</v>
      </c>
      <c r="B93" s="589"/>
      <c r="C93" s="589"/>
      <c r="D93" s="590"/>
      <c r="E93" s="54"/>
      <c r="F93" s="54"/>
      <c r="G93" s="54"/>
      <c r="H93" s="54"/>
      <c r="I93" s="54"/>
      <c r="J93" s="54"/>
      <c r="K93" s="54"/>
      <c r="L93" s="54"/>
      <c r="M93" s="54"/>
      <c r="N93" s="54"/>
      <c r="O93" s="54"/>
      <c r="P93" s="54"/>
      <c r="Q93" s="54"/>
      <c r="R93" s="54"/>
      <c r="S93" s="54"/>
      <c r="T93" s="54"/>
      <c r="U93" s="54"/>
      <c r="V93" s="54"/>
      <c r="W93" s="54"/>
      <c r="X93" s="54"/>
      <c r="Y93" s="54"/>
      <c r="Z93" s="54"/>
    </row>
    <row r="94" spans="1:26" ht="6.75" customHeight="1">
      <c r="A94" s="55"/>
      <c r="B94" s="55"/>
      <c r="C94" s="55"/>
      <c r="D94" s="56"/>
      <c r="E94" s="54"/>
      <c r="F94" s="54"/>
      <c r="G94" s="54"/>
      <c r="H94" s="54"/>
      <c r="I94" s="54"/>
      <c r="J94" s="54"/>
      <c r="K94" s="54"/>
      <c r="L94" s="54"/>
      <c r="M94" s="54"/>
      <c r="N94" s="54"/>
      <c r="O94" s="54"/>
      <c r="P94" s="54"/>
      <c r="Q94" s="54"/>
      <c r="R94" s="54"/>
      <c r="S94" s="54"/>
      <c r="T94" s="54"/>
      <c r="U94" s="54"/>
      <c r="V94" s="54"/>
      <c r="W94" s="54"/>
      <c r="X94" s="54"/>
      <c r="Y94" s="54"/>
      <c r="Z94" s="54"/>
    </row>
    <row r="95" spans="1:26" ht="96" customHeight="1">
      <c r="A95" s="596" t="s">
        <v>66</v>
      </c>
      <c r="B95" s="589"/>
      <c r="C95" s="589"/>
      <c r="D95" s="590"/>
      <c r="E95" s="54"/>
      <c r="F95" s="54"/>
      <c r="G95" s="54"/>
      <c r="H95" s="54"/>
      <c r="I95" s="54"/>
      <c r="J95" s="54"/>
      <c r="K95" s="54"/>
      <c r="L95" s="54"/>
      <c r="M95" s="54"/>
      <c r="N95" s="54"/>
      <c r="O95" s="54"/>
      <c r="P95" s="54"/>
      <c r="Q95" s="54"/>
      <c r="R95" s="54"/>
      <c r="S95" s="54"/>
      <c r="T95" s="54"/>
      <c r="U95" s="54"/>
      <c r="V95" s="54"/>
      <c r="W95" s="54"/>
      <c r="X95" s="54"/>
      <c r="Y95" s="54"/>
      <c r="Z95" s="54"/>
    </row>
    <row r="96" spans="1:26" ht="96" customHeight="1">
      <c r="A96" s="596" t="s">
        <v>67</v>
      </c>
      <c r="B96" s="589"/>
      <c r="C96" s="589"/>
      <c r="D96" s="590"/>
      <c r="E96" s="54"/>
      <c r="F96" s="54"/>
      <c r="G96" s="54"/>
      <c r="H96" s="54"/>
      <c r="I96" s="54"/>
      <c r="J96" s="54"/>
      <c r="K96" s="54"/>
      <c r="L96" s="54"/>
      <c r="M96" s="54"/>
      <c r="N96" s="54"/>
      <c r="O96" s="54"/>
      <c r="P96" s="54"/>
      <c r="Q96" s="54"/>
      <c r="R96" s="54"/>
      <c r="S96" s="54"/>
      <c r="T96" s="54"/>
      <c r="U96" s="54"/>
      <c r="V96" s="54"/>
      <c r="W96" s="54"/>
      <c r="X96" s="54"/>
      <c r="Y96" s="54"/>
      <c r="Z96" s="54"/>
    </row>
    <row r="97" spans="1:26" ht="36" customHeight="1">
      <c r="A97" s="596" t="s">
        <v>39</v>
      </c>
      <c r="B97" s="589"/>
      <c r="C97" s="589"/>
      <c r="D97" s="590"/>
      <c r="E97" s="54"/>
      <c r="F97" s="54"/>
      <c r="G97" s="54"/>
      <c r="H97" s="54"/>
      <c r="I97" s="54"/>
      <c r="J97" s="54"/>
      <c r="K97" s="54"/>
      <c r="L97" s="54"/>
      <c r="M97" s="54"/>
      <c r="N97" s="54"/>
      <c r="O97" s="54"/>
      <c r="P97" s="54"/>
      <c r="Q97" s="54"/>
      <c r="R97" s="54"/>
      <c r="S97" s="54"/>
      <c r="T97" s="54"/>
      <c r="U97" s="54"/>
      <c r="V97" s="54"/>
      <c r="W97" s="54"/>
      <c r="X97" s="54"/>
      <c r="Y97" s="54"/>
      <c r="Z97" s="54"/>
    </row>
    <row r="98" spans="1:26" ht="24" customHeight="1">
      <c r="A98" s="601" t="s">
        <v>68</v>
      </c>
      <c r="B98" s="589"/>
      <c r="C98" s="589"/>
      <c r="D98" s="590"/>
      <c r="E98" s="54"/>
      <c r="F98" s="54"/>
      <c r="G98" s="54"/>
      <c r="H98" s="54"/>
      <c r="I98" s="54"/>
      <c r="J98" s="54"/>
      <c r="K98" s="54"/>
      <c r="L98" s="54"/>
      <c r="M98" s="54"/>
      <c r="N98" s="54"/>
      <c r="O98" s="54"/>
      <c r="P98" s="54"/>
      <c r="Q98" s="54"/>
      <c r="R98" s="54"/>
      <c r="S98" s="54"/>
      <c r="T98" s="54"/>
      <c r="U98" s="54"/>
      <c r="V98" s="54"/>
      <c r="W98" s="54"/>
      <c r="X98" s="54"/>
      <c r="Y98" s="54"/>
      <c r="Z98" s="54"/>
    </row>
    <row r="99" spans="1:26" ht="6.75" customHeight="1">
      <c r="A99" s="78"/>
      <c r="B99" s="78"/>
      <c r="C99" s="78"/>
      <c r="D99" s="79"/>
      <c r="E99" s="54"/>
      <c r="F99" s="54"/>
      <c r="G99" s="54"/>
      <c r="H99" s="54"/>
      <c r="I99" s="54"/>
      <c r="J99" s="54"/>
      <c r="K99" s="54"/>
      <c r="L99" s="54"/>
      <c r="M99" s="54"/>
      <c r="N99" s="54"/>
      <c r="O99" s="54"/>
      <c r="P99" s="54"/>
      <c r="Q99" s="54"/>
      <c r="R99" s="54"/>
      <c r="S99" s="54"/>
      <c r="T99" s="54"/>
      <c r="U99" s="54"/>
      <c r="V99" s="54"/>
      <c r="W99" s="54"/>
      <c r="X99" s="54"/>
      <c r="Y99" s="54"/>
      <c r="Z99" s="54"/>
    </row>
    <row r="100" spans="1:26" ht="15" customHeight="1">
      <c r="A100" s="598" t="s">
        <v>40</v>
      </c>
      <c r="B100" s="589"/>
      <c r="C100" s="589"/>
      <c r="D100" s="590"/>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6.75" customHeight="1">
      <c r="A101" s="60"/>
      <c r="B101" s="61"/>
      <c r="C101" s="61"/>
      <c r="D101" s="62"/>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2" customHeight="1">
      <c r="A102" s="63" t="s">
        <v>41</v>
      </c>
      <c r="B102" s="64"/>
      <c r="C102" s="65" t="s">
        <v>42</v>
      </c>
      <c r="D102" s="290">
        <f>'Proposed Rates'!I10</f>
        <v>200</v>
      </c>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2" customHeight="1">
      <c r="A103" s="63" t="s">
        <v>62</v>
      </c>
      <c r="B103" s="64"/>
      <c r="C103" s="65" t="s">
        <v>69</v>
      </c>
      <c r="D103" s="291">
        <f>'Proposed Rates'!I23</f>
        <v>9.0386000000000006</v>
      </c>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 customHeight="1">
      <c r="A104" s="63" t="s">
        <v>47</v>
      </c>
      <c r="B104" s="64"/>
      <c r="C104" s="65" t="s">
        <v>69</v>
      </c>
      <c r="D104" s="293">
        <f>'Proposed Rates'!I269</f>
        <v>2.46E-2</v>
      </c>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 customHeight="1">
      <c r="A105" s="63" t="s">
        <v>49</v>
      </c>
      <c r="B105" s="64"/>
      <c r="C105" s="65" t="s">
        <v>69</v>
      </c>
      <c r="D105" s="291">
        <f>'Proposed Rates'!I39</f>
        <v>0</v>
      </c>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 customHeight="1">
      <c r="A106" s="63" t="s">
        <v>45</v>
      </c>
      <c r="B106" s="64"/>
      <c r="C106" s="65" t="s">
        <v>69</v>
      </c>
      <c r="D106" s="291">
        <f>'Proposed Rates'!I66</f>
        <v>0</v>
      </c>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 customHeight="1">
      <c r="A107" s="63" t="s">
        <v>44</v>
      </c>
      <c r="B107" s="64"/>
      <c r="C107" s="65" t="s">
        <v>69</v>
      </c>
      <c r="D107" s="291">
        <f>'Proposed Rates'!I92</f>
        <v>0</v>
      </c>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2" customHeight="1">
      <c r="A108" s="63" t="s">
        <v>233</v>
      </c>
      <c r="B108" s="64"/>
      <c r="C108" s="65" t="s">
        <v>48</v>
      </c>
      <c r="D108" s="291">
        <f>'Proposed Rates'!I148</f>
        <v>0</v>
      </c>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2" customHeight="1">
      <c r="A109" s="63" t="s">
        <v>70</v>
      </c>
      <c r="B109" s="64"/>
      <c r="C109" s="65" t="s">
        <v>48</v>
      </c>
      <c r="D109" s="291">
        <f>'Proposed Rates'!I161</f>
        <v>0</v>
      </c>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2" customHeight="1">
      <c r="A110" s="63" t="s">
        <v>52</v>
      </c>
      <c r="B110" s="64"/>
      <c r="C110" s="65" t="s">
        <v>69</v>
      </c>
      <c r="D110" s="291">
        <f>'Proposed Rates'!I188</f>
        <v>4.5787000000000004</v>
      </c>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2" customHeight="1">
      <c r="A111" s="63" t="s">
        <v>71</v>
      </c>
      <c r="B111" s="64"/>
      <c r="C111" s="65" t="s">
        <v>69</v>
      </c>
      <c r="D111" s="291">
        <f>'Proposed Rates'!I189</f>
        <v>0.77839999999999998</v>
      </c>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2" customHeight="1">
      <c r="A112" s="63" t="s">
        <v>53</v>
      </c>
      <c r="B112" s="64"/>
      <c r="C112" s="65" t="s">
        <v>69</v>
      </c>
      <c r="D112" s="291">
        <f>'Proposed Rates'!I203</f>
        <v>2.5918000000000001</v>
      </c>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2" customHeight="1">
      <c r="A113" s="63" t="s">
        <v>72</v>
      </c>
      <c r="B113" s="64"/>
      <c r="C113" s="65" t="s">
        <v>69</v>
      </c>
      <c r="D113" s="291">
        <f>'Proposed Rates'!I204</f>
        <v>0.44059999999999999</v>
      </c>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3" customHeight="1">
      <c r="A114" s="65"/>
      <c r="B114" s="65"/>
      <c r="C114" s="65"/>
      <c r="D114" s="29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1.25" customHeight="1">
      <c r="A115" s="75" t="s">
        <v>54</v>
      </c>
      <c r="B115" s="64"/>
      <c r="C115" s="65"/>
      <c r="D115" s="29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3" customHeight="1">
      <c r="A116" s="60"/>
      <c r="B116" s="65"/>
      <c r="C116" s="65"/>
      <c r="D116" s="29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 customHeight="1">
      <c r="A117" s="63" t="s">
        <v>55</v>
      </c>
      <c r="B117" s="64"/>
      <c r="C117" s="65" t="s">
        <v>48</v>
      </c>
      <c r="D117" s="291">
        <f>$D$34</f>
        <v>4.1000000000000003E-3</v>
      </c>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2" customHeight="1">
      <c r="A118" s="63" t="s">
        <v>56</v>
      </c>
      <c r="B118" s="64"/>
      <c r="C118" s="65" t="s">
        <v>48</v>
      </c>
      <c r="D118" s="291">
        <f>'Proposed Rates'!I218-'2026'!D127</f>
        <v>5.9999999999999984E-4</v>
      </c>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2" customHeight="1">
      <c r="A119" s="63" t="s">
        <v>57</v>
      </c>
      <c r="B119" s="64"/>
      <c r="C119" s="65" t="s">
        <v>48</v>
      </c>
      <c r="D119" s="291">
        <f>'Proposed Rates'!I231</f>
        <v>5.9999999999999995E-4</v>
      </c>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2" customHeight="1">
      <c r="A120" s="63" t="s">
        <v>58</v>
      </c>
      <c r="B120" s="64"/>
      <c r="C120" s="65" t="s">
        <v>42</v>
      </c>
      <c r="D120" s="291">
        <f>'Proposed Rates'!I245</f>
        <v>0.25</v>
      </c>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5" customHeight="1">
      <c r="A121" s="89"/>
      <c r="B121" s="64"/>
      <c r="C121" s="65"/>
      <c r="D121" s="7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5" customHeight="1">
      <c r="A122" s="63" t="s">
        <v>237</v>
      </c>
      <c r="B122" s="64"/>
      <c r="C122" s="65"/>
      <c r="D122" s="7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5" customHeight="1">
      <c r="A123" s="63" t="s">
        <v>74</v>
      </c>
      <c r="B123" s="64"/>
      <c r="C123" s="65"/>
      <c r="D123" s="7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5" customHeight="1">
      <c r="A124" s="63" t="s">
        <v>75</v>
      </c>
      <c r="B124" s="64"/>
      <c r="C124" s="65"/>
      <c r="D124" s="7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5" customHeight="1">
      <c r="A125" s="89"/>
      <c r="B125" s="64"/>
      <c r="C125" s="65"/>
      <c r="D125" s="7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19.5" customHeight="1">
      <c r="A126" s="588" t="str">
        <f>$A$1</f>
        <v>Hydro Ottawa Limited</v>
      </c>
      <c r="B126" s="589"/>
      <c r="C126" s="589"/>
      <c r="D126" s="590"/>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591" t="str">
        <f>$A$2</f>
        <v>PROPOSED - TARIFF OF RATES AND CHARGES</v>
      </c>
      <c r="B127" s="589"/>
      <c r="C127" s="589"/>
      <c r="D127" s="590"/>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92" t="str">
        <f>$A$3</f>
        <v>Effective and Implementation Date January 1, 2029</v>
      </c>
      <c r="B128" s="589"/>
      <c r="C128" s="589"/>
      <c r="D128" s="590"/>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5.75" customHeight="1">
      <c r="A129" s="593" t="str">
        <f>$A$4</f>
        <v>This schedule supersedes and replaces all previously</v>
      </c>
      <c r="B129" s="589"/>
      <c r="C129" s="589"/>
      <c r="D129" s="590"/>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5.75" customHeight="1">
      <c r="A130" s="593" t="str">
        <f>$A$5</f>
        <v>approved schedules of Rates, Charges and Loss Factors</v>
      </c>
      <c r="B130" s="589"/>
      <c r="C130" s="589"/>
      <c r="D130" s="590"/>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5.75" customHeight="1">
      <c r="A131" s="594" t="str">
        <f>$A$6</f>
        <v>EB-2024-0115</v>
      </c>
      <c r="B131" s="589"/>
      <c r="C131" s="589"/>
      <c r="D131" s="590"/>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8.75" customHeight="1">
      <c r="A132" s="595" t="s">
        <v>76</v>
      </c>
      <c r="B132" s="589"/>
      <c r="C132" s="589"/>
      <c r="D132" s="590"/>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48" customHeight="1">
      <c r="A133" s="596" t="s">
        <v>77</v>
      </c>
      <c r="B133" s="589"/>
      <c r="C133" s="589"/>
      <c r="D133" s="590"/>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6.75" customHeight="1">
      <c r="A134" s="55"/>
      <c r="B134" s="55"/>
      <c r="C134" s="55"/>
      <c r="D134" s="56"/>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1.25" customHeight="1">
      <c r="A135" s="597" t="s">
        <v>35</v>
      </c>
      <c r="B135" s="589"/>
      <c r="C135" s="589"/>
      <c r="D135" s="590"/>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6.75" customHeight="1">
      <c r="A136" s="57"/>
      <c r="B136" s="58"/>
      <c r="C136" s="58"/>
      <c r="D136" s="59"/>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36" customHeight="1">
      <c r="A137" s="596" t="s">
        <v>36</v>
      </c>
      <c r="B137" s="589"/>
      <c r="C137" s="589"/>
      <c r="D137" s="590"/>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6.75" customHeight="1">
      <c r="A138" s="55"/>
      <c r="B138" s="55"/>
      <c r="C138" s="55"/>
      <c r="D138" s="56"/>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48" customHeight="1">
      <c r="A139" s="596" t="s">
        <v>78</v>
      </c>
      <c r="B139" s="589"/>
      <c r="C139" s="589"/>
      <c r="D139" s="590"/>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6.75" customHeight="1">
      <c r="A140" s="55"/>
      <c r="B140" s="55"/>
      <c r="C140" s="55"/>
      <c r="D140" s="56"/>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48" customHeight="1">
      <c r="A141" s="596" t="s">
        <v>38</v>
      </c>
      <c r="B141" s="589"/>
      <c r="C141" s="589"/>
      <c r="D141" s="590"/>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6.75" customHeight="1">
      <c r="A142" s="55"/>
      <c r="B142" s="55"/>
      <c r="C142" s="55"/>
      <c r="D142" s="56"/>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96" customHeight="1">
      <c r="A143" s="596" t="s">
        <v>66</v>
      </c>
      <c r="B143" s="589"/>
      <c r="C143" s="589"/>
      <c r="D143" s="590"/>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96" customHeight="1">
      <c r="A144" s="596" t="s">
        <v>67</v>
      </c>
      <c r="B144" s="589"/>
      <c r="C144" s="589"/>
      <c r="D144" s="590"/>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36" customHeight="1">
      <c r="A145" s="596" t="s">
        <v>39</v>
      </c>
      <c r="B145" s="589"/>
      <c r="C145" s="589"/>
      <c r="D145" s="590"/>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24" customHeight="1">
      <c r="A146" s="601" t="s">
        <v>68</v>
      </c>
      <c r="B146" s="589"/>
      <c r="C146" s="589"/>
      <c r="D146" s="590"/>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6.75" customHeight="1">
      <c r="A147" s="78"/>
      <c r="B147" s="78"/>
      <c r="C147" s="78"/>
      <c r="D147" s="79"/>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 customHeight="1">
      <c r="A148" s="598" t="s">
        <v>40</v>
      </c>
      <c r="B148" s="589"/>
      <c r="C148" s="589"/>
      <c r="D148" s="590"/>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6.75" customHeight="1">
      <c r="A149" s="60"/>
      <c r="B149" s="61"/>
      <c r="C149" s="61"/>
      <c r="D149" s="62"/>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2" customHeight="1">
      <c r="A150" s="63" t="s">
        <v>41</v>
      </c>
      <c r="B150" s="64"/>
      <c r="C150" s="65" t="s">
        <v>42</v>
      </c>
      <c r="D150" s="290">
        <f>'Proposed Rates'!I11</f>
        <v>4126.75</v>
      </c>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2" customHeight="1">
      <c r="A151" s="63" t="s">
        <v>62</v>
      </c>
      <c r="B151" s="64"/>
      <c r="C151" s="65" t="s">
        <v>69</v>
      </c>
      <c r="D151" s="291">
        <f>'Proposed Rates'!I24</f>
        <v>8.8265999999999991</v>
      </c>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2" customHeight="1">
      <c r="A152" s="63" t="s">
        <v>47</v>
      </c>
      <c r="B152" s="64"/>
      <c r="C152" s="65" t="s">
        <v>69</v>
      </c>
      <c r="D152" s="293">
        <f>'Proposed Rates'!I270</f>
        <v>2.4410000000000001E-2</v>
      </c>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2" customHeight="1">
      <c r="A153" s="63" t="s">
        <v>49</v>
      </c>
      <c r="B153" s="64"/>
      <c r="C153" s="65" t="s">
        <v>69</v>
      </c>
      <c r="D153" s="291">
        <f>'Proposed Rates'!I40</f>
        <v>0</v>
      </c>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2" customHeight="1">
      <c r="A154" s="63" t="s">
        <v>45</v>
      </c>
      <c r="B154" s="64"/>
      <c r="C154" s="65" t="s">
        <v>69</v>
      </c>
      <c r="D154" s="291">
        <f>'Proposed Rates'!I67</f>
        <v>0</v>
      </c>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2" customHeight="1">
      <c r="A155" s="63" t="s">
        <v>44</v>
      </c>
      <c r="B155" s="64"/>
      <c r="C155" s="65" t="s">
        <v>69</v>
      </c>
      <c r="D155" s="291">
        <f>'Proposed Rates'!I93</f>
        <v>0</v>
      </c>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2" customHeight="1">
      <c r="A156" s="63" t="s">
        <v>233</v>
      </c>
      <c r="B156" s="64"/>
      <c r="C156" s="65" t="s">
        <v>48</v>
      </c>
      <c r="D156" s="291">
        <f>'Proposed Rates'!I148</f>
        <v>0</v>
      </c>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2" customHeight="1">
      <c r="A157" s="63" t="s">
        <v>70</v>
      </c>
      <c r="B157" s="64"/>
      <c r="C157" s="65" t="s">
        <v>48</v>
      </c>
      <c r="D157" s="291">
        <f>'Proposed Rates'!I162</f>
        <v>0</v>
      </c>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2" customHeight="1">
      <c r="A158" s="63" t="s">
        <v>52</v>
      </c>
      <c r="B158" s="64"/>
      <c r="C158" s="65" t="s">
        <v>69</v>
      </c>
      <c r="D158" s="291">
        <f>'Proposed Rates'!I190</f>
        <v>4.5423999999999998</v>
      </c>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2" customHeight="1">
      <c r="A159" s="63" t="s">
        <v>71</v>
      </c>
      <c r="B159" s="64"/>
      <c r="C159" s="65" t="s">
        <v>69</v>
      </c>
      <c r="D159" s="291">
        <f>'Proposed Rates'!I191</f>
        <v>0.7722</v>
      </c>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2" customHeight="1">
      <c r="A160" s="63" t="s">
        <v>53</v>
      </c>
      <c r="B160" s="64"/>
      <c r="C160" s="65" t="s">
        <v>69</v>
      </c>
      <c r="D160" s="291">
        <f>'Proposed Rates'!I205</f>
        <v>2.5712000000000002</v>
      </c>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2" customHeight="1">
      <c r="A161" s="63" t="s">
        <v>72</v>
      </c>
      <c r="B161" s="64"/>
      <c r="C161" s="65" t="s">
        <v>69</v>
      </c>
      <c r="D161" s="291">
        <f>'Proposed Rates'!I206</f>
        <v>0.43709999999999999</v>
      </c>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3" customHeight="1">
      <c r="A162" s="65"/>
      <c r="B162" s="65"/>
      <c r="C162" s="65"/>
      <c r="D162" s="29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1.25" customHeight="1">
      <c r="A163" s="75" t="s">
        <v>54</v>
      </c>
      <c r="B163" s="64"/>
      <c r="C163" s="65"/>
      <c r="D163" s="29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6" customHeight="1">
      <c r="A164" s="60"/>
      <c r="B164" s="65"/>
      <c r="C164" s="65"/>
      <c r="D164" s="29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2" customHeight="1">
      <c r="A165" s="63" t="s">
        <v>55</v>
      </c>
      <c r="B165" s="64"/>
      <c r="C165" s="65" t="s">
        <v>48</v>
      </c>
      <c r="D165" s="291">
        <f>$D$34</f>
        <v>4.1000000000000003E-3</v>
      </c>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2" customHeight="1">
      <c r="A166" s="63" t="s">
        <v>56</v>
      </c>
      <c r="B166" s="64"/>
      <c r="C166" s="65" t="s">
        <v>48</v>
      </c>
      <c r="D166" s="291">
        <f>'Proposed Rates'!I219-'2026'!D178</f>
        <v>5.9999999999999984E-4</v>
      </c>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2" customHeight="1">
      <c r="A167" s="63" t="s">
        <v>57</v>
      </c>
      <c r="B167" s="64"/>
      <c r="C167" s="65" t="s">
        <v>48</v>
      </c>
      <c r="D167" s="291">
        <f>'Proposed Rates'!I232</f>
        <v>5.9999999999999995E-4</v>
      </c>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2" customHeight="1">
      <c r="A168" s="63" t="s">
        <v>58</v>
      </c>
      <c r="B168" s="64"/>
      <c r="C168" s="65" t="s">
        <v>42</v>
      </c>
      <c r="D168" s="291">
        <f>'Proposed Rates'!I246</f>
        <v>0.25</v>
      </c>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1.25" customHeight="1">
      <c r="A169" s="89"/>
      <c r="B169" s="64"/>
      <c r="C169" s="65"/>
      <c r="D169" s="7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1.25" customHeight="1">
      <c r="A170" s="63" t="s">
        <v>238</v>
      </c>
      <c r="B170" s="64"/>
      <c r="C170" s="65"/>
      <c r="D170" s="7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1.25" customHeight="1">
      <c r="A171" s="63" t="s">
        <v>74</v>
      </c>
      <c r="B171" s="64"/>
      <c r="C171" s="65"/>
      <c r="D171" s="7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1.25" customHeight="1">
      <c r="A172" s="63" t="s">
        <v>75</v>
      </c>
      <c r="B172" s="64"/>
      <c r="C172" s="65"/>
      <c r="D172" s="7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1.25" customHeight="1">
      <c r="A173" s="89"/>
      <c r="B173" s="64"/>
      <c r="C173" s="65"/>
      <c r="D173" s="7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21.75" customHeight="1">
      <c r="A174" s="588" t="str">
        <f>$A$1</f>
        <v>Hydro Ottawa Limited</v>
      </c>
      <c r="B174" s="589"/>
      <c r="C174" s="589"/>
      <c r="D174" s="590"/>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591" t="str">
        <f>$A$2</f>
        <v>PROPOSED - TARIFF OF RATES AND CHARGES</v>
      </c>
      <c r="B175" s="589"/>
      <c r="C175" s="589"/>
      <c r="D175" s="590"/>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 customHeight="1">
      <c r="A176" s="592" t="str">
        <f>$A$3</f>
        <v>Effective and Implementation Date January 1, 2029</v>
      </c>
      <c r="B176" s="589"/>
      <c r="C176" s="589"/>
      <c r="D176" s="590"/>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5" customHeight="1">
      <c r="A177" s="593" t="str">
        <f>$A$4</f>
        <v>This schedule supersedes and replaces all previously</v>
      </c>
      <c r="B177" s="589"/>
      <c r="C177" s="589"/>
      <c r="D177" s="590"/>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5" customHeight="1">
      <c r="A178" s="593" t="str">
        <f>$A$5</f>
        <v>approved schedules of Rates, Charges and Loss Factors</v>
      </c>
      <c r="B178" s="589"/>
      <c r="C178" s="589"/>
      <c r="D178" s="590"/>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9.75" customHeight="1">
      <c r="A179" s="594" t="str">
        <f>$A$6</f>
        <v>EB-2024-0115</v>
      </c>
      <c r="B179" s="589"/>
      <c r="C179" s="589"/>
      <c r="D179" s="590"/>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8.75" customHeight="1">
      <c r="A180" s="595" t="s">
        <v>80</v>
      </c>
      <c r="B180" s="589"/>
      <c r="C180" s="589"/>
      <c r="D180" s="590"/>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48" customHeight="1">
      <c r="A181" s="596" t="s">
        <v>81</v>
      </c>
      <c r="B181" s="589"/>
      <c r="C181" s="589"/>
      <c r="D181" s="590"/>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6.75" customHeight="1">
      <c r="A182" s="55"/>
      <c r="B182" s="55"/>
      <c r="C182" s="55"/>
      <c r="D182" s="56"/>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1.25" customHeight="1">
      <c r="A183" s="597" t="s">
        <v>35</v>
      </c>
      <c r="B183" s="589"/>
      <c r="C183" s="589"/>
      <c r="D183" s="590"/>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6.75" customHeight="1">
      <c r="A184" s="57"/>
      <c r="B184" s="58"/>
      <c r="C184" s="58"/>
      <c r="D184" s="59"/>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36" customHeight="1">
      <c r="A185" s="596" t="s">
        <v>36</v>
      </c>
      <c r="B185" s="589"/>
      <c r="C185" s="589"/>
      <c r="D185" s="590"/>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6.75" customHeight="1">
      <c r="A186" s="55"/>
      <c r="B186" s="55"/>
      <c r="C186" s="55"/>
      <c r="D186" s="56"/>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48" customHeight="1">
      <c r="A187" s="596" t="s">
        <v>82</v>
      </c>
      <c r="B187" s="589"/>
      <c r="C187" s="589"/>
      <c r="D187" s="590"/>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6.75" customHeight="1">
      <c r="A188" s="55"/>
      <c r="B188" s="55"/>
      <c r="C188" s="55"/>
      <c r="D188" s="56"/>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48" customHeight="1">
      <c r="A189" s="596" t="s">
        <v>38</v>
      </c>
      <c r="B189" s="589"/>
      <c r="C189" s="589"/>
      <c r="D189" s="590"/>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6.75" customHeight="1">
      <c r="A190" s="55"/>
      <c r="B190" s="55"/>
      <c r="C190" s="55"/>
      <c r="D190" s="56"/>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96" customHeight="1">
      <c r="A191" s="596" t="s">
        <v>66</v>
      </c>
      <c r="B191" s="589"/>
      <c r="C191" s="589"/>
      <c r="D191" s="590"/>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96" customHeight="1">
      <c r="A192" s="596" t="s">
        <v>67</v>
      </c>
      <c r="B192" s="589"/>
      <c r="C192" s="589"/>
      <c r="D192" s="590"/>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36" customHeight="1">
      <c r="A193" s="596" t="s">
        <v>39</v>
      </c>
      <c r="B193" s="589"/>
      <c r="C193" s="589"/>
      <c r="D193" s="590"/>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24" customHeight="1">
      <c r="A194" s="601" t="s">
        <v>68</v>
      </c>
      <c r="B194" s="589"/>
      <c r="C194" s="589"/>
      <c r="D194" s="590"/>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6.75" customHeight="1">
      <c r="A195" s="78"/>
      <c r="B195" s="78"/>
      <c r="C195" s="78"/>
      <c r="D195" s="79"/>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 customHeight="1">
      <c r="A196" s="598" t="s">
        <v>40</v>
      </c>
      <c r="B196" s="589"/>
      <c r="C196" s="589"/>
      <c r="D196" s="590"/>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6.75" customHeight="1">
      <c r="A197" s="60"/>
      <c r="B197" s="61"/>
      <c r="C197" s="61"/>
      <c r="D197" s="62"/>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1.25" customHeight="1">
      <c r="A198" s="63" t="s">
        <v>41</v>
      </c>
      <c r="B198" s="64"/>
      <c r="C198" s="65" t="s">
        <v>42</v>
      </c>
      <c r="D198" s="290">
        <f>'Proposed Rates'!I12</f>
        <v>14946.93</v>
      </c>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1.25" customHeight="1">
      <c r="A199" s="63" t="s">
        <v>62</v>
      </c>
      <c r="B199" s="64"/>
      <c r="C199" s="65" t="s">
        <v>69</v>
      </c>
      <c r="D199" s="291">
        <f>'Proposed Rates'!I25</f>
        <v>10.085699999999999</v>
      </c>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1.25" customHeight="1">
      <c r="A200" s="63" t="s">
        <v>47</v>
      </c>
      <c r="B200" s="64"/>
      <c r="C200" s="65" t="s">
        <v>69</v>
      </c>
      <c r="D200" s="293">
        <f>'Proposed Rates'!I271</f>
        <v>2.8660000000000001E-2</v>
      </c>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1.25" customHeight="1">
      <c r="A201" s="63" t="s">
        <v>49</v>
      </c>
      <c r="B201" s="64"/>
      <c r="C201" s="65" t="s">
        <v>69</v>
      </c>
      <c r="D201" s="291">
        <f>'Proposed Rates'!I41</f>
        <v>0</v>
      </c>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1.25" customHeight="1">
      <c r="A202" s="63" t="s">
        <v>45</v>
      </c>
      <c r="B202" s="64"/>
      <c r="C202" s="65" t="s">
        <v>69</v>
      </c>
      <c r="D202" s="291">
        <f>'Proposed Rates'!I68</f>
        <v>0</v>
      </c>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1.25" customHeight="1">
      <c r="A203" s="63" t="s">
        <v>44</v>
      </c>
      <c r="B203" s="64"/>
      <c r="C203" s="65" t="s">
        <v>69</v>
      </c>
      <c r="D203" s="291">
        <f>'Proposed Rates'!I94</f>
        <v>0</v>
      </c>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1.25" customHeight="1">
      <c r="A204" s="63" t="s">
        <v>233</v>
      </c>
      <c r="B204" s="64"/>
      <c r="C204" s="65" t="s">
        <v>48</v>
      </c>
      <c r="D204" s="291">
        <f>'Proposed Rates'!I149</f>
        <v>0</v>
      </c>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1.25" customHeight="1">
      <c r="A205" s="63" t="s">
        <v>52</v>
      </c>
      <c r="B205" s="64"/>
      <c r="C205" s="65" t="s">
        <v>69</v>
      </c>
      <c r="D205" s="291">
        <f>'Proposed Rates'!I192</f>
        <v>5.3339999999999996</v>
      </c>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1.25" customHeight="1">
      <c r="A206" s="63" t="s">
        <v>53</v>
      </c>
      <c r="B206" s="64"/>
      <c r="C206" s="65" t="s">
        <v>69</v>
      </c>
      <c r="D206" s="291">
        <f>'Proposed Rates'!I207</f>
        <v>3.0192999999999999</v>
      </c>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3.75" customHeight="1">
      <c r="A207" s="65"/>
      <c r="B207" s="65"/>
      <c r="C207" s="65"/>
      <c r="D207" s="29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1.25" customHeight="1">
      <c r="A208" s="75" t="s">
        <v>54</v>
      </c>
      <c r="B208" s="64"/>
      <c r="C208" s="65"/>
      <c r="D208" s="29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3.75" customHeight="1">
      <c r="A209" s="60"/>
      <c r="B209" s="65"/>
      <c r="C209" s="65"/>
      <c r="D209" s="29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1.25" customHeight="1">
      <c r="A210" s="63" t="s">
        <v>55</v>
      </c>
      <c r="B210" s="64"/>
      <c r="C210" s="65" t="s">
        <v>48</v>
      </c>
      <c r="D210" s="291">
        <f>$D$34</f>
        <v>4.1000000000000003E-3</v>
      </c>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1.25" customHeight="1">
      <c r="A211" s="63" t="s">
        <v>56</v>
      </c>
      <c r="B211" s="64"/>
      <c r="C211" s="65" t="s">
        <v>48</v>
      </c>
      <c r="D211" s="291">
        <f>'Proposed Rates'!I220-'2026'!H227</f>
        <v>4.7000000000000002E-3</v>
      </c>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1.25" customHeight="1">
      <c r="A212" s="63" t="s">
        <v>57</v>
      </c>
      <c r="B212" s="64"/>
      <c r="C212" s="65" t="s">
        <v>48</v>
      </c>
      <c r="D212" s="291">
        <f>'Proposed Rates'!I233</f>
        <v>5.9999999999999995E-4</v>
      </c>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1.25" customHeight="1">
      <c r="A213" s="63" t="s">
        <v>58</v>
      </c>
      <c r="B213" s="64"/>
      <c r="C213" s="65" t="s">
        <v>42</v>
      </c>
      <c r="D213" s="291">
        <f>'Proposed Rates'!I247</f>
        <v>0.25</v>
      </c>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10.5" customHeight="1">
      <c r="A214" s="89"/>
      <c r="B214" s="64"/>
      <c r="C214" s="65"/>
      <c r="D214" s="7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21.75" customHeight="1">
      <c r="A215" s="588" t="str">
        <f>$A$1</f>
        <v>Hydro Ottawa Limited</v>
      </c>
      <c r="B215" s="589"/>
      <c r="C215" s="589"/>
      <c r="D215" s="590"/>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591" t="str">
        <f>$A$2</f>
        <v>PROPOSED - TARIFF OF RATES AND CHARGES</v>
      </c>
      <c r="B216" s="589"/>
      <c r="C216" s="589"/>
      <c r="D216" s="590"/>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 customHeight="1">
      <c r="A217" s="592" t="str">
        <f>$A$3</f>
        <v>Effective and Implementation Date January 1, 2029</v>
      </c>
      <c r="B217" s="589"/>
      <c r="C217" s="589"/>
      <c r="D217" s="590"/>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5" customHeight="1">
      <c r="A218" s="593" t="str">
        <f>$A$4</f>
        <v>This schedule supersedes and replaces all previously</v>
      </c>
      <c r="B218" s="589"/>
      <c r="C218" s="589"/>
      <c r="D218" s="590"/>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5" customHeight="1">
      <c r="A219" s="593" t="str">
        <f>$A$5</f>
        <v>approved schedules of Rates, Charges and Loss Factors</v>
      </c>
      <c r="B219" s="589"/>
      <c r="C219" s="589"/>
      <c r="D219" s="590"/>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9.75" customHeight="1">
      <c r="A220" s="594" t="str">
        <f>$A$6</f>
        <v>EB-2024-0115</v>
      </c>
      <c r="B220" s="589"/>
      <c r="C220" s="589"/>
      <c r="D220" s="590"/>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8.75" customHeight="1">
      <c r="A221" s="595" t="s">
        <v>83</v>
      </c>
      <c r="B221" s="589"/>
      <c r="C221" s="589"/>
      <c r="D221" s="590"/>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72" customHeight="1">
      <c r="A222" s="596" t="s">
        <v>84</v>
      </c>
      <c r="B222" s="589"/>
      <c r="C222" s="589"/>
      <c r="D222" s="590"/>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6.75" customHeight="1">
      <c r="A223" s="55"/>
      <c r="B223" s="55"/>
      <c r="C223" s="55"/>
      <c r="D223" s="56"/>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1.25" customHeight="1">
      <c r="A224" s="597" t="s">
        <v>35</v>
      </c>
      <c r="B224" s="589"/>
      <c r="C224" s="589"/>
      <c r="D224" s="590"/>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6.75" customHeight="1">
      <c r="A225" s="57"/>
      <c r="B225" s="58"/>
      <c r="C225" s="58"/>
      <c r="D225" s="59"/>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36" customHeight="1">
      <c r="A226" s="596" t="s">
        <v>36</v>
      </c>
      <c r="B226" s="589"/>
      <c r="C226" s="589"/>
      <c r="D226" s="590"/>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6.75" customHeight="1">
      <c r="A227" s="55"/>
      <c r="B227" s="55"/>
      <c r="C227" s="55"/>
      <c r="D227" s="56"/>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48" customHeight="1">
      <c r="A228" s="596" t="s">
        <v>37</v>
      </c>
      <c r="B228" s="589"/>
      <c r="C228" s="589"/>
      <c r="D228" s="590"/>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6.75" customHeight="1">
      <c r="A229" s="55"/>
      <c r="B229" s="55"/>
      <c r="C229" s="55"/>
      <c r="D229" s="56"/>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48" customHeight="1">
      <c r="A230" s="596" t="s">
        <v>38</v>
      </c>
      <c r="B230" s="589"/>
      <c r="C230" s="589"/>
      <c r="D230" s="590"/>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6.75" customHeight="1">
      <c r="A231" s="55"/>
      <c r="B231" s="55"/>
      <c r="C231" s="55"/>
      <c r="D231" s="56"/>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36" customHeight="1">
      <c r="A232" s="596" t="s">
        <v>39</v>
      </c>
      <c r="B232" s="589"/>
      <c r="C232" s="589"/>
      <c r="D232" s="590"/>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6.75" customHeight="1">
      <c r="A233" s="55"/>
      <c r="B233" s="55"/>
      <c r="C233" s="55"/>
      <c r="D233" s="56"/>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 customHeight="1">
      <c r="A234" s="75" t="s">
        <v>40</v>
      </c>
      <c r="B234" s="64"/>
      <c r="C234" s="64"/>
      <c r="D234" s="6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6.75" customHeight="1">
      <c r="A235" s="60"/>
      <c r="B235" s="61"/>
      <c r="C235" s="61"/>
      <c r="D235" s="62"/>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1.25" customHeight="1">
      <c r="A236" s="63" t="s">
        <v>85</v>
      </c>
      <c r="B236" s="64"/>
      <c r="C236" s="65" t="s">
        <v>42</v>
      </c>
      <c r="D236" s="290">
        <f>'Proposed Rates'!I15</f>
        <v>9.24</v>
      </c>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1.25" customHeight="1">
      <c r="A237" s="63" t="s">
        <v>62</v>
      </c>
      <c r="B237" s="64"/>
      <c r="C237" s="65" t="s">
        <v>48</v>
      </c>
      <c r="D237" s="291">
        <f>'Proposed Rates'!I28</f>
        <v>4.3999999999999997E-2</v>
      </c>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1.25" customHeight="1">
      <c r="A238" s="63" t="s">
        <v>47</v>
      </c>
      <c r="B238" s="64"/>
      <c r="C238" s="65" t="s">
        <v>48</v>
      </c>
      <c r="D238" s="293">
        <f>'Proposed Rates'!I274</f>
        <v>4.0000000000000003E-5</v>
      </c>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1.25" customHeight="1">
      <c r="A239" s="63" t="s">
        <v>49</v>
      </c>
      <c r="B239" s="64"/>
      <c r="C239" s="65" t="s">
        <v>48</v>
      </c>
      <c r="D239" s="291">
        <f>'Proposed Rates'!I44</f>
        <v>0</v>
      </c>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1.25" customHeight="1">
      <c r="A240" s="63" t="s">
        <v>45</v>
      </c>
      <c r="B240" s="64"/>
      <c r="C240" s="65" t="s">
        <v>48</v>
      </c>
      <c r="D240" s="291">
        <f>'Proposed Rates'!I71</f>
        <v>0</v>
      </c>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1.25" customHeight="1">
      <c r="A241" s="63" t="s">
        <v>44</v>
      </c>
      <c r="B241" s="64"/>
      <c r="C241" s="65" t="s">
        <v>48</v>
      </c>
      <c r="D241" s="291">
        <f>'Proposed Rates'!I97</f>
        <v>0</v>
      </c>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1.25" customHeight="1">
      <c r="A242" s="63" t="s">
        <v>52</v>
      </c>
      <c r="B242" s="64"/>
      <c r="C242" s="65" t="s">
        <v>48</v>
      </c>
      <c r="D242" s="291">
        <f>'Proposed Rates'!I195</f>
        <v>7.4999999999999997E-3</v>
      </c>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1.25" customHeight="1">
      <c r="A243" s="63" t="s">
        <v>53</v>
      </c>
      <c r="B243" s="64"/>
      <c r="C243" s="65" t="s">
        <v>48</v>
      </c>
      <c r="D243" s="291">
        <f>'Proposed Rates'!I210</f>
        <v>4.3E-3</v>
      </c>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3" customHeight="1">
      <c r="A244" s="65"/>
      <c r="B244" s="65"/>
      <c r="C244" s="65"/>
      <c r="D244" s="29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1.25" customHeight="1">
      <c r="A245" s="75" t="s">
        <v>54</v>
      </c>
      <c r="B245" s="64"/>
      <c r="C245" s="65"/>
      <c r="D245" s="29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3.75" customHeight="1">
      <c r="A246" s="60"/>
      <c r="B246" s="65"/>
      <c r="C246" s="65"/>
      <c r="D246" s="29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1.25" customHeight="1">
      <c r="A247" s="63" t="s">
        <v>55</v>
      </c>
      <c r="B247" s="64"/>
      <c r="C247" s="65" t="s">
        <v>48</v>
      </c>
      <c r="D247" s="291">
        <f>$D$34</f>
        <v>4.1000000000000003E-3</v>
      </c>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1.25" customHeight="1">
      <c r="A248" s="63" t="s">
        <v>56</v>
      </c>
      <c r="B248" s="64"/>
      <c r="C248" s="65" t="s">
        <v>48</v>
      </c>
      <c r="D248" s="291">
        <f>'Proposed Rates'!I223-'2026'!D268</f>
        <v>5.9999999999999984E-4</v>
      </c>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1.25" customHeight="1">
      <c r="A249" s="63" t="s">
        <v>57</v>
      </c>
      <c r="B249" s="64"/>
      <c r="C249" s="65" t="s">
        <v>48</v>
      </c>
      <c r="D249" s="291">
        <f>'Proposed Rates'!I236</f>
        <v>5.9999999999999995E-4</v>
      </c>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1.25" customHeight="1">
      <c r="A250" s="63" t="s">
        <v>58</v>
      </c>
      <c r="B250" s="64"/>
      <c r="C250" s="65" t="s">
        <v>42</v>
      </c>
      <c r="D250" s="291">
        <f>'Proposed Rates'!I250</f>
        <v>0.25</v>
      </c>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14.25" customHeight="1">
      <c r="A251" s="89"/>
      <c r="B251" s="64"/>
      <c r="C251" s="65"/>
      <c r="D251" s="7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21.75" customHeight="1">
      <c r="A252" s="588" t="str">
        <f>$A$1</f>
        <v>Hydro Ottawa Limited</v>
      </c>
      <c r="B252" s="589"/>
      <c r="C252" s="589"/>
      <c r="D252" s="590"/>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c r="A253" s="591" t="str">
        <f>$A$2</f>
        <v>PROPOSED - TARIFF OF RATES AND CHARGES</v>
      </c>
      <c r="B253" s="589"/>
      <c r="C253" s="589"/>
      <c r="D253" s="590"/>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 customHeight="1">
      <c r="A254" s="592" t="str">
        <f>$A$3</f>
        <v>Effective and Implementation Date January 1, 2029</v>
      </c>
      <c r="B254" s="589"/>
      <c r="C254" s="589"/>
      <c r="D254" s="590"/>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5" customHeight="1">
      <c r="A255" s="593" t="str">
        <f>$A$4</f>
        <v>This schedule supersedes and replaces all previously</v>
      </c>
      <c r="B255" s="589"/>
      <c r="C255" s="589"/>
      <c r="D255" s="590"/>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5" customHeight="1">
      <c r="A256" s="593" t="str">
        <f>$A$5</f>
        <v>approved schedules of Rates, Charges and Loss Factors</v>
      </c>
      <c r="B256" s="589"/>
      <c r="C256" s="589"/>
      <c r="D256" s="590"/>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9.75" customHeight="1">
      <c r="A257" s="594" t="str">
        <f>$A$6</f>
        <v>EB-2024-0115</v>
      </c>
      <c r="B257" s="589"/>
      <c r="C257" s="589"/>
      <c r="D257" s="590"/>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8.75" customHeight="1">
      <c r="A258" s="595" t="s">
        <v>86</v>
      </c>
      <c r="B258" s="589"/>
      <c r="C258" s="589"/>
      <c r="D258" s="590"/>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36" customHeight="1">
      <c r="A259" s="596" t="s">
        <v>87</v>
      </c>
      <c r="B259" s="589"/>
      <c r="C259" s="589"/>
      <c r="D259" s="590"/>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6.75" customHeight="1">
      <c r="A260" s="55"/>
      <c r="B260" s="55"/>
      <c r="C260" s="55"/>
      <c r="D260" s="56"/>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1.25" customHeight="1">
      <c r="A261" s="597" t="s">
        <v>35</v>
      </c>
      <c r="B261" s="589"/>
      <c r="C261" s="589"/>
      <c r="D261" s="590"/>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6.75" customHeight="1">
      <c r="A262" s="57"/>
      <c r="B262" s="58"/>
      <c r="C262" s="58"/>
      <c r="D262" s="59"/>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36" customHeight="1">
      <c r="A263" s="596" t="s">
        <v>36</v>
      </c>
      <c r="B263" s="589"/>
      <c r="C263" s="589"/>
      <c r="D263" s="590"/>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6.75" customHeight="1">
      <c r="A264" s="55"/>
      <c r="B264" s="55"/>
      <c r="C264" s="55"/>
      <c r="D264" s="56"/>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48" customHeight="1">
      <c r="A265" s="596" t="s">
        <v>37</v>
      </c>
      <c r="B265" s="589"/>
      <c r="C265" s="589"/>
      <c r="D265" s="590"/>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6.75" customHeight="1">
      <c r="A266" s="55"/>
      <c r="B266" s="55"/>
      <c r="C266" s="55"/>
      <c r="D266" s="56"/>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24" customHeight="1">
      <c r="A267" s="596" t="s">
        <v>88</v>
      </c>
      <c r="B267" s="589"/>
      <c r="C267" s="589"/>
      <c r="D267" s="590"/>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6.75" customHeight="1">
      <c r="A268" s="55"/>
      <c r="B268" s="55"/>
      <c r="C268" s="55"/>
      <c r="D268" s="56"/>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36" customHeight="1">
      <c r="A269" s="596" t="s">
        <v>89</v>
      </c>
      <c r="B269" s="589"/>
      <c r="C269" s="589"/>
      <c r="D269" s="590"/>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6.75" customHeight="1">
      <c r="A270" s="55"/>
      <c r="B270" s="55"/>
      <c r="C270" s="55"/>
      <c r="D270" s="56"/>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 customHeight="1">
      <c r="A271" s="598" t="s">
        <v>90</v>
      </c>
      <c r="B271" s="589"/>
      <c r="C271" s="589"/>
      <c r="D271" s="590"/>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6.75" customHeight="1">
      <c r="A272" s="60"/>
      <c r="B272" s="61"/>
      <c r="C272" s="61"/>
      <c r="D272" s="62"/>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1.25" customHeight="1">
      <c r="A273" s="603" t="s">
        <v>41</v>
      </c>
      <c r="B273" s="590"/>
      <c r="C273" s="65" t="s">
        <v>42</v>
      </c>
      <c r="D273" s="290">
        <f>'Proposed Rates'!I17</f>
        <v>186.89</v>
      </c>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1.25" customHeight="1">
      <c r="A274" s="603" t="s">
        <v>91</v>
      </c>
      <c r="B274" s="590"/>
      <c r="C274" s="65" t="s">
        <v>69</v>
      </c>
      <c r="D274" s="291">
        <f>'Proposed Rates'!I29</f>
        <v>4.5193000000000003</v>
      </c>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1.25" customHeight="1">
      <c r="A275" s="603" t="s">
        <v>92</v>
      </c>
      <c r="B275" s="590"/>
      <c r="C275" s="65" t="s">
        <v>69</v>
      </c>
      <c r="D275" s="291">
        <f>'Proposed Rates'!I30</f>
        <v>4.4132999999999996</v>
      </c>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1.25" customHeight="1">
      <c r="A276" s="603" t="s">
        <v>93</v>
      </c>
      <c r="B276" s="590"/>
      <c r="C276" s="65" t="s">
        <v>69</v>
      </c>
      <c r="D276" s="291">
        <f>'Proposed Rates'!I31</f>
        <v>5.0429000000000004</v>
      </c>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1.25" customHeight="1">
      <c r="A277" s="73" t="s">
        <v>94</v>
      </c>
      <c r="B277" s="84"/>
      <c r="C277" s="89" t="s">
        <v>69</v>
      </c>
      <c r="D277" s="92">
        <f>'Proposed Rates'!I23</f>
        <v>9.0386000000000006</v>
      </c>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1.25" customHeight="1">
      <c r="A278" s="73" t="s">
        <v>95</v>
      </c>
      <c r="B278" s="84"/>
      <c r="C278" s="89" t="s">
        <v>69</v>
      </c>
      <c r="D278" s="92">
        <f>'Proposed Rates'!I24</f>
        <v>8.8265999999999991</v>
      </c>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1.25" customHeight="1">
      <c r="A279" s="73" t="s">
        <v>96</v>
      </c>
      <c r="B279" s="84"/>
      <c r="C279" s="89" t="s">
        <v>69</v>
      </c>
      <c r="D279" s="92">
        <f>'Proposed Rates'!I25</f>
        <v>10.085699999999999</v>
      </c>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2.75" customHeight="1">
      <c r="A280" s="89"/>
      <c r="B280" s="64"/>
      <c r="C280" s="65"/>
      <c r="D280" s="29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24.75" customHeight="1">
      <c r="A281" s="588" t="str">
        <f>$A$1</f>
        <v>Hydro Ottawa Limited</v>
      </c>
      <c r="B281" s="589"/>
      <c r="C281" s="589"/>
      <c r="D281" s="590"/>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75" customHeight="1">
      <c r="A282" s="591" t="str">
        <f>$A$2</f>
        <v>PROPOSED - TARIFF OF RATES AND CHARGES</v>
      </c>
      <c r="B282" s="589"/>
      <c r="C282" s="589"/>
      <c r="D282" s="590"/>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 customHeight="1">
      <c r="A283" s="592" t="str">
        <f>$A$3</f>
        <v>Effective and Implementation Date January 1, 2029</v>
      </c>
      <c r="B283" s="589"/>
      <c r="C283" s="589"/>
      <c r="D283" s="590"/>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5" customHeight="1">
      <c r="A284" s="593" t="str">
        <f>$A$4</f>
        <v>This schedule supersedes and replaces all previously</v>
      </c>
      <c r="B284" s="589"/>
      <c r="C284" s="589"/>
      <c r="D284" s="590"/>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5" customHeight="1">
      <c r="A285" s="593" t="str">
        <f>$A$5</f>
        <v>approved schedules of Rates, Charges and Loss Factors</v>
      </c>
      <c r="B285" s="589"/>
      <c r="C285" s="589"/>
      <c r="D285" s="590"/>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9.75" customHeight="1">
      <c r="A286" s="594" t="str">
        <f>$A$6</f>
        <v>EB-2024-0115</v>
      </c>
      <c r="B286" s="589"/>
      <c r="C286" s="589"/>
      <c r="D286" s="590"/>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8.75" customHeight="1">
      <c r="A287" s="595" t="s">
        <v>100</v>
      </c>
      <c r="B287" s="589"/>
      <c r="C287" s="589"/>
      <c r="D287" s="590"/>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36" customHeight="1">
      <c r="A288" s="596" t="s">
        <v>101</v>
      </c>
      <c r="B288" s="589"/>
      <c r="C288" s="589"/>
      <c r="D288" s="590"/>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6.75" customHeight="1">
      <c r="A289" s="55"/>
      <c r="B289" s="55"/>
      <c r="C289" s="55"/>
      <c r="D289" s="56"/>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1.25" customHeight="1">
      <c r="A290" s="597" t="s">
        <v>35</v>
      </c>
      <c r="B290" s="589"/>
      <c r="C290" s="589"/>
      <c r="D290" s="590"/>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6.75" customHeight="1">
      <c r="A291" s="57"/>
      <c r="B291" s="58"/>
      <c r="C291" s="58"/>
      <c r="D291" s="59"/>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36" customHeight="1">
      <c r="A292" s="596" t="s">
        <v>36</v>
      </c>
      <c r="B292" s="589"/>
      <c r="C292" s="589"/>
      <c r="D292" s="590"/>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6.75" customHeight="1">
      <c r="A293" s="55"/>
      <c r="B293" s="55"/>
      <c r="C293" s="55"/>
      <c r="D293" s="56"/>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48" customHeight="1">
      <c r="A294" s="596" t="s">
        <v>37</v>
      </c>
      <c r="B294" s="589"/>
      <c r="C294" s="589"/>
      <c r="D294" s="590"/>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6.75" customHeight="1">
      <c r="A295" s="55"/>
      <c r="B295" s="55"/>
      <c r="C295" s="55"/>
      <c r="D295" s="56"/>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48" customHeight="1">
      <c r="A296" s="596" t="s">
        <v>38</v>
      </c>
      <c r="B296" s="589"/>
      <c r="C296" s="589"/>
      <c r="D296" s="590"/>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6.75" customHeight="1">
      <c r="A297" s="55"/>
      <c r="B297" s="55"/>
      <c r="C297" s="55"/>
      <c r="D297" s="56"/>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36" customHeight="1">
      <c r="A298" s="596" t="s">
        <v>39</v>
      </c>
      <c r="B298" s="589"/>
      <c r="C298" s="589"/>
      <c r="D298" s="590"/>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6.75" customHeight="1">
      <c r="A299" s="55"/>
      <c r="B299" s="55"/>
      <c r="C299" s="55"/>
      <c r="D299" s="56"/>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 customHeight="1">
      <c r="A300" s="598" t="s">
        <v>40</v>
      </c>
      <c r="B300" s="589"/>
      <c r="C300" s="589"/>
      <c r="D300" s="590"/>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6.75" customHeight="1">
      <c r="A301" s="60"/>
      <c r="B301" s="61"/>
      <c r="C301" s="61"/>
      <c r="D301" s="62"/>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0.5" customHeight="1">
      <c r="A302" s="63" t="s">
        <v>85</v>
      </c>
      <c r="B302" s="64"/>
      <c r="C302" s="65" t="s">
        <v>42</v>
      </c>
      <c r="D302" s="290">
        <f>'Proposed Rates'!I14</f>
        <v>9.2899999999999991</v>
      </c>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0.5" customHeight="1">
      <c r="A303" s="63" t="s">
        <v>62</v>
      </c>
      <c r="B303" s="64"/>
      <c r="C303" s="65" t="s">
        <v>69</v>
      </c>
      <c r="D303" s="291">
        <f>'Proposed Rates'!I27</f>
        <v>43.587699999999998</v>
      </c>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0.5" customHeight="1">
      <c r="A304" s="63" t="s">
        <v>47</v>
      </c>
      <c r="B304" s="64"/>
      <c r="C304" s="65" t="s">
        <v>69</v>
      </c>
      <c r="D304" s="293">
        <f>'Proposed Rates'!I273</f>
        <v>4.5900000000000003E-3</v>
      </c>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0.5" customHeight="1">
      <c r="A305" s="63" t="s">
        <v>49</v>
      </c>
      <c r="B305" s="64"/>
      <c r="C305" s="65" t="s">
        <v>69</v>
      </c>
      <c r="D305" s="291">
        <f>'Proposed Rates'!I43</f>
        <v>0</v>
      </c>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0.5" customHeight="1">
      <c r="A306" s="63" t="s">
        <v>45</v>
      </c>
      <c r="B306" s="64"/>
      <c r="C306" s="65" t="s">
        <v>69</v>
      </c>
      <c r="D306" s="291">
        <f>'Proposed Rates'!I70</f>
        <v>0</v>
      </c>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0.5" customHeight="1">
      <c r="A307" s="63" t="s">
        <v>233</v>
      </c>
      <c r="B307" s="64"/>
      <c r="C307" s="65" t="s">
        <v>48</v>
      </c>
      <c r="D307" s="291">
        <f>'Proposed Rates'!I151</f>
        <v>0</v>
      </c>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0.5" customHeight="1">
      <c r="A308" s="63" t="s">
        <v>52</v>
      </c>
      <c r="B308" s="64"/>
      <c r="C308" s="65" t="s">
        <v>69</v>
      </c>
      <c r="D308" s="291">
        <f>'Proposed Rates'!I194</f>
        <v>0.85450000000000004</v>
      </c>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0.5" customHeight="1">
      <c r="A309" s="94" t="s">
        <v>53</v>
      </c>
      <c r="B309" s="64"/>
      <c r="C309" s="95" t="s">
        <v>69</v>
      </c>
      <c r="D309" s="300">
        <f>'Proposed Rates'!I209</f>
        <v>0.48370000000000002</v>
      </c>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2.25" customHeight="1">
      <c r="A310" s="94"/>
      <c r="B310" s="64"/>
      <c r="C310" s="95"/>
      <c r="D310" s="301"/>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1.25" customHeight="1">
      <c r="A311" s="75" t="s">
        <v>54</v>
      </c>
      <c r="B311" s="64"/>
      <c r="C311" s="65"/>
      <c r="D311" s="29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3" customHeight="1">
      <c r="A312" s="60"/>
      <c r="B312" s="65"/>
      <c r="C312" s="65"/>
      <c r="D312" s="29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0.5" customHeight="1">
      <c r="A313" s="63" t="s">
        <v>55</v>
      </c>
      <c r="B313" s="64"/>
      <c r="C313" s="65" t="s">
        <v>48</v>
      </c>
      <c r="D313" s="291">
        <f>$D$34</f>
        <v>4.1000000000000003E-3</v>
      </c>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0.5" customHeight="1">
      <c r="A314" s="63" t="s">
        <v>56</v>
      </c>
      <c r="B314" s="64"/>
      <c r="C314" s="65" t="s">
        <v>48</v>
      </c>
      <c r="D314" s="291">
        <f>'Proposed Rates'!I222-'2026'!D345</f>
        <v>5.9999999999999984E-4</v>
      </c>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0.5" customHeight="1">
      <c r="A315" s="63" t="s">
        <v>57</v>
      </c>
      <c r="B315" s="64"/>
      <c r="C315" s="65" t="s">
        <v>48</v>
      </c>
      <c r="D315" s="291">
        <f>'Proposed Rates'!I235</f>
        <v>5.9999999999999995E-4</v>
      </c>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0.5" customHeight="1">
      <c r="A316" s="63" t="s">
        <v>58</v>
      </c>
      <c r="B316" s="64"/>
      <c r="C316" s="65" t="s">
        <v>42</v>
      </c>
      <c r="D316" s="291">
        <f>'Proposed Rates'!I249</f>
        <v>0.25</v>
      </c>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15" customHeight="1">
      <c r="A317" s="89"/>
      <c r="B317" s="64"/>
      <c r="C317" s="65"/>
      <c r="D317" s="7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21.75" customHeight="1">
      <c r="A318" s="588" t="str">
        <f>$A$1</f>
        <v>Hydro Ottawa Limited</v>
      </c>
      <c r="B318" s="589"/>
      <c r="C318" s="589"/>
      <c r="D318" s="590"/>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75" customHeight="1">
      <c r="A319" s="591" t="str">
        <f>$A$2</f>
        <v>PROPOSED - TARIFF OF RATES AND CHARGES</v>
      </c>
      <c r="B319" s="589"/>
      <c r="C319" s="589"/>
      <c r="D319" s="590"/>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 customHeight="1">
      <c r="A320" s="592" t="str">
        <f>$A$3</f>
        <v>Effective and Implementation Date January 1, 2029</v>
      </c>
      <c r="B320" s="589"/>
      <c r="C320" s="589"/>
      <c r="D320" s="590"/>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5" customHeight="1">
      <c r="A321" s="593" t="str">
        <f>$A$4</f>
        <v>This schedule supersedes and replaces all previously</v>
      </c>
      <c r="B321" s="589"/>
      <c r="C321" s="589"/>
      <c r="D321" s="590"/>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5" customHeight="1">
      <c r="A322" s="593" t="str">
        <f>$A$5</f>
        <v>approved schedules of Rates, Charges and Loss Factors</v>
      </c>
      <c r="B322" s="589"/>
      <c r="C322" s="589"/>
      <c r="D322" s="590"/>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9.75" customHeight="1">
      <c r="A323" s="594" t="str">
        <f>$A$6</f>
        <v>EB-2024-0115</v>
      </c>
      <c r="B323" s="589"/>
      <c r="C323" s="589"/>
      <c r="D323" s="590"/>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8.75" customHeight="1">
      <c r="A324" s="595" t="s">
        <v>102</v>
      </c>
      <c r="B324" s="589"/>
      <c r="C324" s="589"/>
      <c r="D324" s="590"/>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60" customHeight="1">
      <c r="A325" s="596" t="s">
        <v>103</v>
      </c>
      <c r="B325" s="589"/>
      <c r="C325" s="589"/>
      <c r="D325" s="590"/>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6.75" customHeight="1">
      <c r="A326" s="55"/>
      <c r="B326" s="55"/>
      <c r="C326" s="55"/>
      <c r="D326" s="56"/>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1.25" customHeight="1">
      <c r="A327" s="597" t="s">
        <v>35</v>
      </c>
      <c r="B327" s="589"/>
      <c r="C327" s="589"/>
      <c r="D327" s="590"/>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6.75" customHeight="1">
      <c r="A328" s="57"/>
      <c r="B328" s="58"/>
      <c r="C328" s="58"/>
      <c r="D328" s="59"/>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36" customHeight="1">
      <c r="A329" s="596" t="s">
        <v>36</v>
      </c>
      <c r="B329" s="589"/>
      <c r="C329" s="589"/>
      <c r="D329" s="590"/>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6.75" customHeight="1">
      <c r="A330" s="55"/>
      <c r="B330" s="55"/>
      <c r="C330" s="55"/>
      <c r="D330" s="56"/>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48" customHeight="1">
      <c r="A331" s="596" t="s">
        <v>37</v>
      </c>
      <c r="B331" s="589"/>
      <c r="C331" s="589"/>
      <c r="D331" s="590"/>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6.75" customHeight="1">
      <c r="A332" s="55"/>
      <c r="B332" s="55"/>
      <c r="C332" s="55"/>
      <c r="D332" s="56"/>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48" customHeight="1">
      <c r="A333" s="596" t="s">
        <v>38</v>
      </c>
      <c r="B333" s="589"/>
      <c r="C333" s="589"/>
      <c r="D333" s="590"/>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6.75" customHeight="1">
      <c r="A334" s="55"/>
      <c r="B334" s="55"/>
      <c r="C334" s="55"/>
      <c r="D334" s="56"/>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36" customHeight="1">
      <c r="A335" s="596" t="s">
        <v>104</v>
      </c>
      <c r="B335" s="589"/>
      <c r="C335" s="589"/>
      <c r="D335" s="590"/>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6.75" customHeight="1">
      <c r="A336" s="55"/>
      <c r="B336" s="55"/>
      <c r="C336" s="55"/>
      <c r="D336" s="56"/>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 customHeight="1">
      <c r="A337" s="598" t="s">
        <v>40</v>
      </c>
      <c r="B337" s="589"/>
      <c r="C337" s="589"/>
      <c r="D337" s="590"/>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6.75" customHeight="1">
      <c r="A338" s="60"/>
      <c r="B338" s="61"/>
      <c r="C338" s="61"/>
      <c r="D338" s="62"/>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0.5" customHeight="1">
      <c r="A339" s="63" t="s">
        <v>85</v>
      </c>
      <c r="B339" s="64"/>
      <c r="C339" s="65" t="s">
        <v>42</v>
      </c>
      <c r="D339" s="290">
        <f>'Proposed Rates'!I13</f>
        <v>1.2</v>
      </c>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0.5" customHeight="1">
      <c r="A340" s="63" t="s">
        <v>62</v>
      </c>
      <c r="B340" s="64"/>
      <c r="C340" s="65" t="s">
        <v>69</v>
      </c>
      <c r="D340" s="291">
        <f>'Proposed Rates'!I26</f>
        <v>8.3188999999999993</v>
      </c>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0.5" customHeight="1">
      <c r="A341" s="63" t="s">
        <v>47</v>
      </c>
      <c r="B341" s="64"/>
      <c r="C341" s="65" t="s">
        <v>69</v>
      </c>
      <c r="D341" s="293">
        <f>'Proposed Rates'!I272</f>
        <v>1.159E-2</v>
      </c>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0.5" customHeight="1">
      <c r="A342" s="63" t="s">
        <v>49</v>
      </c>
      <c r="B342" s="64"/>
      <c r="C342" s="65" t="s">
        <v>69</v>
      </c>
      <c r="D342" s="291">
        <f>'Proposed Rates'!I42</f>
        <v>0</v>
      </c>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0.5" customHeight="1">
      <c r="A343" s="63" t="s">
        <v>45</v>
      </c>
      <c r="B343" s="64"/>
      <c r="C343" s="65" t="s">
        <v>69</v>
      </c>
      <c r="D343" s="291">
        <f>'Proposed Rates'!I69</f>
        <v>0</v>
      </c>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0.5" customHeight="1">
      <c r="A344" s="63" t="s">
        <v>44</v>
      </c>
      <c r="B344" s="64"/>
      <c r="C344" s="65" t="s">
        <v>69</v>
      </c>
      <c r="D344" s="291">
        <f>'Proposed Rates'!I95</f>
        <v>0</v>
      </c>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0.5" customHeight="1">
      <c r="A345" s="63" t="s">
        <v>233</v>
      </c>
      <c r="B345" s="64"/>
      <c r="C345" s="65" t="s">
        <v>48</v>
      </c>
      <c r="D345" s="291">
        <f>'Proposed Rates'!I150</f>
        <v>0</v>
      </c>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0.5" customHeight="1">
      <c r="A346" s="63" t="s">
        <v>52</v>
      </c>
      <c r="B346" s="64"/>
      <c r="C346" s="65" t="s">
        <v>69</v>
      </c>
      <c r="D346" s="291">
        <f>'Proposed Rates'!I193</f>
        <v>2.1576</v>
      </c>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0.5" customHeight="1">
      <c r="A347" s="63" t="s">
        <v>53</v>
      </c>
      <c r="B347" s="64"/>
      <c r="C347" s="65" t="s">
        <v>69</v>
      </c>
      <c r="D347" s="291">
        <f>'Proposed Rates'!I208</f>
        <v>1.2213000000000001</v>
      </c>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5.25" customHeight="1">
      <c r="A348" s="65"/>
      <c r="B348" s="65"/>
      <c r="C348" s="65"/>
      <c r="D348" s="29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1.25" customHeight="1">
      <c r="A349" s="75" t="s">
        <v>54</v>
      </c>
      <c r="B349" s="64"/>
      <c r="C349" s="65"/>
      <c r="D349" s="29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5.25" customHeight="1">
      <c r="A350" s="60"/>
      <c r="B350" s="65"/>
      <c r="C350" s="65"/>
      <c r="D350" s="29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0.5" customHeight="1">
      <c r="A351" s="63" t="s">
        <v>55</v>
      </c>
      <c r="B351" s="64"/>
      <c r="C351" s="65" t="s">
        <v>48</v>
      </c>
      <c r="D351" s="291">
        <f>$D$34</f>
        <v>4.1000000000000003E-3</v>
      </c>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0.5" customHeight="1">
      <c r="A352" s="63" t="s">
        <v>56</v>
      </c>
      <c r="B352" s="64"/>
      <c r="C352" s="65" t="s">
        <v>48</v>
      </c>
      <c r="D352" s="291">
        <f>'Proposed Rates'!I221-'2026'!D388</f>
        <v>5.9999999999999984E-4</v>
      </c>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0.5" customHeight="1">
      <c r="A353" s="63" t="s">
        <v>57</v>
      </c>
      <c r="B353" s="64"/>
      <c r="C353" s="65" t="s">
        <v>48</v>
      </c>
      <c r="D353" s="291">
        <f>'Proposed Rates'!I234</f>
        <v>5.9999999999999995E-4</v>
      </c>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0.5" customHeight="1">
      <c r="A354" s="63" t="s">
        <v>58</v>
      </c>
      <c r="B354" s="64"/>
      <c r="C354" s="65" t="s">
        <v>42</v>
      </c>
      <c r="D354" s="291">
        <f>'Proposed Rates'!I248</f>
        <v>0.25</v>
      </c>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9.75" customHeight="1">
      <c r="A355" s="89"/>
      <c r="B355" s="64"/>
      <c r="C355" s="65"/>
      <c r="D355" s="7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21.75" customHeight="1">
      <c r="A356" s="588" t="str">
        <f>$A$1</f>
        <v>Hydro Ottawa Limited</v>
      </c>
      <c r="B356" s="589"/>
      <c r="C356" s="589"/>
      <c r="D356" s="590"/>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75" customHeight="1">
      <c r="A357" s="591" t="str">
        <f>$A$2</f>
        <v>PROPOSED - TARIFF OF RATES AND CHARGES</v>
      </c>
      <c r="B357" s="589"/>
      <c r="C357" s="589"/>
      <c r="D357" s="590"/>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 customHeight="1">
      <c r="A358" s="592" t="str">
        <f>$A$3</f>
        <v>Effective and Implementation Date January 1, 2029</v>
      </c>
      <c r="B358" s="589"/>
      <c r="C358" s="589"/>
      <c r="D358" s="590"/>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5" customHeight="1">
      <c r="A359" s="593" t="str">
        <f>$A$4</f>
        <v>This schedule supersedes and replaces all previously</v>
      </c>
      <c r="B359" s="589"/>
      <c r="C359" s="589"/>
      <c r="D359" s="590"/>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5" customHeight="1">
      <c r="A360" s="593" t="str">
        <f>$A$5</f>
        <v>approved schedules of Rates, Charges and Loss Factors</v>
      </c>
      <c r="B360" s="589"/>
      <c r="C360" s="589"/>
      <c r="D360" s="590"/>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9.75" customHeight="1">
      <c r="A361" s="594" t="str">
        <f>$A$6</f>
        <v>EB-2024-0115</v>
      </c>
      <c r="B361" s="589"/>
      <c r="C361" s="589"/>
      <c r="D361" s="590"/>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8.75" customHeight="1">
      <c r="A362" s="595" t="s">
        <v>106</v>
      </c>
      <c r="B362" s="589"/>
      <c r="C362" s="589"/>
      <c r="D362" s="590"/>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36" customHeight="1">
      <c r="A363" s="596" t="s">
        <v>107</v>
      </c>
      <c r="B363" s="589"/>
      <c r="C363" s="589"/>
      <c r="D363" s="590"/>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6.75" customHeight="1">
      <c r="A364" s="55"/>
      <c r="B364" s="55"/>
      <c r="C364" s="55"/>
      <c r="D364" s="56"/>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1.25" customHeight="1">
      <c r="A365" s="597" t="s">
        <v>35</v>
      </c>
      <c r="B365" s="589"/>
      <c r="C365" s="589"/>
      <c r="D365" s="590"/>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6.75" customHeight="1">
      <c r="A366" s="57"/>
      <c r="B366" s="58"/>
      <c r="C366" s="58"/>
      <c r="D366" s="59"/>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36" customHeight="1">
      <c r="A367" s="596" t="s">
        <v>36</v>
      </c>
      <c r="B367" s="589"/>
      <c r="C367" s="589"/>
      <c r="D367" s="590"/>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6.75" customHeight="1">
      <c r="A368" s="55"/>
      <c r="B368" s="55"/>
      <c r="C368" s="55"/>
      <c r="D368" s="56"/>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48" customHeight="1">
      <c r="A369" s="596" t="s">
        <v>37</v>
      </c>
      <c r="B369" s="589"/>
      <c r="C369" s="589"/>
      <c r="D369" s="590"/>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6.75" customHeight="1">
      <c r="A370" s="55"/>
      <c r="B370" s="55"/>
      <c r="C370" s="55"/>
      <c r="D370" s="56"/>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24" customHeight="1">
      <c r="A371" s="596" t="s">
        <v>108</v>
      </c>
      <c r="B371" s="589"/>
      <c r="C371" s="589"/>
      <c r="D371" s="590"/>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6.75" customHeight="1">
      <c r="A372" s="55"/>
      <c r="B372" s="55"/>
      <c r="C372" s="55"/>
      <c r="D372" s="56"/>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36" customHeight="1">
      <c r="A373" s="596" t="s">
        <v>104</v>
      </c>
      <c r="B373" s="589"/>
      <c r="C373" s="589"/>
      <c r="D373" s="590"/>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6.75" customHeight="1">
      <c r="A374" s="55"/>
      <c r="B374" s="55"/>
      <c r="C374" s="55"/>
      <c r="D374" s="56"/>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 customHeight="1">
      <c r="A375" s="598" t="s">
        <v>40</v>
      </c>
      <c r="B375" s="589"/>
      <c r="C375" s="589"/>
      <c r="D375" s="590"/>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6.75" customHeight="1">
      <c r="A376" s="60"/>
      <c r="B376" s="61"/>
      <c r="C376" s="61"/>
      <c r="D376" s="62"/>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1.25" customHeight="1">
      <c r="A377" s="603" t="s">
        <v>41</v>
      </c>
      <c r="B377" s="590"/>
      <c r="C377" s="65" t="s">
        <v>42</v>
      </c>
      <c r="D377" s="98" t="str">
        <f>'Proposed Rates'!I379</f>
        <v>no charge</v>
      </c>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8.25" customHeight="1">
      <c r="A378" s="89"/>
      <c r="B378" s="64"/>
      <c r="C378" s="65"/>
      <c r="D378" s="7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21.75" customHeight="1">
      <c r="A379" s="588" t="str">
        <f>$A$1</f>
        <v>Hydro Ottawa Limited</v>
      </c>
      <c r="B379" s="589"/>
      <c r="C379" s="589"/>
      <c r="D379" s="590"/>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75" customHeight="1">
      <c r="A380" s="591" t="str">
        <f>$A$2</f>
        <v>PROPOSED - TARIFF OF RATES AND CHARGES</v>
      </c>
      <c r="B380" s="589"/>
      <c r="C380" s="589"/>
      <c r="D380" s="590"/>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 customHeight="1">
      <c r="A381" s="592" t="str">
        <f>$A$3</f>
        <v>Effective and Implementation Date January 1, 2029</v>
      </c>
      <c r="B381" s="589"/>
      <c r="C381" s="589"/>
      <c r="D381" s="590"/>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5" customHeight="1">
      <c r="A382" s="593" t="str">
        <f>$A$4</f>
        <v>This schedule supersedes and replaces all previously</v>
      </c>
      <c r="B382" s="589"/>
      <c r="C382" s="589"/>
      <c r="D382" s="590"/>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5" customHeight="1">
      <c r="A383" s="593" t="str">
        <f>$A$5</f>
        <v>approved schedules of Rates, Charges and Loss Factors</v>
      </c>
      <c r="B383" s="589"/>
      <c r="C383" s="589"/>
      <c r="D383" s="590"/>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9.75" customHeight="1">
      <c r="A384" s="594" t="str">
        <f>$A$6</f>
        <v>EB-2024-0115</v>
      </c>
      <c r="B384" s="589"/>
      <c r="C384" s="589"/>
      <c r="D384" s="590"/>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8.75" customHeight="1">
      <c r="A385" s="595" t="s">
        <v>109</v>
      </c>
      <c r="B385" s="589"/>
      <c r="C385" s="589"/>
      <c r="D385" s="590"/>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36" customHeight="1">
      <c r="A386" s="607" t="s">
        <v>110</v>
      </c>
      <c r="B386" s="608"/>
      <c r="C386" s="608"/>
      <c r="D386" s="600"/>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6.75" customHeight="1">
      <c r="A387" s="55"/>
      <c r="B387" s="55"/>
      <c r="C387" s="55"/>
      <c r="D387" s="56"/>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1.25" customHeight="1">
      <c r="A388" s="597" t="s">
        <v>35</v>
      </c>
      <c r="B388" s="589"/>
      <c r="C388" s="589"/>
      <c r="D388" s="590"/>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6.75" customHeight="1">
      <c r="A389" s="57"/>
      <c r="B389" s="58"/>
      <c r="C389" s="58"/>
      <c r="D389" s="59"/>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36" customHeight="1">
      <c r="A390" s="596" t="s">
        <v>36</v>
      </c>
      <c r="B390" s="589"/>
      <c r="C390" s="589"/>
      <c r="D390" s="590"/>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6.75" customHeight="1">
      <c r="A391" s="55"/>
      <c r="B391" s="55"/>
      <c r="C391" s="55"/>
      <c r="D391" s="56"/>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48" customHeight="1">
      <c r="A392" s="596" t="s">
        <v>37</v>
      </c>
      <c r="B392" s="589"/>
      <c r="C392" s="589"/>
      <c r="D392" s="590"/>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6.75" customHeight="1">
      <c r="A393" s="55"/>
      <c r="B393" s="55"/>
      <c r="C393" s="55"/>
      <c r="D393" s="56"/>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24" customHeight="1">
      <c r="A394" s="596" t="s">
        <v>108</v>
      </c>
      <c r="B394" s="589"/>
      <c r="C394" s="589"/>
      <c r="D394" s="590"/>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6.75" customHeight="1">
      <c r="A395" s="55"/>
      <c r="B395" s="55"/>
      <c r="C395" s="55"/>
      <c r="D395" s="56"/>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36" customHeight="1">
      <c r="A396" s="596" t="s">
        <v>104</v>
      </c>
      <c r="B396" s="589"/>
      <c r="C396" s="589"/>
      <c r="D396" s="590"/>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6.75" customHeight="1">
      <c r="A397" s="55"/>
      <c r="B397" s="55"/>
      <c r="C397" s="55"/>
      <c r="D397" s="56"/>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 customHeight="1">
      <c r="A398" s="598" t="s">
        <v>40</v>
      </c>
      <c r="B398" s="589"/>
      <c r="C398" s="589"/>
      <c r="D398" s="590"/>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6.75" customHeight="1">
      <c r="A399" s="60"/>
      <c r="B399" s="61"/>
      <c r="C399" s="61"/>
      <c r="D399" s="62"/>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1.25" customHeight="1">
      <c r="A400" s="603" t="s">
        <v>41</v>
      </c>
      <c r="B400" s="590"/>
      <c r="C400" s="65" t="s">
        <v>42</v>
      </c>
      <c r="D400" s="98">
        <f>'Proposed Rates'!I376</f>
        <v>12</v>
      </c>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3" customHeight="1">
      <c r="A401" s="89"/>
      <c r="B401" s="64"/>
      <c r="C401" s="65"/>
      <c r="D401" s="7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3" customHeight="1">
      <c r="A402" s="302"/>
      <c r="B402" s="100"/>
      <c r="C402" s="101"/>
      <c r="D402" s="303"/>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3" customHeight="1">
      <c r="A403" s="302"/>
      <c r="B403" s="100"/>
      <c r="C403" s="101"/>
      <c r="D403" s="303"/>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3" customHeight="1">
      <c r="A404" s="302"/>
      <c r="B404" s="100"/>
      <c r="C404" s="101"/>
      <c r="D404" s="303"/>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3" customHeight="1">
      <c r="A405" s="302"/>
      <c r="B405" s="100"/>
      <c r="C405" s="101"/>
      <c r="D405" s="303"/>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3" customHeight="1">
      <c r="A406" s="302"/>
      <c r="B406" s="100"/>
      <c r="C406" s="101"/>
      <c r="D406" s="303"/>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3" customHeight="1">
      <c r="A407" s="302"/>
      <c r="B407" s="100"/>
      <c r="C407" s="101"/>
      <c r="D407" s="303"/>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8.75" customHeight="1">
      <c r="A408" s="595" t="s">
        <v>111</v>
      </c>
      <c r="B408" s="589"/>
      <c r="C408" s="589"/>
      <c r="D408" s="590"/>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36" customHeight="1">
      <c r="A409" s="607" t="s">
        <v>112</v>
      </c>
      <c r="B409" s="608"/>
      <c r="C409" s="608"/>
      <c r="D409" s="600"/>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6.75" customHeight="1">
      <c r="A410" s="55"/>
      <c r="B410" s="55"/>
      <c r="C410" s="55"/>
      <c r="D410" s="56"/>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1.25" customHeight="1">
      <c r="A411" s="597" t="s">
        <v>35</v>
      </c>
      <c r="B411" s="589"/>
      <c r="C411" s="589"/>
      <c r="D411" s="590"/>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6.75" customHeight="1">
      <c r="A412" s="57"/>
      <c r="B412" s="58"/>
      <c r="C412" s="58"/>
      <c r="D412" s="59"/>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36" customHeight="1">
      <c r="A413" s="596" t="s">
        <v>36</v>
      </c>
      <c r="B413" s="589"/>
      <c r="C413" s="589"/>
      <c r="D413" s="590"/>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6.75" customHeight="1">
      <c r="A414" s="55"/>
      <c r="B414" s="55"/>
      <c r="C414" s="55"/>
      <c r="D414" s="56"/>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48" customHeight="1">
      <c r="A415" s="596" t="s">
        <v>37</v>
      </c>
      <c r="B415" s="589"/>
      <c r="C415" s="589"/>
      <c r="D415" s="590"/>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6.75" customHeight="1">
      <c r="A416" s="55"/>
      <c r="B416" s="55"/>
      <c r="C416" s="55"/>
      <c r="D416" s="56"/>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24" customHeight="1">
      <c r="A417" s="596" t="s">
        <v>108</v>
      </c>
      <c r="B417" s="589"/>
      <c r="C417" s="589"/>
      <c r="D417" s="590"/>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6.75" customHeight="1">
      <c r="A418" s="55"/>
      <c r="B418" s="55"/>
      <c r="C418" s="55"/>
      <c r="D418" s="56"/>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36" customHeight="1">
      <c r="A419" s="596" t="s">
        <v>104</v>
      </c>
      <c r="B419" s="589"/>
      <c r="C419" s="589"/>
      <c r="D419" s="590"/>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6.75" customHeight="1">
      <c r="A420" s="55"/>
      <c r="B420" s="55"/>
      <c r="C420" s="55"/>
      <c r="D420" s="56"/>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 customHeight="1">
      <c r="A421" s="598" t="s">
        <v>40</v>
      </c>
      <c r="B421" s="589"/>
      <c r="C421" s="589"/>
      <c r="D421" s="590"/>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6.75" customHeight="1">
      <c r="A422" s="60"/>
      <c r="B422" s="61"/>
      <c r="C422" s="61"/>
      <c r="D422" s="62"/>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1.25" customHeight="1">
      <c r="A423" s="603" t="s">
        <v>41</v>
      </c>
      <c r="B423" s="590"/>
      <c r="C423" s="65" t="s">
        <v>42</v>
      </c>
      <c r="D423" s="98">
        <f>'Proposed Rates'!I377</f>
        <v>93</v>
      </c>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4.25" customHeight="1">
      <c r="A424" s="89"/>
      <c r="B424" s="64"/>
      <c r="C424" s="65"/>
      <c r="D424" s="7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21.75" customHeight="1">
      <c r="A425" s="588" t="str">
        <f>$A$1</f>
        <v>Hydro Ottawa Limited</v>
      </c>
      <c r="B425" s="589"/>
      <c r="C425" s="589"/>
      <c r="D425" s="590"/>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75" customHeight="1">
      <c r="A426" s="591" t="str">
        <f>$A$2</f>
        <v>PROPOSED - TARIFF OF RATES AND CHARGES</v>
      </c>
      <c r="B426" s="589"/>
      <c r="C426" s="589"/>
      <c r="D426" s="590"/>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 customHeight="1">
      <c r="A427" s="592" t="str">
        <f>$A$3</f>
        <v>Effective and Implementation Date January 1, 2029</v>
      </c>
      <c r="B427" s="589"/>
      <c r="C427" s="589"/>
      <c r="D427" s="590"/>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5" customHeight="1">
      <c r="A428" s="593" t="str">
        <f>$A$4</f>
        <v>This schedule supersedes and replaces all previously</v>
      </c>
      <c r="B428" s="589"/>
      <c r="C428" s="589"/>
      <c r="D428" s="590"/>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5" customHeight="1">
      <c r="A429" s="593" t="str">
        <f>$A$5</f>
        <v>approved schedules of Rates, Charges and Loss Factors</v>
      </c>
      <c r="B429" s="589"/>
      <c r="C429" s="589"/>
      <c r="D429" s="590"/>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9.75" customHeight="1">
      <c r="A430" s="594" t="str">
        <f>$A$6</f>
        <v>EB-2024-0115</v>
      </c>
      <c r="B430" s="589"/>
      <c r="C430" s="589"/>
      <c r="D430" s="590"/>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8.75" customHeight="1">
      <c r="A431" s="595" t="s">
        <v>113</v>
      </c>
      <c r="B431" s="589"/>
      <c r="C431" s="589"/>
      <c r="D431" s="590"/>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36" customHeight="1">
      <c r="A432" s="596" t="s">
        <v>114</v>
      </c>
      <c r="B432" s="589"/>
      <c r="C432" s="589"/>
      <c r="D432" s="590"/>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6.75" customHeight="1">
      <c r="A433" s="55"/>
      <c r="B433" s="55"/>
      <c r="C433" s="55"/>
      <c r="D433" s="56"/>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1.25" customHeight="1">
      <c r="A434" s="597" t="s">
        <v>35</v>
      </c>
      <c r="B434" s="589"/>
      <c r="C434" s="589"/>
      <c r="D434" s="590"/>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6.75" customHeight="1">
      <c r="A435" s="57"/>
      <c r="B435" s="58"/>
      <c r="C435" s="58"/>
      <c r="D435" s="59"/>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36" customHeight="1">
      <c r="A436" s="596" t="s">
        <v>36</v>
      </c>
      <c r="B436" s="589"/>
      <c r="C436" s="589"/>
      <c r="D436" s="590"/>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6.75" customHeight="1">
      <c r="A437" s="55"/>
      <c r="B437" s="55"/>
      <c r="C437" s="55"/>
      <c r="D437" s="56"/>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48" customHeight="1">
      <c r="A438" s="596" t="s">
        <v>37</v>
      </c>
      <c r="B438" s="589"/>
      <c r="C438" s="589"/>
      <c r="D438" s="590"/>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6.75" customHeight="1">
      <c r="A439" s="55"/>
      <c r="B439" s="55"/>
      <c r="C439" s="55"/>
      <c r="D439" s="56"/>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24" customHeight="1">
      <c r="A440" s="596" t="s">
        <v>108</v>
      </c>
      <c r="B440" s="589"/>
      <c r="C440" s="589"/>
      <c r="D440" s="590"/>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6.75" customHeight="1">
      <c r="A441" s="55"/>
      <c r="B441" s="55"/>
      <c r="C441" s="55"/>
      <c r="D441" s="56"/>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36" customHeight="1">
      <c r="A442" s="596" t="s">
        <v>104</v>
      </c>
      <c r="B442" s="589"/>
      <c r="C442" s="589"/>
      <c r="D442" s="590"/>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6.75" customHeight="1">
      <c r="A443" s="55"/>
      <c r="B443" s="55"/>
      <c r="C443" s="55"/>
      <c r="D443" s="56"/>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 customHeight="1">
      <c r="A444" s="598" t="s">
        <v>40</v>
      </c>
      <c r="B444" s="589"/>
      <c r="C444" s="589"/>
      <c r="D444" s="590"/>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6.75" customHeight="1">
      <c r="A445" s="60"/>
      <c r="B445" s="61"/>
      <c r="C445" s="61"/>
      <c r="D445" s="62"/>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1.25" customHeight="1">
      <c r="A446" s="603" t="s">
        <v>41</v>
      </c>
      <c r="B446" s="590"/>
      <c r="C446" s="65" t="s">
        <v>42</v>
      </c>
      <c r="D446" s="98">
        <f>'Proposed Rates'!I378</f>
        <v>283</v>
      </c>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6.75" customHeight="1">
      <c r="A447" s="104"/>
      <c r="B447" s="89"/>
      <c r="C447" s="65"/>
      <c r="D447" s="29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8" customHeight="1">
      <c r="A448" s="105" t="s">
        <v>115</v>
      </c>
      <c r="B448" s="106"/>
      <c r="C448" s="106"/>
      <c r="D448" s="305"/>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1.25" customHeight="1">
      <c r="A449" s="603" t="s">
        <v>116</v>
      </c>
      <c r="B449" s="590"/>
      <c r="C449" s="107" t="s">
        <v>117</v>
      </c>
      <c r="D449" s="294">
        <v>-1</v>
      </c>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5.75" customHeight="1">
      <c r="A450" s="89"/>
      <c r="B450" s="64"/>
      <c r="C450" s="107"/>
      <c r="D450" s="7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21.75" customHeight="1">
      <c r="A451" s="588" t="str">
        <f>$A$1</f>
        <v>Hydro Ottawa Limited</v>
      </c>
      <c r="B451" s="589"/>
      <c r="C451" s="589"/>
      <c r="D451" s="590"/>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91" t="str">
        <f>$A$2</f>
        <v>PROPOSED - TARIFF OF RATES AND CHARGES</v>
      </c>
      <c r="B452" s="589"/>
      <c r="C452" s="589"/>
      <c r="D452" s="590"/>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 customHeight="1">
      <c r="A453" s="592" t="str">
        <f>$A$3</f>
        <v>Effective and Implementation Date January 1, 2029</v>
      </c>
      <c r="B453" s="589"/>
      <c r="C453" s="589"/>
      <c r="D453" s="590"/>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5" customHeight="1">
      <c r="A454" s="593" t="str">
        <f>$A$4</f>
        <v>This schedule supersedes and replaces all previously</v>
      </c>
      <c r="B454" s="589"/>
      <c r="C454" s="589"/>
      <c r="D454" s="590"/>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5" customHeight="1">
      <c r="A455" s="593" t="str">
        <f>$A$5</f>
        <v>approved schedules of Rates, Charges and Loss Factors</v>
      </c>
      <c r="B455" s="589"/>
      <c r="C455" s="589"/>
      <c r="D455" s="590"/>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9.75" customHeight="1">
      <c r="A456" s="594" t="str">
        <f>$A$6</f>
        <v>EB-2024-0115</v>
      </c>
      <c r="B456" s="589"/>
      <c r="C456" s="589"/>
      <c r="D456" s="590"/>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8" customHeight="1">
      <c r="A457" s="105" t="s">
        <v>118</v>
      </c>
      <c r="B457" s="106"/>
      <c r="C457" s="106"/>
      <c r="D457" s="77"/>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6.75" customHeight="1">
      <c r="A458" s="105"/>
      <c r="B458" s="106"/>
      <c r="C458" s="106"/>
      <c r="D458" s="77"/>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1.25" customHeight="1">
      <c r="A459" s="609" t="s">
        <v>35</v>
      </c>
      <c r="B459" s="589"/>
      <c r="C459" s="589"/>
      <c r="D459" s="590"/>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6.75" customHeight="1">
      <c r="A460" s="108"/>
      <c r="B460" s="55"/>
      <c r="C460" s="55"/>
      <c r="D460" s="56"/>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36" customHeight="1">
      <c r="A461" s="596" t="s">
        <v>36</v>
      </c>
      <c r="B461" s="589"/>
      <c r="C461" s="589"/>
      <c r="D461" s="590"/>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6.75" customHeight="1">
      <c r="A462" s="55"/>
      <c r="B462" s="55"/>
      <c r="C462" s="55"/>
      <c r="D462" s="56"/>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48" customHeight="1">
      <c r="A463" s="596" t="s">
        <v>119</v>
      </c>
      <c r="B463" s="589"/>
      <c r="C463" s="589"/>
      <c r="D463" s="590"/>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6.75" customHeight="1">
      <c r="A464" s="55"/>
      <c r="B464" s="55"/>
      <c r="C464" s="55"/>
      <c r="D464" s="56"/>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36" customHeight="1">
      <c r="A465" s="596" t="s">
        <v>39</v>
      </c>
      <c r="B465" s="589"/>
      <c r="C465" s="589"/>
      <c r="D465" s="590"/>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6.75" customHeight="1">
      <c r="A466" s="55"/>
      <c r="B466" s="55"/>
      <c r="C466" s="55"/>
      <c r="D466" s="56"/>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 customHeight="1">
      <c r="A467" s="109" t="s">
        <v>120</v>
      </c>
      <c r="B467" s="106"/>
      <c r="C467" s="106"/>
      <c r="D467" s="77"/>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2" customHeight="1">
      <c r="A468" s="63" t="s">
        <v>121</v>
      </c>
      <c r="B468" s="63"/>
      <c r="C468" s="65" t="s">
        <v>42</v>
      </c>
      <c r="D468" s="110">
        <f>'Proposed Rates'!I326</f>
        <v>0</v>
      </c>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2" customHeight="1">
      <c r="A469" s="65" t="s">
        <v>122</v>
      </c>
      <c r="B469" s="65"/>
      <c r="C469" s="65" t="s">
        <v>42</v>
      </c>
      <c r="D469" s="110">
        <f>'Proposed Rates'!I327</f>
        <v>30</v>
      </c>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2" customHeight="1">
      <c r="A470" s="63" t="s">
        <v>123</v>
      </c>
      <c r="B470" s="63"/>
      <c r="C470" s="65" t="s">
        <v>42</v>
      </c>
      <c r="D470" s="110">
        <f>'Proposed Rates'!I328</f>
        <v>7</v>
      </c>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2" customHeight="1">
      <c r="A471" s="63" t="s">
        <v>124</v>
      </c>
      <c r="B471" s="63"/>
      <c r="C471" s="65" t="s">
        <v>42</v>
      </c>
      <c r="D471" s="110">
        <f>'Proposed Rates'!I329</f>
        <v>151</v>
      </c>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2" customHeight="1">
      <c r="A472" s="63" t="s">
        <v>125</v>
      </c>
      <c r="B472" s="63"/>
      <c r="C472" s="65" t="s">
        <v>42</v>
      </c>
      <c r="D472" s="110">
        <f>'Proposed Rates'!I330</f>
        <v>20</v>
      </c>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2" customHeight="1">
      <c r="A473" s="63" t="s">
        <v>126</v>
      </c>
      <c r="B473" s="63"/>
      <c r="C473" s="65" t="s">
        <v>42</v>
      </c>
      <c r="D473" s="110">
        <f>'Proposed Rates'!I331</f>
        <v>25</v>
      </c>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2" customHeight="1">
      <c r="A474" s="63" t="s">
        <v>127</v>
      </c>
      <c r="B474" s="63"/>
      <c r="C474" s="65" t="s">
        <v>42</v>
      </c>
      <c r="D474" s="110">
        <f>'Proposed Rates'!I332</f>
        <v>10</v>
      </c>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2" customHeight="1">
      <c r="A475" s="63" t="s">
        <v>128</v>
      </c>
      <c r="B475" s="63"/>
      <c r="C475" s="65" t="s">
        <v>42</v>
      </c>
      <c r="D475" s="110">
        <f>'Proposed Rates'!I335</f>
        <v>390</v>
      </c>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2" customHeight="1">
      <c r="A476" s="63" t="s">
        <v>129</v>
      </c>
      <c r="B476" s="63"/>
      <c r="C476" s="65" t="s">
        <v>42</v>
      </c>
      <c r="D476" s="110">
        <f>'Proposed Rates'!I336</f>
        <v>342</v>
      </c>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6.75" customHeight="1">
      <c r="A477" s="65"/>
      <c r="B477" s="65"/>
      <c r="C477" s="65"/>
      <c r="D477" s="7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 customHeight="1">
      <c r="A478" s="109" t="s">
        <v>130</v>
      </c>
      <c r="B478" s="109"/>
      <c r="C478" s="95"/>
      <c r="D478" s="97"/>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12" customHeight="1">
      <c r="A479" s="63" t="s">
        <v>131</v>
      </c>
      <c r="B479" s="63"/>
      <c r="C479" s="65" t="s">
        <v>117</v>
      </c>
      <c r="D479" s="111">
        <f>'Proposed Rates'!I339</f>
        <v>1.4999999999999999E-2</v>
      </c>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2" customHeight="1">
      <c r="A480" s="63" t="s">
        <v>132</v>
      </c>
      <c r="B480" s="63"/>
      <c r="C480" s="65" t="s">
        <v>42</v>
      </c>
      <c r="D480" s="110">
        <f>'Proposed Rates'!I340</f>
        <v>74</v>
      </c>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2" customHeight="1">
      <c r="A481" s="63" t="s">
        <v>133</v>
      </c>
      <c r="B481" s="63"/>
      <c r="C481" s="65" t="s">
        <v>42</v>
      </c>
      <c r="D481" s="110">
        <f>'Proposed Rates'!I341</f>
        <v>100</v>
      </c>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2" customHeight="1">
      <c r="A482" s="63" t="s">
        <v>134</v>
      </c>
      <c r="B482" s="63"/>
      <c r="C482" s="65" t="s">
        <v>42</v>
      </c>
      <c r="D482" s="110">
        <f>'Proposed Rates'!I342</f>
        <v>338</v>
      </c>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2" customHeight="1">
      <c r="A483" s="63" t="s">
        <v>135</v>
      </c>
      <c r="B483" s="63"/>
      <c r="C483" s="65" t="s">
        <v>42</v>
      </c>
      <c r="D483" s="110">
        <f>'Proposed Rates'!I343</f>
        <v>510</v>
      </c>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6.75" customHeight="1">
      <c r="A484" s="65"/>
      <c r="B484" s="65"/>
      <c r="C484" s="65"/>
      <c r="D484" s="7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 customHeight="1">
      <c r="A485" s="109" t="s">
        <v>136</v>
      </c>
      <c r="B485" s="109"/>
      <c r="C485" s="95"/>
      <c r="D485" s="7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2" customHeight="1">
      <c r="A486" s="63" t="s">
        <v>137</v>
      </c>
      <c r="B486" s="63"/>
      <c r="C486" s="65" t="s">
        <v>42</v>
      </c>
      <c r="D486" s="110">
        <f>'Proposed Rates'!I346</f>
        <v>1148</v>
      </c>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2" customHeight="1">
      <c r="A487" s="63" t="s">
        <v>138</v>
      </c>
      <c r="B487" s="63"/>
      <c r="C487" s="65" t="s">
        <v>42</v>
      </c>
      <c r="D487" s="110">
        <f>'Proposed Rates'!I347</f>
        <v>1514</v>
      </c>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2" customHeight="1">
      <c r="A488" s="63" t="s">
        <v>139</v>
      </c>
      <c r="B488" s="63"/>
      <c r="C488" s="65" t="s">
        <v>42</v>
      </c>
      <c r="D488" s="110">
        <f>'Proposed Rates'!I348</f>
        <v>5333</v>
      </c>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2" customHeight="1">
      <c r="A489" s="63" t="s">
        <v>140</v>
      </c>
      <c r="B489" s="63"/>
      <c r="C489" s="65" t="s">
        <v>42</v>
      </c>
      <c r="D489" s="103">
        <f>'Proposed Rates'!I349</f>
        <v>40.590000000000003</v>
      </c>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2" customHeight="1">
      <c r="A490" s="63" t="s">
        <v>141</v>
      </c>
      <c r="B490" s="63"/>
      <c r="C490" s="65"/>
      <c r="D490" s="74" t="str">
        <f>'Proposed Rates'!I350</f>
        <v>Per Attached Table</v>
      </c>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2" customHeight="1">
      <c r="A491" s="63" t="s">
        <v>142</v>
      </c>
      <c r="B491" s="63"/>
      <c r="C491" s="65" t="s">
        <v>42</v>
      </c>
      <c r="D491" s="110">
        <f>'Proposed Rates'!I351</f>
        <v>176</v>
      </c>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6.75" customHeight="1">
      <c r="A492" s="603"/>
      <c r="B492" s="590"/>
      <c r="C492" s="65"/>
      <c r="D492" s="7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21.75" customHeight="1">
      <c r="A493" s="588" t="str">
        <f>$A$1</f>
        <v>Hydro Ottawa Limited</v>
      </c>
      <c r="B493" s="589"/>
      <c r="C493" s="589"/>
      <c r="D493" s="590"/>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75" customHeight="1">
      <c r="A494" s="591" t="str">
        <f>$A$2</f>
        <v>PROPOSED - TARIFF OF RATES AND CHARGES</v>
      </c>
      <c r="B494" s="589"/>
      <c r="C494" s="589"/>
      <c r="D494" s="590"/>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 customHeight="1">
      <c r="A495" s="592" t="str">
        <f>$A$3</f>
        <v>Effective and Implementation Date January 1, 2029</v>
      </c>
      <c r="B495" s="589"/>
      <c r="C495" s="589"/>
      <c r="D495" s="590"/>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5" customHeight="1">
      <c r="A496" s="593" t="str">
        <f>$A$4</f>
        <v>This schedule supersedes and replaces all previously</v>
      </c>
      <c r="B496" s="589"/>
      <c r="C496" s="589"/>
      <c r="D496" s="590"/>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5" customHeight="1">
      <c r="A497" s="593" t="str">
        <f>$A$5</f>
        <v>approved schedules of Rates, Charges and Loss Factors</v>
      </c>
      <c r="B497" s="589"/>
      <c r="C497" s="589"/>
      <c r="D497" s="590"/>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9.75" customHeight="1">
      <c r="A498" s="594" t="str">
        <f>$A$6</f>
        <v>EB-2024-0115</v>
      </c>
      <c r="B498" s="589"/>
      <c r="C498" s="589"/>
      <c r="D498" s="590"/>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8" customHeight="1">
      <c r="A499" s="105" t="s">
        <v>143</v>
      </c>
      <c r="B499" s="106"/>
      <c r="C499" s="106"/>
      <c r="D499" s="77"/>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6.75" customHeight="1">
      <c r="A500" s="105"/>
      <c r="B500" s="106"/>
      <c r="C500" s="106"/>
      <c r="D500" s="77"/>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36" customHeight="1">
      <c r="A501" s="596" t="s">
        <v>144</v>
      </c>
      <c r="B501" s="589"/>
      <c r="C501" s="589"/>
      <c r="D501" s="590"/>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6.75" customHeight="1">
      <c r="A502" s="55"/>
      <c r="B502" s="55"/>
      <c r="C502" s="55"/>
      <c r="D502" s="56"/>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48" customHeight="1">
      <c r="A503" s="596" t="s">
        <v>37</v>
      </c>
      <c r="B503" s="589"/>
      <c r="C503" s="589"/>
      <c r="D503" s="590"/>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6.75" customHeight="1">
      <c r="A504" s="55"/>
      <c r="B504" s="55"/>
      <c r="C504" s="55"/>
      <c r="D504" s="56"/>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24" customHeight="1">
      <c r="A505" s="596" t="s">
        <v>88</v>
      </c>
      <c r="B505" s="589"/>
      <c r="C505" s="589"/>
      <c r="D505" s="590"/>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6.75" customHeight="1">
      <c r="A506" s="55"/>
      <c r="B506" s="55"/>
      <c r="C506" s="55"/>
      <c r="D506" s="56"/>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36" customHeight="1">
      <c r="A507" s="596" t="s">
        <v>39</v>
      </c>
      <c r="B507" s="589"/>
      <c r="C507" s="589"/>
      <c r="D507" s="590"/>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6.75" customHeight="1">
      <c r="A508" s="55"/>
      <c r="B508" s="55"/>
      <c r="C508" s="55"/>
      <c r="D508" s="56"/>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15.75" customHeight="1">
      <c r="A509" s="596" t="s">
        <v>145</v>
      </c>
      <c r="B509" s="589"/>
      <c r="C509" s="589"/>
      <c r="D509" s="590"/>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6" customHeight="1">
      <c r="A510" s="55"/>
      <c r="B510" s="64"/>
      <c r="C510" s="64"/>
      <c r="D510" s="64"/>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1.25" customHeight="1">
      <c r="A511" s="63" t="s">
        <v>146</v>
      </c>
      <c r="B511" s="64"/>
      <c r="C511" s="112" t="s">
        <v>42</v>
      </c>
      <c r="D511" s="308">
        <f>'Proposed Rates'!I354</f>
        <v>125.72</v>
      </c>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1.25" customHeight="1">
      <c r="A512" s="63" t="s">
        <v>147</v>
      </c>
      <c r="B512" s="64"/>
      <c r="C512" s="112" t="s">
        <v>42</v>
      </c>
      <c r="D512" s="308">
        <f>'Proposed Rates'!I355</f>
        <v>50.29</v>
      </c>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1.25" customHeight="1">
      <c r="A513" s="63" t="s">
        <v>148</v>
      </c>
      <c r="B513" s="64"/>
      <c r="C513" s="112" t="s">
        <v>149</v>
      </c>
      <c r="D513" s="308">
        <f>'Proposed Rates'!I356</f>
        <v>1.24</v>
      </c>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1.25" customHeight="1">
      <c r="A514" s="63" t="s">
        <v>150</v>
      </c>
      <c r="B514" s="64"/>
      <c r="C514" s="112" t="s">
        <v>149</v>
      </c>
      <c r="D514" s="308">
        <f>'Proposed Rates'!I357</f>
        <v>0.74</v>
      </c>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1.25" customHeight="1">
      <c r="A515" s="63" t="s">
        <v>151</v>
      </c>
      <c r="B515" s="64"/>
      <c r="C515" s="112" t="s">
        <v>149</v>
      </c>
      <c r="D515" s="308">
        <f>'Proposed Rates'!I358</f>
        <v>-0.74</v>
      </c>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1.25" customHeight="1">
      <c r="A516" s="63" t="s">
        <v>152</v>
      </c>
      <c r="B516" s="64"/>
      <c r="C516" s="63"/>
      <c r="D516" s="308"/>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1.25" customHeight="1">
      <c r="A517" s="63" t="s">
        <v>153</v>
      </c>
      <c r="B517" s="64"/>
      <c r="C517" s="112" t="s">
        <v>42</v>
      </c>
      <c r="D517" s="308">
        <f>'Proposed Rates'!I360</f>
        <v>0.63</v>
      </c>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1.25" customHeight="1">
      <c r="A518" s="63" t="s">
        <v>154</v>
      </c>
      <c r="B518" s="64"/>
      <c r="C518" s="112" t="s">
        <v>42</v>
      </c>
      <c r="D518" s="308">
        <f>'Proposed Rates'!I361</f>
        <v>1.24</v>
      </c>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3.75" customHeight="1">
      <c r="A519" s="63"/>
      <c r="B519" s="64"/>
      <c r="C519" s="112"/>
      <c r="D519" s="308"/>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1.25" customHeight="1">
      <c r="A520" s="63" t="s">
        <v>155</v>
      </c>
      <c r="B520" s="64"/>
      <c r="C520" s="115"/>
      <c r="D520" s="308"/>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1.25" customHeight="1">
      <c r="A521" s="63" t="s">
        <v>156</v>
      </c>
      <c r="B521" s="64"/>
      <c r="C521" s="115"/>
      <c r="D521" s="308"/>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1.25" customHeight="1">
      <c r="A522" s="63" t="s">
        <v>157</v>
      </c>
      <c r="B522" s="64"/>
      <c r="C522" s="115"/>
      <c r="D522" s="308"/>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1.25" customHeight="1">
      <c r="A523" s="63" t="s">
        <v>158</v>
      </c>
      <c r="B523" s="64"/>
      <c r="C523" s="112" t="s">
        <v>42</v>
      </c>
      <c r="D523" s="308" t="str">
        <f>'Proposed Rates'!I365</f>
        <v>no charge</v>
      </c>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1.25" customHeight="1">
      <c r="A524" s="63" t="s">
        <v>159</v>
      </c>
      <c r="B524" s="64"/>
      <c r="C524" s="112" t="s">
        <v>42</v>
      </c>
      <c r="D524" s="308">
        <f>'Proposed Rates'!I366</f>
        <v>5.03</v>
      </c>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4.5" customHeight="1">
      <c r="A525" s="63"/>
      <c r="B525" s="64"/>
      <c r="C525" s="112"/>
      <c r="D525" s="308"/>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1.25" customHeight="1">
      <c r="A526" s="63" t="s">
        <v>160</v>
      </c>
      <c r="B526" s="64"/>
      <c r="C526" s="115"/>
      <c r="D526" s="308"/>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1.25" customHeight="1">
      <c r="A527" s="63" t="s">
        <v>161</v>
      </c>
      <c r="B527" s="64"/>
      <c r="C527" s="112" t="s">
        <v>42</v>
      </c>
      <c r="D527" s="308">
        <f>'Proposed Rates'!I368</f>
        <v>2.5099999999999998</v>
      </c>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6.75" customHeight="1">
      <c r="A528" s="73"/>
      <c r="B528" s="73"/>
      <c r="C528" s="112"/>
      <c r="D528" s="97"/>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21.75" customHeight="1">
      <c r="A529" s="588" t="str">
        <f>$A$1</f>
        <v>Hydro Ottawa Limited</v>
      </c>
      <c r="B529" s="589"/>
      <c r="C529" s="589"/>
      <c r="D529" s="590"/>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91" t="str">
        <f>$A$2</f>
        <v>PROPOSED - TARIFF OF RATES AND CHARGES</v>
      </c>
      <c r="B530" s="589"/>
      <c r="C530" s="589"/>
      <c r="D530" s="590"/>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 customHeight="1">
      <c r="A531" s="592" t="str">
        <f>$A$3</f>
        <v>Effective and Implementation Date January 1, 2029</v>
      </c>
      <c r="B531" s="589"/>
      <c r="C531" s="589"/>
      <c r="D531" s="590"/>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5" customHeight="1">
      <c r="A532" s="593" t="str">
        <f>$A$4</f>
        <v>This schedule supersedes and replaces all previously</v>
      </c>
      <c r="B532" s="589"/>
      <c r="C532" s="589"/>
      <c r="D532" s="590"/>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5" customHeight="1">
      <c r="A533" s="593" t="str">
        <f>$A$5</f>
        <v>approved schedules of Rates, Charges and Loss Factors</v>
      </c>
      <c r="B533" s="589"/>
      <c r="C533" s="589"/>
      <c r="D533" s="590"/>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9.75" customHeight="1">
      <c r="A534" s="594" t="str">
        <f>$A$6</f>
        <v>EB-2024-0115</v>
      </c>
      <c r="B534" s="589"/>
      <c r="C534" s="589"/>
      <c r="D534" s="590"/>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 customHeight="1">
      <c r="A535" s="116" t="s">
        <v>162</v>
      </c>
      <c r="B535" s="116"/>
      <c r="C535" s="117"/>
      <c r="D535" s="118"/>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6.75" customHeight="1">
      <c r="A536" s="116"/>
      <c r="B536" s="116"/>
      <c r="C536" s="117"/>
      <c r="D536" s="118"/>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22.5" customHeight="1">
      <c r="A537" s="610" t="s">
        <v>163</v>
      </c>
      <c r="B537" s="589"/>
      <c r="C537" s="589"/>
      <c r="D537" s="590"/>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1.25" customHeight="1">
      <c r="A538" s="603" t="s">
        <v>164</v>
      </c>
      <c r="B538" s="589"/>
      <c r="C538" s="590"/>
      <c r="D538" s="294">
        <f>'Proposed Rates'!I319</f>
        <v>1.0331999999999999</v>
      </c>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1.25" customHeight="1">
      <c r="A539" s="603" t="s">
        <v>165</v>
      </c>
      <c r="B539" s="589"/>
      <c r="C539" s="590"/>
      <c r="D539" s="291">
        <f>'Proposed Rates'!I320</f>
        <v>1.0149999999999999</v>
      </c>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1.25" customHeight="1">
      <c r="A540" s="603" t="s">
        <v>166</v>
      </c>
      <c r="B540" s="589"/>
      <c r="C540" s="590"/>
      <c r="D540" s="294">
        <f>'Proposed Rates'!I321</f>
        <v>1.0227999999999999</v>
      </c>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1.25" customHeight="1">
      <c r="A541" s="603" t="s">
        <v>167</v>
      </c>
      <c r="B541" s="589"/>
      <c r="C541" s="590"/>
      <c r="D541" s="294">
        <f>'Proposed Rates'!I322</f>
        <v>1.0047999999999999</v>
      </c>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27.5" customHeight="1">
      <c r="A542" s="54"/>
      <c r="B542" s="54"/>
      <c r="C542" s="54"/>
      <c r="D542" s="119"/>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27.5" customHeight="1">
      <c r="A543" s="54"/>
      <c r="B543" s="54"/>
      <c r="C543" s="54"/>
      <c r="D543" s="119"/>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27.5" customHeight="1">
      <c r="A544" s="54"/>
      <c r="B544" s="54"/>
      <c r="C544" s="54"/>
      <c r="D544" s="119"/>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27.5" customHeight="1">
      <c r="A545" s="54"/>
      <c r="B545" s="54"/>
      <c r="C545" s="54"/>
      <c r="D545" s="119"/>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27.5" customHeight="1">
      <c r="A546" s="54"/>
      <c r="B546" s="54"/>
      <c r="C546" s="54"/>
      <c r="D546" s="119"/>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27.5" customHeight="1">
      <c r="A547" s="54"/>
      <c r="B547" s="54"/>
      <c r="C547" s="54"/>
      <c r="D547" s="119"/>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27.5" customHeight="1">
      <c r="A548" s="54"/>
      <c r="B548" s="54"/>
      <c r="C548" s="54"/>
      <c r="D548" s="119"/>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27.5" customHeight="1">
      <c r="A549" s="54"/>
      <c r="B549" s="54"/>
      <c r="C549" s="54"/>
      <c r="D549" s="119"/>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27.5" customHeight="1">
      <c r="A550" s="54"/>
      <c r="B550" s="54"/>
      <c r="C550" s="54"/>
      <c r="D550" s="119"/>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27.5" customHeight="1">
      <c r="A551" s="54"/>
      <c r="B551" s="54"/>
      <c r="C551" s="54"/>
      <c r="D551" s="119"/>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27.5" customHeight="1">
      <c r="A552" s="54"/>
      <c r="B552" s="54"/>
      <c r="C552" s="54"/>
      <c r="D552" s="119"/>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27.5" customHeight="1">
      <c r="A553" s="54"/>
      <c r="B553" s="54"/>
      <c r="C553" s="54"/>
      <c r="D553" s="119"/>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27.5" customHeight="1">
      <c r="A554" s="54"/>
      <c r="B554" s="54"/>
      <c r="C554" s="54"/>
      <c r="D554" s="119"/>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27.5" customHeight="1">
      <c r="A555" s="54"/>
      <c r="B555" s="54"/>
      <c r="C555" s="54"/>
      <c r="D555" s="119"/>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27.5" customHeight="1">
      <c r="A556" s="54"/>
      <c r="B556" s="54"/>
      <c r="C556" s="54"/>
      <c r="D556" s="119"/>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27.5" customHeight="1">
      <c r="A557" s="54"/>
      <c r="B557" s="54"/>
      <c r="C557" s="54"/>
      <c r="D557" s="119"/>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27.5" customHeight="1">
      <c r="A558" s="54"/>
      <c r="B558" s="54"/>
      <c r="C558" s="54"/>
      <c r="D558" s="119"/>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27.5" customHeight="1">
      <c r="A559" s="54"/>
      <c r="B559" s="54"/>
      <c r="C559" s="54"/>
      <c r="D559" s="119"/>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27.5" customHeight="1">
      <c r="A560" s="54"/>
      <c r="B560" s="54"/>
      <c r="C560" s="54"/>
      <c r="D560" s="119"/>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27.5" customHeight="1">
      <c r="A561" s="54"/>
      <c r="B561" s="54"/>
      <c r="C561" s="54"/>
      <c r="D561" s="119"/>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27.5" customHeight="1">
      <c r="A562" s="54"/>
      <c r="B562" s="54"/>
      <c r="C562" s="54"/>
      <c r="D562" s="119"/>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27.5" customHeight="1">
      <c r="A563" s="54"/>
      <c r="B563" s="54"/>
      <c r="C563" s="54"/>
      <c r="D563" s="119"/>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27.5" customHeight="1">
      <c r="A564" s="54"/>
      <c r="B564" s="54"/>
      <c r="C564" s="54"/>
      <c r="D564" s="119"/>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27.5" customHeight="1">
      <c r="A565" s="54"/>
      <c r="B565" s="54"/>
      <c r="C565" s="54"/>
      <c r="D565" s="119"/>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27.5" customHeight="1">
      <c r="A566" s="54"/>
      <c r="B566" s="54"/>
      <c r="C566" s="54"/>
      <c r="D566" s="119"/>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27.5" customHeight="1">
      <c r="A567" s="54"/>
      <c r="B567" s="54"/>
      <c r="C567" s="54"/>
      <c r="D567" s="119"/>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27.5" customHeight="1">
      <c r="A568" s="54"/>
      <c r="B568" s="54"/>
      <c r="C568" s="54"/>
      <c r="D568" s="119"/>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27.5" customHeight="1">
      <c r="A569" s="54"/>
      <c r="B569" s="54"/>
      <c r="C569" s="54"/>
      <c r="D569" s="119"/>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27.5" customHeight="1">
      <c r="A570" s="54"/>
      <c r="B570" s="54"/>
      <c r="C570" s="54"/>
      <c r="D570" s="119"/>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27.5" customHeight="1">
      <c r="A571" s="54"/>
      <c r="B571" s="54"/>
      <c r="C571" s="54"/>
      <c r="D571" s="119"/>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27.5" customHeight="1">
      <c r="A572" s="54"/>
      <c r="B572" s="54"/>
      <c r="C572" s="54"/>
      <c r="D572" s="119"/>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27.5" customHeight="1">
      <c r="A573" s="54"/>
      <c r="B573" s="54"/>
      <c r="C573" s="54"/>
      <c r="D573" s="119"/>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27.5" customHeight="1">
      <c r="A574" s="54"/>
      <c r="B574" s="54"/>
      <c r="C574" s="54"/>
      <c r="D574" s="119"/>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27.5" customHeight="1">
      <c r="A575" s="54"/>
      <c r="B575" s="54"/>
      <c r="C575" s="54"/>
      <c r="D575" s="119"/>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27.5" customHeight="1">
      <c r="A576" s="54"/>
      <c r="B576" s="54"/>
      <c r="C576" s="54"/>
      <c r="D576" s="119"/>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27.5" customHeight="1">
      <c r="A577" s="54"/>
      <c r="B577" s="54"/>
      <c r="C577" s="54"/>
      <c r="D577" s="119"/>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27.5" customHeight="1">
      <c r="A578" s="54"/>
      <c r="B578" s="54"/>
      <c r="C578" s="54"/>
      <c r="D578" s="119"/>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27.5" customHeight="1">
      <c r="A579" s="54"/>
      <c r="B579" s="54"/>
      <c r="C579" s="54"/>
      <c r="D579" s="119"/>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27.5" customHeight="1">
      <c r="A580" s="54"/>
      <c r="B580" s="54"/>
      <c r="C580" s="54"/>
      <c r="D580" s="119"/>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27.5" customHeight="1">
      <c r="A581" s="54"/>
      <c r="B581" s="54"/>
      <c r="C581" s="54"/>
      <c r="D581" s="119"/>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27.5" customHeight="1">
      <c r="A582" s="54"/>
      <c r="B582" s="54"/>
      <c r="C582" s="54"/>
      <c r="D582" s="119"/>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27.5" customHeight="1">
      <c r="A583" s="54"/>
      <c r="B583" s="54"/>
      <c r="C583" s="54"/>
      <c r="D583" s="119"/>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27.5" customHeight="1">
      <c r="A584" s="54"/>
      <c r="B584" s="54"/>
      <c r="C584" s="54"/>
      <c r="D584" s="119"/>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27.5" customHeight="1">
      <c r="A585" s="54"/>
      <c r="B585" s="54"/>
      <c r="C585" s="54"/>
      <c r="D585" s="119"/>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27.5" customHeight="1">
      <c r="A586" s="54"/>
      <c r="B586" s="54"/>
      <c r="C586" s="54"/>
      <c r="D586" s="119"/>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27.5" customHeight="1">
      <c r="A587" s="54"/>
      <c r="B587" s="54"/>
      <c r="C587" s="54"/>
      <c r="D587" s="119"/>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27.5" customHeight="1">
      <c r="A588" s="54"/>
      <c r="B588" s="54"/>
      <c r="C588" s="54"/>
      <c r="D588" s="119"/>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27.5" customHeight="1">
      <c r="A589" s="54"/>
      <c r="B589" s="54"/>
      <c r="C589" s="54"/>
      <c r="D589" s="119"/>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27.5" customHeight="1">
      <c r="A590" s="54"/>
      <c r="B590" s="54"/>
      <c r="C590" s="54"/>
      <c r="D590" s="119"/>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27.5" customHeight="1">
      <c r="A591" s="54"/>
      <c r="B591" s="54"/>
      <c r="C591" s="54"/>
      <c r="D591" s="119"/>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27.5" customHeight="1">
      <c r="A592" s="54"/>
      <c r="B592" s="54"/>
      <c r="C592" s="54"/>
      <c r="D592" s="119"/>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27.5" customHeight="1">
      <c r="A593" s="54"/>
      <c r="B593" s="54"/>
      <c r="C593" s="54"/>
      <c r="D593" s="119"/>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27.5" customHeight="1">
      <c r="A594" s="54"/>
      <c r="B594" s="54"/>
      <c r="C594" s="54"/>
      <c r="D594" s="119"/>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27.5" customHeight="1">
      <c r="A595" s="54"/>
      <c r="B595" s="54"/>
      <c r="C595" s="54"/>
      <c r="D595" s="119"/>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27.5" customHeight="1">
      <c r="A596" s="54"/>
      <c r="B596" s="54"/>
      <c r="C596" s="54"/>
      <c r="D596" s="119"/>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27.5" customHeight="1">
      <c r="A597" s="54"/>
      <c r="B597" s="54"/>
      <c r="C597" s="54"/>
      <c r="D597" s="119"/>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27.5" customHeight="1">
      <c r="A598" s="54"/>
      <c r="B598" s="54"/>
      <c r="C598" s="54"/>
      <c r="D598" s="119"/>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27.5" customHeight="1">
      <c r="A599" s="54"/>
      <c r="B599" s="54"/>
      <c r="C599" s="54"/>
      <c r="D599" s="119"/>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27.5" customHeight="1">
      <c r="A600" s="54"/>
      <c r="B600" s="54"/>
      <c r="C600" s="54"/>
      <c r="D600" s="119"/>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27.5" customHeight="1">
      <c r="A601" s="54"/>
      <c r="B601" s="54"/>
      <c r="C601" s="54"/>
      <c r="D601" s="119"/>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27.5" customHeight="1">
      <c r="A602" s="54"/>
      <c r="B602" s="54"/>
      <c r="C602" s="54"/>
      <c r="D602" s="119"/>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27.5" customHeight="1">
      <c r="A603" s="54"/>
      <c r="B603" s="54"/>
      <c r="C603" s="54"/>
      <c r="D603" s="119"/>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27.5" customHeight="1">
      <c r="A604" s="54"/>
      <c r="B604" s="54"/>
      <c r="C604" s="54"/>
      <c r="D604" s="119"/>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27.5" customHeight="1">
      <c r="A605" s="54"/>
      <c r="B605" s="54"/>
      <c r="C605" s="54"/>
      <c r="D605" s="119"/>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27.5" customHeight="1">
      <c r="A606" s="54"/>
      <c r="B606" s="54"/>
      <c r="C606" s="54"/>
      <c r="D606" s="119"/>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27.5" customHeight="1">
      <c r="A607" s="54"/>
      <c r="B607" s="54"/>
      <c r="C607" s="54"/>
      <c r="D607" s="119"/>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27.5" customHeight="1">
      <c r="A608" s="54"/>
      <c r="B608" s="54"/>
      <c r="C608" s="54"/>
      <c r="D608" s="119"/>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27.5" customHeight="1">
      <c r="A609" s="54"/>
      <c r="B609" s="54"/>
      <c r="C609" s="54"/>
      <c r="D609" s="119"/>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27.5" customHeight="1">
      <c r="A610" s="54"/>
      <c r="B610" s="54"/>
      <c r="C610" s="54"/>
      <c r="D610" s="119"/>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27.5" customHeight="1">
      <c r="A611" s="54"/>
      <c r="B611" s="54"/>
      <c r="C611" s="54"/>
      <c r="D611" s="119"/>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27.5" customHeight="1">
      <c r="A612" s="54"/>
      <c r="B612" s="54"/>
      <c r="C612" s="54"/>
      <c r="D612" s="119"/>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27.5" customHeight="1">
      <c r="A613" s="54"/>
      <c r="B613" s="54"/>
      <c r="C613" s="54"/>
      <c r="D613" s="119"/>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27.5" customHeight="1">
      <c r="A614" s="54"/>
      <c r="B614" s="54"/>
      <c r="C614" s="54"/>
      <c r="D614" s="119"/>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27.5" customHeight="1">
      <c r="A615" s="54"/>
      <c r="B615" s="54"/>
      <c r="C615" s="54"/>
      <c r="D615" s="119"/>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27.5" customHeight="1">
      <c r="A616" s="54"/>
      <c r="B616" s="54"/>
      <c r="C616" s="54"/>
      <c r="D616" s="119"/>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27.5" customHeight="1">
      <c r="A617" s="54"/>
      <c r="B617" s="54"/>
      <c r="C617" s="54"/>
      <c r="D617" s="119"/>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27.5" customHeight="1">
      <c r="A618" s="54"/>
      <c r="B618" s="54"/>
      <c r="C618" s="54"/>
      <c r="D618" s="119"/>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27.5" customHeight="1">
      <c r="A619" s="54"/>
      <c r="B619" s="54"/>
      <c r="C619" s="54"/>
      <c r="D619" s="119"/>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27.5" customHeight="1">
      <c r="A620" s="54"/>
      <c r="B620" s="54"/>
      <c r="C620" s="54"/>
      <c r="D620" s="119"/>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27.5" customHeight="1">
      <c r="A621" s="54"/>
      <c r="B621" s="54"/>
      <c r="C621" s="54"/>
      <c r="D621" s="119"/>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27.5" customHeight="1">
      <c r="A622" s="54"/>
      <c r="B622" s="54"/>
      <c r="C622" s="54"/>
      <c r="D622" s="119"/>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27.5" customHeight="1">
      <c r="A623" s="54"/>
      <c r="B623" s="54"/>
      <c r="C623" s="54"/>
      <c r="D623" s="119"/>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27.5" customHeight="1">
      <c r="A624" s="54"/>
      <c r="B624" s="54"/>
      <c r="C624" s="54"/>
      <c r="D624" s="119"/>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27.5" customHeight="1">
      <c r="A625" s="54"/>
      <c r="B625" s="54"/>
      <c r="C625" s="54"/>
      <c r="D625" s="119"/>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27.5" customHeight="1">
      <c r="A626" s="54"/>
      <c r="B626" s="54"/>
      <c r="C626" s="54"/>
      <c r="D626" s="119"/>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27.5" customHeight="1">
      <c r="A627" s="54"/>
      <c r="B627" s="54"/>
      <c r="C627" s="54"/>
      <c r="D627" s="119"/>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27.5" customHeight="1">
      <c r="A628" s="54"/>
      <c r="B628" s="54"/>
      <c r="C628" s="54"/>
      <c r="D628" s="119"/>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27.5" customHeight="1">
      <c r="A629" s="54"/>
      <c r="B629" s="54"/>
      <c r="C629" s="54"/>
      <c r="D629" s="119"/>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27.5" customHeight="1">
      <c r="A630" s="54"/>
      <c r="B630" s="54"/>
      <c r="C630" s="54"/>
      <c r="D630" s="119"/>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27.5" customHeight="1">
      <c r="A631" s="54"/>
      <c r="B631" s="54"/>
      <c r="C631" s="54"/>
      <c r="D631" s="119"/>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27.5" customHeight="1">
      <c r="A632" s="54"/>
      <c r="B632" s="54"/>
      <c r="C632" s="54"/>
      <c r="D632" s="119"/>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27.5" customHeight="1">
      <c r="A633" s="54"/>
      <c r="B633" s="54"/>
      <c r="C633" s="54"/>
      <c r="D633" s="119"/>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27.5" customHeight="1">
      <c r="A634" s="54"/>
      <c r="B634" s="54"/>
      <c r="C634" s="54"/>
      <c r="D634" s="119"/>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27.5" customHeight="1">
      <c r="A635" s="54"/>
      <c r="B635" s="54"/>
      <c r="C635" s="54"/>
      <c r="D635" s="119"/>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27.5" customHeight="1">
      <c r="A636" s="54"/>
      <c r="B636" s="54"/>
      <c r="C636" s="54"/>
      <c r="D636" s="119"/>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27.5" customHeight="1">
      <c r="A637" s="54"/>
      <c r="B637" s="54"/>
      <c r="C637" s="54"/>
      <c r="D637" s="119"/>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27.5" customHeight="1">
      <c r="A638" s="54"/>
      <c r="B638" s="54"/>
      <c r="C638" s="54"/>
      <c r="D638" s="119"/>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27.5" customHeight="1">
      <c r="A639" s="54"/>
      <c r="B639" s="54"/>
      <c r="C639" s="54"/>
      <c r="D639" s="119"/>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27.5" customHeight="1">
      <c r="A640" s="54"/>
      <c r="B640" s="54"/>
      <c r="C640" s="54"/>
      <c r="D640" s="119"/>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27.5" customHeight="1">
      <c r="A641" s="54"/>
      <c r="B641" s="54"/>
      <c r="C641" s="54"/>
      <c r="D641" s="119"/>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27.5" customHeight="1">
      <c r="A642" s="54"/>
      <c r="B642" s="54"/>
      <c r="C642" s="54"/>
      <c r="D642" s="119"/>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27.5" customHeight="1">
      <c r="A643" s="54"/>
      <c r="B643" s="54"/>
      <c r="C643" s="54"/>
      <c r="D643" s="119"/>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27.5" customHeight="1">
      <c r="A644" s="54"/>
      <c r="B644" s="54"/>
      <c r="C644" s="54"/>
      <c r="D644" s="119"/>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27.5" customHeight="1">
      <c r="A645" s="54"/>
      <c r="B645" s="54"/>
      <c r="C645" s="54"/>
      <c r="D645" s="119"/>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27.5" customHeight="1">
      <c r="A646" s="54"/>
      <c r="B646" s="54"/>
      <c r="C646" s="54"/>
      <c r="D646" s="119"/>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27.5" customHeight="1">
      <c r="A647" s="54"/>
      <c r="B647" s="54"/>
      <c r="C647" s="54"/>
      <c r="D647" s="119"/>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27.5" customHeight="1">
      <c r="A648" s="54"/>
      <c r="B648" s="54"/>
      <c r="C648" s="54"/>
      <c r="D648" s="119"/>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27.5" customHeight="1">
      <c r="A649" s="54"/>
      <c r="B649" s="54"/>
      <c r="C649" s="54"/>
      <c r="D649" s="119"/>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27.5" customHeight="1">
      <c r="A650" s="54"/>
      <c r="B650" s="54"/>
      <c r="C650" s="54"/>
      <c r="D650" s="119"/>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27.5" customHeight="1">
      <c r="A651" s="54"/>
      <c r="B651" s="54"/>
      <c r="C651" s="54"/>
      <c r="D651" s="119"/>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27.5" customHeight="1">
      <c r="A652" s="54"/>
      <c r="B652" s="54"/>
      <c r="C652" s="54"/>
      <c r="D652" s="119"/>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27.5" customHeight="1">
      <c r="A653" s="54"/>
      <c r="B653" s="54"/>
      <c r="C653" s="54"/>
      <c r="D653" s="119"/>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27.5" customHeight="1">
      <c r="A654" s="54"/>
      <c r="B654" s="54"/>
      <c r="C654" s="54"/>
      <c r="D654" s="119"/>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27.5" customHeight="1">
      <c r="A655" s="54"/>
      <c r="B655" s="54"/>
      <c r="C655" s="54"/>
      <c r="D655" s="119"/>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27.5" customHeight="1">
      <c r="A656" s="54"/>
      <c r="B656" s="54"/>
      <c r="C656" s="54"/>
      <c r="D656" s="119"/>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27.5" customHeight="1">
      <c r="A657" s="54"/>
      <c r="B657" s="54"/>
      <c r="C657" s="54"/>
      <c r="D657" s="119"/>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27.5" customHeight="1">
      <c r="A658" s="54"/>
      <c r="B658" s="54"/>
      <c r="C658" s="54"/>
      <c r="D658" s="119"/>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27.5" customHeight="1">
      <c r="A659" s="54"/>
      <c r="B659" s="54"/>
      <c r="C659" s="54"/>
      <c r="D659" s="119"/>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27.5" customHeight="1">
      <c r="A660" s="54"/>
      <c r="B660" s="54"/>
      <c r="C660" s="54"/>
      <c r="D660" s="119"/>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27.5" customHeight="1">
      <c r="A661" s="54"/>
      <c r="B661" s="54"/>
      <c r="C661" s="54"/>
      <c r="D661" s="119"/>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27.5" customHeight="1">
      <c r="A662" s="54"/>
      <c r="B662" s="54"/>
      <c r="C662" s="54"/>
      <c r="D662" s="119"/>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27.5" customHeight="1">
      <c r="A663" s="54"/>
      <c r="B663" s="54"/>
      <c r="C663" s="54"/>
      <c r="D663" s="119"/>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27.5" customHeight="1">
      <c r="A664" s="54"/>
      <c r="B664" s="54"/>
      <c r="C664" s="54"/>
      <c r="D664" s="119"/>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27.5" customHeight="1">
      <c r="A665" s="54"/>
      <c r="B665" s="54"/>
      <c r="C665" s="54"/>
      <c r="D665" s="119"/>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27.5" customHeight="1">
      <c r="A666" s="54"/>
      <c r="B666" s="54"/>
      <c r="C666" s="54"/>
      <c r="D666" s="119"/>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27.5" customHeight="1">
      <c r="A667" s="54"/>
      <c r="B667" s="54"/>
      <c r="C667" s="54"/>
      <c r="D667" s="119"/>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119"/>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119"/>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119"/>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119"/>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119"/>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119"/>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119"/>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119"/>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119"/>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119"/>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119"/>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119"/>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119"/>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119"/>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119"/>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119"/>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119"/>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119"/>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119"/>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119"/>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119"/>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119"/>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119"/>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119"/>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119"/>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119"/>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119"/>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119"/>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119"/>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119"/>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119"/>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119"/>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119"/>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119"/>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119"/>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119"/>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119"/>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119"/>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119"/>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119"/>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119"/>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119"/>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119"/>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119"/>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119"/>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119"/>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119"/>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119"/>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119"/>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119"/>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119"/>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119"/>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119"/>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119"/>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119"/>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119"/>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119"/>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119"/>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119"/>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119"/>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119"/>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119"/>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119"/>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119"/>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119"/>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119"/>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119"/>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119"/>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119"/>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119"/>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119"/>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119"/>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119"/>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119"/>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row r="743" spans="1:26" ht="15.75" customHeight="1"/>
    <row r="744" spans="1:26" ht="15.75" customHeight="1"/>
    <row r="745" spans="1:26" ht="15.75" customHeight="1"/>
    <row r="746" spans="1:26" ht="15.75" customHeight="1"/>
    <row r="747" spans="1:26" ht="15.75" customHeight="1"/>
    <row r="748" spans="1:26" ht="15.75" customHeight="1"/>
    <row r="749" spans="1:26" ht="15.75" customHeight="1"/>
    <row r="750" spans="1:26" ht="15.75" customHeight="1"/>
    <row r="751" spans="1:26" ht="15.75" customHeight="1"/>
    <row r="752" spans="1:2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224">
    <mergeCell ref="A446:B446"/>
    <mergeCell ref="A449:B449"/>
    <mergeCell ref="A451:D451"/>
    <mergeCell ref="A452:D452"/>
    <mergeCell ref="A453:D453"/>
    <mergeCell ref="A454:D454"/>
    <mergeCell ref="A455:D455"/>
    <mergeCell ref="A430:D430"/>
    <mergeCell ref="A431:D431"/>
    <mergeCell ref="A432:D432"/>
    <mergeCell ref="A434:D434"/>
    <mergeCell ref="A436:D436"/>
    <mergeCell ref="A438:D438"/>
    <mergeCell ref="A440:D440"/>
    <mergeCell ref="A442:D442"/>
    <mergeCell ref="A444:D444"/>
    <mergeCell ref="A417:D417"/>
    <mergeCell ref="A419:D419"/>
    <mergeCell ref="A421:D421"/>
    <mergeCell ref="A423:B423"/>
    <mergeCell ref="A425:D425"/>
    <mergeCell ref="A426:D426"/>
    <mergeCell ref="A427:D427"/>
    <mergeCell ref="A428:D428"/>
    <mergeCell ref="A429:D429"/>
    <mergeCell ref="A394:D394"/>
    <mergeCell ref="A396:D396"/>
    <mergeCell ref="A398:D398"/>
    <mergeCell ref="A400:B400"/>
    <mergeCell ref="A408:D408"/>
    <mergeCell ref="A409:D409"/>
    <mergeCell ref="A411:D411"/>
    <mergeCell ref="A413:D413"/>
    <mergeCell ref="A415:D415"/>
    <mergeCell ref="A534:D534"/>
    <mergeCell ref="A537:D537"/>
    <mergeCell ref="A538:C538"/>
    <mergeCell ref="A539:C539"/>
    <mergeCell ref="A540:C540"/>
    <mergeCell ref="A541:C541"/>
    <mergeCell ref="A505:D505"/>
    <mergeCell ref="A507:D507"/>
    <mergeCell ref="A509:D509"/>
    <mergeCell ref="A529:D529"/>
    <mergeCell ref="A530:D530"/>
    <mergeCell ref="A531:D531"/>
    <mergeCell ref="A532:D532"/>
    <mergeCell ref="A493:D493"/>
    <mergeCell ref="A494:D494"/>
    <mergeCell ref="A495:D495"/>
    <mergeCell ref="A496:D496"/>
    <mergeCell ref="A497:D497"/>
    <mergeCell ref="A498:D498"/>
    <mergeCell ref="A501:D501"/>
    <mergeCell ref="A503:D503"/>
    <mergeCell ref="A533:D533"/>
    <mergeCell ref="A365:D365"/>
    <mergeCell ref="A367:D367"/>
    <mergeCell ref="A369:D369"/>
    <mergeCell ref="A456:D456"/>
    <mergeCell ref="A459:D459"/>
    <mergeCell ref="A461:D461"/>
    <mergeCell ref="A463:D463"/>
    <mergeCell ref="A465:D465"/>
    <mergeCell ref="A492:B492"/>
    <mergeCell ref="A371:D371"/>
    <mergeCell ref="A373:D373"/>
    <mergeCell ref="A375:D375"/>
    <mergeCell ref="A377:B377"/>
    <mergeCell ref="A379:D379"/>
    <mergeCell ref="A380:D380"/>
    <mergeCell ref="A381:D381"/>
    <mergeCell ref="A382:D382"/>
    <mergeCell ref="A383:D383"/>
    <mergeCell ref="A384:D384"/>
    <mergeCell ref="A385:D385"/>
    <mergeCell ref="A386:D386"/>
    <mergeCell ref="A388:D388"/>
    <mergeCell ref="A390:D390"/>
    <mergeCell ref="A392:D392"/>
    <mergeCell ref="A337:D337"/>
    <mergeCell ref="A356:D356"/>
    <mergeCell ref="A357:D357"/>
    <mergeCell ref="A358:D358"/>
    <mergeCell ref="A359:D359"/>
    <mergeCell ref="A360:D360"/>
    <mergeCell ref="A361:D361"/>
    <mergeCell ref="A362:D362"/>
    <mergeCell ref="A363:D363"/>
    <mergeCell ref="A322:D322"/>
    <mergeCell ref="A323:D323"/>
    <mergeCell ref="A324:D324"/>
    <mergeCell ref="A325:D325"/>
    <mergeCell ref="A327:D327"/>
    <mergeCell ref="A329:D329"/>
    <mergeCell ref="A331:D331"/>
    <mergeCell ref="A333:D333"/>
    <mergeCell ref="A335:D335"/>
    <mergeCell ref="A292:D292"/>
    <mergeCell ref="A294:D294"/>
    <mergeCell ref="A296:D296"/>
    <mergeCell ref="A298:D298"/>
    <mergeCell ref="A300:D300"/>
    <mergeCell ref="A318:D318"/>
    <mergeCell ref="A319:D319"/>
    <mergeCell ref="A320:D320"/>
    <mergeCell ref="A321:D321"/>
    <mergeCell ref="A281:D281"/>
    <mergeCell ref="A282:D282"/>
    <mergeCell ref="A283:D283"/>
    <mergeCell ref="A284:D284"/>
    <mergeCell ref="A285:D285"/>
    <mergeCell ref="A286:D286"/>
    <mergeCell ref="A287:D287"/>
    <mergeCell ref="A288:D288"/>
    <mergeCell ref="A290:D290"/>
    <mergeCell ref="A263:D263"/>
    <mergeCell ref="A265:D265"/>
    <mergeCell ref="A267:D267"/>
    <mergeCell ref="A269:D269"/>
    <mergeCell ref="A271:D271"/>
    <mergeCell ref="A273:B273"/>
    <mergeCell ref="A274:B274"/>
    <mergeCell ref="A275:B275"/>
    <mergeCell ref="A276:B276"/>
    <mergeCell ref="A252:D252"/>
    <mergeCell ref="A253:D253"/>
    <mergeCell ref="A254:D254"/>
    <mergeCell ref="A255:D255"/>
    <mergeCell ref="A256:D256"/>
    <mergeCell ref="A257:D257"/>
    <mergeCell ref="A258:D258"/>
    <mergeCell ref="A259:D259"/>
    <mergeCell ref="A261:D261"/>
    <mergeCell ref="A219:D219"/>
    <mergeCell ref="A220:D220"/>
    <mergeCell ref="A221:D221"/>
    <mergeCell ref="A222:D222"/>
    <mergeCell ref="A224:D224"/>
    <mergeCell ref="A226:D226"/>
    <mergeCell ref="A228:D228"/>
    <mergeCell ref="A230:D230"/>
    <mergeCell ref="A232:D232"/>
    <mergeCell ref="A191:D191"/>
    <mergeCell ref="A192:D192"/>
    <mergeCell ref="A193:D193"/>
    <mergeCell ref="A194:D194"/>
    <mergeCell ref="A196:D196"/>
    <mergeCell ref="A215:D215"/>
    <mergeCell ref="A216:D216"/>
    <mergeCell ref="A217:D217"/>
    <mergeCell ref="A218:D218"/>
    <mergeCell ref="A177:D177"/>
    <mergeCell ref="A178:D178"/>
    <mergeCell ref="A179:D179"/>
    <mergeCell ref="A180:D180"/>
    <mergeCell ref="A181:D181"/>
    <mergeCell ref="A183:D183"/>
    <mergeCell ref="A185:D185"/>
    <mergeCell ref="A187:D187"/>
    <mergeCell ref="A189:D189"/>
    <mergeCell ref="A141:D141"/>
    <mergeCell ref="A143:D143"/>
    <mergeCell ref="A144:D144"/>
    <mergeCell ref="A145:D145"/>
    <mergeCell ref="A146:D146"/>
    <mergeCell ref="A148:D148"/>
    <mergeCell ref="A174:D174"/>
    <mergeCell ref="A175:D175"/>
    <mergeCell ref="A176:D176"/>
    <mergeCell ref="A128:D128"/>
    <mergeCell ref="A129:D129"/>
    <mergeCell ref="A130:D130"/>
    <mergeCell ref="A131:D131"/>
    <mergeCell ref="A132:D132"/>
    <mergeCell ref="A133:D133"/>
    <mergeCell ref="A135:D135"/>
    <mergeCell ref="A137:D137"/>
    <mergeCell ref="A139:D139"/>
    <mergeCell ref="A91:D91"/>
    <mergeCell ref="A93:D93"/>
    <mergeCell ref="A95:D95"/>
    <mergeCell ref="A96:D96"/>
    <mergeCell ref="A97:D97"/>
    <mergeCell ref="A98:D98"/>
    <mergeCell ref="A100:D100"/>
    <mergeCell ref="A126:D126"/>
    <mergeCell ref="A127:D127"/>
    <mergeCell ref="A79:D79"/>
    <mergeCell ref="A80:D80"/>
    <mergeCell ref="A81:D81"/>
    <mergeCell ref="A82:D82"/>
    <mergeCell ref="A83:D83"/>
    <mergeCell ref="A84:D84"/>
    <mergeCell ref="A85:D85"/>
    <mergeCell ref="A87:D87"/>
    <mergeCell ref="A89:D89"/>
    <mergeCell ref="A44:D44"/>
    <mergeCell ref="A45:D45"/>
    <mergeCell ref="A46:D46"/>
    <mergeCell ref="A48:D48"/>
    <mergeCell ref="A50:D50"/>
    <mergeCell ref="A52:D52"/>
    <mergeCell ref="A54:D54"/>
    <mergeCell ref="A56:D56"/>
    <mergeCell ref="A78:D78"/>
    <mergeCell ref="A12:D12"/>
    <mergeCell ref="A14:D14"/>
    <mergeCell ref="A16:D16"/>
    <mergeCell ref="A18:D18"/>
    <mergeCell ref="A39:D39"/>
    <mergeCell ref="A40:D40"/>
    <mergeCell ref="A41:D41"/>
    <mergeCell ref="A42:D42"/>
    <mergeCell ref="A43:D43"/>
    <mergeCell ref="A1:D1"/>
    <mergeCell ref="A2:D2"/>
    <mergeCell ref="A3:D3"/>
    <mergeCell ref="A4:D4"/>
    <mergeCell ref="A5:D5"/>
    <mergeCell ref="A6:D6"/>
    <mergeCell ref="A7:D7"/>
    <mergeCell ref="A8:D8"/>
    <mergeCell ref="A10:D10"/>
  </mergeCells>
  <pageMargins left="0.7" right="0.7" top="0.75" bottom="0.75" header="0" footer="0"/>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15"/>
  <sheetViews>
    <sheetView workbookViewId="0"/>
  </sheetViews>
  <sheetFormatPr defaultColWidth="12.5703125" defaultRowHeight="15" customHeight="1"/>
  <cols>
    <col min="1" max="1" width="54" customWidth="1"/>
    <col min="2" max="2" width="16.42578125" customWidth="1"/>
    <col min="3" max="3" width="10.42578125" customWidth="1"/>
    <col min="4" max="4" width="9.42578125" customWidth="1"/>
    <col min="5" max="24" width="9.140625" customWidth="1"/>
  </cols>
  <sheetData>
    <row r="1" spans="1:26" ht="23.25" customHeight="1">
      <c r="A1" s="588" t="s">
        <v>26</v>
      </c>
      <c r="B1" s="589"/>
      <c r="C1" s="589"/>
      <c r="D1" s="590"/>
      <c r="E1" s="54"/>
      <c r="F1" s="54"/>
      <c r="G1" s="54"/>
      <c r="H1" s="54"/>
      <c r="I1" s="54"/>
      <c r="J1" s="54"/>
      <c r="K1" s="54"/>
      <c r="L1" s="54"/>
      <c r="M1" s="54"/>
      <c r="N1" s="54"/>
      <c r="O1" s="54"/>
      <c r="P1" s="54"/>
      <c r="Q1" s="54"/>
      <c r="R1" s="54"/>
      <c r="S1" s="54"/>
      <c r="T1" s="54"/>
      <c r="U1" s="54"/>
      <c r="V1" s="54"/>
      <c r="W1" s="54"/>
      <c r="X1" s="54"/>
      <c r="Y1" s="54"/>
      <c r="Z1" s="54"/>
    </row>
    <row r="2" spans="1:26" ht="18" customHeight="1">
      <c r="A2" s="591" t="s">
        <v>225</v>
      </c>
      <c r="B2" s="589"/>
      <c r="C2" s="589"/>
      <c r="D2" s="590"/>
      <c r="E2" s="54"/>
      <c r="F2" s="54"/>
      <c r="G2" s="54"/>
      <c r="H2" s="54"/>
      <c r="I2" s="54"/>
      <c r="J2" s="54"/>
      <c r="K2" s="54"/>
      <c r="L2" s="54"/>
      <c r="M2" s="54"/>
      <c r="N2" s="54"/>
      <c r="O2" s="54"/>
      <c r="P2" s="54"/>
      <c r="Q2" s="54"/>
      <c r="R2" s="54"/>
      <c r="S2" s="54"/>
      <c r="T2" s="54"/>
      <c r="U2" s="54"/>
      <c r="V2" s="54"/>
      <c r="W2" s="54"/>
      <c r="X2" s="54"/>
      <c r="Y2" s="54"/>
      <c r="Z2" s="54"/>
    </row>
    <row r="3" spans="1:26" ht="15.75" customHeight="1">
      <c r="A3" s="592" t="s">
        <v>239</v>
      </c>
      <c r="B3" s="589"/>
      <c r="C3" s="589"/>
      <c r="D3" s="590"/>
      <c r="E3" s="54"/>
      <c r="F3" s="54"/>
      <c r="G3" s="54"/>
      <c r="H3" s="54"/>
      <c r="I3" s="54"/>
      <c r="J3" s="54"/>
      <c r="K3" s="54"/>
      <c r="L3" s="54"/>
      <c r="M3" s="54"/>
      <c r="N3" s="54"/>
      <c r="O3" s="54"/>
      <c r="P3" s="54"/>
      <c r="Q3" s="54"/>
      <c r="R3" s="54"/>
      <c r="S3" s="54"/>
      <c r="T3" s="54"/>
      <c r="U3" s="54"/>
      <c r="V3" s="54"/>
      <c r="W3" s="54"/>
      <c r="X3" s="54"/>
      <c r="Y3" s="54"/>
      <c r="Z3" s="54"/>
    </row>
    <row r="4" spans="1:26" ht="11.25" customHeight="1">
      <c r="A4" s="593" t="s">
        <v>30</v>
      </c>
      <c r="B4" s="589"/>
      <c r="C4" s="589"/>
      <c r="D4" s="590"/>
      <c r="E4" s="54"/>
      <c r="F4" s="54"/>
      <c r="G4" s="54"/>
      <c r="H4" s="54"/>
      <c r="I4" s="54"/>
      <c r="J4" s="54"/>
      <c r="K4" s="54"/>
      <c r="L4" s="54"/>
      <c r="M4" s="54"/>
      <c r="N4" s="54"/>
      <c r="O4" s="54"/>
      <c r="P4" s="54"/>
      <c r="Q4" s="54"/>
      <c r="R4" s="54"/>
      <c r="S4" s="54"/>
      <c r="T4" s="54"/>
      <c r="U4" s="54"/>
      <c r="V4" s="54"/>
      <c r="W4" s="54"/>
      <c r="X4" s="54"/>
      <c r="Y4" s="54"/>
      <c r="Z4" s="54"/>
    </row>
    <row r="5" spans="1:26" ht="11.25" customHeight="1">
      <c r="A5" s="593" t="s">
        <v>31</v>
      </c>
      <c r="B5" s="589"/>
      <c r="C5" s="589"/>
      <c r="D5" s="590"/>
      <c r="E5" s="54"/>
      <c r="F5" s="54"/>
      <c r="G5" s="54"/>
      <c r="H5" s="54"/>
      <c r="I5" s="54"/>
      <c r="J5" s="54"/>
      <c r="K5" s="54"/>
      <c r="L5" s="54"/>
      <c r="M5" s="54"/>
      <c r="N5" s="54"/>
      <c r="O5" s="54"/>
      <c r="P5" s="54"/>
      <c r="Q5" s="54"/>
      <c r="R5" s="54"/>
      <c r="S5" s="54"/>
      <c r="T5" s="54"/>
      <c r="U5" s="54"/>
      <c r="V5" s="54"/>
      <c r="W5" s="54"/>
      <c r="X5" s="54"/>
      <c r="Y5" s="54"/>
      <c r="Z5" s="54"/>
    </row>
    <row r="6" spans="1:26" ht="11.25" customHeight="1">
      <c r="A6" s="594" t="s">
        <v>32</v>
      </c>
      <c r="B6" s="589"/>
      <c r="C6" s="589"/>
      <c r="D6" s="590"/>
      <c r="E6" s="54"/>
      <c r="F6" s="54"/>
      <c r="G6" s="54"/>
      <c r="H6" s="54"/>
      <c r="I6" s="54"/>
      <c r="J6" s="54"/>
      <c r="K6" s="54"/>
      <c r="L6" s="54"/>
      <c r="M6" s="54"/>
      <c r="N6" s="54"/>
      <c r="O6" s="54"/>
      <c r="P6" s="54"/>
      <c r="Q6" s="54"/>
      <c r="R6" s="54"/>
      <c r="S6" s="54"/>
      <c r="T6" s="54"/>
      <c r="U6" s="54"/>
      <c r="V6" s="54"/>
      <c r="W6" s="54"/>
      <c r="X6" s="54"/>
      <c r="Y6" s="54"/>
      <c r="Z6" s="54"/>
    </row>
    <row r="7" spans="1:26" ht="18.75" customHeight="1">
      <c r="A7" s="595" t="s">
        <v>33</v>
      </c>
      <c r="B7" s="589"/>
      <c r="C7" s="589"/>
      <c r="D7" s="590"/>
      <c r="E7" s="54"/>
      <c r="F7" s="54"/>
      <c r="G7" s="54"/>
      <c r="H7" s="54"/>
      <c r="I7" s="54"/>
      <c r="J7" s="54"/>
      <c r="K7" s="54"/>
      <c r="L7" s="54"/>
      <c r="M7" s="54"/>
      <c r="N7" s="54"/>
      <c r="O7" s="54"/>
      <c r="P7" s="54"/>
      <c r="Q7" s="54"/>
      <c r="R7" s="54"/>
      <c r="S7" s="54"/>
      <c r="T7" s="54"/>
      <c r="U7" s="54"/>
      <c r="V7" s="54"/>
      <c r="W7" s="54"/>
      <c r="X7" s="54"/>
      <c r="Y7" s="54"/>
      <c r="Z7" s="54"/>
    </row>
    <row r="8" spans="1:26" ht="72" customHeight="1">
      <c r="A8" s="596" t="s">
        <v>34</v>
      </c>
      <c r="B8" s="589"/>
      <c r="C8" s="589"/>
      <c r="D8" s="590"/>
      <c r="E8" s="54"/>
      <c r="F8" s="54"/>
      <c r="G8" s="54"/>
      <c r="H8" s="54"/>
      <c r="I8" s="54"/>
      <c r="J8" s="54"/>
      <c r="K8" s="54"/>
      <c r="L8" s="54"/>
      <c r="M8" s="54"/>
      <c r="N8" s="54"/>
      <c r="O8" s="54"/>
      <c r="P8" s="54"/>
      <c r="Q8" s="54"/>
      <c r="R8" s="54"/>
      <c r="S8" s="54"/>
      <c r="T8" s="54"/>
      <c r="U8" s="54"/>
      <c r="V8" s="54"/>
      <c r="W8" s="54"/>
      <c r="X8" s="54"/>
      <c r="Y8" s="54"/>
      <c r="Z8" s="54"/>
    </row>
    <row r="9" spans="1:26" ht="6.75" customHeight="1">
      <c r="A9" s="55"/>
      <c r="B9" s="55"/>
      <c r="C9" s="55"/>
      <c r="D9" s="56"/>
      <c r="E9" s="54"/>
      <c r="F9" s="54"/>
      <c r="G9" s="54"/>
      <c r="H9" s="54"/>
      <c r="I9" s="54"/>
      <c r="J9" s="54"/>
      <c r="K9" s="54"/>
      <c r="L9" s="54"/>
      <c r="M9" s="54"/>
      <c r="N9" s="54"/>
      <c r="O9" s="54"/>
      <c r="P9" s="54"/>
      <c r="Q9" s="54"/>
      <c r="R9" s="54"/>
      <c r="S9" s="54"/>
      <c r="T9" s="54"/>
      <c r="U9" s="54"/>
      <c r="V9" s="54"/>
      <c r="W9" s="54"/>
      <c r="X9" s="54"/>
      <c r="Y9" s="54"/>
      <c r="Z9" s="54"/>
    </row>
    <row r="10" spans="1:26" ht="11.25" customHeight="1">
      <c r="A10" s="597" t="s">
        <v>35</v>
      </c>
      <c r="B10" s="589"/>
      <c r="C10" s="589"/>
      <c r="D10" s="590"/>
      <c r="E10" s="54"/>
      <c r="F10" s="54"/>
      <c r="G10" s="54"/>
      <c r="H10" s="54"/>
      <c r="I10" s="54"/>
      <c r="J10" s="54"/>
      <c r="K10" s="54"/>
      <c r="L10" s="54"/>
      <c r="M10" s="54"/>
      <c r="N10" s="54"/>
      <c r="O10" s="54"/>
      <c r="P10" s="54"/>
      <c r="Q10" s="54"/>
      <c r="R10" s="54"/>
      <c r="S10" s="54"/>
      <c r="T10" s="54"/>
      <c r="U10" s="54"/>
      <c r="V10" s="54"/>
      <c r="W10" s="54"/>
      <c r="X10" s="54"/>
      <c r="Y10" s="54"/>
      <c r="Z10" s="54"/>
    </row>
    <row r="11" spans="1:26" ht="6.75" customHeight="1">
      <c r="A11" s="57"/>
      <c r="B11" s="58"/>
      <c r="C11" s="58"/>
      <c r="D11" s="59"/>
      <c r="E11" s="54"/>
      <c r="F11" s="54"/>
      <c r="G11" s="54"/>
      <c r="H11" s="54"/>
      <c r="I11" s="54"/>
      <c r="J11" s="54"/>
      <c r="K11" s="54"/>
      <c r="L11" s="54"/>
      <c r="M11" s="54"/>
      <c r="N11" s="54"/>
      <c r="O11" s="54"/>
      <c r="P11" s="54"/>
      <c r="Q11" s="54"/>
      <c r="R11" s="54"/>
      <c r="S11" s="54"/>
      <c r="T11" s="54"/>
      <c r="U11" s="54"/>
      <c r="V11" s="54"/>
      <c r="W11" s="54"/>
      <c r="X11" s="54"/>
      <c r="Y11" s="54"/>
      <c r="Z11" s="54"/>
    </row>
    <row r="12" spans="1:26" ht="36" customHeight="1">
      <c r="A12" s="596" t="s">
        <v>36</v>
      </c>
      <c r="B12" s="589"/>
      <c r="C12" s="589"/>
      <c r="D12" s="590"/>
      <c r="E12" s="54"/>
      <c r="F12" s="54"/>
      <c r="G12" s="54"/>
      <c r="H12" s="54"/>
      <c r="I12" s="54"/>
      <c r="J12" s="54"/>
      <c r="K12" s="54"/>
      <c r="L12" s="54"/>
      <c r="M12" s="54"/>
      <c r="N12" s="54"/>
      <c r="O12" s="54"/>
      <c r="P12" s="54"/>
      <c r="Q12" s="54"/>
      <c r="R12" s="54"/>
      <c r="S12" s="54"/>
      <c r="T12" s="54"/>
      <c r="U12" s="54"/>
      <c r="V12" s="54"/>
      <c r="W12" s="54"/>
      <c r="X12" s="54"/>
      <c r="Y12" s="54"/>
      <c r="Z12" s="54"/>
    </row>
    <row r="13" spans="1:26" ht="6.75" customHeight="1">
      <c r="A13" s="55"/>
      <c r="B13" s="55"/>
      <c r="C13" s="55"/>
      <c r="D13" s="56"/>
      <c r="E13" s="54"/>
      <c r="F13" s="54"/>
      <c r="G13" s="54"/>
      <c r="H13" s="54"/>
      <c r="I13" s="54"/>
      <c r="J13" s="54"/>
      <c r="K13" s="54"/>
      <c r="L13" s="54"/>
      <c r="M13" s="54"/>
      <c r="N13" s="54"/>
      <c r="O13" s="54"/>
      <c r="P13" s="54"/>
      <c r="Q13" s="54"/>
      <c r="R13" s="54"/>
      <c r="S13" s="54"/>
      <c r="T13" s="54"/>
      <c r="U13" s="54"/>
      <c r="V13" s="54"/>
      <c r="W13" s="54"/>
      <c r="X13" s="54"/>
      <c r="Y13" s="54"/>
      <c r="Z13" s="54"/>
    </row>
    <row r="14" spans="1:26" ht="48" customHeight="1">
      <c r="A14" s="596" t="s">
        <v>37</v>
      </c>
      <c r="B14" s="589"/>
      <c r="C14" s="589"/>
      <c r="D14" s="590"/>
      <c r="E14" s="54"/>
      <c r="F14" s="54"/>
      <c r="G14" s="54"/>
      <c r="H14" s="54"/>
      <c r="I14" s="54"/>
      <c r="J14" s="54"/>
      <c r="K14" s="54"/>
      <c r="L14" s="54"/>
      <c r="M14" s="54"/>
      <c r="N14" s="54"/>
      <c r="O14" s="54"/>
      <c r="P14" s="54"/>
      <c r="Q14" s="54"/>
      <c r="R14" s="54"/>
      <c r="S14" s="54"/>
      <c r="T14" s="54"/>
      <c r="U14" s="54"/>
      <c r="V14" s="54"/>
      <c r="W14" s="54"/>
      <c r="X14" s="54"/>
      <c r="Y14" s="54"/>
      <c r="Z14" s="54"/>
    </row>
    <row r="15" spans="1:26" ht="6.75" customHeight="1">
      <c r="A15" s="55"/>
      <c r="B15" s="55"/>
      <c r="C15" s="55"/>
      <c r="D15" s="56"/>
      <c r="E15" s="54"/>
      <c r="F15" s="54"/>
      <c r="G15" s="54"/>
      <c r="H15" s="54"/>
      <c r="I15" s="54"/>
      <c r="J15" s="54"/>
      <c r="K15" s="54"/>
      <c r="L15" s="54"/>
      <c r="M15" s="54"/>
      <c r="N15" s="54"/>
      <c r="O15" s="54"/>
      <c r="P15" s="54"/>
      <c r="Q15" s="54"/>
      <c r="R15" s="54"/>
      <c r="S15" s="54"/>
      <c r="T15" s="54"/>
      <c r="U15" s="54"/>
      <c r="V15" s="54"/>
      <c r="W15" s="54"/>
      <c r="X15" s="54"/>
      <c r="Y15" s="54"/>
      <c r="Z15" s="54"/>
    </row>
    <row r="16" spans="1:26" ht="48" customHeight="1">
      <c r="A16" s="596" t="s">
        <v>38</v>
      </c>
      <c r="B16" s="589"/>
      <c r="C16" s="589"/>
      <c r="D16" s="590"/>
      <c r="E16" s="54"/>
      <c r="F16" s="54"/>
      <c r="G16" s="54"/>
      <c r="H16" s="54"/>
      <c r="I16" s="54"/>
      <c r="J16" s="54"/>
      <c r="K16" s="54"/>
      <c r="L16" s="54"/>
      <c r="M16" s="54"/>
      <c r="N16" s="54"/>
      <c r="O16" s="54"/>
      <c r="P16" s="54"/>
      <c r="Q16" s="54"/>
      <c r="R16" s="54"/>
      <c r="S16" s="54"/>
      <c r="T16" s="54"/>
      <c r="U16" s="54"/>
      <c r="V16" s="54"/>
      <c r="W16" s="54"/>
      <c r="X16" s="54"/>
      <c r="Y16" s="54"/>
      <c r="Z16" s="54"/>
    </row>
    <row r="17" spans="1:26" ht="6.75" customHeight="1">
      <c r="A17" s="55"/>
      <c r="B17" s="55"/>
      <c r="C17" s="55"/>
      <c r="D17" s="56"/>
      <c r="E17" s="54"/>
      <c r="F17" s="54"/>
      <c r="G17" s="54"/>
      <c r="H17" s="54"/>
      <c r="I17" s="54"/>
      <c r="J17" s="54"/>
      <c r="K17" s="54"/>
      <c r="L17" s="54"/>
      <c r="M17" s="54"/>
      <c r="N17" s="54"/>
      <c r="O17" s="54"/>
      <c r="P17" s="54"/>
      <c r="Q17" s="54"/>
      <c r="R17" s="54"/>
      <c r="S17" s="54"/>
      <c r="T17" s="54"/>
      <c r="U17" s="54"/>
      <c r="V17" s="54"/>
      <c r="W17" s="54"/>
      <c r="X17" s="54"/>
      <c r="Y17" s="54"/>
      <c r="Z17" s="54"/>
    </row>
    <row r="18" spans="1:26" ht="36" customHeight="1">
      <c r="A18" s="596" t="s">
        <v>39</v>
      </c>
      <c r="B18" s="589"/>
      <c r="C18" s="589"/>
      <c r="D18" s="590"/>
      <c r="E18" s="54"/>
      <c r="F18" s="54"/>
      <c r="G18" s="54"/>
      <c r="H18" s="54"/>
      <c r="I18" s="54"/>
      <c r="J18" s="54"/>
      <c r="K18" s="54"/>
      <c r="L18" s="54"/>
      <c r="M18" s="54"/>
      <c r="N18" s="54"/>
      <c r="O18" s="54"/>
      <c r="P18" s="54"/>
      <c r="Q18" s="54"/>
      <c r="R18" s="54"/>
      <c r="S18" s="54"/>
      <c r="T18" s="54"/>
      <c r="U18" s="54"/>
      <c r="V18" s="54"/>
      <c r="W18" s="54"/>
      <c r="X18" s="54"/>
      <c r="Y18" s="54"/>
      <c r="Z18" s="54"/>
    </row>
    <row r="19" spans="1:26" ht="6.75" customHeight="1">
      <c r="A19" s="55"/>
      <c r="B19" s="55"/>
      <c r="C19" s="55"/>
      <c r="D19" s="56"/>
      <c r="E19" s="54"/>
      <c r="F19" s="54"/>
      <c r="G19" s="54"/>
      <c r="H19" s="54"/>
      <c r="I19" s="54"/>
      <c r="J19" s="54"/>
      <c r="K19" s="54"/>
      <c r="L19" s="54"/>
      <c r="M19" s="54"/>
      <c r="N19" s="54"/>
      <c r="O19" s="54"/>
      <c r="P19" s="54"/>
      <c r="Q19" s="54"/>
      <c r="R19" s="54"/>
      <c r="S19" s="54"/>
      <c r="T19" s="54"/>
      <c r="U19" s="54"/>
      <c r="V19" s="54"/>
      <c r="W19" s="54"/>
      <c r="X19" s="54"/>
      <c r="Y19" s="54"/>
      <c r="Z19" s="54"/>
    </row>
    <row r="20" spans="1:26" ht="15" customHeight="1">
      <c r="A20" s="75" t="s">
        <v>40</v>
      </c>
      <c r="B20" s="64"/>
      <c r="C20" s="64"/>
      <c r="D20" s="64"/>
      <c r="E20" s="54"/>
      <c r="F20" s="54"/>
      <c r="G20" s="54"/>
      <c r="H20" s="54"/>
      <c r="I20" s="54"/>
      <c r="J20" s="54"/>
      <c r="K20" s="54"/>
      <c r="L20" s="54"/>
      <c r="M20" s="54"/>
      <c r="N20" s="54"/>
      <c r="O20" s="54"/>
      <c r="P20" s="54"/>
      <c r="Q20" s="54"/>
      <c r="R20" s="54"/>
      <c r="S20" s="54"/>
      <c r="T20" s="54"/>
      <c r="U20" s="54"/>
      <c r="V20" s="54"/>
      <c r="W20" s="54"/>
      <c r="X20" s="54"/>
      <c r="Y20" s="54"/>
      <c r="Z20" s="54"/>
    </row>
    <row r="21" spans="1:26" ht="6.75" customHeight="1">
      <c r="A21" s="60"/>
      <c r="B21" s="61"/>
      <c r="C21" s="61"/>
      <c r="D21" s="310"/>
      <c r="E21" s="54"/>
      <c r="F21" s="54"/>
      <c r="G21" s="54"/>
      <c r="H21" s="54"/>
      <c r="I21" s="54"/>
      <c r="J21" s="54"/>
      <c r="K21" s="54"/>
      <c r="L21" s="54"/>
      <c r="M21" s="54"/>
      <c r="N21" s="54"/>
      <c r="O21" s="54"/>
      <c r="P21" s="54"/>
      <c r="Q21" s="54"/>
      <c r="R21" s="54"/>
      <c r="S21" s="54"/>
      <c r="T21" s="54"/>
      <c r="U21" s="54"/>
      <c r="V21" s="54"/>
      <c r="W21" s="54"/>
      <c r="X21" s="54"/>
      <c r="Y21" s="54"/>
      <c r="Z21" s="54"/>
    </row>
    <row r="22" spans="1:26" ht="11.25" customHeight="1">
      <c r="A22" s="63" t="s">
        <v>41</v>
      </c>
      <c r="B22" s="64"/>
      <c r="C22" s="65" t="s">
        <v>42</v>
      </c>
      <c r="D22" s="290">
        <f>'Proposed Rates'!J8</f>
        <v>46.78</v>
      </c>
      <c r="E22" s="54"/>
      <c r="F22" s="54"/>
      <c r="G22" s="54"/>
      <c r="H22" s="54"/>
      <c r="I22" s="54"/>
      <c r="J22" s="54"/>
      <c r="K22" s="54"/>
      <c r="L22" s="54"/>
      <c r="M22" s="54"/>
      <c r="N22" s="54"/>
      <c r="O22" s="54"/>
      <c r="P22" s="54"/>
      <c r="Q22" s="54"/>
      <c r="R22" s="54"/>
      <c r="S22" s="54"/>
      <c r="T22" s="54"/>
      <c r="U22" s="54"/>
      <c r="V22" s="54"/>
      <c r="W22" s="54"/>
      <c r="X22" s="54"/>
      <c r="Y22" s="54"/>
      <c r="Z22" s="54"/>
    </row>
    <row r="23" spans="1:26" ht="11.25" customHeight="1">
      <c r="A23" s="63" t="s">
        <v>44</v>
      </c>
      <c r="B23" s="64"/>
      <c r="C23" s="65" t="s">
        <v>42</v>
      </c>
      <c r="D23" s="291">
        <f>'Proposed Rates'!J90</f>
        <v>0</v>
      </c>
      <c r="E23" s="54"/>
      <c r="F23" s="54"/>
      <c r="G23" s="54"/>
      <c r="H23" s="54"/>
      <c r="I23" s="54"/>
      <c r="J23" s="54"/>
      <c r="K23" s="54"/>
      <c r="L23" s="54"/>
      <c r="M23" s="54"/>
      <c r="N23" s="54"/>
      <c r="O23" s="54"/>
      <c r="P23" s="54"/>
      <c r="Q23" s="54"/>
      <c r="R23" s="54"/>
      <c r="S23" s="54"/>
      <c r="T23" s="54"/>
      <c r="U23" s="54"/>
      <c r="V23" s="54"/>
      <c r="W23" s="54"/>
      <c r="X23" s="54"/>
      <c r="Y23" s="54"/>
      <c r="Z23" s="54"/>
    </row>
    <row r="24" spans="1:26" ht="11.25" customHeight="1">
      <c r="A24" s="63" t="s">
        <v>45</v>
      </c>
      <c r="B24" s="64"/>
      <c r="C24" s="65" t="s">
        <v>42</v>
      </c>
      <c r="D24" s="292">
        <f>'Proposed Rates'!J64</f>
        <v>0</v>
      </c>
      <c r="E24" s="54"/>
      <c r="F24" s="54"/>
      <c r="G24" s="54"/>
      <c r="H24" s="54"/>
      <c r="I24" s="54"/>
      <c r="J24" s="54"/>
      <c r="K24" s="54"/>
      <c r="L24" s="54"/>
      <c r="M24" s="54"/>
      <c r="N24" s="54"/>
      <c r="O24" s="54"/>
      <c r="P24" s="54"/>
      <c r="Q24" s="54"/>
      <c r="R24" s="54"/>
      <c r="S24" s="54"/>
      <c r="T24" s="54"/>
      <c r="U24" s="54"/>
      <c r="V24" s="54"/>
      <c r="W24" s="54"/>
      <c r="X24" s="54"/>
      <c r="Y24" s="54"/>
      <c r="Z24" s="54"/>
    </row>
    <row r="25" spans="1:26" ht="11.25" customHeight="1">
      <c r="A25" s="63" t="s">
        <v>46</v>
      </c>
      <c r="B25" s="64"/>
      <c r="C25" s="65" t="s">
        <v>42</v>
      </c>
      <c r="D25" s="292">
        <f>'Proposed Rates'!J280</f>
        <v>0.45</v>
      </c>
      <c r="E25" s="54"/>
      <c r="F25" s="54"/>
      <c r="G25" s="54"/>
      <c r="H25" s="54"/>
      <c r="I25" s="54"/>
      <c r="J25" s="54"/>
      <c r="K25" s="54"/>
      <c r="L25" s="54"/>
      <c r="M25" s="54"/>
      <c r="N25" s="54"/>
      <c r="O25" s="54"/>
      <c r="P25" s="54"/>
      <c r="Q25" s="54"/>
      <c r="R25" s="54"/>
      <c r="S25" s="54"/>
      <c r="T25" s="54"/>
      <c r="U25" s="54"/>
      <c r="V25" s="54"/>
      <c r="W25" s="54"/>
      <c r="X25" s="54"/>
      <c r="Y25" s="54"/>
      <c r="Z25" s="54"/>
    </row>
    <row r="26" spans="1:26" ht="11.25" customHeight="1">
      <c r="A26" s="63" t="s">
        <v>47</v>
      </c>
      <c r="B26" s="64"/>
      <c r="C26" s="65" t="s">
        <v>48</v>
      </c>
      <c r="D26" s="293">
        <f>'Proposed Rates'!J267</f>
        <v>8.0000000000000007E-5</v>
      </c>
      <c r="E26" s="54"/>
      <c r="F26" s="54"/>
      <c r="G26" s="54"/>
      <c r="H26" s="54"/>
      <c r="I26" s="54"/>
      <c r="J26" s="54"/>
      <c r="K26" s="54"/>
      <c r="L26" s="54"/>
      <c r="M26" s="54"/>
      <c r="N26" s="54"/>
      <c r="O26" s="54"/>
      <c r="P26" s="54"/>
      <c r="Q26" s="54"/>
      <c r="R26" s="54"/>
      <c r="S26" s="54"/>
      <c r="T26" s="54"/>
      <c r="U26" s="54"/>
      <c r="V26" s="54"/>
      <c r="W26" s="54"/>
      <c r="X26" s="54"/>
      <c r="Y26" s="54"/>
      <c r="Z26" s="54"/>
    </row>
    <row r="27" spans="1:26" ht="11.25" customHeight="1">
      <c r="A27" s="63" t="s">
        <v>49</v>
      </c>
      <c r="B27" s="64"/>
      <c r="C27" s="65" t="s">
        <v>48</v>
      </c>
      <c r="D27" s="291">
        <f>'Proposed Rates'!J37</f>
        <v>0</v>
      </c>
      <c r="E27" s="54"/>
      <c r="F27" s="54"/>
      <c r="G27" s="54"/>
      <c r="H27" s="54"/>
      <c r="I27" s="54"/>
      <c r="J27" s="54"/>
      <c r="K27" s="54"/>
      <c r="L27" s="54"/>
      <c r="M27" s="54"/>
      <c r="N27" s="54"/>
      <c r="O27" s="54"/>
      <c r="P27" s="54"/>
      <c r="Q27" s="54"/>
      <c r="R27" s="54"/>
      <c r="S27" s="54"/>
      <c r="T27" s="54"/>
      <c r="U27" s="54"/>
      <c r="V27" s="54"/>
      <c r="W27" s="54"/>
      <c r="X27" s="54"/>
      <c r="Y27" s="54"/>
      <c r="Z27" s="54"/>
    </row>
    <row r="28" spans="1:26" ht="11.25" customHeight="1">
      <c r="A28" s="63" t="s">
        <v>233</v>
      </c>
      <c r="B28" s="64"/>
      <c r="C28" s="65" t="s">
        <v>48</v>
      </c>
      <c r="D28" s="291">
        <f>'Proposed Rates'!J145</f>
        <v>0</v>
      </c>
      <c r="E28" s="54"/>
      <c r="F28" s="54"/>
      <c r="G28" s="54"/>
      <c r="H28" s="54"/>
      <c r="I28" s="54"/>
      <c r="J28" s="54"/>
      <c r="K28" s="54"/>
      <c r="L28" s="54"/>
      <c r="M28" s="54"/>
      <c r="N28" s="54"/>
      <c r="O28" s="54"/>
      <c r="P28" s="54"/>
      <c r="Q28" s="54"/>
      <c r="R28" s="54"/>
      <c r="S28" s="54"/>
      <c r="T28" s="54"/>
      <c r="U28" s="54"/>
      <c r="V28" s="54"/>
      <c r="W28" s="54"/>
      <c r="X28" s="54"/>
      <c r="Y28" s="54"/>
      <c r="Z28" s="54"/>
    </row>
    <row r="29" spans="1:26" ht="11.25" customHeight="1">
      <c r="A29" s="63" t="s">
        <v>52</v>
      </c>
      <c r="B29" s="64"/>
      <c r="C29" s="65" t="s">
        <v>48</v>
      </c>
      <c r="D29" s="291">
        <f>'Proposed Rates'!J186</f>
        <v>1.38E-2</v>
      </c>
      <c r="E29" s="54"/>
      <c r="F29" s="54"/>
      <c r="G29" s="54"/>
      <c r="H29" s="54"/>
      <c r="I29" s="54"/>
      <c r="J29" s="54"/>
      <c r="K29" s="54"/>
      <c r="L29" s="54"/>
      <c r="M29" s="54"/>
      <c r="N29" s="54"/>
      <c r="O29" s="54"/>
      <c r="P29" s="54"/>
      <c r="Q29" s="54"/>
      <c r="R29" s="54"/>
      <c r="S29" s="54"/>
      <c r="T29" s="54"/>
      <c r="U29" s="54"/>
      <c r="V29" s="54"/>
      <c r="W29" s="54"/>
      <c r="X29" s="54"/>
      <c r="Y29" s="54"/>
      <c r="Z29" s="54"/>
    </row>
    <row r="30" spans="1:26" ht="10.5" customHeight="1">
      <c r="A30" s="63" t="s">
        <v>53</v>
      </c>
      <c r="B30" s="64"/>
      <c r="C30" s="65" t="s">
        <v>48</v>
      </c>
      <c r="D30" s="291">
        <f>'Proposed Rates'!J201</f>
        <v>7.7999999999999996E-3</v>
      </c>
      <c r="E30" s="54"/>
      <c r="F30" s="54"/>
      <c r="G30" s="54"/>
      <c r="H30" s="54"/>
      <c r="I30" s="54"/>
      <c r="J30" s="54"/>
      <c r="K30" s="54"/>
      <c r="L30" s="54"/>
      <c r="M30" s="54"/>
      <c r="N30" s="54"/>
      <c r="O30" s="54"/>
      <c r="P30" s="54"/>
      <c r="Q30" s="54"/>
      <c r="R30" s="54"/>
      <c r="S30" s="54"/>
      <c r="T30" s="54"/>
      <c r="U30" s="54"/>
      <c r="V30" s="54"/>
      <c r="W30" s="54"/>
      <c r="X30" s="54"/>
      <c r="Y30" s="54"/>
      <c r="Z30" s="54"/>
    </row>
    <row r="31" spans="1:26" ht="6.75" customHeight="1">
      <c r="A31" s="65"/>
      <c r="B31" s="65"/>
      <c r="C31" s="65"/>
      <c r="D31" s="74"/>
      <c r="E31" s="54"/>
      <c r="F31" s="54"/>
      <c r="G31" s="54"/>
      <c r="H31" s="54"/>
      <c r="I31" s="54"/>
      <c r="J31" s="54"/>
      <c r="K31" s="54"/>
      <c r="L31" s="54"/>
      <c r="M31" s="54"/>
      <c r="N31" s="54"/>
      <c r="O31" s="54"/>
      <c r="P31" s="54"/>
      <c r="Q31" s="54"/>
      <c r="R31" s="54"/>
      <c r="S31" s="54"/>
      <c r="T31" s="54"/>
      <c r="U31" s="54"/>
      <c r="V31" s="54"/>
      <c r="W31" s="54"/>
      <c r="X31" s="54"/>
      <c r="Y31" s="54"/>
      <c r="Z31" s="54"/>
    </row>
    <row r="32" spans="1:26" ht="15" customHeight="1">
      <c r="A32" s="75" t="s">
        <v>54</v>
      </c>
      <c r="B32" s="64"/>
      <c r="C32" s="65"/>
      <c r="D32" s="74"/>
      <c r="E32" s="54"/>
      <c r="F32" s="54"/>
      <c r="G32" s="54"/>
      <c r="H32" s="54"/>
      <c r="I32" s="54"/>
      <c r="J32" s="54"/>
      <c r="K32" s="54"/>
      <c r="L32" s="54"/>
      <c r="M32" s="54"/>
      <c r="N32" s="54"/>
      <c r="O32" s="54"/>
      <c r="P32" s="54"/>
      <c r="Q32" s="54"/>
      <c r="R32" s="54"/>
      <c r="S32" s="54"/>
      <c r="T32" s="54"/>
      <c r="U32" s="54"/>
      <c r="V32" s="54"/>
      <c r="W32" s="54"/>
      <c r="X32" s="54"/>
      <c r="Y32" s="54"/>
      <c r="Z32" s="54"/>
    </row>
    <row r="33" spans="1:26" ht="6.75" customHeight="1">
      <c r="A33" s="60"/>
      <c r="B33" s="65"/>
      <c r="C33" s="65"/>
      <c r="D33" s="74"/>
      <c r="E33" s="54"/>
      <c r="F33" s="54"/>
      <c r="G33" s="54"/>
      <c r="H33" s="54"/>
      <c r="I33" s="54"/>
      <c r="J33" s="54"/>
      <c r="K33" s="54"/>
      <c r="L33" s="54"/>
      <c r="M33" s="54"/>
      <c r="N33" s="54"/>
      <c r="O33" s="54"/>
      <c r="P33" s="54"/>
      <c r="Q33" s="54"/>
      <c r="R33" s="54"/>
      <c r="S33" s="54"/>
      <c r="T33" s="54"/>
      <c r="U33" s="54"/>
      <c r="V33" s="54"/>
      <c r="W33" s="54"/>
      <c r="X33" s="54"/>
      <c r="Y33" s="54"/>
      <c r="Z33" s="54"/>
    </row>
    <row r="34" spans="1:26" ht="11.25" customHeight="1">
      <c r="A34" s="63" t="s">
        <v>55</v>
      </c>
      <c r="B34" s="64"/>
      <c r="C34" s="65" t="s">
        <v>48</v>
      </c>
      <c r="D34" s="69">
        <v>4.1000000000000003E-3</v>
      </c>
      <c r="E34" s="54"/>
      <c r="F34" s="54"/>
      <c r="G34" s="54"/>
      <c r="H34" s="54"/>
      <c r="I34" s="54"/>
      <c r="J34" s="54"/>
      <c r="K34" s="54"/>
      <c r="L34" s="54"/>
      <c r="M34" s="54"/>
      <c r="N34" s="54"/>
      <c r="O34" s="54"/>
      <c r="P34" s="54"/>
      <c r="Q34" s="54"/>
      <c r="R34" s="54"/>
      <c r="S34" s="54"/>
      <c r="T34" s="54"/>
      <c r="U34" s="54"/>
      <c r="V34" s="54"/>
      <c r="W34" s="54"/>
      <c r="X34" s="54"/>
      <c r="Y34" s="54"/>
      <c r="Z34" s="54"/>
    </row>
    <row r="35" spans="1:26" ht="11.25" customHeight="1">
      <c r="A35" s="63" t="s">
        <v>56</v>
      </c>
      <c r="B35" s="64"/>
      <c r="C35" s="65" t="s">
        <v>48</v>
      </c>
      <c r="D35" s="69">
        <f>'Proposed Rates'!J216-'2026'!D37</f>
        <v>5.9999999999999984E-4</v>
      </c>
      <c r="E35" s="54"/>
      <c r="F35" s="54"/>
      <c r="G35" s="54"/>
      <c r="H35" s="54"/>
      <c r="I35" s="54"/>
      <c r="J35" s="54"/>
      <c r="K35" s="54"/>
      <c r="L35" s="54"/>
      <c r="M35" s="54"/>
      <c r="N35" s="54"/>
      <c r="O35" s="54"/>
      <c r="P35" s="54"/>
      <c r="Q35" s="54"/>
      <c r="R35" s="54"/>
      <c r="S35" s="54"/>
      <c r="T35" s="54"/>
      <c r="U35" s="54"/>
      <c r="V35" s="54"/>
      <c r="W35" s="54"/>
      <c r="X35" s="54"/>
      <c r="Y35" s="54"/>
      <c r="Z35" s="54"/>
    </row>
    <row r="36" spans="1:26" ht="11.25" customHeight="1">
      <c r="A36" s="63" t="s">
        <v>57</v>
      </c>
      <c r="B36" s="64"/>
      <c r="C36" s="65" t="s">
        <v>48</v>
      </c>
      <c r="D36" s="69">
        <f>'Proposed Rates'!J229</f>
        <v>5.9999999999999995E-4</v>
      </c>
      <c r="E36" s="54"/>
      <c r="F36" s="54"/>
      <c r="G36" s="54"/>
      <c r="H36" s="54"/>
      <c r="I36" s="54"/>
      <c r="J36" s="54"/>
      <c r="K36" s="54"/>
      <c r="L36" s="54"/>
      <c r="M36" s="54"/>
      <c r="N36" s="54"/>
      <c r="O36" s="54"/>
      <c r="P36" s="54"/>
      <c r="Q36" s="54"/>
      <c r="R36" s="54"/>
      <c r="S36" s="54"/>
      <c r="T36" s="54"/>
      <c r="U36" s="54"/>
      <c r="V36" s="54"/>
      <c r="W36" s="54"/>
      <c r="X36" s="54"/>
      <c r="Y36" s="54"/>
      <c r="Z36" s="54"/>
    </row>
    <row r="37" spans="1:26" ht="11.25" customHeight="1">
      <c r="A37" s="63" t="s">
        <v>58</v>
      </c>
      <c r="B37" s="64"/>
      <c r="C37" s="65" t="s">
        <v>42</v>
      </c>
      <c r="D37" s="69">
        <f>'Proposed Rates'!J243</f>
        <v>0.25</v>
      </c>
      <c r="E37" s="54"/>
      <c r="F37" s="54"/>
      <c r="G37" s="54"/>
      <c r="H37" s="54"/>
      <c r="I37" s="54"/>
      <c r="J37" s="54"/>
      <c r="K37" s="54"/>
      <c r="L37" s="54"/>
      <c r="M37" s="54"/>
      <c r="N37" s="54"/>
      <c r="O37" s="54"/>
      <c r="P37" s="54"/>
      <c r="Q37" s="54"/>
      <c r="R37" s="54"/>
      <c r="S37" s="54"/>
      <c r="T37" s="54"/>
      <c r="U37" s="54"/>
      <c r="V37" s="54"/>
      <c r="W37" s="54"/>
      <c r="X37" s="54"/>
      <c r="Y37" s="54"/>
      <c r="Z37" s="54"/>
    </row>
    <row r="38" spans="1:26" ht="11.25" customHeight="1">
      <c r="A38" s="63"/>
      <c r="B38" s="64"/>
      <c r="C38" s="65"/>
      <c r="D38" s="74"/>
      <c r="E38" s="54"/>
      <c r="F38" s="54"/>
      <c r="G38" s="54"/>
      <c r="H38" s="54"/>
      <c r="I38" s="54"/>
      <c r="J38" s="54"/>
      <c r="K38" s="54"/>
      <c r="L38" s="54"/>
      <c r="M38" s="54"/>
      <c r="N38" s="54"/>
      <c r="O38" s="54"/>
      <c r="P38" s="54"/>
      <c r="Q38" s="54"/>
      <c r="R38" s="54"/>
      <c r="S38" s="54"/>
      <c r="T38" s="54"/>
      <c r="U38" s="54"/>
      <c r="V38" s="54"/>
      <c r="W38" s="54"/>
      <c r="X38" s="54"/>
      <c r="Y38" s="54"/>
      <c r="Z38" s="54"/>
    </row>
    <row r="39" spans="1:26" ht="24" customHeight="1">
      <c r="A39" s="588" t="str">
        <f>$A$1</f>
        <v>Hydro Ottawa Limited</v>
      </c>
      <c r="B39" s="589"/>
      <c r="C39" s="589"/>
      <c r="D39" s="590"/>
      <c r="E39" s="54"/>
      <c r="F39" s="54"/>
      <c r="G39" s="54"/>
      <c r="H39" s="54"/>
      <c r="I39" s="54"/>
      <c r="J39" s="54"/>
      <c r="K39" s="54"/>
      <c r="L39" s="54"/>
      <c r="M39" s="54"/>
      <c r="N39" s="54"/>
      <c r="O39" s="54"/>
      <c r="P39" s="54"/>
      <c r="Q39" s="54"/>
      <c r="R39" s="54"/>
      <c r="S39" s="54"/>
      <c r="T39" s="54"/>
      <c r="U39" s="54"/>
      <c r="V39" s="54"/>
      <c r="W39" s="54"/>
      <c r="X39" s="54"/>
      <c r="Y39" s="54"/>
      <c r="Z39" s="54"/>
    </row>
    <row r="40" spans="1:26" ht="15.75" customHeight="1">
      <c r="A40" s="591" t="str">
        <f>$A$2</f>
        <v>PROPOSED - TARIFF OF RATES AND CHARGES</v>
      </c>
      <c r="B40" s="589"/>
      <c r="C40" s="589"/>
      <c r="D40" s="590"/>
      <c r="E40" s="54"/>
      <c r="F40" s="54"/>
      <c r="G40" s="54"/>
      <c r="H40" s="54"/>
      <c r="I40" s="54"/>
      <c r="J40" s="54"/>
      <c r="K40" s="54"/>
      <c r="L40" s="54"/>
      <c r="M40" s="54"/>
      <c r="N40" s="54"/>
      <c r="O40" s="54"/>
      <c r="P40" s="54"/>
      <c r="Q40" s="54"/>
      <c r="R40" s="54"/>
      <c r="S40" s="54"/>
      <c r="T40" s="54"/>
      <c r="U40" s="54"/>
      <c r="V40" s="54"/>
      <c r="W40" s="54"/>
      <c r="X40" s="54"/>
      <c r="Y40" s="54"/>
      <c r="Z40" s="54"/>
    </row>
    <row r="41" spans="1:26" ht="15.75" customHeight="1">
      <c r="A41" s="592" t="str">
        <f>$A$3</f>
        <v>Effective and Implementation Date January 1, 2030</v>
      </c>
      <c r="B41" s="589"/>
      <c r="C41" s="589"/>
      <c r="D41" s="590"/>
      <c r="E41" s="54"/>
      <c r="F41" s="54"/>
      <c r="G41" s="54"/>
      <c r="H41" s="54"/>
      <c r="I41" s="54"/>
      <c r="J41" s="54"/>
      <c r="K41" s="54"/>
      <c r="L41" s="54"/>
      <c r="M41" s="54"/>
      <c r="N41" s="54"/>
      <c r="O41" s="54"/>
      <c r="P41" s="54"/>
      <c r="Q41" s="54"/>
      <c r="R41" s="54"/>
      <c r="S41" s="54"/>
      <c r="T41" s="54"/>
      <c r="U41" s="54"/>
      <c r="V41" s="54"/>
      <c r="W41" s="54"/>
      <c r="X41" s="54"/>
      <c r="Y41" s="54"/>
      <c r="Z41" s="54"/>
    </row>
    <row r="42" spans="1:26" ht="12" customHeight="1">
      <c r="A42" s="593" t="str">
        <f>$A$4</f>
        <v>This schedule supersedes and replaces all previously</v>
      </c>
      <c r="B42" s="589"/>
      <c r="C42" s="589"/>
      <c r="D42" s="590"/>
      <c r="E42" s="54"/>
      <c r="F42" s="54"/>
      <c r="G42" s="54"/>
      <c r="H42" s="54"/>
      <c r="I42" s="54"/>
      <c r="J42" s="54"/>
      <c r="K42" s="54"/>
      <c r="L42" s="54"/>
      <c r="M42" s="54"/>
      <c r="N42" s="54"/>
      <c r="O42" s="54"/>
      <c r="P42" s="54"/>
      <c r="Q42" s="54"/>
      <c r="R42" s="54"/>
      <c r="S42" s="54"/>
      <c r="T42" s="54"/>
      <c r="U42" s="54"/>
      <c r="V42" s="54"/>
      <c r="W42" s="54"/>
      <c r="X42" s="54"/>
      <c r="Y42" s="54"/>
      <c r="Z42" s="54"/>
    </row>
    <row r="43" spans="1:26" ht="11.25" customHeight="1">
      <c r="A43" s="593" t="str">
        <f>$A$5</f>
        <v>approved schedules of Rates, Charges and Loss Factors</v>
      </c>
      <c r="B43" s="589"/>
      <c r="C43" s="589"/>
      <c r="D43" s="590"/>
      <c r="E43" s="54"/>
      <c r="F43" s="54"/>
      <c r="G43" s="54"/>
      <c r="H43" s="54"/>
      <c r="I43" s="54"/>
      <c r="J43" s="54"/>
      <c r="K43" s="54"/>
      <c r="L43" s="54"/>
      <c r="M43" s="54"/>
      <c r="N43" s="54"/>
      <c r="O43" s="54"/>
      <c r="P43" s="54"/>
      <c r="Q43" s="54"/>
      <c r="R43" s="54"/>
      <c r="S43" s="54"/>
      <c r="T43" s="54"/>
      <c r="U43" s="54"/>
      <c r="V43" s="54"/>
      <c r="W43" s="54"/>
      <c r="X43" s="54"/>
      <c r="Y43" s="54"/>
      <c r="Z43" s="54"/>
    </row>
    <row r="44" spans="1:26" ht="11.25" customHeight="1">
      <c r="A44" s="594" t="str">
        <f>$A$6</f>
        <v>EB-2024-0115</v>
      </c>
      <c r="B44" s="589"/>
      <c r="C44" s="589"/>
      <c r="D44" s="590"/>
      <c r="E44" s="54"/>
      <c r="F44" s="54"/>
      <c r="G44" s="54"/>
      <c r="H44" s="54"/>
      <c r="I44" s="54"/>
      <c r="J44" s="54"/>
      <c r="K44" s="54"/>
      <c r="L44" s="54"/>
      <c r="M44" s="54"/>
      <c r="N44" s="54"/>
      <c r="O44" s="54"/>
      <c r="P44" s="54"/>
      <c r="Q44" s="54"/>
      <c r="R44" s="54"/>
      <c r="S44" s="54"/>
      <c r="T44" s="54"/>
      <c r="U44" s="54"/>
      <c r="V44" s="54"/>
      <c r="W44" s="54"/>
      <c r="X44" s="54"/>
      <c r="Y44" s="54"/>
      <c r="Z44" s="54"/>
    </row>
    <row r="45" spans="1:26" ht="18.75" customHeight="1">
      <c r="A45" s="595" t="s">
        <v>59</v>
      </c>
      <c r="B45" s="589"/>
      <c r="C45" s="589"/>
      <c r="D45" s="590"/>
      <c r="E45" s="76"/>
      <c r="F45" s="76"/>
      <c r="G45" s="76"/>
      <c r="H45" s="76"/>
      <c r="I45" s="76"/>
      <c r="J45" s="76"/>
      <c r="K45" s="76"/>
      <c r="L45" s="76"/>
      <c r="M45" s="76"/>
      <c r="N45" s="76"/>
      <c r="O45" s="76"/>
      <c r="P45" s="76"/>
      <c r="Q45" s="76"/>
      <c r="R45" s="76"/>
      <c r="S45" s="76"/>
      <c r="T45" s="76"/>
      <c r="U45" s="76"/>
      <c r="V45" s="76"/>
      <c r="W45" s="76"/>
      <c r="X45" s="76"/>
      <c r="Y45" s="76"/>
      <c r="Z45" s="76"/>
    </row>
    <row r="46" spans="1:26" ht="48" customHeight="1">
      <c r="A46" s="596" t="s">
        <v>60</v>
      </c>
      <c r="B46" s="589"/>
      <c r="C46" s="589"/>
      <c r="D46" s="590"/>
      <c r="E46" s="54"/>
      <c r="F46" s="54"/>
      <c r="G46" s="54"/>
      <c r="H46" s="54"/>
      <c r="I46" s="54"/>
      <c r="J46" s="54"/>
      <c r="K46" s="54"/>
      <c r="L46" s="54"/>
      <c r="M46" s="54"/>
      <c r="N46" s="54"/>
      <c r="O46" s="54"/>
      <c r="P46" s="54"/>
      <c r="Q46" s="54"/>
      <c r="R46" s="54"/>
      <c r="S46" s="54"/>
      <c r="T46" s="54"/>
      <c r="U46" s="54"/>
      <c r="V46" s="54"/>
      <c r="W46" s="54"/>
      <c r="X46" s="54"/>
      <c r="Y46" s="54"/>
      <c r="Z46" s="54"/>
    </row>
    <row r="47" spans="1:26" ht="6.75" customHeight="1">
      <c r="A47" s="55"/>
      <c r="B47" s="55"/>
      <c r="C47" s="55"/>
      <c r="D47" s="56"/>
      <c r="E47" s="54"/>
      <c r="F47" s="54"/>
      <c r="G47" s="54"/>
      <c r="H47" s="54"/>
      <c r="I47" s="54"/>
      <c r="J47" s="54"/>
      <c r="K47" s="54"/>
      <c r="L47" s="54"/>
      <c r="M47" s="54"/>
      <c r="N47" s="54"/>
      <c r="O47" s="54"/>
      <c r="P47" s="54"/>
      <c r="Q47" s="54"/>
      <c r="R47" s="54"/>
      <c r="S47" s="54"/>
      <c r="T47" s="54"/>
      <c r="U47" s="54"/>
      <c r="V47" s="54"/>
      <c r="W47" s="54"/>
      <c r="X47" s="54"/>
      <c r="Y47" s="54"/>
      <c r="Z47" s="54"/>
    </row>
    <row r="48" spans="1:26" ht="11.25" customHeight="1">
      <c r="A48" s="597" t="s">
        <v>35</v>
      </c>
      <c r="B48" s="589"/>
      <c r="C48" s="589"/>
      <c r="D48" s="590"/>
      <c r="E48" s="54"/>
      <c r="F48" s="54"/>
      <c r="G48" s="54"/>
      <c r="H48" s="54"/>
      <c r="I48" s="54"/>
      <c r="J48" s="54"/>
      <c r="K48" s="54"/>
      <c r="L48" s="54"/>
      <c r="M48" s="54"/>
      <c r="N48" s="54"/>
      <c r="O48" s="54"/>
      <c r="P48" s="54"/>
      <c r="Q48" s="54"/>
      <c r="R48" s="54"/>
      <c r="S48" s="54"/>
      <c r="T48" s="54"/>
      <c r="U48" s="54"/>
      <c r="V48" s="54"/>
      <c r="W48" s="54"/>
      <c r="X48" s="54"/>
      <c r="Y48" s="54"/>
      <c r="Z48" s="54"/>
    </row>
    <row r="49" spans="1:26" ht="6.75" customHeight="1">
      <c r="A49" s="57"/>
      <c r="B49" s="58"/>
      <c r="C49" s="58"/>
      <c r="D49" s="59"/>
      <c r="E49" s="54"/>
      <c r="F49" s="54"/>
      <c r="G49" s="54"/>
      <c r="H49" s="54"/>
      <c r="I49" s="54"/>
      <c r="J49" s="54"/>
      <c r="K49" s="54"/>
      <c r="L49" s="54"/>
      <c r="M49" s="54"/>
      <c r="N49" s="54"/>
      <c r="O49" s="54"/>
      <c r="P49" s="54"/>
      <c r="Q49" s="54"/>
      <c r="R49" s="54"/>
      <c r="S49" s="54"/>
      <c r="T49" s="54"/>
      <c r="U49" s="54"/>
      <c r="V49" s="54"/>
      <c r="W49" s="54"/>
      <c r="X49" s="54"/>
      <c r="Y49" s="54"/>
      <c r="Z49" s="54"/>
    </row>
    <row r="50" spans="1:26" ht="36" customHeight="1">
      <c r="A50" s="596" t="s">
        <v>36</v>
      </c>
      <c r="B50" s="589"/>
      <c r="C50" s="589"/>
      <c r="D50" s="590"/>
      <c r="E50" s="54"/>
      <c r="F50" s="54"/>
      <c r="G50" s="54"/>
      <c r="H50" s="54"/>
      <c r="I50" s="54"/>
      <c r="J50" s="54"/>
      <c r="K50" s="54"/>
      <c r="L50" s="54"/>
      <c r="M50" s="54"/>
      <c r="N50" s="54"/>
      <c r="O50" s="54"/>
      <c r="P50" s="54"/>
      <c r="Q50" s="54"/>
      <c r="R50" s="54"/>
      <c r="S50" s="54"/>
      <c r="T50" s="54"/>
      <c r="U50" s="54"/>
      <c r="V50" s="54"/>
      <c r="W50" s="54"/>
      <c r="X50" s="54"/>
      <c r="Y50" s="54"/>
      <c r="Z50" s="54"/>
    </row>
    <row r="51" spans="1:26" ht="6.75" customHeight="1">
      <c r="A51" s="55"/>
      <c r="B51" s="55"/>
      <c r="C51" s="55"/>
      <c r="D51" s="56"/>
      <c r="E51" s="54"/>
      <c r="F51" s="54"/>
      <c r="G51" s="54"/>
      <c r="H51" s="54"/>
      <c r="I51" s="54"/>
      <c r="J51" s="54"/>
      <c r="K51" s="54"/>
      <c r="L51" s="54"/>
      <c r="M51" s="54"/>
      <c r="N51" s="54"/>
      <c r="O51" s="54"/>
      <c r="P51" s="54"/>
      <c r="Q51" s="54"/>
      <c r="R51" s="54"/>
      <c r="S51" s="54"/>
      <c r="T51" s="54"/>
      <c r="U51" s="54"/>
      <c r="V51" s="54"/>
      <c r="W51" s="54"/>
      <c r="X51" s="54"/>
      <c r="Y51" s="54"/>
      <c r="Z51" s="54"/>
    </row>
    <row r="52" spans="1:26" ht="48" customHeight="1">
      <c r="A52" s="596" t="s">
        <v>37</v>
      </c>
      <c r="B52" s="589"/>
      <c r="C52" s="589"/>
      <c r="D52" s="590"/>
      <c r="E52" s="54"/>
      <c r="F52" s="54"/>
      <c r="G52" s="54"/>
      <c r="H52" s="54"/>
      <c r="I52" s="54"/>
      <c r="J52" s="54"/>
      <c r="K52" s="54"/>
      <c r="L52" s="54"/>
      <c r="M52" s="54"/>
      <c r="N52" s="54"/>
      <c r="O52" s="54"/>
      <c r="P52" s="54"/>
      <c r="Q52" s="54"/>
      <c r="R52" s="54"/>
      <c r="S52" s="54"/>
      <c r="T52" s="54"/>
      <c r="U52" s="54"/>
      <c r="V52" s="54"/>
      <c r="W52" s="54"/>
      <c r="X52" s="54"/>
      <c r="Y52" s="54"/>
      <c r="Z52" s="54"/>
    </row>
    <row r="53" spans="1:26" ht="6.75" customHeight="1">
      <c r="A53" s="55"/>
      <c r="B53" s="55"/>
      <c r="C53" s="55"/>
      <c r="D53" s="56"/>
      <c r="E53" s="54"/>
      <c r="F53" s="54"/>
      <c r="G53" s="54"/>
      <c r="H53" s="54"/>
      <c r="I53" s="54"/>
      <c r="J53" s="54"/>
      <c r="K53" s="54"/>
      <c r="L53" s="54"/>
      <c r="M53" s="54"/>
      <c r="N53" s="54"/>
      <c r="O53" s="54"/>
      <c r="P53" s="54"/>
      <c r="Q53" s="54"/>
      <c r="R53" s="54"/>
      <c r="S53" s="54"/>
      <c r="T53" s="54"/>
      <c r="U53" s="54"/>
      <c r="V53" s="54"/>
      <c r="W53" s="54"/>
      <c r="X53" s="54"/>
      <c r="Y53" s="54"/>
      <c r="Z53" s="54"/>
    </row>
    <row r="54" spans="1:26" ht="48" customHeight="1">
      <c r="A54" s="596" t="s">
        <v>38</v>
      </c>
      <c r="B54" s="589"/>
      <c r="C54" s="589"/>
      <c r="D54" s="590"/>
      <c r="E54" s="54"/>
      <c r="F54" s="54"/>
      <c r="G54" s="54"/>
      <c r="H54" s="54"/>
      <c r="I54" s="54"/>
      <c r="J54" s="54"/>
      <c r="K54" s="54"/>
      <c r="L54" s="54"/>
      <c r="M54" s="54"/>
      <c r="N54" s="54"/>
      <c r="O54" s="54"/>
      <c r="P54" s="54"/>
      <c r="Q54" s="54"/>
      <c r="R54" s="54"/>
      <c r="S54" s="54"/>
      <c r="T54" s="54"/>
      <c r="U54" s="54"/>
      <c r="V54" s="54"/>
      <c r="W54" s="54"/>
      <c r="X54" s="54"/>
      <c r="Y54" s="54"/>
      <c r="Z54" s="54"/>
    </row>
    <row r="55" spans="1:26" ht="6.75" customHeight="1">
      <c r="A55" s="55"/>
      <c r="B55" s="55"/>
      <c r="C55" s="55"/>
      <c r="D55" s="56"/>
      <c r="E55" s="54"/>
      <c r="F55" s="54"/>
      <c r="G55" s="54"/>
      <c r="H55" s="54"/>
      <c r="I55" s="54"/>
      <c r="J55" s="54"/>
      <c r="K55" s="54"/>
      <c r="L55" s="54"/>
      <c r="M55" s="54"/>
      <c r="N55" s="54"/>
      <c r="O55" s="54"/>
      <c r="P55" s="54"/>
      <c r="Q55" s="54"/>
      <c r="R55" s="54"/>
      <c r="S55" s="54"/>
      <c r="T55" s="54"/>
      <c r="U55" s="54"/>
      <c r="V55" s="54"/>
      <c r="W55" s="54"/>
      <c r="X55" s="54"/>
      <c r="Y55" s="54"/>
      <c r="Z55" s="54"/>
    </row>
    <row r="56" spans="1:26" ht="36" customHeight="1">
      <c r="A56" s="596" t="s">
        <v>61</v>
      </c>
      <c r="B56" s="589"/>
      <c r="C56" s="589"/>
      <c r="D56" s="590"/>
      <c r="E56" s="54"/>
      <c r="F56" s="54"/>
      <c r="G56" s="54"/>
      <c r="H56" s="54"/>
      <c r="I56" s="54"/>
      <c r="J56" s="54"/>
      <c r="K56" s="54"/>
      <c r="L56" s="54"/>
      <c r="M56" s="54"/>
      <c r="N56" s="54"/>
      <c r="O56" s="54"/>
      <c r="P56" s="54"/>
      <c r="Q56" s="54"/>
      <c r="R56" s="54"/>
      <c r="S56" s="54"/>
      <c r="T56" s="54"/>
      <c r="U56" s="54"/>
      <c r="V56" s="54"/>
      <c r="W56" s="54"/>
      <c r="X56" s="54"/>
      <c r="Y56" s="54"/>
      <c r="Z56" s="54"/>
    </row>
    <row r="57" spans="1:26" ht="6.75" customHeight="1">
      <c r="A57" s="55"/>
      <c r="B57" s="55"/>
      <c r="C57" s="55"/>
      <c r="D57" s="56"/>
      <c r="E57" s="54"/>
      <c r="F57" s="54"/>
      <c r="G57" s="54"/>
      <c r="H57" s="54"/>
      <c r="I57" s="54"/>
      <c r="J57" s="54"/>
      <c r="K57" s="54"/>
      <c r="L57" s="54"/>
      <c r="M57" s="54"/>
      <c r="N57" s="54"/>
      <c r="O57" s="54"/>
      <c r="P57" s="54"/>
      <c r="Q57" s="54"/>
      <c r="R57" s="54"/>
      <c r="S57" s="54"/>
      <c r="T57" s="54"/>
      <c r="U57" s="54"/>
      <c r="V57" s="54"/>
      <c r="W57" s="54"/>
      <c r="X57" s="54"/>
      <c r="Y57" s="54"/>
      <c r="Z57" s="54"/>
    </row>
    <row r="58" spans="1:26" ht="15" customHeight="1">
      <c r="A58" s="75" t="s">
        <v>40</v>
      </c>
      <c r="B58" s="64"/>
      <c r="C58" s="64"/>
      <c r="D58" s="64"/>
      <c r="E58" s="54"/>
      <c r="F58" s="54"/>
      <c r="G58" s="54"/>
      <c r="H58" s="54"/>
      <c r="I58" s="54"/>
      <c r="J58" s="54"/>
      <c r="K58" s="54"/>
      <c r="L58" s="54"/>
      <c r="M58" s="54"/>
      <c r="N58" s="54"/>
      <c r="O58" s="54"/>
      <c r="P58" s="54"/>
      <c r="Q58" s="54"/>
      <c r="R58" s="54"/>
      <c r="S58" s="54"/>
      <c r="T58" s="54"/>
      <c r="U58" s="54"/>
      <c r="V58" s="54"/>
      <c r="W58" s="54"/>
      <c r="X58" s="54"/>
      <c r="Y58" s="54"/>
      <c r="Z58" s="54"/>
    </row>
    <row r="59" spans="1:26" ht="6.75" customHeight="1">
      <c r="A59" s="60"/>
      <c r="B59" s="61"/>
      <c r="C59" s="61"/>
      <c r="D59" s="62"/>
      <c r="E59" s="54"/>
      <c r="F59" s="54"/>
      <c r="G59" s="54"/>
      <c r="H59" s="54"/>
      <c r="I59" s="54"/>
      <c r="J59" s="54"/>
      <c r="K59" s="54"/>
      <c r="L59" s="54"/>
      <c r="M59" s="54"/>
      <c r="N59" s="54"/>
      <c r="O59" s="54"/>
      <c r="P59" s="54"/>
      <c r="Q59" s="54"/>
      <c r="R59" s="54"/>
      <c r="S59" s="54"/>
      <c r="T59" s="54"/>
      <c r="U59" s="54"/>
      <c r="V59" s="54"/>
      <c r="W59" s="54"/>
      <c r="X59" s="54"/>
      <c r="Y59" s="54"/>
      <c r="Z59" s="54"/>
    </row>
    <row r="60" spans="1:26" ht="10.5" customHeight="1">
      <c r="A60" s="63" t="s">
        <v>41</v>
      </c>
      <c r="B60" s="64"/>
      <c r="C60" s="65" t="s">
        <v>42</v>
      </c>
      <c r="D60" s="290">
        <f>'Proposed Rates'!J9</f>
        <v>30.21</v>
      </c>
      <c r="E60" s="54"/>
      <c r="F60" s="54"/>
      <c r="G60" s="54"/>
      <c r="H60" s="54"/>
      <c r="I60" s="54"/>
      <c r="J60" s="54"/>
      <c r="K60" s="54"/>
      <c r="L60" s="54"/>
      <c r="M60" s="54"/>
      <c r="N60" s="54"/>
      <c r="O60" s="54"/>
      <c r="P60" s="54"/>
      <c r="Q60" s="54"/>
      <c r="R60" s="54"/>
      <c r="S60" s="54"/>
      <c r="T60" s="54"/>
      <c r="U60" s="54"/>
      <c r="V60" s="54"/>
      <c r="W60" s="54"/>
      <c r="X60" s="54"/>
      <c r="Y60" s="54"/>
      <c r="Z60" s="54"/>
    </row>
    <row r="61" spans="1:26" ht="10.5" customHeight="1">
      <c r="A61" s="63" t="s">
        <v>46</v>
      </c>
      <c r="B61" s="64"/>
      <c r="C61" s="65" t="s">
        <v>42</v>
      </c>
      <c r="D61" s="292">
        <f>'Proposed Rates'!J281</f>
        <v>0.45</v>
      </c>
      <c r="E61" s="54"/>
      <c r="F61" s="54"/>
      <c r="G61" s="54"/>
      <c r="H61" s="54"/>
      <c r="I61" s="54"/>
      <c r="J61" s="54"/>
      <c r="K61" s="54"/>
      <c r="L61" s="54"/>
      <c r="M61" s="54"/>
      <c r="N61" s="54"/>
      <c r="O61" s="54"/>
      <c r="P61" s="54"/>
      <c r="Q61" s="54"/>
      <c r="R61" s="54"/>
      <c r="S61" s="54"/>
      <c r="T61" s="54"/>
      <c r="U61" s="54"/>
      <c r="V61" s="54"/>
      <c r="W61" s="54"/>
      <c r="X61" s="54"/>
      <c r="Y61" s="54"/>
      <c r="Z61" s="54"/>
    </row>
    <row r="62" spans="1:26" ht="10.5" customHeight="1">
      <c r="A62" s="63" t="s">
        <v>62</v>
      </c>
      <c r="B62" s="64"/>
      <c r="C62" s="65" t="s">
        <v>48</v>
      </c>
      <c r="D62" s="291">
        <f>'Proposed Rates'!J22</f>
        <v>3.9100000000000003E-2</v>
      </c>
      <c r="E62" s="54"/>
      <c r="F62" s="54"/>
      <c r="G62" s="54"/>
      <c r="H62" s="54"/>
      <c r="I62" s="54"/>
      <c r="J62" s="54"/>
      <c r="K62" s="54"/>
      <c r="L62" s="54"/>
      <c r="M62" s="54"/>
      <c r="N62" s="54"/>
      <c r="O62" s="54"/>
      <c r="P62" s="54"/>
      <c r="Q62" s="54"/>
      <c r="R62" s="54"/>
      <c r="S62" s="54"/>
      <c r="T62" s="54"/>
      <c r="U62" s="54"/>
      <c r="V62" s="54"/>
      <c r="W62" s="54"/>
      <c r="X62" s="54"/>
      <c r="Y62" s="54"/>
      <c r="Z62" s="54"/>
    </row>
    <row r="63" spans="1:26" ht="10.5" customHeight="1">
      <c r="A63" s="63" t="s">
        <v>47</v>
      </c>
      <c r="B63" s="64"/>
      <c r="C63" s="65" t="s">
        <v>48</v>
      </c>
      <c r="D63" s="293">
        <f>'Proposed Rates'!J268</f>
        <v>6.0000000000000002E-5</v>
      </c>
      <c r="E63" s="54"/>
      <c r="F63" s="54"/>
      <c r="G63" s="54"/>
      <c r="H63" s="54"/>
      <c r="I63" s="54"/>
      <c r="J63" s="54"/>
      <c r="K63" s="54"/>
      <c r="L63" s="54"/>
      <c r="M63" s="54"/>
      <c r="N63" s="54"/>
      <c r="O63" s="54"/>
      <c r="P63" s="54"/>
      <c r="Q63" s="54"/>
      <c r="R63" s="54"/>
      <c r="S63" s="54"/>
      <c r="T63" s="54"/>
      <c r="U63" s="54"/>
      <c r="V63" s="54"/>
      <c r="W63" s="54"/>
      <c r="X63" s="54"/>
      <c r="Y63" s="54"/>
      <c r="Z63" s="54"/>
    </row>
    <row r="64" spans="1:26" ht="10.5" customHeight="1">
      <c r="A64" s="63" t="s">
        <v>49</v>
      </c>
      <c r="B64" s="64"/>
      <c r="C64" s="65" t="s">
        <v>48</v>
      </c>
      <c r="D64" s="291">
        <f>'Proposed Rates'!J38</f>
        <v>0</v>
      </c>
      <c r="E64" s="54"/>
      <c r="F64" s="54"/>
      <c r="G64" s="54"/>
      <c r="H64" s="54"/>
      <c r="I64" s="54"/>
      <c r="J64" s="54"/>
      <c r="K64" s="54"/>
      <c r="L64" s="54"/>
      <c r="M64" s="54"/>
      <c r="N64" s="54"/>
      <c r="O64" s="54"/>
      <c r="P64" s="54"/>
      <c r="Q64" s="54"/>
      <c r="R64" s="54"/>
      <c r="S64" s="54"/>
      <c r="T64" s="54"/>
      <c r="U64" s="54"/>
      <c r="V64" s="54"/>
      <c r="W64" s="54"/>
      <c r="X64" s="54"/>
      <c r="Y64" s="54"/>
      <c r="Z64" s="54"/>
    </row>
    <row r="65" spans="1:26" ht="10.5" customHeight="1">
      <c r="A65" s="63" t="s">
        <v>45</v>
      </c>
      <c r="B65" s="64"/>
      <c r="C65" s="65" t="s">
        <v>48</v>
      </c>
      <c r="D65" s="291">
        <f>'Proposed Rates'!J65</f>
        <v>0</v>
      </c>
      <c r="E65" s="54"/>
      <c r="F65" s="54"/>
      <c r="G65" s="54"/>
      <c r="H65" s="54"/>
      <c r="I65" s="54"/>
      <c r="J65" s="54"/>
      <c r="K65" s="54"/>
      <c r="L65" s="54"/>
      <c r="M65" s="54"/>
      <c r="N65" s="54"/>
      <c r="O65" s="54"/>
      <c r="P65" s="54"/>
      <c r="Q65" s="54"/>
      <c r="R65" s="54"/>
      <c r="S65" s="54"/>
      <c r="T65" s="54"/>
      <c r="U65" s="54"/>
      <c r="V65" s="54"/>
      <c r="W65" s="54"/>
      <c r="X65" s="54"/>
      <c r="Y65" s="54"/>
      <c r="Z65" s="54"/>
    </row>
    <row r="66" spans="1:26" ht="10.5" customHeight="1">
      <c r="A66" s="63" t="s">
        <v>44</v>
      </c>
      <c r="B66" s="64"/>
      <c r="C66" s="65" t="s">
        <v>48</v>
      </c>
      <c r="D66" s="291">
        <f>'Proposed Rates'!J91</f>
        <v>0</v>
      </c>
      <c r="E66" s="54"/>
      <c r="F66" s="54"/>
      <c r="G66" s="54"/>
      <c r="H66" s="54"/>
      <c r="I66" s="54"/>
      <c r="J66" s="54"/>
      <c r="K66" s="54"/>
      <c r="L66" s="54"/>
      <c r="M66" s="54"/>
      <c r="N66" s="54"/>
      <c r="O66" s="54"/>
      <c r="P66" s="54"/>
      <c r="Q66" s="54"/>
      <c r="R66" s="54"/>
      <c r="S66" s="54"/>
      <c r="T66" s="54"/>
      <c r="U66" s="54"/>
      <c r="V66" s="54"/>
      <c r="W66" s="54"/>
      <c r="X66" s="54"/>
      <c r="Y66" s="54"/>
      <c r="Z66" s="54"/>
    </row>
    <row r="67" spans="1:26" ht="10.5" customHeight="1">
      <c r="A67" s="63" t="s">
        <v>233</v>
      </c>
      <c r="B67" s="64"/>
      <c r="C67" s="65" t="s">
        <v>48</v>
      </c>
      <c r="D67" s="291">
        <f>'Proposed Rates'!J146</f>
        <v>0</v>
      </c>
      <c r="E67" s="54"/>
      <c r="F67" s="54"/>
      <c r="G67" s="54"/>
      <c r="H67" s="54"/>
      <c r="I67" s="54"/>
      <c r="J67" s="54"/>
      <c r="K67" s="54"/>
      <c r="L67" s="54"/>
      <c r="M67" s="54"/>
      <c r="N67" s="54"/>
      <c r="O67" s="54"/>
      <c r="P67" s="54"/>
      <c r="Q67" s="54"/>
      <c r="R67" s="54"/>
      <c r="S67" s="54"/>
      <c r="T67" s="54"/>
      <c r="U67" s="54"/>
      <c r="V67" s="54"/>
      <c r="W67" s="54"/>
      <c r="X67" s="54"/>
      <c r="Y67" s="54"/>
      <c r="Z67" s="54"/>
    </row>
    <row r="68" spans="1:26" ht="10.5" customHeight="1">
      <c r="A68" s="63" t="s">
        <v>52</v>
      </c>
      <c r="B68" s="64"/>
      <c r="C68" s="65" t="s">
        <v>48</v>
      </c>
      <c r="D68" s="291">
        <f>'Proposed Rates'!J187</f>
        <v>1.0699999999999999E-2</v>
      </c>
      <c r="E68" s="54"/>
      <c r="F68" s="54"/>
      <c r="G68" s="54"/>
      <c r="H68" s="54"/>
      <c r="I68" s="54"/>
      <c r="J68" s="54"/>
      <c r="K68" s="54"/>
      <c r="L68" s="54"/>
      <c r="M68" s="54"/>
      <c r="N68" s="54"/>
      <c r="O68" s="54"/>
      <c r="P68" s="54"/>
      <c r="Q68" s="54"/>
      <c r="R68" s="54"/>
      <c r="S68" s="54"/>
      <c r="T68" s="54"/>
      <c r="U68" s="54"/>
      <c r="V68" s="54"/>
      <c r="W68" s="54"/>
      <c r="X68" s="54"/>
      <c r="Y68" s="54"/>
      <c r="Z68" s="54"/>
    </row>
    <row r="69" spans="1:26" ht="10.5" customHeight="1">
      <c r="A69" s="63" t="s">
        <v>53</v>
      </c>
      <c r="B69" s="63"/>
      <c r="C69" s="65" t="s">
        <v>48</v>
      </c>
      <c r="D69" s="291">
        <f>'Proposed Rates'!J202</f>
        <v>6.1000000000000004E-3</v>
      </c>
      <c r="E69" s="54"/>
      <c r="F69" s="54"/>
      <c r="G69" s="54"/>
      <c r="H69" s="54"/>
      <c r="I69" s="54"/>
      <c r="J69" s="54"/>
      <c r="K69" s="54"/>
      <c r="L69" s="54"/>
      <c r="M69" s="54"/>
      <c r="N69" s="54"/>
      <c r="O69" s="54"/>
      <c r="P69" s="54"/>
      <c r="Q69" s="54"/>
      <c r="R69" s="54"/>
      <c r="S69" s="54"/>
      <c r="T69" s="54"/>
      <c r="U69" s="54"/>
      <c r="V69" s="54"/>
      <c r="W69" s="54"/>
      <c r="X69" s="54"/>
      <c r="Y69" s="54"/>
      <c r="Z69" s="54"/>
    </row>
    <row r="70" spans="1:26" ht="3.75" customHeight="1">
      <c r="A70" s="63"/>
      <c r="B70" s="64"/>
      <c r="C70" s="65"/>
      <c r="D70" s="294"/>
      <c r="E70" s="54"/>
      <c r="F70" s="54"/>
      <c r="G70" s="54"/>
      <c r="H70" s="54"/>
      <c r="I70" s="54"/>
      <c r="J70" s="54"/>
      <c r="K70" s="54"/>
      <c r="L70" s="54"/>
      <c r="M70" s="54"/>
      <c r="N70" s="54"/>
      <c r="O70" s="54"/>
      <c r="P70" s="54"/>
      <c r="Q70" s="54"/>
      <c r="R70" s="54"/>
      <c r="S70" s="54"/>
      <c r="T70" s="54"/>
      <c r="U70" s="54"/>
      <c r="V70" s="54"/>
      <c r="W70" s="54"/>
      <c r="X70" s="54"/>
      <c r="Y70" s="54"/>
      <c r="Z70" s="54"/>
    </row>
    <row r="71" spans="1:26" ht="11.25" customHeight="1">
      <c r="A71" s="75" t="s">
        <v>54</v>
      </c>
      <c r="B71" s="63"/>
      <c r="C71" s="65"/>
      <c r="D71" s="294"/>
      <c r="E71" s="54"/>
      <c r="F71" s="54"/>
      <c r="G71" s="54"/>
      <c r="H71" s="54"/>
      <c r="I71" s="54"/>
      <c r="J71" s="54"/>
      <c r="K71" s="54"/>
      <c r="L71" s="54"/>
      <c r="M71" s="54"/>
      <c r="N71" s="54"/>
      <c r="O71" s="54"/>
      <c r="P71" s="54"/>
      <c r="Q71" s="54"/>
      <c r="R71" s="54"/>
      <c r="S71" s="54"/>
      <c r="T71" s="54"/>
      <c r="U71" s="54"/>
      <c r="V71" s="54"/>
      <c r="W71" s="54"/>
      <c r="X71" s="54"/>
      <c r="Y71" s="54"/>
      <c r="Z71" s="54"/>
    </row>
    <row r="72" spans="1:26" ht="3" customHeight="1">
      <c r="A72" s="75"/>
      <c r="B72" s="64"/>
      <c r="C72" s="65"/>
      <c r="D72" s="294"/>
      <c r="E72" s="54"/>
      <c r="F72" s="54"/>
      <c r="G72" s="54"/>
      <c r="H72" s="54"/>
      <c r="I72" s="54"/>
      <c r="J72" s="54"/>
      <c r="K72" s="54"/>
      <c r="L72" s="54"/>
      <c r="M72" s="54"/>
      <c r="N72" s="54"/>
      <c r="O72" s="54"/>
      <c r="P72" s="54"/>
      <c r="Q72" s="54"/>
      <c r="R72" s="54"/>
      <c r="S72" s="54"/>
      <c r="T72" s="54"/>
      <c r="U72" s="54"/>
      <c r="V72" s="54"/>
      <c r="W72" s="54"/>
      <c r="X72" s="54"/>
      <c r="Y72" s="54"/>
      <c r="Z72" s="54"/>
    </row>
    <row r="73" spans="1:26" ht="10.5" customHeight="1">
      <c r="A73" s="63" t="s">
        <v>55</v>
      </c>
      <c r="B73" s="64"/>
      <c r="C73" s="65" t="s">
        <v>48</v>
      </c>
      <c r="D73" s="291">
        <f>$D$34</f>
        <v>4.1000000000000003E-3</v>
      </c>
      <c r="E73" s="54"/>
      <c r="F73" s="54"/>
      <c r="G73" s="54"/>
      <c r="H73" s="54"/>
      <c r="I73" s="54"/>
      <c r="J73" s="54"/>
      <c r="K73" s="54"/>
      <c r="L73" s="54"/>
      <c r="M73" s="54"/>
      <c r="N73" s="54"/>
      <c r="O73" s="54"/>
      <c r="P73" s="54"/>
      <c r="Q73" s="54"/>
      <c r="R73" s="54"/>
      <c r="S73" s="54"/>
      <c r="T73" s="54"/>
      <c r="U73" s="54"/>
      <c r="V73" s="54"/>
      <c r="W73" s="54"/>
      <c r="X73" s="54"/>
      <c r="Y73" s="54"/>
      <c r="Z73" s="54"/>
    </row>
    <row r="74" spans="1:26" ht="10.5" customHeight="1">
      <c r="A74" s="63" t="s">
        <v>56</v>
      </c>
      <c r="B74" s="64"/>
      <c r="C74" s="65" t="s">
        <v>48</v>
      </c>
      <c r="D74" s="291">
        <f>'Proposed Rates'!J217-'2026'!D80</f>
        <v>5.9999999999999984E-4</v>
      </c>
      <c r="E74" s="54"/>
      <c r="F74" s="54"/>
      <c r="G74" s="54"/>
      <c r="H74" s="54"/>
      <c r="I74" s="54"/>
      <c r="J74" s="54"/>
      <c r="K74" s="54"/>
      <c r="L74" s="54"/>
      <c r="M74" s="54"/>
      <c r="N74" s="54"/>
      <c r="O74" s="54"/>
      <c r="P74" s="54"/>
      <c r="Q74" s="54"/>
      <c r="R74" s="54"/>
      <c r="S74" s="54"/>
      <c r="T74" s="54"/>
      <c r="U74" s="54"/>
      <c r="V74" s="54"/>
      <c r="W74" s="54"/>
      <c r="X74" s="54"/>
      <c r="Y74" s="54"/>
      <c r="Z74" s="54"/>
    </row>
    <row r="75" spans="1:26" ht="10.5" customHeight="1">
      <c r="A75" s="63" t="s">
        <v>57</v>
      </c>
      <c r="B75" s="64"/>
      <c r="C75" s="65" t="s">
        <v>48</v>
      </c>
      <c r="D75" s="291">
        <f>'Proposed Rates'!J230</f>
        <v>5.9999999999999995E-4</v>
      </c>
      <c r="E75" s="54"/>
      <c r="F75" s="54"/>
      <c r="G75" s="54"/>
      <c r="H75" s="54"/>
      <c r="I75" s="54"/>
      <c r="J75" s="54"/>
      <c r="K75" s="54"/>
      <c r="L75" s="54"/>
      <c r="M75" s="54"/>
      <c r="N75" s="54"/>
      <c r="O75" s="54"/>
      <c r="P75" s="54"/>
      <c r="Q75" s="54"/>
      <c r="R75" s="54"/>
      <c r="S75" s="54"/>
      <c r="T75" s="54"/>
      <c r="U75" s="54"/>
      <c r="V75" s="54"/>
      <c r="W75" s="54"/>
      <c r="X75" s="54"/>
      <c r="Y75" s="54"/>
      <c r="Z75" s="54"/>
    </row>
    <row r="76" spans="1:26" ht="10.5" customHeight="1">
      <c r="A76" s="63" t="s">
        <v>58</v>
      </c>
      <c r="B76" s="64"/>
      <c r="C76" s="65" t="s">
        <v>42</v>
      </c>
      <c r="D76" s="291">
        <f>'Proposed Rates'!J244</f>
        <v>0.25</v>
      </c>
      <c r="E76" s="54"/>
      <c r="F76" s="54"/>
      <c r="G76" s="54"/>
      <c r="H76" s="54"/>
      <c r="I76" s="54"/>
      <c r="J76" s="54"/>
      <c r="K76" s="54"/>
      <c r="L76" s="54"/>
      <c r="M76" s="54"/>
      <c r="N76" s="54"/>
      <c r="O76" s="54"/>
      <c r="P76" s="54"/>
      <c r="Q76" s="54"/>
      <c r="R76" s="54"/>
      <c r="S76" s="54"/>
      <c r="T76" s="54"/>
      <c r="U76" s="54"/>
      <c r="V76" s="54"/>
      <c r="W76" s="54"/>
      <c r="X76" s="54"/>
      <c r="Y76" s="54"/>
      <c r="Z76" s="54"/>
    </row>
    <row r="77" spans="1:26" ht="3.75" customHeight="1">
      <c r="A77" s="89"/>
      <c r="B77" s="64"/>
      <c r="C77" s="65"/>
      <c r="D77" s="74"/>
      <c r="E77" s="54"/>
      <c r="F77" s="54"/>
      <c r="G77" s="54"/>
      <c r="H77" s="54"/>
      <c r="I77" s="54"/>
      <c r="J77" s="54"/>
      <c r="K77" s="54"/>
      <c r="L77" s="54"/>
      <c r="M77" s="54"/>
      <c r="N77" s="54"/>
      <c r="O77" s="54"/>
      <c r="P77" s="54"/>
      <c r="Q77" s="54"/>
      <c r="R77" s="54"/>
      <c r="S77" s="54"/>
      <c r="T77" s="54"/>
      <c r="U77" s="54"/>
      <c r="V77" s="54"/>
      <c r="W77" s="54"/>
      <c r="X77" s="54"/>
      <c r="Y77" s="54"/>
      <c r="Z77" s="54"/>
    </row>
    <row r="78" spans="1:26" ht="24" customHeight="1">
      <c r="A78" s="588" t="str">
        <f>$A$1</f>
        <v>Hydro Ottawa Limited</v>
      </c>
      <c r="B78" s="589"/>
      <c r="C78" s="589"/>
      <c r="D78" s="590"/>
      <c r="E78" s="54"/>
      <c r="F78" s="54"/>
      <c r="G78" s="54"/>
      <c r="H78" s="54"/>
      <c r="I78" s="54"/>
      <c r="J78" s="54"/>
      <c r="K78" s="54"/>
      <c r="L78" s="54"/>
      <c r="M78" s="54"/>
      <c r="N78" s="54"/>
      <c r="O78" s="54"/>
      <c r="P78" s="54"/>
      <c r="Q78" s="54"/>
      <c r="R78" s="54"/>
      <c r="S78" s="54"/>
      <c r="T78" s="54"/>
      <c r="U78" s="54"/>
      <c r="V78" s="54"/>
      <c r="W78" s="54"/>
      <c r="X78" s="54"/>
      <c r="Y78" s="54"/>
      <c r="Z78" s="54"/>
    </row>
    <row r="79" spans="1:26" ht="15.75" customHeight="1">
      <c r="A79" s="591" t="str">
        <f>$A$2</f>
        <v>PROPOSED - TARIFF OF RATES AND CHARGES</v>
      </c>
      <c r="B79" s="589"/>
      <c r="C79" s="589"/>
      <c r="D79" s="590"/>
      <c r="E79" s="54"/>
      <c r="F79" s="54"/>
      <c r="G79" s="54"/>
      <c r="H79" s="54"/>
      <c r="I79" s="54"/>
      <c r="J79" s="54"/>
      <c r="K79" s="54"/>
      <c r="L79" s="54"/>
      <c r="M79" s="54"/>
      <c r="N79" s="54"/>
      <c r="O79" s="54"/>
      <c r="P79" s="54"/>
      <c r="Q79" s="54"/>
      <c r="R79" s="54"/>
      <c r="S79" s="54"/>
      <c r="T79" s="54"/>
      <c r="U79" s="54"/>
      <c r="V79" s="54"/>
      <c r="W79" s="54"/>
      <c r="X79" s="54"/>
      <c r="Y79" s="54"/>
      <c r="Z79" s="54"/>
    </row>
    <row r="80" spans="1:26" ht="15.75" customHeight="1">
      <c r="A80" s="592" t="str">
        <f>$A$3</f>
        <v>Effective and Implementation Date January 1, 2030</v>
      </c>
      <c r="B80" s="589"/>
      <c r="C80" s="589"/>
      <c r="D80" s="590"/>
      <c r="E80" s="54"/>
      <c r="F80" s="54"/>
      <c r="G80" s="54"/>
      <c r="H80" s="54"/>
      <c r="I80" s="54"/>
      <c r="J80" s="54"/>
      <c r="K80" s="54"/>
      <c r="L80" s="54"/>
      <c r="M80" s="54"/>
      <c r="N80" s="54"/>
      <c r="O80" s="54"/>
      <c r="P80" s="54"/>
      <c r="Q80" s="54"/>
      <c r="R80" s="54"/>
      <c r="S80" s="54"/>
      <c r="T80" s="54"/>
      <c r="U80" s="54"/>
      <c r="V80" s="54"/>
      <c r="W80" s="54"/>
      <c r="X80" s="54"/>
      <c r="Y80" s="54"/>
      <c r="Z80" s="54"/>
    </row>
    <row r="81" spans="1:26" ht="12" customHeight="1">
      <c r="A81" s="593" t="str">
        <f>$A$4</f>
        <v>This schedule supersedes and replaces all previously</v>
      </c>
      <c r="B81" s="589"/>
      <c r="C81" s="589"/>
      <c r="D81" s="590"/>
      <c r="E81" s="54"/>
      <c r="F81" s="54"/>
      <c r="G81" s="54"/>
      <c r="H81" s="54"/>
      <c r="I81" s="54"/>
      <c r="J81" s="54"/>
      <c r="K81" s="54"/>
      <c r="L81" s="54"/>
      <c r="M81" s="54"/>
      <c r="N81" s="54"/>
      <c r="O81" s="54"/>
      <c r="P81" s="54"/>
      <c r="Q81" s="54"/>
      <c r="R81" s="54"/>
      <c r="S81" s="54"/>
      <c r="T81" s="54"/>
      <c r="U81" s="54"/>
      <c r="V81" s="54"/>
      <c r="W81" s="54"/>
      <c r="X81" s="54"/>
      <c r="Y81" s="54"/>
      <c r="Z81" s="54"/>
    </row>
    <row r="82" spans="1:26" ht="11.25" customHeight="1">
      <c r="A82" s="593" t="str">
        <f>$A$5</f>
        <v>approved schedules of Rates, Charges and Loss Factors</v>
      </c>
      <c r="B82" s="589"/>
      <c r="C82" s="589"/>
      <c r="D82" s="590"/>
      <c r="E82" s="54"/>
      <c r="F82" s="54"/>
      <c r="G82" s="54"/>
      <c r="H82" s="54"/>
      <c r="I82" s="54"/>
      <c r="J82" s="54"/>
      <c r="K82" s="54"/>
      <c r="L82" s="54"/>
      <c r="M82" s="54"/>
      <c r="N82" s="54"/>
      <c r="O82" s="54"/>
      <c r="P82" s="54"/>
      <c r="Q82" s="54"/>
      <c r="R82" s="54"/>
      <c r="S82" s="54"/>
      <c r="T82" s="54"/>
      <c r="U82" s="54"/>
      <c r="V82" s="54"/>
      <c r="W82" s="54"/>
      <c r="X82" s="54"/>
      <c r="Y82" s="54"/>
      <c r="Z82" s="54"/>
    </row>
    <row r="83" spans="1:26" ht="11.25" customHeight="1">
      <c r="A83" s="594" t="str">
        <f>$A$6</f>
        <v>EB-2024-0115</v>
      </c>
      <c r="B83" s="589"/>
      <c r="C83" s="589"/>
      <c r="D83" s="590"/>
      <c r="E83" s="54"/>
      <c r="F83" s="54"/>
      <c r="G83" s="54"/>
      <c r="H83" s="54"/>
      <c r="I83" s="54"/>
      <c r="J83" s="54"/>
      <c r="K83" s="54"/>
      <c r="L83" s="54"/>
      <c r="M83" s="54"/>
      <c r="N83" s="54"/>
      <c r="O83" s="54"/>
      <c r="P83" s="54"/>
      <c r="Q83" s="54"/>
      <c r="R83" s="54"/>
      <c r="S83" s="54"/>
      <c r="T83" s="54"/>
      <c r="U83" s="54"/>
      <c r="V83" s="54"/>
      <c r="W83" s="54"/>
      <c r="X83" s="54"/>
      <c r="Y83" s="54"/>
      <c r="Z83" s="54"/>
    </row>
    <row r="84" spans="1:26" ht="18.75" customHeight="1">
      <c r="A84" s="595" t="s">
        <v>64</v>
      </c>
      <c r="B84" s="589"/>
      <c r="C84" s="589"/>
      <c r="D84" s="590"/>
      <c r="E84" s="76"/>
      <c r="F84" s="76"/>
      <c r="G84" s="76"/>
      <c r="H84" s="76"/>
      <c r="I84" s="76"/>
      <c r="J84" s="76"/>
      <c r="K84" s="76"/>
      <c r="L84" s="76"/>
      <c r="M84" s="76"/>
      <c r="N84" s="76"/>
      <c r="O84" s="76"/>
      <c r="P84" s="76"/>
      <c r="Q84" s="76"/>
      <c r="R84" s="76"/>
      <c r="S84" s="76"/>
      <c r="T84" s="76"/>
      <c r="U84" s="76"/>
      <c r="V84" s="76"/>
      <c r="W84" s="76"/>
      <c r="X84" s="76"/>
      <c r="Y84" s="76"/>
      <c r="Z84" s="76"/>
    </row>
    <row r="85" spans="1:26" ht="48" customHeight="1">
      <c r="A85" s="596" t="s">
        <v>65</v>
      </c>
      <c r="B85" s="589"/>
      <c r="C85" s="589"/>
      <c r="D85" s="590"/>
      <c r="E85" s="54"/>
      <c r="F85" s="54"/>
      <c r="G85" s="54"/>
      <c r="H85" s="54"/>
      <c r="I85" s="54"/>
      <c r="J85" s="54"/>
      <c r="K85" s="54"/>
      <c r="L85" s="54"/>
      <c r="M85" s="54"/>
      <c r="N85" s="54"/>
      <c r="O85" s="54"/>
      <c r="P85" s="54"/>
      <c r="Q85" s="54"/>
      <c r="R85" s="54"/>
      <c r="S85" s="54"/>
      <c r="T85" s="54"/>
      <c r="U85" s="54"/>
      <c r="V85" s="54"/>
      <c r="W85" s="54"/>
      <c r="X85" s="54"/>
      <c r="Y85" s="54"/>
      <c r="Z85" s="54"/>
    </row>
    <row r="86" spans="1:26" ht="6.75" customHeight="1">
      <c r="A86" s="55"/>
      <c r="B86" s="55"/>
      <c r="C86" s="55"/>
      <c r="D86" s="56"/>
      <c r="E86" s="54"/>
      <c r="F86" s="54"/>
      <c r="G86" s="54"/>
      <c r="H86" s="54"/>
      <c r="I86" s="54"/>
      <c r="J86" s="54"/>
      <c r="K86" s="54"/>
      <c r="L86" s="54"/>
      <c r="M86" s="54"/>
      <c r="N86" s="54"/>
      <c r="O86" s="54"/>
      <c r="P86" s="54"/>
      <c r="Q86" s="54"/>
      <c r="R86" s="54"/>
      <c r="S86" s="54"/>
      <c r="T86" s="54"/>
      <c r="U86" s="54"/>
      <c r="V86" s="54"/>
      <c r="W86" s="54"/>
      <c r="X86" s="54"/>
      <c r="Y86" s="54"/>
      <c r="Z86" s="54"/>
    </row>
    <row r="87" spans="1:26" ht="11.25" customHeight="1">
      <c r="A87" s="597" t="s">
        <v>35</v>
      </c>
      <c r="B87" s="589"/>
      <c r="C87" s="589"/>
      <c r="D87" s="590"/>
      <c r="E87" s="54"/>
      <c r="F87" s="54"/>
      <c r="G87" s="54"/>
      <c r="H87" s="54"/>
      <c r="I87" s="54"/>
      <c r="J87" s="54"/>
      <c r="K87" s="54"/>
      <c r="L87" s="54"/>
      <c r="M87" s="54"/>
      <c r="N87" s="54"/>
      <c r="O87" s="54"/>
      <c r="P87" s="54"/>
      <c r="Q87" s="54"/>
      <c r="R87" s="54"/>
      <c r="S87" s="54"/>
      <c r="T87" s="54"/>
      <c r="U87" s="54"/>
      <c r="V87" s="54"/>
      <c r="W87" s="54"/>
      <c r="X87" s="54"/>
      <c r="Y87" s="54"/>
      <c r="Z87" s="54"/>
    </row>
    <row r="88" spans="1:26" ht="6.75" customHeight="1">
      <c r="A88" s="57"/>
      <c r="B88" s="58"/>
      <c r="C88" s="58"/>
      <c r="D88" s="59"/>
      <c r="E88" s="54"/>
      <c r="F88" s="54"/>
      <c r="G88" s="54"/>
      <c r="H88" s="54"/>
      <c r="I88" s="54"/>
      <c r="J88" s="54"/>
      <c r="K88" s="54"/>
      <c r="L88" s="54"/>
      <c r="M88" s="54"/>
      <c r="N88" s="54"/>
      <c r="O88" s="54"/>
      <c r="P88" s="54"/>
      <c r="Q88" s="54"/>
      <c r="R88" s="54"/>
      <c r="S88" s="54"/>
      <c r="T88" s="54"/>
      <c r="U88" s="54"/>
      <c r="V88" s="54"/>
      <c r="W88" s="54"/>
      <c r="X88" s="54"/>
      <c r="Y88" s="54"/>
      <c r="Z88" s="54"/>
    </row>
    <row r="89" spans="1:26" ht="36" customHeight="1">
      <c r="A89" s="596" t="s">
        <v>36</v>
      </c>
      <c r="B89" s="589"/>
      <c r="C89" s="589"/>
      <c r="D89" s="590"/>
      <c r="E89" s="54"/>
      <c r="F89" s="54"/>
      <c r="G89" s="54"/>
      <c r="H89" s="54"/>
      <c r="I89" s="54"/>
      <c r="J89" s="54"/>
      <c r="K89" s="54"/>
      <c r="L89" s="54"/>
      <c r="M89" s="54"/>
      <c r="N89" s="54"/>
      <c r="O89" s="54"/>
      <c r="P89" s="54"/>
      <c r="Q89" s="54"/>
      <c r="R89" s="54"/>
      <c r="S89" s="54"/>
      <c r="T89" s="54"/>
      <c r="U89" s="54"/>
      <c r="V89" s="54"/>
      <c r="W89" s="54"/>
      <c r="X89" s="54"/>
      <c r="Y89" s="54"/>
      <c r="Z89" s="54"/>
    </row>
    <row r="90" spans="1:26" ht="6.75" customHeight="1">
      <c r="A90" s="55"/>
      <c r="B90" s="55"/>
      <c r="C90" s="55"/>
      <c r="D90" s="56"/>
      <c r="E90" s="54"/>
      <c r="F90" s="54"/>
      <c r="G90" s="54"/>
      <c r="H90" s="54"/>
      <c r="I90" s="54"/>
      <c r="J90" s="54"/>
      <c r="K90" s="54"/>
      <c r="L90" s="54"/>
      <c r="M90" s="54"/>
      <c r="N90" s="54"/>
      <c r="O90" s="54"/>
      <c r="P90" s="54"/>
      <c r="Q90" s="54"/>
      <c r="R90" s="54"/>
      <c r="S90" s="54"/>
      <c r="T90" s="54"/>
      <c r="U90" s="54"/>
      <c r="V90" s="54"/>
      <c r="W90" s="54"/>
      <c r="X90" s="54"/>
      <c r="Y90" s="54"/>
      <c r="Z90" s="54"/>
    </row>
    <row r="91" spans="1:26" ht="48" customHeight="1">
      <c r="A91" s="596" t="s">
        <v>37</v>
      </c>
      <c r="B91" s="589"/>
      <c r="C91" s="589"/>
      <c r="D91" s="590"/>
      <c r="E91" s="54"/>
      <c r="F91" s="54"/>
      <c r="G91" s="54"/>
      <c r="H91" s="54"/>
      <c r="I91" s="54"/>
      <c r="J91" s="54"/>
      <c r="K91" s="54"/>
      <c r="L91" s="54"/>
      <c r="M91" s="54"/>
      <c r="N91" s="54"/>
      <c r="O91" s="54"/>
      <c r="P91" s="54"/>
      <c r="Q91" s="54"/>
      <c r="R91" s="54"/>
      <c r="S91" s="54"/>
      <c r="T91" s="54"/>
      <c r="U91" s="54"/>
      <c r="V91" s="54"/>
      <c r="W91" s="54"/>
      <c r="X91" s="54"/>
      <c r="Y91" s="54"/>
      <c r="Z91" s="54"/>
    </row>
    <row r="92" spans="1:26" ht="6.75" customHeight="1">
      <c r="A92" s="55"/>
      <c r="B92" s="55"/>
      <c r="C92" s="55"/>
      <c r="D92" s="56"/>
      <c r="E92" s="54"/>
      <c r="F92" s="54"/>
      <c r="G92" s="54"/>
      <c r="H92" s="54"/>
      <c r="I92" s="54"/>
      <c r="J92" s="54"/>
      <c r="K92" s="54"/>
      <c r="L92" s="54"/>
      <c r="M92" s="54"/>
      <c r="N92" s="54"/>
      <c r="O92" s="54"/>
      <c r="P92" s="54"/>
      <c r="Q92" s="54"/>
      <c r="R92" s="54"/>
      <c r="S92" s="54"/>
      <c r="T92" s="54"/>
      <c r="U92" s="54"/>
      <c r="V92" s="54"/>
      <c r="W92" s="54"/>
      <c r="X92" s="54"/>
      <c r="Y92" s="54"/>
      <c r="Z92" s="54"/>
    </row>
    <row r="93" spans="1:26" ht="48" customHeight="1">
      <c r="A93" s="596" t="s">
        <v>38</v>
      </c>
      <c r="B93" s="589"/>
      <c r="C93" s="589"/>
      <c r="D93" s="590"/>
      <c r="E93" s="54"/>
      <c r="F93" s="54"/>
      <c r="G93" s="54"/>
      <c r="H93" s="54"/>
      <c r="I93" s="54"/>
      <c r="J93" s="54"/>
      <c r="K93" s="54"/>
      <c r="L93" s="54"/>
      <c r="M93" s="54"/>
      <c r="N93" s="54"/>
      <c r="O93" s="54"/>
      <c r="P93" s="54"/>
      <c r="Q93" s="54"/>
      <c r="R93" s="54"/>
      <c r="S93" s="54"/>
      <c r="T93" s="54"/>
      <c r="U93" s="54"/>
      <c r="V93" s="54"/>
      <c r="W93" s="54"/>
      <c r="X93" s="54"/>
      <c r="Y93" s="54"/>
      <c r="Z93" s="54"/>
    </row>
    <row r="94" spans="1:26" ht="6.75" customHeight="1">
      <c r="A94" s="55"/>
      <c r="B94" s="55"/>
      <c r="C94" s="55"/>
      <c r="D94" s="56"/>
      <c r="E94" s="54"/>
      <c r="F94" s="54"/>
      <c r="G94" s="54"/>
      <c r="H94" s="54"/>
      <c r="I94" s="54"/>
      <c r="J94" s="54"/>
      <c r="K94" s="54"/>
      <c r="L94" s="54"/>
      <c r="M94" s="54"/>
      <c r="N94" s="54"/>
      <c r="O94" s="54"/>
      <c r="P94" s="54"/>
      <c r="Q94" s="54"/>
      <c r="R94" s="54"/>
      <c r="S94" s="54"/>
      <c r="T94" s="54"/>
      <c r="U94" s="54"/>
      <c r="V94" s="54"/>
      <c r="W94" s="54"/>
      <c r="X94" s="54"/>
      <c r="Y94" s="54"/>
      <c r="Z94" s="54"/>
    </row>
    <row r="95" spans="1:26" ht="96" customHeight="1">
      <c r="A95" s="596" t="s">
        <v>66</v>
      </c>
      <c r="B95" s="589"/>
      <c r="C95" s="589"/>
      <c r="D95" s="590"/>
      <c r="E95" s="54"/>
      <c r="F95" s="54"/>
      <c r="G95" s="54"/>
      <c r="H95" s="54"/>
      <c r="I95" s="54"/>
      <c r="J95" s="54"/>
      <c r="K95" s="54"/>
      <c r="L95" s="54"/>
      <c r="M95" s="54"/>
      <c r="N95" s="54"/>
      <c r="O95" s="54"/>
      <c r="P95" s="54"/>
      <c r="Q95" s="54"/>
      <c r="R95" s="54"/>
      <c r="S95" s="54"/>
      <c r="T95" s="54"/>
      <c r="U95" s="54"/>
      <c r="V95" s="54"/>
      <c r="W95" s="54"/>
      <c r="X95" s="54"/>
      <c r="Y95" s="54"/>
      <c r="Z95" s="54"/>
    </row>
    <row r="96" spans="1:26" ht="96" customHeight="1">
      <c r="A96" s="596" t="s">
        <v>67</v>
      </c>
      <c r="B96" s="589"/>
      <c r="C96" s="589"/>
      <c r="D96" s="590"/>
      <c r="E96" s="54"/>
      <c r="F96" s="54"/>
      <c r="G96" s="54"/>
      <c r="H96" s="54"/>
      <c r="I96" s="54"/>
      <c r="J96" s="54"/>
      <c r="K96" s="54"/>
      <c r="L96" s="54"/>
      <c r="M96" s="54"/>
      <c r="N96" s="54"/>
      <c r="O96" s="54"/>
      <c r="P96" s="54"/>
      <c r="Q96" s="54"/>
      <c r="R96" s="54"/>
      <c r="S96" s="54"/>
      <c r="T96" s="54"/>
      <c r="U96" s="54"/>
      <c r="V96" s="54"/>
      <c r="W96" s="54"/>
      <c r="X96" s="54"/>
      <c r="Y96" s="54"/>
      <c r="Z96" s="54"/>
    </row>
    <row r="97" spans="1:26" ht="36" customHeight="1">
      <c r="A97" s="596" t="s">
        <v>39</v>
      </c>
      <c r="B97" s="589"/>
      <c r="C97" s="589"/>
      <c r="D97" s="590"/>
      <c r="E97" s="54"/>
      <c r="F97" s="54"/>
      <c r="G97" s="54"/>
      <c r="H97" s="54"/>
      <c r="I97" s="54"/>
      <c r="J97" s="54"/>
      <c r="K97" s="54"/>
      <c r="L97" s="54"/>
      <c r="M97" s="54"/>
      <c r="N97" s="54"/>
      <c r="O97" s="54"/>
      <c r="P97" s="54"/>
      <c r="Q97" s="54"/>
      <c r="R97" s="54"/>
      <c r="S97" s="54"/>
      <c r="T97" s="54"/>
      <c r="U97" s="54"/>
      <c r="V97" s="54"/>
      <c r="W97" s="54"/>
      <c r="X97" s="54"/>
      <c r="Y97" s="54"/>
      <c r="Z97" s="54"/>
    </row>
    <row r="98" spans="1:26" ht="24" customHeight="1">
      <c r="A98" s="601" t="s">
        <v>68</v>
      </c>
      <c r="B98" s="589"/>
      <c r="C98" s="589"/>
      <c r="D98" s="590"/>
      <c r="E98" s="54"/>
      <c r="F98" s="54"/>
      <c r="G98" s="54"/>
      <c r="H98" s="54"/>
      <c r="I98" s="54"/>
      <c r="J98" s="54"/>
      <c r="K98" s="54"/>
      <c r="L98" s="54"/>
      <c r="M98" s="54"/>
      <c r="N98" s="54"/>
      <c r="O98" s="54"/>
      <c r="P98" s="54"/>
      <c r="Q98" s="54"/>
      <c r="R98" s="54"/>
      <c r="S98" s="54"/>
      <c r="T98" s="54"/>
      <c r="U98" s="54"/>
      <c r="V98" s="54"/>
      <c r="W98" s="54"/>
      <c r="X98" s="54"/>
      <c r="Y98" s="54"/>
      <c r="Z98" s="54"/>
    </row>
    <row r="99" spans="1:26" ht="6.75" customHeight="1">
      <c r="A99" s="78"/>
      <c r="B99" s="78"/>
      <c r="C99" s="78"/>
      <c r="D99" s="79"/>
      <c r="E99" s="54"/>
      <c r="F99" s="54"/>
      <c r="G99" s="54"/>
      <c r="H99" s="54"/>
      <c r="I99" s="54"/>
      <c r="J99" s="54"/>
      <c r="K99" s="54"/>
      <c r="L99" s="54"/>
      <c r="M99" s="54"/>
      <c r="N99" s="54"/>
      <c r="O99" s="54"/>
      <c r="P99" s="54"/>
      <c r="Q99" s="54"/>
      <c r="R99" s="54"/>
      <c r="S99" s="54"/>
      <c r="T99" s="54"/>
      <c r="U99" s="54"/>
      <c r="V99" s="54"/>
      <c r="W99" s="54"/>
      <c r="X99" s="54"/>
      <c r="Y99" s="54"/>
      <c r="Z99" s="54"/>
    </row>
    <row r="100" spans="1:26" ht="15" customHeight="1">
      <c r="A100" s="598" t="s">
        <v>40</v>
      </c>
      <c r="B100" s="589"/>
      <c r="C100" s="589"/>
      <c r="D100" s="590"/>
      <c r="E100" s="54"/>
      <c r="F100" s="54"/>
      <c r="G100" s="54"/>
      <c r="H100" s="54"/>
      <c r="I100" s="54"/>
      <c r="J100" s="54"/>
      <c r="K100" s="54"/>
      <c r="L100" s="54"/>
      <c r="M100" s="54"/>
      <c r="N100" s="54"/>
      <c r="O100" s="54"/>
      <c r="P100" s="54"/>
      <c r="Q100" s="54"/>
      <c r="R100" s="54"/>
      <c r="S100" s="54"/>
      <c r="T100" s="54"/>
      <c r="U100" s="54"/>
      <c r="V100" s="54"/>
      <c r="W100" s="54"/>
      <c r="X100" s="54"/>
      <c r="Y100" s="54"/>
      <c r="Z100" s="54"/>
    </row>
    <row r="101" spans="1:26" ht="6.75" customHeight="1">
      <c r="A101" s="60"/>
      <c r="B101" s="61"/>
      <c r="C101" s="61"/>
      <c r="D101" s="62"/>
      <c r="E101" s="54"/>
      <c r="F101" s="54"/>
      <c r="G101" s="54"/>
      <c r="H101" s="54"/>
      <c r="I101" s="54"/>
      <c r="J101" s="54"/>
      <c r="K101" s="54"/>
      <c r="L101" s="54"/>
      <c r="M101" s="54"/>
      <c r="N101" s="54"/>
      <c r="O101" s="54"/>
      <c r="P101" s="54"/>
      <c r="Q101" s="54"/>
      <c r="R101" s="54"/>
      <c r="S101" s="54"/>
      <c r="T101" s="54"/>
      <c r="U101" s="54"/>
      <c r="V101" s="54"/>
      <c r="W101" s="54"/>
      <c r="X101" s="54"/>
      <c r="Y101" s="54"/>
      <c r="Z101" s="54"/>
    </row>
    <row r="102" spans="1:26" ht="12" customHeight="1">
      <c r="A102" s="63" t="s">
        <v>41</v>
      </c>
      <c r="B102" s="64"/>
      <c r="C102" s="65" t="s">
        <v>42</v>
      </c>
      <c r="D102" s="290">
        <f>'Proposed Rates'!J10</f>
        <v>200</v>
      </c>
      <c r="E102" s="54"/>
      <c r="F102" s="54"/>
      <c r="G102" s="54"/>
      <c r="H102" s="54"/>
      <c r="I102" s="54"/>
      <c r="J102" s="54"/>
      <c r="K102" s="54"/>
      <c r="L102" s="54"/>
      <c r="M102" s="54"/>
      <c r="N102" s="54"/>
      <c r="O102" s="54"/>
      <c r="P102" s="54"/>
      <c r="Q102" s="54"/>
      <c r="R102" s="54"/>
      <c r="S102" s="54"/>
      <c r="T102" s="54"/>
      <c r="U102" s="54"/>
      <c r="V102" s="54"/>
      <c r="W102" s="54"/>
      <c r="X102" s="54"/>
      <c r="Y102" s="54"/>
      <c r="Z102" s="54"/>
    </row>
    <row r="103" spans="1:26" ht="12" customHeight="1">
      <c r="A103" s="63" t="s">
        <v>62</v>
      </c>
      <c r="B103" s="64"/>
      <c r="C103" s="65" t="s">
        <v>69</v>
      </c>
      <c r="D103" s="291">
        <f>'Proposed Rates'!J23</f>
        <v>9.3415999999999997</v>
      </c>
      <c r="E103" s="54"/>
      <c r="F103" s="54"/>
      <c r="G103" s="54"/>
      <c r="H103" s="54"/>
      <c r="I103" s="54"/>
      <c r="J103" s="54"/>
      <c r="K103" s="54"/>
      <c r="L103" s="54"/>
      <c r="M103" s="54"/>
      <c r="N103" s="54"/>
      <c r="O103" s="54"/>
      <c r="P103" s="54"/>
      <c r="Q103" s="54"/>
      <c r="R103" s="54"/>
      <c r="S103" s="54"/>
      <c r="T103" s="54"/>
      <c r="U103" s="54"/>
      <c r="V103" s="54"/>
      <c r="W103" s="54"/>
      <c r="X103" s="54"/>
      <c r="Y103" s="54"/>
      <c r="Z103" s="54"/>
    </row>
    <row r="104" spans="1:26" ht="12" customHeight="1">
      <c r="A104" s="63" t="s">
        <v>47</v>
      </c>
      <c r="B104" s="64"/>
      <c r="C104" s="65" t="s">
        <v>69</v>
      </c>
      <c r="D104" s="293">
        <f>'Proposed Rates'!J269</f>
        <v>2.504E-2</v>
      </c>
      <c r="E104" s="54"/>
      <c r="F104" s="54"/>
      <c r="G104" s="54"/>
      <c r="H104" s="54"/>
      <c r="I104" s="54"/>
      <c r="J104" s="54"/>
      <c r="K104" s="54"/>
      <c r="L104" s="54"/>
      <c r="M104" s="54"/>
      <c r="N104" s="54"/>
      <c r="O104" s="54"/>
      <c r="P104" s="54"/>
      <c r="Q104" s="54"/>
      <c r="R104" s="54"/>
      <c r="S104" s="54"/>
      <c r="T104" s="54"/>
      <c r="U104" s="54"/>
      <c r="V104" s="54"/>
      <c r="W104" s="54"/>
      <c r="X104" s="54"/>
      <c r="Y104" s="54"/>
      <c r="Z104" s="54"/>
    </row>
    <row r="105" spans="1:26" ht="12" customHeight="1">
      <c r="A105" s="63" t="s">
        <v>49</v>
      </c>
      <c r="B105" s="64"/>
      <c r="C105" s="65" t="s">
        <v>69</v>
      </c>
      <c r="D105" s="291">
        <f>'Proposed Rates'!J39</f>
        <v>0</v>
      </c>
      <c r="E105" s="54"/>
      <c r="F105" s="54"/>
      <c r="G105" s="54"/>
      <c r="H105" s="54"/>
      <c r="I105" s="54"/>
      <c r="J105" s="54"/>
      <c r="K105" s="54"/>
      <c r="L105" s="54"/>
      <c r="M105" s="54"/>
      <c r="N105" s="54"/>
      <c r="O105" s="54"/>
      <c r="P105" s="54"/>
      <c r="Q105" s="54"/>
      <c r="R105" s="54"/>
      <c r="S105" s="54"/>
      <c r="T105" s="54"/>
      <c r="U105" s="54"/>
      <c r="V105" s="54"/>
      <c r="W105" s="54"/>
      <c r="X105" s="54"/>
      <c r="Y105" s="54"/>
      <c r="Z105" s="54"/>
    </row>
    <row r="106" spans="1:26" ht="12" customHeight="1">
      <c r="A106" s="63" t="s">
        <v>45</v>
      </c>
      <c r="B106" s="64"/>
      <c r="C106" s="65" t="s">
        <v>69</v>
      </c>
      <c r="D106" s="291">
        <f>'Proposed Rates'!J66</f>
        <v>0</v>
      </c>
      <c r="E106" s="54"/>
      <c r="F106" s="54"/>
      <c r="G106" s="54"/>
      <c r="H106" s="54"/>
      <c r="I106" s="54"/>
      <c r="J106" s="54"/>
      <c r="K106" s="54"/>
      <c r="L106" s="54"/>
      <c r="M106" s="54"/>
      <c r="N106" s="54"/>
      <c r="O106" s="54"/>
      <c r="P106" s="54"/>
      <c r="Q106" s="54"/>
      <c r="R106" s="54"/>
      <c r="S106" s="54"/>
      <c r="T106" s="54"/>
      <c r="U106" s="54"/>
      <c r="V106" s="54"/>
      <c r="W106" s="54"/>
      <c r="X106" s="54"/>
      <c r="Y106" s="54"/>
      <c r="Z106" s="54"/>
    </row>
    <row r="107" spans="1:26" ht="12" customHeight="1">
      <c r="A107" s="63" t="s">
        <v>44</v>
      </c>
      <c r="B107" s="64"/>
      <c r="C107" s="65" t="s">
        <v>69</v>
      </c>
      <c r="D107" s="291">
        <f>'Proposed Rates'!J92</f>
        <v>0</v>
      </c>
      <c r="E107" s="54"/>
      <c r="F107" s="54"/>
      <c r="G107" s="54"/>
      <c r="H107" s="54"/>
      <c r="I107" s="54"/>
      <c r="J107" s="54"/>
      <c r="K107" s="54"/>
      <c r="L107" s="54"/>
      <c r="M107" s="54"/>
      <c r="N107" s="54"/>
      <c r="O107" s="54"/>
      <c r="P107" s="54"/>
      <c r="Q107" s="54"/>
      <c r="R107" s="54"/>
      <c r="S107" s="54"/>
      <c r="T107" s="54"/>
      <c r="U107" s="54"/>
      <c r="V107" s="54"/>
      <c r="W107" s="54"/>
      <c r="X107" s="54"/>
      <c r="Y107" s="54"/>
      <c r="Z107" s="54"/>
    </row>
    <row r="108" spans="1:26" ht="12" customHeight="1">
      <c r="A108" s="63" t="s">
        <v>233</v>
      </c>
      <c r="B108" s="64"/>
      <c r="C108" s="65" t="s">
        <v>48</v>
      </c>
      <c r="D108" s="291">
        <f>'Proposed Rates'!J148</f>
        <v>0</v>
      </c>
      <c r="E108" s="54"/>
      <c r="F108" s="54"/>
      <c r="G108" s="54"/>
      <c r="H108" s="54"/>
      <c r="I108" s="54"/>
      <c r="J108" s="54"/>
      <c r="K108" s="54"/>
      <c r="L108" s="54"/>
      <c r="M108" s="54"/>
      <c r="N108" s="54"/>
      <c r="O108" s="54"/>
      <c r="P108" s="54"/>
      <c r="Q108" s="54"/>
      <c r="R108" s="54"/>
      <c r="S108" s="54"/>
      <c r="T108" s="54"/>
      <c r="U108" s="54"/>
      <c r="V108" s="54"/>
      <c r="W108" s="54"/>
      <c r="X108" s="54"/>
      <c r="Y108" s="54"/>
      <c r="Z108" s="54"/>
    </row>
    <row r="109" spans="1:26" ht="12" customHeight="1">
      <c r="A109" s="63" t="s">
        <v>70</v>
      </c>
      <c r="B109" s="64"/>
      <c r="C109" s="65" t="s">
        <v>48</v>
      </c>
      <c r="D109" s="291">
        <f>'Proposed Rates'!J161</f>
        <v>0</v>
      </c>
      <c r="E109" s="54"/>
      <c r="F109" s="54"/>
      <c r="G109" s="54"/>
      <c r="H109" s="54"/>
      <c r="I109" s="54"/>
      <c r="J109" s="54"/>
      <c r="K109" s="54"/>
      <c r="L109" s="54"/>
      <c r="M109" s="54"/>
      <c r="N109" s="54"/>
      <c r="O109" s="54"/>
      <c r="P109" s="54"/>
      <c r="Q109" s="54"/>
      <c r="R109" s="54"/>
      <c r="S109" s="54"/>
      <c r="T109" s="54"/>
      <c r="U109" s="54"/>
      <c r="V109" s="54"/>
      <c r="W109" s="54"/>
      <c r="X109" s="54"/>
      <c r="Y109" s="54"/>
      <c r="Z109" s="54"/>
    </row>
    <row r="110" spans="1:26" ht="12" customHeight="1">
      <c r="A110" s="63" t="s">
        <v>52</v>
      </c>
      <c r="B110" s="64"/>
      <c r="C110" s="65" t="s">
        <v>69</v>
      </c>
      <c r="D110" s="291">
        <f>'Proposed Rates'!J188</f>
        <v>4.5787000000000004</v>
      </c>
      <c r="E110" s="54"/>
      <c r="F110" s="54"/>
      <c r="G110" s="54"/>
      <c r="H110" s="54"/>
      <c r="I110" s="54"/>
      <c r="J110" s="54"/>
      <c r="K110" s="54"/>
      <c r="L110" s="54"/>
      <c r="M110" s="54"/>
      <c r="N110" s="54"/>
      <c r="O110" s="54"/>
      <c r="P110" s="54"/>
      <c r="Q110" s="54"/>
      <c r="R110" s="54"/>
      <c r="S110" s="54"/>
      <c r="T110" s="54"/>
      <c r="U110" s="54"/>
      <c r="V110" s="54"/>
      <c r="W110" s="54"/>
      <c r="X110" s="54"/>
      <c r="Y110" s="54"/>
      <c r="Z110" s="54"/>
    </row>
    <row r="111" spans="1:26" ht="12" customHeight="1">
      <c r="A111" s="63" t="s">
        <v>71</v>
      </c>
      <c r="B111" s="64"/>
      <c r="C111" s="65" t="s">
        <v>69</v>
      </c>
      <c r="D111" s="291">
        <f>'Proposed Rates'!J189</f>
        <v>0.77839999999999998</v>
      </c>
      <c r="E111" s="54"/>
      <c r="F111" s="54"/>
      <c r="G111" s="54"/>
      <c r="H111" s="54"/>
      <c r="I111" s="54"/>
      <c r="J111" s="54"/>
      <c r="K111" s="54"/>
      <c r="L111" s="54"/>
      <c r="M111" s="54"/>
      <c r="N111" s="54"/>
      <c r="O111" s="54"/>
      <c r="P111" s="54"/>
      <c r="Q111" s="54"/>
      <c r="R111" s="54"/>
      <c r="S111" s="54"/>
      <c r="T111" s="54"/>
      <c r="U111" s="54"/>
      <c r="V111" s="54"/>
      <c r="W111" s="54"/>
      <c r="X111" s="54"/>
      <c r="Y111" s="54"/>
      <c r="Z111" s="54"/>
    </row>
    <row r="112" spans="1:26" ht="11.25" customHeight="1">
      <c r="A112" s="63" t="s">
        <v>53</v>
      </c>
      <c r="B112" s="64"/>
      <c r="C112" s="65" t="s">
        <v>69</v>
      </c>
      <c r="D112" s="291">
        <f>'Proposed Rates'!J203</f>
        <v>2.5918000000000001</v>
      </c>
      <c r="E112" s="54"/>
      <c r="F112" s="54"/>
      <c r="G112" s="54"/>
      <c r="H112" s="54"/>
      <c r="I112" s="54"/>
      <c r="J112" s="54"/>
      <c r="K112" s="54"/>
      <c r="L112" s="54"/>
      <c r="M112" s="54"/>
      <c r="N112" s="54"/>
      <c r="O112" s="54"/>
      <c r="P112" s="54"/>
      <c r="Q112" s="54"/>
      <c r="R112" s="54"/>
      <c r="S112" s="54"/>
      <c r="T112" s="54"/>
      <c r="U112" s="54"/>
      <c r="V112" s="54"/>
      <c r="W112" s="54"/>
      <c r="X112" s="54"/>
      <c r="Y112" s="54"/>
      <c r="Z112" s="54"/>
    </row>
    <row r="113" spans="1:26" ht="11.25" customHeight="1">
      <c r="A113" s="63" t="s">
        <v>72</v>
      </c>
      <c r="B113" s="64"/>
      <c r="C113" s="65" t="s">
        <v>69</v>
      </c>
      <c r="D113" s="291">
        <f>'Proposed Rates'!J204</f>
        <v>0.44059999999999999</v>
      </c>
      <c r="E113" s="54"/>
      <c r="F113" s="54"/>
      <c r="G113" s="54"/>
      <c r="H113" s="54"/>
      <c r="I113" s="54"/>
      <c r="J113" s="54"/>
      <c r="K113" s="54"/>
      <c r="L113" s="54"/>
      <c r="M113" s="54"/>
      <c r="N113" s="54"/>
      <c r="O113" s="54"/>
      <c r="P113" s="54"/>
      <c r="Q113" s="54"/>
      <c r="R113" s="54"/>
      <c r="S113" s="54"/>
      <c r="T113" s="54"/>
      <c r="U113" s="54"/>
      <c r="V113" s="54"/>
      <c r="W113" s="54"/>
      <c r="X113" s="54"/>
      <c r="Y113" s="54"/>
      <c r="Z113" s="54"/>
    </row>
    <row r="114" spans="1:26" ht="3" customHeight="1">
      <c r="A114" s="65"/>
      <c r="B114" s="65"/>
      <c r="C114" s="65"/>
      <c r="D114" s="294"/>
      <c r="E114" s="54"/>
      <c r="F114" s="54"/>
      <c r="G114" s="54"/>
      <c r="H114" s="54"/>
      <c r="I114" s="54"/>
      <c r="J114" s="54"/>
      <c r="K114" s="54"/>
      <c r="L114" s="54"/>
      <c r="M114" s="54"/>
      <c r="N114" s="54"/>
      <c r="O114" s="54"/>
      <c r="P114" s="54"/>
      <c r="Q114" s="54"/>
      <c r="R114" s="54"/>
      <c r="S114" s="54"/>
      <c r="T114" s="54"/>
      <c r="U114" s="54"/>
      <c r="V114" s="54"/>
      <c r="W114" s="54"/>
      <c r="X114" s="54"/>
      <c r="Y114" s="54"/>
      <c r="Z114" s="54"/>
    </row>
    <row r="115" spans="1:26" ht="11.25" customHeight="1">
      <c r="A115" s="75" t="s">
        <v>54</v>
      </c>
      <c r="B115" s="64"/>
      <c r="C115" s="65"/>
      <c r="D115" s="294"/>
      <c r="E115" s="54"/>
      <c r="F115" s="54"/>
      <c r="G115" s="54"/>
      <c r="H115" s="54"/>
      <c r="I115" s="54"/>
      <c r="J115" s="54"/>
      <c r="K115" s="54"/>
      <c r="L115" s="54"/>
      <c r="M115" s="54"/>
      <c r="N115" s="54"/>
      <c r="O115" s="54"/>
      <c r="P115" s="54"/>
      <c r="Q115" s="54"/>
      <c r="R115" s="54"/>
      <c r="S115" s="54"/>
      <c r="T115" s="54"/>
      <c r="U115" s="54"/>
      <c r="V115" s="54"/>
      <c r="W115" s="54"/>
      <c r="X115" s="54"/>
      <c r="Y115" s="54"/>
      <c r="Z115" s="54"/>
    </row>
    <row r="116" spans="1:26" ht="4.5" customHeight="1">
      <c r="A116" s="60"/>
      <c r="B116" s="65"/>
      <c r="C116" s="65"/>
      <c r="D116" s="294"/>
      <c r="E116" s="54"/>
      <c r="F116" s="54"/>
      <c r="G116" s="54"/>
      <c r="H116" s="54"/>
      <c r="I116" s="54"/>
      <c r="J116" s="54"/>
      <c r="K116" s="54"/>
      <c r="L116" s="54"/>
      <c r="M116" s="54"/>
      <c r="N116" s="54"/>
      <c r="O116" s="54"/>
      <c r="P116" s="54"/>
      <c r="Q116" s="54"/>
      <c r="R116" s="54"/>
      <c r="S116" s="54"/>
      <c r="T116" s="54"/>
      <c r="U116" s="54"/>
      <c r="V116" s="54"/>
      <c r="W116" s="54"/>
      <c r="X116" s="54"/>
      <c r="Y116" s="54"/>
      <c r="Z116" s="54"/>
    </row>
    <row r="117" spans="1:26" ht="12" customHeight="1">
      <c r="A117" s="63" t="s">
        <v>55</v>
      </c>
      <c r="B117" s="64"/>
      <c r="C117" s="65" t="s">
        <v>48</v>
      </c>
      <c r="D117" s="291">
        <f>$D$34</f>
        <v>4.1000000000000003E-3</v>
      </c>
      <c r="E117" s="54"/>
      <c r="F117" s="54"/>
      <c r="G117" s="54"/>
      <c r="H117" s="54"/>
      <c r="I117" s="54"/>
      <c r="J117" s="54"/>
      <c r="K117" s="54"/>
      <c r="L117" s="54"/>
      <c r="M117" s="54"/>
      <c r="N117" s="54"/>
      <c r="O117" s="54"/>
      <c r="P117" s="54"/>
      <c r="Q117" s="54"/>
      <c r="R117" s="54"/>
      <c r="S117" s="54"/>
      <c r="T117" s="54"/>
      <c r="U117" s="54"/>
      <c r="V117" s="54"/>
      <c r="W117" s="54"/>
      <c r="X117" s="54"/>
      <c r="Y117" s="54"/>
      <c r="Z117" s="54"/>
    </row>
    <row r="118" spans="1:26" ht="12" customHeight="1">
      <c r="A118" s="63" t="s">
        <v>56</v>
      </c>
      <c r="B118" s="64"/>
      <c r="C118" s="65" t="s">
        <v>48</v>
      </c>
      <c r="D118" s="291">
        <f>'Proposed Rates'!J218-'2026'!D127</f>
        <v>5.9999999999999984E-4</v>
      </c>
      <c r="E118" s="54"/>
      <c r="F118" s="54"/>
      <c r="G118" s="54"/>
      <c r="H118" s="54"/>
      <c r="I118" s="54"/>
      <c r="J118" s="54"/>
      <c r="K118" s="54"/>
      <c r="L118" s="54"/>
      <c r="M118" s="54"/>
      <c r="N118" s="54"/>
      <c r="O118" s="54"/>
      <c r="P118" s="54"/>
      <c r="Q118" s="54"/>
      <c r="R118" s="54"/>
      <c r="S118" s="54"/>
      <c r="T118" s="54"/>
      <c r="U118" s="54"/>
      <c r="V118" s="54"/>
      <c r="W118" s="54"/>
      <c r="X118" s="54"/>
      <c r="Y118" s="54"/>
      <c r="Z118" s="54"/>
    </row>
    <row r="119" spans="1:26" ht="12" customHeight="1">
      <c r="A119" s="63" t="s">
        <v>57</v>
      </c>
      <c r="B119" s="64"/>
      <c r="C119" s="65" t="s">
        <v>48</v>
      </c>
      <c r="D119" s="291">
        <f>'Proposed Rates'!J231</f>
        <v>5.9999999999999995E-4</v>
      </c>
      <c r="E119" s="54"/>
      <c r="F119" s="54"/>
      <c r="G119" s="54"/>
      <c r="H119" s="54"/>
      <c r="I119" s="54"/>
      <c r="J119" s="54"/>
      <c r="K119" s="54"/>
      <c r="L119" s="54"/>
      <c r="M119" s="54"/>
      <c r="N119" s="54"/>
      <c r="O119" s="54"/>
      <c r="P119" s="54"/>
      <c r="Q119" s="54"/>
      <c r="R119" s="54"/>
      <c r="S119" s="54"/>
      <c r="T119" s="54"/>
      <c r="U119" s="54"/>
      <c r="V119" s="54"/>
      <c r="W119" s="54"/>
      <c r="X119" s="54"/>
      <c r="Y119" s="54"/>
      <c r="Z119" s="54"/>
    </row>
    <row r="120" spans="1:26" ht="12" customHeight="1">
      <c r="A120" s="63" t="s">
        <v>58</v>
      </c>
      <c r="B120" s="64"/>
      <c r="C120" s="65" t="s">
        <v>42</v>
      </c>
      <c r="D120" s="291">
        <f>'Proposed Rates'!J245</f>
        <v>0.25</v>
      </c>
      <c r="E120" s="54"/>
      <c r="F120" s="54"/>
      <c r="G120" s="54"/>
      <c r="H120" s="54"/>
      <c r="I120" s="54"/>
      <c r="J120" s="54"/>
      <c r="K120" s="54"/>
      <c r="L120" s="54"/>
      <c r="M120" s="54"/>
      <c r="N120" s="54"/>
      <c r="O120" s="54"/>
      <c r="P120" s="54"/>
      <c r="Q120" s="54"/>
      <c r="R120" s="54"/>
      <c r="S120" s="54"/>
      <c r="T120" s="54"/>
      <c r="U120" s="54"/>
      <c r="V120" s="54"/>
      <c r="W120" s="54"/>
      <c r="X120" s="54"/>
      <c r="Y120" s="54"/>
      <c r="Z120" s="54"/>
    </row>
    <row r="121" spans="1:26" ht="11.25" customHeight="1">
      <c r="A121" s="89"/>
      <c r="B121" s="64"/>
      <c r="C121" s="65"/>
      <c r="D121" s="74"/>
      <c r="E121" s="54"/>
      <c r="F121" s="54"/>
      <c r="G121" s="54"/>
      <c r="H121" s="54"/>
      <c r="I121" s="54"/>
      <c r="J121" s="54"/>
      <c r="K121" s="54"/>
      <c r="L121" s="54"/>
      <c r="M121" s="54"/>
      <c r="N121" s="54"/>
      <c r="O121" s="54"/>
      <c r="P121" s="54"/>
      <c r="Q121" s="54"/>
      <c r="R121" s="54"/>
      <c r="S121" s="54"/>
      <c r="T121" s="54"/>
      <c r="U121" s="54"/>
      <c r="V121" s="54"/>
      <c r="W121" s="54"/>
      <c r="X121" s="54"/>
      <c r="Y121" s="54"/>
      <c r="Z121" s="54"/>
    </row>
    <row r="122" spans="1:26" ht="11.25" customHeight="1">
      <c r="A122" s="63" t="s">
        <v>240</v>
      </c>
      <c r="B122" s="64"/>
      <c r="C122" s="65"/>
      <c r="D122" s="74"/>
      <c r="E122" s="54"/>
      <c r="F122" s="54"/>
      <c r="G122" s="54"/>
      <c r="H122" s="54"/>
      <c r="I122" s="54"/>
      <c r="J122" s="54"/>
      <c r="K122" s="54"/>
      <c r="L122" s="54"/>
      <c r="M122" s="54"/>
      <c r="N122" s="54"/>
      <c r="O122" s="54"/>
      <c r="P122" s="54"/>
      <c r="Q122" s="54"/>
      <c r="R122" s="54"/>
      <c r="S122" s="54"/>
      <c r="T122" s="54"/>
      <c r="U122" s="54"/>
      <c r="V122" s="54"/>
      <c r="W122" s="54"/>
      <c r="X122" s="54"/>
      <c r="Y122" s="54"/>
      <c r="Z122" s="54"/>
    </row>
    <row r="123" spans="1:26" ht="11.25" customHeight="1">
      <c r="A123" s="63" t="s">
        <v>74</v>
      </c>
      <c r="B123" s="64"/>
      <c r="C123" s="65"/>
      <c r="D123" s="74"/>
      <c r="E123" s="54"/>
      <c r="F123" s="54"/>
      <c r="G123" s="54"/>
      <c r="H123" s="54"/>
      <c r="I123" s="54"/>
      <c r="J123" s="54"/>
      <c r="K123" s="54"/>
      <c r="L123" s="54"/>
      <c r="M123" s="54"/>
      <c r="N123" s="54"/>
      <c r="O123" s="54"/>
      <c r="P123" s="54"/>
      <c r="Q123" s="54"/>
      <c r="R123" s="54"/>
      <c r="S123" s="54"/>
      <c r="T123" s="54"/>
      <c r="U123" s="54"/>
      <c r="V123" s="54"/>
      <c r="W123" s="54"/>
      <c r="X123" s="54"/>
      <c r="Y123" s="54"/>
      <c r="Z123" s="54"/>
    </row>
    <row r="124" spans="1:26" ht="11.25" customHeight="1">
      <c r="A124" s="63" t="s">
        <v>75</v>
      </c>
      <c r="B124" s="64"/>
      <c r="C124" s="65"/>
      <c r="D124" s="74"/>
      <c r="E124" s="54"/>
      <c r="F124" s="54"/>
      <c r="G124" s="54"/>
      <c r="H124" s="54"/>
      <c r="I124" s="54"/>
      <c r="J124" s="54"/>
      <c r="K124" s="54"/>
      <c r="L124" s="54"/>
      <c r="M124" s="54"/>
      <c r="N124" s="54"/>
      <c r="O124" s="54"/>
      <c r="P124" s="54"/>
      <c r="Q124" s="54"/>
      <c r="R124" s="54"/>
      <c r="S124" s="54"/>
      <c r="T124" s="54"/>
      <c r="U124" s="54"/>
      <c r="V124" s="54"/>
      <c r="W124" s="54"/>
      <c r="X124" s="54"/>
      <c r="Y124" s="54"/>
      <c r="Z124" s="54"/>
    </row>
    <row r="125" spans="1:26" ht="11.25" customHeight="1">
      <c r="A125" s="89"/>
      <c r="B125" s="64"/>
      <c r="C125" s="65"/>
      <c r="D125" s="74"/>
      <c r="E125" s="54"/>
      <c r="F125" s="54"/>
      <c r="G125" s="54"/>
      <c r="H125" s="54"/>
      <c r="I125" s="54"/>
      <c r="J125" s="54"/>
      <c r="K125" s="54"/>
      <c r="L125" s="54"/>
      <c r="M125" s="54"/>
      <c r="N125" s="54"/>
      <c r="O125" s="54"/>
      <c r="P125" s="54"/>
      <c r="Q125" s="54"/>
      <c r="R125" s="54"/>
      <c r="S125" s="54"/>
      <c r="T125" s="54"/>
      <c r="U125" s="54"/>
      <c r="V125" s="54"/>
      <c r="W125" s="54"/>
      <c r="X125" s="54"/>
      <c r="Y125" s="54"/>
      <c r="Z125" s="54"/>
    </row>
    <row r="126" spans="1:26" ht="24" customHeight="1">
      <c r="A126" s="588" t="str">
        <f>$A$1</f>
        <v>Hydro Ottawa Limited</v>
      </c>
      <c r="B126" s="589"/>
      <c r="C126" s="589"/>
      <c r="D126" s="590"/>
      <c r="E126" s="54"/>
      <c r="F126" s="54"/>
      <c r="G126" s="54"/>
      <c r="H126" s="54"/>
      <c r="I126" s="54"/>
      <c r="J126" s="54"/>
      <c r="K126" s="54"/>
      <c r="L126" s="54"/>
      <c r="M126" s="54"/>
      <c r="N126" s="54"/>
      <c r="O126" s="54"/>
      <c r="P126" s="54"/>
      <c r="Q126" s="54"/>
      <c r="R126" s="54"/>
      <c r="S126" s="54"/>
      <c r="T126" s="54"/>
      <c r="U126" s="54"/>
      <c r="V126" s="54"/>
      <c r="W126" s="54"/>
      <c r="X126" s="54"/>
      <c r="Y126" s="54"/>
      <c r="Z126" s="54"/>
    </row>
    <row r="127" spans="1:26" ht="15.75" customHeight="1">
      <c r="A127" s="591" t="str">
        <f>$A$2</f>
        <v>PROPOSED - TARIFF OF RATES AND CHARGES</v>
      </c>
      <c r="B127" s="589"/>
      <c r="C127" s="589"/>
      <c r="D127" s="590"/>
      <c r="E127" s="54"/>
      <c r="F127" s="54"/>
      <c r="G127" s="54"/>
      <c r="H127" s="54"/>
      <c r="I127" s="54"/>
      <c r="J127" s="54"/>
      <c r="K127" s="54"/>
      <c r="L127" s="54"/>
      <c r="M127" s="54"/>
      <c r="N127" s="54"/>
      <c r="O127" s="54"/>
      <c r="P127" s="54"/>
      <c r="Q127" s="54"/>
      <c r="R127" s="54"/>
      <c r="S127" s="54"/>
      <c r="T127" s="54"/>
      <c r="U127" s="54"/>
      <c r="V127" s="54"/>
      <c r="W127" s="54"/>
      <c r="X127" s="54"/>
      <c r="Y127" s="54"/>
      <c r="Z127" s="54"/>
    </row>
    <row r="128" spans="1:26" ht="15.75" customHeight="1">
      <c r="A128" s="592" t="str">
        <f>$A$3</f>
        <v>Effective and Implementation Date January 1, 2030</v>
      </c>
      <c r="B128" s="589"/>
      <c r="C128" s="589"/>
      <c r="D128" s="590"/>
      <c r="E128" s="54"/>
      <c r="F128" s="54"/>
      <c r="G128" s="54"/>
      <c r="H128" s="54"/>
      <c r="I128" s="54"/>
      <c r="J128" s="54"/>
      <c r="K128" s="54"/>
      <c r="L128" s="54"/>
      <c r="M128" s="54"/>
      <c r="N128" s="54"/>
      <c r="O128" s="54"/>
      <c r="P128" s="54"/>
      <c r="Q128" s="54"/>
      <c r="R128" s="54"/>
      <c r="S128" s="54"/>
      <c r="T128" s="54"/>
      <c r="U128" s="54"/>
      <c r="V128" s="54"/>
      <c r="W128" s="54"/>
      <c r="X128" s="54"/>
      <c r="Y128" s="54"/>
      <c r="Z128" s="54"/>
    </row>
    <row r="129" spans="1:26" ht="12" customHeight="1">
      <c r="A129" s="593" t="str">
        <f>$A$4</f>
        <v>This schedule supersedes and replaces all previously</v>
      </c>
      <c r="B129" s="589"/>
      <c r="C129" s="589"/>
      <c r="D129" s="590"/>
      <c r="E129" s="54"/>
      <c r="F129" s="54"/>
      <c r="G129" s="54"/>
      <c r="H129" s="54"/>
      <c r="I129" s="54"/>
      <c r="J129" s="54"/>
      <c r="K129" s="54"/>
      <c r="L129" s="54"/>
      <c r="M129" s="54"/>
      <c r="N129" s="54"/>
      <c r="O129" s="54"/>
      <c r="P129" s="54"/>
      <c r="Q129" s="54"/>
      <c r="R129" s="54"/>
      <c r="S129" s="54"/>
      <c r="T129" s="54"/>
      <c r="U129" s="54"/>
      <c r="V129" s="54"/>
      <c r="W129" s="54"/>
      <c r="X129" s="54"/>
      <c r="Y129" s="54"/>
      <c r="Z129" s="54"/>
    </row>
    <row r="130" spans="1:26" ht="11.25" customHeight="1">
      <c r="A130" s="593" t="str">
        <f>$A$5</f>
        <v>approved schedules of Rates, Charges and Loss Factors</v>
      </c>
      <c r="B130" s="589"/>
      <c r="C130" s="589"/>
      <c r="D130" s="590"/>
      <c r="E130" s="54"/>
      <c r="F130" s="54"/>
      <c r="G130" s="54"/>
      <c r="H130" s="54"/>
      <c r="I130" s="54"/>
      <c r="J130" s="54"/>
      <c r="K130" s="54"/>
      <c r="L130" s="54"/>
      <c r="M130" s="54"/>
      <c r="N130" s="54"/>
      <c r="O130" s="54"/>
      <c r="P130" s="54"/>
      <c r="Q130" s="54"/>
      <c r="R130" s="54"/>
      <c r="S130" s="54"/>
      <c r="T130" s="54"/>
      <c r="U130" s="54"/>
      <c r="V130" s="54"/>
      <c r="W130" s="54"/>
      <c r="X130" s="54"/>
      <c r="Y130" s="54"/>
      <c r="Z130" s="54"/>
    </row>
    <row r="131" spans="1:26" ht="11.25" customHeight="1">
      <c r="A131" s="594" t="str">
        <f>$A$6</f>
        <v>EB-2024-0115</v>
      </c>
      <c r="B131" s="589"/>
      <c r="C131" s="589"/>
      <c r="D131" s="590"/>
      <c r="E131" s="54"/>
      <c r="F131" s="54"/>
      <c r="G131" s="54"/>
      <c r="H131" s="54"/>
      <c r="I131" s="54"/>
      <c r="J131" s="54"/>
      <c r="K131" s="54"/>
      <c r="L131" s="54"/>
      <c r="M131" s="54"/>
      <c r="N131" s="54"/>
      <c r="O131" s="54"/>
      <c r="P131" s="54"/>
      <c r="Q131" s="54"/>
      <c r="R131" s="54"/>
      <c r="S131" s="54"/>
      <c r="T131" s="54"/>
      <c r="U131" s="54"/>
      <c r="V131" s="54"/>
      <c r="W131" s="54"/>
      <c r="X131" s="54"/>
      <c r="Y131" s="54"/>
      <c r="Z131" s="54"/>
    </row>
    <row r="132" spans="1:26" ht="18.75" customHeight="1">
      <c r="A132" s="595" t="s">
        <v>76</v>
      </c>
      <c r="B132" s="589"/>
      <c r="C132" s="589"/>
      <c r="D132" s="590"/>
      <c r="E132" s="76"/>
      <c r="F132" s="76"/>
      <c r="G132" s="76"/>
      <c r="H132" s="76"/>
      <c r="I132" s="76"/>
      <c r="J132" s="76"/>
      <c r="K132" s="76"/>
      <c r="L132" s="76"/>
      <c r="M132" s="76"/>
      <c r="N132" s="76"/>
      <c r="O132" s="76"/>
      <c r="P132" s="76"/>
      <c r="Q132" s="76"/>
      <c r="R132" s="76"/>
      <c r="S132" s="76"/>
      <c r="T132" s="76"/>
      <c r="U132" s="76"/>
      <c r="V132" s="76"/>
      <c r="W132" s="76"/>
      <c r="X132" s="76"/>
      <c r="Y132" s="76"/>
      <c r="Z132" s="76"/>
    </row>
    <row r="133" spans="1:26" ht="48" customHeight="1">
      <c r="A133" s="596" t="s">
        <v>77</v>
      </c>
      <c r="B133" s="589"/>
      <c r="C133" s="589"/>
      <c r="D133" s="590"/>
      <c r="E133" s="54"/>
      <c r="F133" s="54"/>
      <c r="G133" s="54"/>
      <c r="H133" s="54"/>
      <c r="I133" s="54"/>
      <c r="J133" s="54"/>
      <c r="K133" s="54"/>
      <c r="L133" s="54"/>
      <c r="M133" s="54"/>
      <c r="N133" s="54"/>
      <c r="O133" s="54"/>
      <c r="P133" s="54"/>
      <c r="Q133" s="54"/>
      <c r="R133" s="54"/>
      <c r="S133" s="54"/>
      <c r="T133" s="54"/>
      <c r="U133" s="54"/>
      <c r="V133" s="54"/>
      <c r="W133" s="54"/>
      <c r="X133" s="54"/>
      <c r="Y133" s="54"/>
      <c r="Z133" s="54"/>
    </row>
    <row r="134" spans="1:26" ht="6.75" customHeight="1">
      <c r="A134" s="55"/>
      <c r="B134" s="55"/>
      <c r="C134" s="55"/>
      <c r="D134" s="56"/>
      <c r="E134" s="54"/>
      <c r="F134" s="54"/>
      <c r="G134" s="54"/>
      <c r="H134" s="54"/>
      <c r="I134" s="54"/>
      <c r="J134" s="54"/>
      <c r="K134" s="54"/>
      <c r="L134" s="54"/>
      <c r="M134" s="54"/>
      <c r="N134" s="54"/>
      <c r="O134" s="54"/>
      <c r="P134" s="54"/>
      <c r="Q134" s="54"/>
      <c r="R134" s="54"/>
      <c r="S134" s="54"/>
      <c r="T134" s="54"/>
      <c r="U134" s="54"/>
      <c r="V134" s="54"/>
      <c r="W134" s="54"/>
      <c r="X134" s="54"/>
      <c r="Y134" s="54"/>
      <c r="Z134" s="54"/>
    </row>
    <row r="135" spans="1:26" ht="11.25" customHeight="1">
      <c r="A135" s="597" t="s">
        <v>35</v>
      </c>
      <c r="B135" s="589"/>
      <c r="C135" s="589"/>
      <c r="D135" s="590"/>
      <c r="E135" s="54"/>
      <c r="F135" s="54"/>
      <c r="G135" s="54"/>
      <c r="H135" s="54"/>
      <c r="I135" s="54"/>
      <c r="J135" s="54"/>
      <c r="K135" s="54"/>
      <c r="L135" s="54"/>
      <c r="M135" s="54"/>
      <c r="N135" s="54"/>
      <c r="O135" s="54"/>
      <c r="P135" s="54"/>
      <c r="Q135" s="54"/>
      <c r="R135" s="54"/>
      <c r="S135" s="54"/>
      <c r="T135" s="54"/>
      <c r="U135" s="54"/>
      <c r="V135" s="54"/>
      <c r="W135" s="54"/>
      <c r="X135" s="54"/>
      <c r="Y135" s="54"/>
      <c r="Z135" s="54"/>
    </row>
    <row r="136" spans="1:26" ht="6.75" customHeight="1">
      <c r="A136" s="57"/>
      <c r="B136" s="58"/>
      <c r="C136" s="58"/>
      <c r="D136" s="59"/>
      <c r="E136" s="54"/>
      <c r="F136" s="54"/>
      <c r="G136" s="54"/>
      <c r="H136" s="54"/>
      <c r="I136" s="54"/>
      <c r="J136" s="54"/>
      <c r="K136" s="54"/>
      <c r="L136" s="54"/>
      <c r="M136" s="54"/>
      <c r="N136" s="54"/>
      <c r="O136" s="54"/>
      <c r="P136" s="54"/>
      <c r="Q136" s="54"/>
      <c r="R136" s="54"/>
      <c r="S136" s="54"/>
      <c r="T136" s="54"/>
      <c r="U136" s="54"/>
      <c r="V136" s="54"/>
      <c r="W136" s="54"/>
      <c r="X136" s="54"/>
      <c r="Y136" s="54"/>
      <c r="Z136" s="54"/>
    </row>
    <row r="137" spans="1:26" ht="36" customHeight="1">
      <c r="A137" s="596" t="s">
        <v>36</v>
      </c>
      <c r="B137" s="589"/>
      <c r="C137" s="589"/>
      <c r="D137" s="590"/>
      <c r="E137" s="54"/>
      <c r="F137" s="54"/>
      <c r="G137" s="54"/>
      <c r="H137" s="54"/>
      <c r="I137" s="54"/>
      <c r="J137" s="54"/>
      <c r="K137" s="54"/>
      <c r="L137" s="54"/>
      <c r="M137" s="54"/>
      <c r="N137" s="54"/>
      <c r="O137" s="54"/>
      <c r="P137" s="54"/>
      <c r="Q137" s="54"/>
      <c r="R137" s="54"/>
      <c r="S137" s="54"/>
      <c r="T137" s="54"/>
      <c r="U137" s="54"/>
      <c r="V137" s="54"/>
      <c r="W137" s="54"/>
      <c r="X137" s="54"/>
      <c r="Y137" s="54"/>
      <c r="Z137" s="54"/>
    </row>
    <row r="138" spans="1:26" ht="6.75" customHeight="1">
      <c r="A138" s="55"/>
      <c r="B138" s="55"/>
      <c r="C138" s="55"/>
      <c r="D138" s="56"/>
      <c r="E138" s="54"/>
      <c r="F138" s="54"/>
      <c r="G138" s="54"/>
      <c r="H138" s="54"/>
      <c r="I138" s="54"/>
      <c r="J138" s="54"/>
      <c r="K138" s="54"/>
      <c r="L138" s="54"/>
      <c r="M138" s="54"/>
      <c r="N138" s="54"/>
      <c r="O138" s="54"/>
      <c r="P138" s="54"/>
      <c r="Q138" s="54"/>
      <c r="R138" s="54"/>
      <c r="S138" s="54"/>
      <c r="T138" s="54"/>
      <c r="U138" s="54"/>
      <c r="V138" s="54"/>
      <c r="W138" s="54"/>
      <c r="X138" s="54"/>
      <c r="Y138" s="54"/>
      <c r="Z138" s="54"/>
    </row>
    <row r="139" spans="1:26" ht="48" customHeight="1">
      <c r="A139" s="596" t="s">
        <v>78</v>
      </c>
      <c r="B139" s="589"/>
      <c r="C139" s="589"/>
      <c r="D139" s="590"/>
      <c r="E139" s="54"/>
      <c r="F139" s="54"/>
      <c r="G139" s="54"/>
      <c r="H139" s="54"/>
      <c r="I139" s="54"/>
      <c r="J139" s="54"/>
      <c r="K139" s="54"/>
      <c r="L139" s="54"/>
      <c r="M139" s="54"/>
      <c r="N139" s="54"/>
      <c r="O139" s="54"/>
      <c r="P139" s="54"/>
      <c r="Q139" s="54"/>
      <c r="R139" s="54"/>
      <c r="S139" s="54"/>
      <c r="T139" s="54"/>
      <c r="U139" s="54"/>
      <c r="V139" s="54"/>
      <c r="W139" s="54"/>
      <c r="X139" s="54"/>
      <c r="Y139" s="54"/>
      <c r="Z139" s="54"/>
    </row>
    <row r="140" spans="1:26" ht="6.75" customHeight="1">
      <c r="A140" s="55"/>
      <c r="B140" s="55"/>
      <c r="C140" s="55"/>
      <c r="D140" s="56"/>
      <c r="E140" s="54"/>
      <c r="F140" s="54"/>
      <c r="G140" s="54"/>
      <c r="H140" s="54"/>
      <c r="I140" s="54"/>
      <c r="J140" s="54"/>
      <c r="K140" s="54"/>
      <c r="L140" s="54"/>
      <c r="M140" s="54"/>
      <c r="N140" s="54"/>
      <c r="O140" s="54"/>
      <c r="P140" s="54"/>
      <c r="Q140" s="54"/>
      <c r="R140" s="54"/>
      <c r="S140" s="54"/>
      <c r="T140" s="54"/>
      <c r="U140" s="54"/>
      <c r="V140" s="54"/>
      <c r="W140" s="54"/>
      <c r="X140" s="54"/>
      <c r="Y140" s="54"/>
      <c r="Z140" s="54"/>
    </row>
    <row r="141" spans="1:26" ht="48" customHeight="1">
      <c r="A141" s="596" t="s">
        <v>38</v>
      </c>
      <c r="B141" s="589"/>
      <c r="C141" s="589"/>
      <c r="D141" s="590"/>
      <c r="E141" s="54"/>
      <c r="F141" s="54"/>
      <c r="G141" s="54"/>
      <c r="H141" s="54"/>
      <c r="I141" s="54"/>
      <c r="J141" s="54"/>
      <c r="K141" s="54"/>
      <c r="L141" s="54"/>
      <c r="M141" s="54"/>
      <c r="N141" s="54"/>
      <c r="O141" s="54"/>
      <c r="P141" s="54"/>
      <c r="Q141" s="54"/>
      <c r="R141" s="54"/>
      <c r="S141" s="54"/>
      <c r="T141" s="54"/>
      <c r="U141" s="54"/>
      <c r="V141" s="54"/>
      <c r="W141" s="54"/>
      <c r="X141" s="54"/>
      <c r="Y141" s="54"/>
      <c r="Z141" s="54"/>
    </row>
    <row r="142" spans="1:26" ht="6.75" customHeight="1">
      <c r="A142" s="55"/>
      <c r="B142" s="55"/>
      <c r="C142" s="55"/>
      <c r="D142" s="56"/>
      <c r="E142" s="54"/>
      <c r="F142" s="54"/>
      <c r="G142" s="54"/>
      <c r="H142" s="54"/>
      <c r="I142" s="54"/>
      <c r="J142" s="54"/>
      <c r="K142" s="54"/>
      <c r="L142" s="54"/>
      <c r="M142" s="54"/>
      <c r="N142" s="54"/>
      <c r="O142" s="54"/>
      <c r="P142" s="54"/>
      <c r="Q142" s="54"/>
      <c r="R142" s="54"/>
      <c r="S142" s="54"/>
      <c r="T142" s="54"/>
      <c r="U142" s="54"/>
      <c r="V142" s="54"/>
      <c r="W142" s="54"/>
      <c r="X142" s="54"/>
      <c r="Y142" s="54"/>
      <c r="Z142" s="54"/>
    </row>
    <row r="143" spans="1:26" ht="96" customHeight="1">
      <c r="A143" s="596" t="s">
        <v>66</v>
      </c>
      <c r="B143" s="589"/>
      <c r="C143" s="589"/>
      <c r="D143" s="590"/>
      <c r="E143" s="54"/>
      <c r="F143" s="54"/>
      <c r="G143" s="54"/>
      <c r="H143" s="54"/>
      <c r="I143" s="54"/>
      <c r="J143" s="54"/>
      <c r="K143" s="54"/>
      <c r="L143" s="54"/>
      <c r="M143" s="54"/>
      <c r="N143" s="54"/>
      <c r="O143" s="54"/>
      <c r="P143" s="54"/>
      <c r="Q143" s="54"/>
      <c r="R143" s="54"/>
      <c r="S143" s="54"/>
      <c r="T143" s="54"/>
      <c r="U143" s="54"/>
      <c r="V143" s="54"/>
      <c r="W143" s="54"/>
      <c r="X143" s="54"/>
      <c r="Y143" s="54"/>
      <c r="Z143" s="54"/>
    </row>
    <row r="144" spans="1:26" ht="96" customHeight="1">
      <c r="A144" s="596" t="s">
        <v>67</v>
      </c>
      <c r="B144" s="589"/>
      <c r="C144" s="589"/>
      <c r="D144" s="590"/>
      <c r="E144" s="54"/>
      <c r="F144" s="54"/>
      <c r="G144" s="54"/>
      <c r="H144" s="54"/>
      <c r="I144" s="54"/>
      <c r="J144" s="54"/>
      <c r="K144" s="54"/>
      <c r="L144" s="54"/>
      <c r="M144" s="54"/>
      <c r="N144" s="54"/>
      <c r="O144" s="54"/>
      <c r="P144" s="54"/>
      <c r="Q144" s="54"/>
      <c r="R144" s="54"/>
      <c r="S144" s="54"/>
      <c r="T144" s="54"/>
      <c r="U144" s="54"/>
      <c r="V144" s="54"/>
      <c r="W144" s="54"/>
      <c r="X144" s="54"/>
      <c r="Y144" s="54"/>
      <c r="Z144" s="54"/>
    </row>
    <row r="145" spans="1:26" ht="36" customHeight="1">
      <c r="A145" s="596" t="s">
        <v>39</v>
      </c>
      <c r="B145" s="589"/>
      <c r="C145" s="589"/>
      <c r="D145" s="590"/>
      <c r="E145" s="54"/>
      <c r="F145" s="54"/>
      <c r="G145" s="54"/>
      <c r="H145" s="54"/>
      <c r="I145" s="54"/>
      <c r="J145" s="54"/>
      <c r="K145" s="54"/>
      <c r="L145" s="54"/>
      <c r="M145" s="54"/>
      <c r="N145" s="54"/>
      <c r="O145" s="54"/>
      <c r="P145" s="54"/>
      <c r="Q145" s="54"/>
      <c r="R145" s="54"/>
      <c r="S145" s="54"/>
      <c r="T145" s="54"/>
      <c r="U145" s="54"/>
      <c r="V145" s="54"/>
      <c r="W145" s="54"/>
      <c r="X145" s="54"/>
      <c r="Y145" s="54"/>
      <c r="Z145" s="54"/>
    </row>
    <row r="146" spans="1:26" ht="24" customHeight="1">
      <c r="A146" s="601" t="s">
        <v>68</v>
      </c>
      <c r="B146" s="589"/>
      <c r="C146" s="589"/>
      <c r="D146" s="590"/>
      <c r="E146" s="54"/>
      <c r="F146" s="54"/>
      <c r="G146" s="54"/>
      <c r="H146" s="54"/>
      <c r="I146" s="54"/>
      <c r="J146" s="54"/>
      <c r="K146" s="54"/>
      <c r="L146" s="54"/>
      <c r="M146" s="54"/>
      <c r="N146" s="54"/>
      <c r="O146" s="54"/>
      <c r="P146" s="54"/>
      <c r="Q146" s="54"/>
      <c r="R146" s="54"/>
      <c r="S146" s="54"/>
      <c r="T146" s="54"/>
      <c r="U146" s="54"/>
      <c r="V146" s="54"/>
      <c r="W146" s="54"/>
      <c r="X146" s="54"/>
      <c r="Y146" s="54"/>
      <c r="Z146" s="54"/>
    </row>
    <row r="147" spans="1:26" ht="6.75" customHeight="1">
      <c r="A147" s="78"/>
      <c r="B147" s="78"/>
      <c r="C147" s="78"/>
      <c r="D147" s="79"/>
      <c r="E147" s="54"/>
      <c r="F147" s="54"/>
      <c r="G147" s="54"/>
      <c r="H147" s="54"/>
      <c r="I147" s="54"/>
      <c r="J147" s="54"/>
      <c r="K147" s="54"/>
      <c r="L147" s="54"/>
      <c r="M147" s="54"/>
      <c r="N147" s="54"/>
      <c r="O147" s="54"/>
      <c r="P147" s="54"/>
      <c r="Q147" s="54"/>
      <c r="R147" s="54"/>
      <c r="S147" s="54"/>
      <c r="T147" s="54"/>
      <c r="U147" s="54"/>
      <c r="V147" s="54"/>
      <c r="W147" s="54"/>
      <c r="X147" s="54"/>
      <c r="Y147" s="54"/>
      <c r="Z147" s="54"/>
    </row>
    <row r="148" spans="1:26" ht="15" customHeight="1">
      <c r="A148" s="598" t="s">
        <v>40</v>
      </c>
      <c r="B148" s="589"/>
      <c r="C148" s="589"/>
      <c r="D148" s="590"/>
      <c r="E148" s="54"/>
      <c r="F148" s="54"/>
      <c r="G148" s="54"/>
      <c r="H148" s="54"/>
      <c r="I148" s="54"/>
      <c r="J148" s="54"/>
      <c r="K148" s="54"/>
      <c r="L148" s="54"/>
      <c r="M148" s="54"/>
      <c r="N148" s="54"/>
      <c r="O148" s="54"/>
      <c r="P148" s="54"/>
      <c r="Q148" s="54"/>
      <c r="R148" s="54"/>
      <c r="S148" s="54"/>
      <c r="T148" s="54"/>
      <c r="U148" s="54"/>
      <c r="V148" s="54"/>
      <c r="W148" s="54"/>
      <c r="X148" s="54"/>
      <c r="Y148" s="54"/>
      <c r="Z148" s="54"/>
    </row>
    <row r="149" spans="1:26" ht="6.75" customHeight="1">
      <c r="A149" s="60"/>
      <c r="B149" s="61"/>
      <c r="C149" s="61"/>
      <c r="D149" s="62"/>
      <c r="E149" s="54"/>
      <c r="F149" s="54"/>
      <c r="G149" s="54"/>
      <c r="H149" s="54"/>
      <c r="I149" s="54"/>
      <c r="J149" s="54"/>
      <c r="K149" s="54"/>
      <c r="L149" s="54"/>
      <c r="M149" s="54"/>
      <c r="N149" s="54"/>
      <c r="O149" s="54"/>
      <c r="P149" s="54"/>
      <c r="Q149" s="54"/>
      <c r="R149" s="54"/>
      <c r="S149" s="54"/>
      <c r="T149" s="54"/>
      <c r="U149" s="54"/>
      <c r="V149" s="54"/>
      <c r="W149" s="54"/>
      <c r="X149" s="54"/>
      <c r="Y149" s="54"/>
      <c r="Z149" s="54"/>
    </row>
    <row r="150" spans="1:26" ht="10.5" customHeight="1">
      <c r="A150" s="63" t="s">
        <v>41</v>
      </c>
      <c r="B150" s="64"/>
      <c r="C150" s="65" t="s">
        <v>42</v>
      </c>
      <c r="D150" s="290">
        <f>'Proposed Rates'!J11</f>
        <v>4126.75</v>
      </c>
      <c r="E150" s="54"/>
      <c r="F150" s="54"/>
      <c r="G150" s="54"/>
      <c r="H150" s="54"/>
      <c r="I150" s="54"/>
      <c r="J150" s="54"/>
      <c r="K150" s="54"/>
      <c r="L150" s="54"/>
      <c r="M150" s="54"/>
      <c r="N150" s="54"/>
      <c r="O150" s="54"/>
      <c r="P150" s="54"/>
      <c r="Q150" s="54"/>
      <c r="R150" s="54"/>
      <c r="S150" s="54"/>
      <c r="T150" s="54"/>
      <c r="U150" s="54"/>
      <c r="V150" s="54"/>
      <c r="W150" s="54"/>
      <c r="X150" s="54"/>
      <c r="Y150" s="54"/>
      <c r="Z150" s="54"/>
    </row>
    <row r="151" spans="1:26" ht="10.5" customHeight="1">
      <c r="A151" s="63" t="s">
        <v>62</v>
      </c>
      <c r="B151" s="64"/>
      <c r="C151" s="65" t="s">
        <v>69</v>
      </c>
      <c r="D151" s="291">
        <f>'Proposed Rates'!J24</f>
        <v>9.1635000000000009</v>
      </c>
      <c r="E151" s="54"/>
      <c r="F151" s="54"/>
      <c r="G151" s="54"/>
      <c r="H151" s="54"/>
      <c r="I151" s="54"/>
      <c r="J151" s="54"/>
      <c r="K151" s="54"/>
      <c r="L151" s="54"/>
      <c r="M151" s="54"/>
      <c r="N151" s="54"/>
      <c r="O151" s="54"/>
      <c r="P151" s="54"/>
      <c r="Q151" s="54"/>
      <c r="R151" s="54"/>
      <c r="S151" s="54"/>
      <c r="T151" s="54"/>
      <c r="U151" s="54"/>
      <c r="V151" s="54"/>
      <c r="W151" s="54"/>
      <c r="X151" s="54"/>
      <c r="Y151" s="54"/>
      <c r="Z151" s="54"/>
    </row>
    <row r="152" spans="1:26" ht="10.5" customHeight="1">
      <c r="A152" s="63" t="s">
        <v>47</v>
      </c>
      <c r="B152" s="64"/>
      <c r="C152" s="65" t="s">
        <v>69</v>
      </c>
      <c r="D152" s="293">
        <f>'Proposed Rates'!J270</f>
        <v>2.4840000000000001E-2</v>
      </c>
      <c r="E152" s="54"/>
      <c r="F152" s="54"/>
      <c r="G152" s="54"/>
      <c r="H152" s="54"/>
      <c r="I152" s="54"/>
      <c r="J152" s="54"/>
      <c r="K152" s="54"/>
      <c r="L152" s="54"/>
      <c r="M152" s="54"/>
      <c r="N152" s="54"/>
      <c r="O152" s="54"/>
      <c r="P152" s="54"/>
      <c r="Q152" s="54"/>
      <c r="R152" s="54"/>
      <c r="S152" s="54"/>
      <c r="T152" s="54"/>
      <c r="U152" s="54"/>
      <c r="V152" s="54"/>
      <c r="W152" s="54"/>
      <c r="X152" s="54"/>
      <c r="Y152" s="54"/>
      <c r="Z152" s="54"/>
    </row>
    <row r="153" spans="1:26" ht="10.5" customHeight="1">
      <c r="A153" s="63" t="s">
        <v>49</v>
      </c>
      <c r="B153" s="64"/>
      <c r="C153" s="65" t="s">
        <v>69</v>
      </c>
      <c r="D153" s="291">
        <f>'Proposed Rates'!J40</f>
        <v>0</v>
      </c>
      <c r="E153" s="54"/>
      <c r="F153" s="54"/>
      <c r="G153" s="54"/>
      <c r="H153" s="54"/>
      <c r="I153" s="54"/>
      <c r="J153" s="54"/>
      <c r="K153" s="54"/>
      <c r="L153" s="54"/>
      <c r="M153" s="54"/>
      <c r="N153" s="54"/>
      <c r="O153" s="54"/>
      <c r="P153" s="54"/>
      <c r="Q153" s="54"/>
      <c r="R153" s="54"/>
      <c r="S153" s="54"/>
      <c r="T153" s="54"/>
      <c r="U153" s="54"/>
      <c r="V153" s="54"/>
      <c r="W153" s="54"/>
      <c r="X153" s="54"/>
      <c r="Y153" s="54"/>
      <c r="Z153" s="54"/>
    </row>
    <row r="154" spans="1:26" ht="10.5" customHeight="1">
      <c r="A154" s="63" t="s">
        <v>45</v>
      </c>
      <c r="B154" s="64"/>
      <c r="C154" s="65" t="s">
        <v>69</v>
      </c>
      <c r="D154" s="291">
        <f>'Proposed Rates'!J67</f>
        <v>0</v>
      </c>
      <c r="E154" s="54"/>
      <c r="F154" s="54"/>
      <c r="G154" s="54"/>
      <c r="H154" s="54"/>
      <c r="I154" s="54"/>
      <c r="J154" s="54"/>
      <c r="K154" s="54"/>
      <c r="L154" s="54"/>
      <c r="M154" s="54"/>
      <c r="N154" s="54"/>
      <c r="O154" s="54"/>
      <c r="P154" s="54"/>
      <c r="Q154" s="54"/>
      <c r="R154" s="54"/>
      <c r="S154" s="54"/>
      <c r="T154" s="54"/>
      <c r="U154" s="54"/>
      <c r="V154" s="54"/>
      <c r="W154" s="54"/>
      <c r="X154" s="54"/>
      <c r="Y154" s="54"/>
      <c r="Z154" s="54"/>
    </row>
    <row r="155" spans="1:26" ht="10.5" customHeight="1">
      <c r="A155" s="63" t="s">
        <v>44</v>
      </c>
      <c r="B155" s="64"/>
      <c r="C155" s="65" t="s">
        <v>69</v>
      </c>
      <c r="D155" s="291">
        <f>'Proposed Rates'!J93</f>
        <v>0</v>
      </c>
      <c r="E155" s="54"/>
      <c r="F155" s="54"/>
      <c r="G155" s="54"/>
      <c r="H155" s="54"/>
      <c r="I155" s="54"/>
      <c r="J155" s="54"/>
      <c r="K155" s="54"/>
      <c r="L155" s="54"/>
      <c r="M155" s="54"/>
      <c r="N155" s="54"/>
      <c r="O155" s="54"/>
      <c r="P155" s="54"/>
      <c r="Q155" s="54"/>
      <c r="R155" s="54"/>
      <c r="S155" s="54"/>
      <c r="T155" s="54"/>
      <c r="U155" s="54"/>
      <c r="V155" s="54"/>
      <c r="W155" s="54"/>
      <c r="X155" s="54"/>
      <c r="Y155" s="54"/>
      <c r="Z155" s="54"/>
    </row>
    <row r="156" spans="1:26" ht="10.5" customHeight="1">
      <c r="A156" s="63" t="s">
        <v>233</v>
      </c>
      <c r="B156" s="64"/>
      <c r="C156" s="65" t="s">
        <v>48</v>
      </c>
      <c r="D156" s="291">
        <f>'Proposed Rates'!J148</f>
        <v>0</v>
      </c>
      <c r="E156" s="54"/>
      <c r="F156" s="54"/>
      <c r="G156" s="54"/>
      <c r="H156" s="54"/>
      <c r="I156" s="54"/>
      <c r="J156" s="54"/>
      <c r="K156" s="54"/>
      <c r="L156" s="54"/>
      <c r="M156" s="54"/>
      <c r="N156" s="54"/>
      <c r="O156" s="54"/>
      <c r="P156" s="54"/>
      <c r="Q156" s="54"/>
      <c r="R156" s="54"/>
      <c r="S156" s="54"/>
      <c r="T156" s="54"/>
      <c r="U156" s="54"/>
      <c r="V156" s="54"/>
      <c r="W156" s="54"/>
      <c r="X156" s="54"/>
      <c r="Y156" s="54"/>
      <c r="Z156" s="54"/>
    </row>
    <row r="157" spans="1:26" ht="10.5" customHeight="1">
      <c r="A157" s="63" t="s">
        <v>70</v>
      </c>
      <c r="B157" s="64"/>
      <c r="C157" s="65" t="s">
        <v>48</v>
      </c>
      <c r="D157" s="291">
        <f>'Proposed Rates'!J162</f>
        <v>0</v>
      </c>
      <c r="E157" s="54"/>
      <c r="F157" s="54"/>
      <c r="G157" s="54"/>
      <c r="H157" s="54"/>
      <c r="I157" s="54"/>
      <c r="J157" s="54"/>
      <c r="K157" s="54"/>
      <c r="L157" s="54"/>
      <c r="M157" s="54"/>
      <c r="N157" s="54"/>
      <c r="O157" s="54"/>
      <c r="P157" s="54"/>
      <c r="Q157" s="54"/>
      <c r="R157" s="54"/>
      <c r="S157" s="54"/>
      <c r="T157" s="54"/>
      <c r="U157" s="54"/>
      <c r="V157" s="54"/>
      <c r="W157" s="54"/>
      <c r="X157" s="54"/>
      <c r="Y157" s="54"/>
      <c r="Z157" s="54"/>
    </row>
    <row r="158" spans="1:26" ht="10.5" customHeight="1">
      <c r="A158" s="63" t="s">
        <v>52</v>
      </c>
      <c r="B158" s="64"/>
      <c r="C158" s="65" t="s">
        <v>69</v>
      </c>
      <c r="D158" s="291">
        <f>'Proposed Rates'!J190</f>
        <v>4.5423999999999998</v>
      </c>
      <c r="E158" s="54"/>
      <c r="F158" s="54"/>
      <c r="G158" s="54"/>
      <c r="H158" s="54"/>
      <c r="I158" s="54"/>
      <c r="J158" s="54"/>
      <c r="K158" s="54"/>
      <c r="L158" s="54"/>
      <c r="M158" s="54"/>
      <c r="N158" s="54"/>
      <c r="O158" s="54"/>
      <c r="P158" s="54"/>
      <c r="Q158" s="54"/>
      <c r="R158" s="54"/>
      <c r="S158" s="54"/>
      <c r="T158" s="54"/>
      <c r="U158" s="54"/>
      <c r="V158" s="54"/>
      <c r="W158" s="54"/>
      <c r="X158" s="54"/>
      <c r="Y158" s="54"/>
      <c r="Z158" s="54"/>
    </row>
    <row r="159" spans="1:26" ht="10.5" customHeight="1">
      <c r="A159" s="63" t="s">
        <v>71</v>
      </c>
      <c r="B159" s="64"/>
      <c r="C159" s="65" t="s">
        <v>69</v>
      </c>
      <c r="D159" s="291">
        <f>'Proposed Rates'!J191</f>
        <v>0.7722</v>
      </c>
      <c r="E159" s="54"/>
      <c r="F159" s="54"/>
      <c r="G159" s="54"/>
      <c r="H159" s="54"/>
      <c r="I159" s="54"/>
      <c r="J159" s="54"/>
      <c r="K159" s="54"/>
      <c r="L159" s="54"/>
      <c r="M159" s="54"/>
      <c r="N159" s="54"/>
      <c r="O159" s="54"/>
      <c r="P159" s="54"/>
      <c r="Q159" s="54"/>
      <c r="R159" s="54"/>
      <c r="S159" s="54"/>
      <c r="T159" s="54"/>
      <c r="U159" s="54"/>
      <c r="V159" s="54"/>
      <c r="W159" s="54"/>
      <c r="X159" s="54"/>
      <c r="Y159" s="54"/>
      <c r="Z159" s="54"/>
    </row>
    <row r="160" spans="1:26" ht="10.5" customHeight="1">
      <c r="A160" s="63" t="s">
        <v>53</v>
      </c>
      <c r="B160" s="64"/>
      <c r="C160" s="65" t="s">
        <v>69</v>
      </c>
      <c r="D160" s="291">
        <f>'Proposed Rates'!J205</f>
        <v>2.5712000000000002</v>
      </c>
      <c r="E160" s="54"/>
      <c r="F160" s="54"/>
      <c r="G160" s="54"/>
      <c r="H160" s="54"/>
      <c r="I160" s="54"/>
      <c r="J160" s="54"/>
      <c r="K160" s="54"/>
      <c r="L160" s="54"/>
      <c r="M160" s="54"/>
      <c r="N160" s="54"/>
      <c r="O160" s="54"/>
      <c r="P160" s="54"/>
      <c r="Q160" s="54"/>
      <c r="R160" s="54"/>
      <c r="S160" s="54"/>
      <c r="T160" s="54"/>
      <c r="U160" s="54"/>
      <c r="V160" s="54"/>
      <c r="W160" s="54"/>
      <c r="X160" s="54"/>
      <c r="Y160" s="54"/>
      <c r="Z160" s="54"/>
    </row>
    <row r="161" spans="1:26" ht="10.5" customHeight="1">
      <c r="A161" s="63" t="s">
        <v>72</v>
      </c>
      <c r="B161" s="64"/>
      <c r="C161" s="65" t="s">
        <v>69</v>
      </c>
      <c r="D161" s="291">
        <f>'Proposed Rates'!J206</f>
        <v>0.43709999999999999</v>
      </c>
      <c r="E161" s="54"/>
      <c r="F161" s="54"/>
      <c r="G161" s="54"/>
      <c r="H161" s="54"/>
      <c r="I161" s="54"/>
      <c r="J161" s="54"/>
      <c r="K161" s="54"/>
      <c r="L161" s="54"/>
      <c r="M161" s="54"/>
      <c r="N161" s="54"/>
      <c r="O161" s="54"/>
      <c r="P161" s="54"/>
      <c r="Q161" s="54"/>
      <c r="R161" s="54"/>
      <c r="S161" s="54"/>
      <c r="T161" s="54"/>
      <c r="U161" s="54"/>
      <c r="V161" s="54"/>
      <c r="W161" s="54"/>
      <c r="X161" s="54"/>
      <c r="Y161" s="54"/>
      <c r="Z161" s="54"/>
    </row>
    <row r="162" spans="1:26" ht="4.5" customHeight="1">
      <c r="A162" s="65"/>
      <c r="B162" s="65"/>
      <c r="C162" s="65"/>
      <c r="D162" s="294"/>
      <c r="E162" s="54"/>
      <c r="F162" s="54"/>
      <c r="G162" s="54"/>
      <c r="H162" s="54"/>
      <c r="I162" s="54"/>
      <c r="J162" s="54"/>
      <c r="K162" s="54"/>
      <c r="L162" s="54"/>
      <c r="M162" s="54"/>
      <c r="N162" s="54"/>
      <c r="O162" s="54"/>
      <c r="P162" s="54"/>
      <c r="Q162" s="54"/>
      <c r="R162" s="54"/>
      <c r="S162" s="54"/>
      <c r="T162" s="54"/>
      <c r="U162" s="54"/>
      <c r="V162" s="54"/>
      <c r="W162" s="54"/>
      <c r="X162" s="54"/>
      <c r="Y162" s="54"/>
      <c r="Z162" s="54"/>
    </row>
    <row r="163" spans="1:26" ht="11.25" customHeight="1">
      <c r="A163" s="75" t="s">
        <v>54</v>
      </c>
      <c r="B163" s="64"/>
      <c r="C163" s="65"/>
      <c r="D163" s="294"/>
      <c r="E163" s="54"/>
      <c r="F163" s="54"/>
      <c r="G163" s="54"/>
      <c r="H163" s="54"/>
      <c r="I163" s="54"/>
      <c r="J163" s="54"/>
      <c r="K163" s="54"/>
      <c r="L163" s="54"/>
      <c r="M163" s="54"/>
      <c r="N163" s="54"/>
      <c r="O163" s="54"/>
      <c r="P163" s="54"/>
      <c r="Q163" s="54"/>
      <c r="R163" s="54"/>
      <c r="S163" s="54"/>
      <c r="T163" s="54"/>
      <c r="U163" s="54"/>
      <c r="V163" s="54"/>
      <c r="W163" s="54"/>
      <c r="X163" s="54"/>
      <c r="Y163" s="54"/>
      <c r="Z163" s="54"/>
    </row>
    <row r="164" spans="1:26" ht="4.5" customHeight="1">
      <c r="A164" s="60"/>
      <c r="B164" s="65"/>
      <c r="C164" s="65"/>
      <c r="D164" s="294"/>
      <c r="E164" s="54"/>
      <c r="F164" s="54"/>
      <c r="G164" s="54"/>
      <c r="H164" s="54"/>
      <c r="I164" s="54"/>
      <c r="J164" s="54"/>
      <c r="K164" s="54"/>
      <c r="L164" s="54"/>
      <c r="M164" s="54"/>
      <c r="N164" s="54"/>
      <c r="O164" s="54"/>
      <c r="P164" s="54"/>
      <c r="Q164" s="54"/>
      <c r="R164" s="54"/>
      <c r="S164" s="54"/>
      <c r="T164" s="54"/>
      <c r="U164" s="54"/>
      <c r="V164" s="54"/>
      <c r="W164" s="54"/>
      <c r="X164" s="54"/>
      <c r="Y164" s="54"/>
      <c r="Z164" s="54"/>
    </row>
    <row r="165" spans="1:26" ht="10.5" customHeight="1">
      <c r="A165" s="63" t="s">
        <v>55</v>
      </c>
      <c r="B165" s="64"/>
      <c r="C165" s="65" t="s">
        <v>48</v>
      </c>
      <c r="D165" s="291">
        <f>$D$34</f>
        <v>4.1000000000000003E-3</v>
      </c>
      <c r="E165" s="54"/>
      <c r="F165" s="54"/>
      <c r="G165" s="54"/>
      <c r="H165" s="54"/>
      <c r="I165" s="54"/>
      <c r="J165" s="54"/>
      <c r="K165" s="54"/>
      <c r="L165" s="54"/>
      <c r="M165" s="54"/>
      <c r="N165" s="54"/>
      <c r="O165" s="54"/>
      <c r="P165" s="54"/>
      <c r="Q165" s="54"/>
      <c r="R165" s="54"/>
      <c r="S165" s="54"/>
      <c r="T165" s="54"/>
      <c r="U165" s="54"/>
      <c r="V165" s="54"/>
      <c r="W165" s="54"/>
      <c r="X165" s="54"/>
      <c r="Y165" s="54"/>
      <c r="Z165" s="54"/>
    </row>
    <row r="166" spans="1:26" ht="10.5" customHeight="1">
      <c r="A166" s="63" t="s">
        <v>56</v>
      </c>
      <c r="B166" s="64"/>
      <c r="C166" s="65" t="s">
        <v>48</v>
      </c>
      <c r="D166" s="291">
        <f>'Proposed Rates'!J219-'2026'!D178</f>
        <v>5.9999999999999984E-4</v>
      </c>
      <c r="E166" s="54"/>
      <c r="F166" s="54"/>
      <c r="G166" s="54"/>
      <c r="H166" s="54"/>
      <c r="I166" s="54"/>
      <c r="J166" s="54"/>
      <c r="K166" s="54"/>
      <c r="L166" s="54"/>
      <c r="M166" s="54"/>
      <c r="N166" s="54"/>
      <c r="O166" s="54"/>
      <c r="P166" s="54"/>
      <c r="Q166" s="54"/>
      <c r="R166" s="54"/>
      <c r="S166" s="54"/>
      <c r="T166" s="54"/>
      <c r="U166" s="54"/>
      <c r="V166" s="54"/>
      <c r="W166" s="54"/>
      <c r="X166" s="54"/>
      <c r="Y166" s="54"/>
      <c r="Z166" s="54"/>
    </row>
    <row r="167" spans="1:26" ht="10.5" customHeight="1">
      <c r="A167" s="63" t="s">
        <v>57</v>
      </c>
      <c r="B167" s="64"/>
      <c r="C167" s="65" t="s">
        <v>48</v>
      </c>
      <c r="D167" s="291">
        <f>'Proposed Rates'!J232</f>
        <v>5.9999999999999995E-4</v>
      </c>
      <c r="E167" s="54"/>
      <c r="F167" s="54"/>
      <c r="G167" s="54"/>
      <c r="H167" s="54"/>
      <c r="I167" s="54"/>
      <c r="J167" s="54"/>
      <c r="K167" s="54"/>
      <c r="L167" s="54"/>
      <c r="M167" s="54"/>
      <c r="N167" s="54"/>
      <c r="O167" s="54"/>
      <c r="P167" s="54"/>
      <c r="Q167" s="54"/>
      <c r="R167" s="54"/>
      <c r="S167" s="54"/>
      <c r="T167" s="54"/>
      <c r="U167" s="54"/>
      <c r="V167" s="54"/>
      <c r="W167" s="54"/>
      <c r="X167" s="54"/>
      <c r="Y167" s="54"/>
      <c r="Z167" s="54"/>
    </row>
    <row r="168" spans="1:26" ht="10.5" customHeight="1">
      <c r="A168" s="63" t="s">
        <v>58</v>
      </c>
      <c r="B168" s="64"/>
      <c r="C168" s="65" t="s">
        <v>42</v>
      </c>
      <c r="D168" s="291">
        <f>'Proposed Rates'!J246</f>
        <v>0.25</v>
      </c>
      <c r="E168" s="54"/>
      <c r="F168" s="54"/>
      <c r="G168" s="54"/>
      <c r="H168" s="54"/>
      <c r="I168" s="54"/>
      <c r="J168" s="54"/>
      <c r="K168" s="54"/>
      <c r="L168" s="54"/>
      <c r="M168" s="54"/>
      <c r="N168" s="54"/>
      <c r="O168" s="54"/>
      <c r="P168" s="54"/>
      <c r="Q168" s="54"/>
      <c r="R168" s="54"/>
      <c r="S168" s="54"/>
      <c r="T168" s="54"/>
      <c r="U168" s="54"/>
      <c r="V168" s="54"/>
      <c r="W168" s="54"/>
      <c r="X168" s="54"/>
      <c r="Y168" s="54"/>
      <c r="Z168" s="54"/>
    </row>
    <row r="169" spans="1:26" ht="11.25" customHeight="1">
      <c r="A169" s="89"/>
      <c r="B169" s="64"/>
      <c r="C169" s="65"/>
      <c r="D169" s="74"/>
      <c r="E169" s="54"/>
      <c r="F169" s="54"/>
      <c r="G169" s="54"/>
      <c r="H169" s="54"/>
      <c r="I169" s="54"/>
      <c r="J169" s="54"/>
      <c r="K169" s="54"/>
      <c r="L169" s="54"/>
      <c r="M169" s="54"/>
      <c r="N169" s="54"/>
      <c r="O169" s="54"/>
      <c r="P169" s="54"/>
      <c r="Q169" s="54"/>
      <c r="R169" s="54"/>
      <c r="S169" s="54"/>
      <c r="T169" s="54"/>
      <c r="U169" s="54"/>
      <c r="V169" s="54"/>
      <c r="W169" s="54"/>
      <c r="X169" s="54"/>
      <c r="Y169" s="54"/>
      <c r="Z169" s="54"/>
    </row>
    <row r="170" spans="1:26" ht="11.25" customHeight="1">
      <c r="A170" s="63" t="s">
        <v>241</v>
      </c>
      <c r="B170" s="64"/>
      <c r="C170" s="65"/>
      <c r="D170" s="74"/>
      <c r="E170" s="54"/>
      <c r="F170" s="54"/>
      <c r="G170" s="54"/>
      <c r="H170" s="54"/>
      <c r="I170" s="54"/>
      <c r="J170" s="54"/>
      <c r="K170" s="54"/>
      <c r="L170" s="54"/>
      <c r="M170" s="54"/>
      <c r="N170" s="54"/>
      <c r="O170" s="54"/>
      <c r="P170" s="54"/>
      <c r="Q170" s="54"/>
      <c r="R170" s="54"/>
      <c r="S170" s="54"/>
      <c r="T170" s="54"/>
      <c r="U170" s="54"/>
      <c r="V170" s="54"/>
      <c r="W170" s="54"/>
      <c r="X170" s="54"/>
      <c r="Y170" s="54"/>
      <c r="Z170" s="54"/>
    </row>
    <row r="171" spans="1:26" ht="11.25" customHeight="1">
      <c r="A171" s="63" t="s">
        <v>74</v>
      </c>
      <c r="B171" s="64"/>
      <c r="C171" s="65"/>
      <c r="D171" s="74"/>
      <c r="E171" s="54"/>
      <c r="F171" s="54"/>
      <c r="G171" s="54"/>
      <c r="H171" s="54"/>
      <c r="I171" s="54"/>
      <c r="J171" s="54"/>
      <c r="K171" s="54"/>
      <c r="L171" s="54"/>
      <c r="M171" s="54"/>
      <c r="N171" s="54"/>
      <c r="O171" s="54"/>
      <c r="P171" s="54"/>
      <c r="Q171" s="54"/>
      <c r="R171" s="54"/>
      <c r="S171" s="54"/>
      <c r="T171" s="54"/>
      <c r="U171" s="54"/>
      <c r="V171" s="54"/>
      <c r="W171" s="54"/>
      <c r="X171" s="54"/>
      <c r="Y171" s="54"/>
      <c r="Z171" s="54"/>
    </row>
    <row r="172" spans="1:26" ht="11.25" customHeight="1">
      <c r="A172" s="63" t="s">
        <v>75</v>
      </c>
      <c r="B172" s="64"/>
      <c r="C172" s="65"/>
      <c r="D172" s="74"/>
      <c r="E172" s="54"/>
      <c r="F172" s="54"/>
      <c r="G172" s="54"/>
      <c r="H172" s="54"/>
      <c r="I172" s="54"/>
      <c r="J172" s="54"/>
      <c r="K172" s="54"/>
      <c r="L172" s="54"/>
      <c r="M172" s="54"/>
      <c r="N172" s="54"/>
      <c r="O172" s="54"/>
      <c r="P172" s="54"/>
      <c r="Q172" s="54"/>
      <c r="R172" s="54"/>
      <c r="S172" s="54"/>
      <c r="T172" s="54"/>
      <c r="U172" s="54"/>
      <c r="V172" s="54"/>
      <c r="W172" s="54"/>
      <c r="X172" s="54"/>
      <c r="Y172" s="54"/>
      <c r="Z172" s="54"/>
    </row>
    <row r="173" spans="1:26" ht="11.25" customHeight="1">
      <c r="A173" s="89"/>
      <c r="B173" s="64"/>
      <c r="C173" s="65"/>
      <c r="D173" s="74"/>
      <c r="E173" s="54"/>
      <c r="F173" s="54"/>
      <c r="G173" s="54"/>
      <c r="H173" s="54"/>
      <c r="I173" s="54"/>
      <c r="J173" s="54"/>
      <c r="K173" s="54"/>
      <c r="L173" s="54"/>
      <c r="M173" s="54"/>
      <c r="N173" s="54"/>
      <c r="O173" s="54"/>
      <c r="P173" s="54"/>
      <c r="Q173" s="54"/>
      <c r="R173" s="54"/>
      <c r="S173" s="54"/>
      <c r="T173" s="54"/>
      <c r="U173" s="54"/>
      <c r="V173" s="54"/>
      <c r="W173" s="54"/>
      <c r="X173" s="54"/>
      <c r="Y173" s="54"/>
      <c r="Z173" s="54"/>
    </row>
    <row r="174" spans="1:26" ht="24" customHeight="1">
      <c r="A174" s="588" t="str">
        <f>$A$1</f>
        <v>Hydro Ottawa Limited</v>
      </c>
      <c r="B174" s="589"/>
      <c r="C174" s="589"/>
      <c r="D174" s="590"/>
      <c r="E174" s="54"/>
      <c r="F174" s="54"/>
      <c r="G174" s="54"/>
      <c r="H174" s="54"/>
      <c r="I174" s="54"/>
      <c r="J174" s="54"/>
      <c r="K174" s="54"/>
      <c r="L174" s="54"/>
      <c r="M174" s="54"/>
      <c r="N174" s="54"/>
      <c r="O174" s="54"/>
      <c r="P174" s="54"/>
      <c r="Q174" s="54"/>
      <c r="R174" s="54"/>
      <c r="S174" s="54"/>
      <c r="T174" s="54"/>
      <c r="U174" s="54"/>
      <c r="V174" s="54"/>
      <c r="W174" s="54"/>
      <c r="X174" s="54"/>
      <c r="Y174" s="54"/>
      <c r="Z174" s="54"/>
    </row>
    <row r="175" spans="1:26" ht="15.75" customHeight="1">
      <c r="A175" s="591" t="str">
        <f>$A$2</f>
        <v>PROPOSED - TARIFF OF RATES AND CHARGES</v>
      </c>
      <c r="B175" s="589"/>
      <c r="C175" s="589"/>
      <c r="D175" s="590"/>
      <c r="E175" s="54"/>
      <c r="F175" s="54"/>
      <c r="G175" s="54"/>
      <c r="H175" s="54"/>
      <c r="I175" s="54"/>
      <c r="J175" s="54"/>
      <c r="K175" s="54"/>
      <c r="L175" s="54"/>
      <c r="M175" s="54"/>
      <c r="N175" s="54"/>
      <c r="O175" s="54"/>
      <c r="P175" s="54"/>
      <c r="Q175" s="54"/>
      <c r="R175" s="54"/>
      <c r="S175" s="54"/>
      <c r="T175" s="54"/>
      <c r="U175" s="54"/>
      <c r="V175" s="54"/>
      <c r="W175" s="54"/>
      <c r="X175" s="54"/>
      <c r="Y175" s="54"/>
      <c r="Z175" s="54"/>
    </row>
    <row r="176" spans="1:26" ht="15.75" customHeight="1">
      <c r="A176" s="592" t="str">
        <f>$A$3</f>
        <v>Effective and Implementation Date January 1, 2030</v>
      </c>
      <c r="B176" s="589"/>
      <c r="C176" s="589"/>
      <c r="D176" s="590"/>
      <c r="E176" s="54"/>
      <c r="F176" s="54"/>
      <c r="G176" s="54"/>
      <c r="H176" s="54"/>
      <c r="I176" s="54"/>
      <c r="J176" s="54"/>
      <c r="K176" s="54"/>
      <c r="L176" s="54"/>
      <c r="M176" s="54"/>
      <c r="N176" s="54"/>
      <c r="O176" s="54"/>
      <c r="P176" s="54"/>
      <c r="Q176" s="54"/>
      <c r="R176" s="54"/>
      <c r="S176" s="54"/>
      <c r="T176" s="54"/>
      <c r="U176" s="54"/>
      <c r="V176" s="54"/>
      <c r="W176" s="54"/>
      <c r="X176" s="54"/>
      <c r="Y176" s="54"/>
      <c r="Z176" s="54"/>
    </row>
    <row r="177" spans="1:26" ht="12" customHeight="1">
      <c r="A177" s="593" t="str">
        <f>$A$4</f>
        <v>This schedule supersedes and replaces all previously</v>
      </c>
      <c r="B177" s="589"/>
      <c r="C177" s="589"/>
      <c r="D177" s="590"/>
      <c r="E177" s="54"/>
      <c r="F177" s="54"/>
      <c r="G177" s="54"/>
      <c r="H177" s="54"/>
      <c r="I177" s="54"/>
      <c r="J177" s="54"/>
      <c r="K177" s="54"/>
      <c r="L177" s="54"/>
      <c r="M177" s="54"/>
      <c r="N177" s="54"/>
      <c r="O177" s="54"/>
      <c r="P177" s="54"/>
      <c r="Q177" s="54"/>
      <c r="R177" s="54"/>
      <c r="S177" s="54"/>
      <c r="T177" s="54"/>
      <c r="U177" s="54"/>
      <c r="V177" s="54"/>
      <c r="W177" s="54"/>
      <c r="X177" s="54"/>
      <c r="Y177" s="54"/>
      <c r="Z177" s="54"/>
    </row>
    <row r="178" spans="1:26" ht="11.25" customHeight="1">
      <c r="A178" s="593" t="str">
        <f>$A$5</f>
        <v>approved schedules of Rates, Charges and Loss Factors</v>
      </c>
      <c r="B178" s="589"/>
      <c r="C178" s="589"/>
      <c r="D178" s="590"/>
      <c r="E178" s="54"/>
      <c r="F178" s="54"/>
      <c r="G178" s="54"/>
      <c r="H178" s="54"/>
      <c r="I178" s="54"/>
      <c r="J178" s="54"/>
      <c r="K178" s="54"/>
      <c r="L178" s="54"/>
      <c r="M178" s="54"/>
      <c r="N178" s="54"/>
      <c r="O178" s="54"/>
      <c r="P178" s="54"/>
      <c r="Q178" s="54"/>
      <c r="R178" s="54"/>
      <c r="S178" s="54"/>
      <c r="T178" s="54"/>
      <c r="U178" s="54"/>
      <c r="V178" s="54"/>
      <c r="W178" s="54"/>
      <c r="X178" s="54"/>
      <c r="Y178" s="54"/>
      <c r="Z178" s="54"/>
    </row>
    <row r="179" spans="1:26" ht="11.25" customHeight="1">
      <c r="A179" s="594" t="str">
        <f>$A$6</f>
        <v>EB-2024-0115</v>
      </c>
      <c r="B179" s="589"/>
      <c r="C179" s="589"/>
      <c r="D179" s="590"/>
      <c r="E179" s="54"/>
      <c r="F179" s="54"/>
      <c r="G179" s="54"/>
      <c r="H179" s="54"/>
      <c r="I179" s="54"/>
      <c r="J179" s="54"/>
      <c r="K179" s="54"/>
      <c r="L179" s="54"/>
      <c r="M179" s="54"/>
      <c r="N179" s="54"/>
      <c r="O179" s="54"/>
      <c r="P179" s="54"/>
      <c r="Q179" s="54"/>
      <c r="R179" s="54"/>
      <c r="S179" s="54"/>
      <c r="T179" s="54"/>
      <c r="U179" s="54"/>
      <c r="V179" s="54"/>
      <c r="W179" s="54"/>
      <c r="X179" s="54"/>
      <c r="Y179" s="54"/>
      <c r="Z179" s="54"/>
    </row>
    <row r="180" spans="1:26" ht="18" customHeight="1">
      <c r="A180" s="595" t="s">
        <v>80</v>
      </c>
      <c r="B180" s="589"/>
      <c r="C180" s="589"/>
      <c r="D180" s="590"/>
      <c r="E180" s="76"/>
      <c r="F180" s="76"/>
      <c r="G180" s="76"/>
      <c r="H180" s="76"/>
      <c r="I180" s="76"/>
      <c r="J180" s="76"/>
      <c r="K180" s="76"/>
      <c r="L180" s="76"/>
      <c r="M180" s="76"/>
      <c r="N180" s="76"/>
      <c r="O180" s="76"/>
      <c r="P180" s="76"/>
      <c r="Q180" s="76"/>
      <c r="R180" s="76"/>
      <c r="S180" s="76"/>
      <c r="T180" s="76"/>
      <c r="U180" s="76"/>
      <c r="V180" s="76"/>
      <c r="W180" s="76"/>
      <c r="X180" s="76"/>
      <c r="Y180" s="76"/>
      <c r="Z180" s="76"/>
    </row>
    <row r="181" spans="1:26" ht="48" customHeight="1">
      <c r="A181" s="596" t="s">
        <v>81</v>
      </c>
      <c r="B181" s="589"/>
      <c r="C181" s="589"/>
      <c r="D181" s="590"/>
      <c r="E181" s="54"/>
      <c r="F181" s="54"/>
      <c r="G181" s="54"/>
      <c r="H181" s="54"/>
      <c r="I181" s="54"/>
      <c r="J181" s="54"/>
      <c r="K181" s="54"/>
      <c r="L181" s="54"/>
      <c r="M181" s="54"/>
      <c r="N181" s="54"/>
      <c r="O181" s="54"/>
      <c r="P181" s="54"/>
      <c r="Q181" s="54"/>
      <c r="R181" s="54"/>
      <c r="S181" s="54"/>
      <c r="T181" s="54"/>
      <c r="U181" s="54"/>
      <c r="V181" s="54"/>
      <c r="W181" s="54"/>
      <c r="X181" s="54"/>
      <c r="Y181" s="54"/>
      <c r="Z181" s="54"/>
    </row>
    <row r="182" spans="1:26" ht="6.75" customHeight="1">
      <c r="A182" s="55"/>
      <c r="B182" s="55"/>
      <c r="C182" s="55"/>
      <c r="D182" s="56"/>
      <c r="E182" s="54"/>
      <c r="F182" s="54"/>
      <c r="G182" s="54"/>
      <c r="H182" s="54"/>
      <c r="I182" s="54"/>
      <c r="J182" s="54"/>
      <c r="K182" s="54"/>
      <c r="L182" s="54"/>
      <c r="M182" s="54"/>
      <c r="N182" s="54"/>
      <c r="O182" s="54"/>
      <c r="P182" s="54"/>
      <c r="Q182" s="54"/>
      <c r="R182" s="54"/>
      <c r="S182" s="54"/>
      <c r="T182" s="54"/>
      <c r="U182" s="54"/>
      <c r="V182" s="54"/>
      <c r="W182" s="54"/>
      <c r="X182" s="54"/>
      <c r="Y182" s="54"/>
      <c r="Z182" s="54"/>
    </row>
    <row r="183" spans="1:26" ht="11.25" customHeight="1">
      <c r="A183" s="597" t="s">
        <v>35</v>
      </c>
      <c r="B183" s="589"/>
      <c r="C183" s="589"/>
      <c r="D183" s="590"/>
      <c r="E183" s="54"/>
      <c r="F183" s="54"/>
      <c r="G183" s="54"/>
      <c r="H183" s="54"/>
      <c r="I183" s="54"/>
      <c r="J183" s="54"/>
      <c r="K183" s="54"/>
      <c r="L183" s="54"/>
      <c r="M183" s="54"/>
      <c r="N183" s="54"/>
      <c r="O183" s="54"/>
      <c r="P183" s="54"/>
      <c r="Q183" s="54"/>
      <c r="R183" s="54"/>
      <c r="S183" s="54"/>
      <c r="T183" s="54"/>
      <c r="U183" s="54"/>
      <c r="V183" s="54"/>
      <c r="W183" s="54"/>
      <c r="X183" s="54"/>
      <c r="Y183" s="54"/>
      <c r="Z183" s="54"/>
    </row>
    <row r="184" spans="1:26" ht="6.75" customHeight="1">
      <c r="A184" s="57"/>
      <c r="B184" s="58"/>
      <c r="C184" s="58"/>
      <c r="D184" s="59"/>
      <c r="E184" s="54"/>
      <c r="F184" s="54"/>
      <c r="G184" s="54"/>
      <c r="H184" s="54"/>
      <c r="I184" s="54"/>
      <c r="J184" s="54"/>
      <c r="K184" s="54"/>
      <c r="L184" s="54"/>
      <c r="M184" s="54"/>
      <c r="N184" s="54"/>
      <c r="O184" s="54"/>
      <c r="P184" s="54"/>
      <c r="Q184" s="54"/>
      <c r="R184" s="54"/>
      <c r="S184" s="54"/>
      <c r="T184" s="54"/>
      <c r="U184" s="54"/>
      <c r="V184" s="54"/>
      <c r="W184" s="54"/>
      <c r="X184" s="54"/>
      <c r="Y184" s="54"/>
      <c r="Z184" s="54"/>
    </row>
    <row r="185" spans="1:26" ht="36" customHeight="1">
      <c r="A185" s="596" t="s">
        <v>36</v>
      </c>
      <c r="B185" s="589"/>
      <c r="C185" s="589"/>
      <c r="D185" s="590"/>
      <c r="E185" s="54"/>
      <c r="F185" s="54"/>
      <c r="G185" s="54"/>
      <c r="H185" s="54"/>
      <c r="I185" s="54"/>
      <c r="J185" s="54"/>
      <c r="K185" s="54"/>
      <c r="L185" s="54"/>
      <c r="M185" s="54"/>
      <c r="N185" s="54"/>
      <c r="O185" s="54"/>
      <c r="P185" s="54"/>
      <c r="Q185" s="54"/>
      <c r="R185" s="54"/>
      <c r="S185" s="54"/>
      <c r="T185" s="54"/>
      <c r="U185" s="54"/>
      <c r="V185" s="54"/>
      <c r="W185" s="54"/>
      <c r="X185" s="54"/>
      <c r="Y185" s="54"/>
      <c r="Z185" s="54"/>
    </row>
    <row r="186" spans="1:26" ht="6.75" customHeight="1">
      <c r="A186" s="55"/>
      <c r="B186" s="55"/>
      <c r="C186" s="55"/>
      <c r="D186" s="56"/>
      <c r="E186" s="54"/>
      <c r="F186" s="54"/>
      <c r="G186" s="54"/>
      <c r="H186" s="54"/>
      <c r="I186" s="54"/>
      <c r="J186" s="54"/>
      <c r="K186" s="54"/>
      <c r="L186" s="54"/>
      <c r="M186" s="54"/>
      <c r="N186" s="54"/>
      <c r="O186" s="54"/>
      <c r="P186" s="54"/>
      <c r="Q186" s="54"/>
      <c r="R186" s="54"/>
      <c r="S186" s="54"/>
      <c r="T186" s="54"/>
      <c r="U186" s="54"/>
      <c r="V186" s="54"/>
      <c r="W186" s="54"/>
      <c r="X186" s="54"/>
      <c r="Y186" s="54"/>
      <c r="Z186" s="54"/>
    </row>
    <row r="187" spans="1:26" ht="48" customHeight="1">
      <c r="A187" s="596" t="s">
        <v>82</v>
      </c>
      <c r="B187" s="589"/>
      <c r="C187" s="589"/>
      <c r="D187" s="590"/>
      <c r="E187" s="54"/>
      <c r="F187" s="54"/>
      <c r="G187" s="54"/>
      <c r="H187" s="54"/>
      <c r="I187" s="54"/>
      <c r="J187" s="54"/>
      <c r="K187" s="54"/>
      <c r="L187" s="54"/>
      <c r="M187" s="54"/>
      <c r="N187" s="54"/>
      <c r="O187" s="54"/>
      <c r="P187" s="54"/>
      <c r="Q187" s="54"/>
      <c r="R187" s="54"/>
      <c r="S187" s="54"/>
      <c r="T187" s="54"/>
      <c r="U187" s="54"/>
      <c r="V187" s="54"/>
      <c r="W187" s="54"/>
      <c r="X187" s="54"/>
      <c r="Y187" s="54"/>
      <c r="Z187" s="54"/>
    </row>
    <row r="188" spans="1:26" ht="6.75" customHeight="1">
      <c r="A188" s="55"/>
      <c r="B188" s="55"/>
      <c r="C188" s="55"/>
      <c r="D188" s="56"/>
      <c r="E188" s="54"/>
      <c r="F188" s="54"/>
      <c r="G188" s="54"/>
      <c r="H188" s="54"/>
      <c r="I188" s="54"/>
      <c r="J188" s="54"/>
      <c r="K188" s="54"/>
      <c r="L188" s="54"/>
      <c r="M188" s="54"/>
      <c r="N188" s="54"/>
      <c r="O188" s="54"/>
      <c r="P188" s="54"/>
      <c r="Q188" s="54"/>
      <c r="R188" s="54"/>
      <c r="S188" s="54"/>
      <c r="T188" s="54"/>
      <c r="U188" s="54"/>
      <c r="V188" s="54"/>
      <c r="W188" s="54"/>
      <c r="X188" s="54"/>
      <c r="Y188" s="54"/>
      <c r="Z188" s="54"/>
    </row>
    <row r="189" spans="1:26" ht="48" customHeight="1">
      <c r="A189" s="596" t="s">
        <v>38</v>
      </c>
      <c r="B189" s="589"/>
      <c r="C189" s="589"/>
      <c r="D189" s="590"/>
      <c r="E189" s="54"/>
      <c r="F189" s="54"/>
      <c r="G189" s="54"/>
      <c r="H189" s="54"/>
      <c r="I189" s="54"/>
      <c r="J189" s="54"/>
      <c r="K189" s="54"/>
      <c r="L189" s="54"/>
      <c r="M189" s="54"/>
      <c r="N189" s="54"/>
      <c r="O189" s="54"/>
      <c r="P189" s="54"/>
      <c r="Q189" s="54"/>
      <c r="R189" s="54"/>
      <c r="S189" s="54"/>
      <c r="T189" s="54"/>
      <c r="U189" s="54"/>
      <c r="V189" s="54"/>
      <c r="W189" s="54"/>
      <c r="X189" s="54"/>
      <c r="Y189" s="54"/>
      <c r="Z189" s="54"/>
    </row>
    <row r="190" spans="1:26" ht="6.75" customHeight="1">
      <c r="A190" s="55"/>
      <c r="B190" s="55"/>
      <c r="C190" s="55"/>
      <c r="D190" s="56"/>
      <c r="E190" s="54"/>
      <c r="F190" s="54"/>
      <c r="G190" s="54"/>
      <c r="H190" s="54"/>
      <c r="I190" s="54"/>
      <c r="J190" s="54"/>
      <c r="K190" s="54"/>
      <c r="L190" s="54"/>
      <c r="M190" s="54"/>
      <c r="N190" s="54"/>
      <c r="O190" s="54"/>
      <c r="P190" s="54"/>
      <c r="Q190" s="54"/>
      <c r="R190" s="54"/>
      <c r="S190" s="54"/>
      <c r="T190" s="54"/>
      <c r="U190" s="54"/>
      <c r="V190" s="54"/>
      <c r="W190" s="54"/>
      <c r="X190" s="54"/>
      <c r="Y190" s="54"/>
      <c r="Z190" s="54"/>
    </row>
    <row r="191" spans="1:26" ht="96" customHeight="1">
      <c r="A191" s="596" t="s">
        <v>66</v>
      </c>
      <c r="B191" s="589"/>
      <c r="C191" s="589"/>
      <c r="D191" s="590"/>
      <c r="E191" s="54"/>
      <c r="F191" s="54"/>
      <c r="G191" s="54"/>
      <c r="H191" s="54"/>
      <c r="I191" s="54"/>
      <c r="J191" s="54"/>
      <c r="K191" s="54"/>
      <c r="L191" s="54"/>
      <c r="M191" s="54"/>
      <c r="N191" s="54"/>
      <c r="O191" s="54"/>
      <c r="P191" s="54"/>
      <c r="Q191" s="54"/>
      <c r="R191" s="54"/>
      <c r="S191" s="54"/>
      <c r="T191" s="54"/>
      <c r="U191" s="54"/>
      <c r="V191" s="54"/>
      <c r="W191" s="54"/>
      <c r="X191" s="54"/>
      <c r="Y191" s="54"/>
      <c r="Z191" s="54"/>
    </row>
    <row r="192" spans="1:26" ht="96" customHeight="1">
      <c r="A192" s="596" t="s">
        <v>67</v>
      </c>
      <c r="B192" s="589"/>
      <c r="C192" s="589"/>
      <c r="D192" s="590"/>
      <c r="E192" s="54"/>
      <c r="F192" s="54"/>
      <c r="G192" s="54"/>
      <c r="H192" s="54"/>
      <c r="I192" s="54"/>
      <c r="J192" s="54"/>
      <c r="K192" s="54"/>
      <c r="L192" s="54"/>
      <c r="M192" s="54"/>
      <c r="N192" s="54"/>
      <c r="O192" s="54"/>
      <c r="P192" s="54"/>
      <c r="Q192" s="54"/>
      <c r="R192" s="54"/>
      <c r="S192" s="54"/>
      <c r="T192" s="54"/>
      <c r="U192" s="54"/>
      <c r="V192" s="54"/>
      <c r="W192" s="54"/>
      <c r="X192" s="54"/>
      <c r="Y192" s="54"/>
      <c r="Z192" s="54"/>
    </row>
    <row r="193" spans="1:26" ht="36" customHeight="1">
      <c r="A193" s="596" t="s">
        <v>39</v>
      </c>
      <c r="B193" s="589"/>
      <c r="C193" s="589"/>
      <c r="D193" s="590"/>
      <c r="E193" s="54"/>
      <c r="F193" s="54"/>
      <c r="G193" s="54"/>
      <c r="H193" s="54"/>
      <c r="I193" s="54"/>
      <c r="J193" s="54"/>
      <c r="K193" s="54"/>
      <c r="L193" s="54"/>
      <c r="M193" s="54"/>
      <c r="N193" s="54"/>
      <c r="O193" s="54"/>
      <c r="P193" s="54"/>
      <c r="Q193" s="54"/>
      <c r="R193" s="54"/>
      <c r="S193" s="54"/>
      <c r="T193" s="54"/>
      <c r="U193" s="54"/>
      <c r="V193" s="54"/>
      <c r="W193" s="54"/>
      <c r="X193" s="54"/>
      <c r="Y193" s="54"/>
      <c r="Z193" s="54"/>
    </row>
    <row r="194" spans="1:26" ht="24" customHeight="1">
      <c r="A194" s="601" t="s">
        <v>68</v>
      </c>
      <c r="B194" s="589"/>
      <c r="C194" s="589"/>
      <c r="D194" s="590"/>
      <c r="E194" s="54"/>
      <c r="F194" s="54"/>
      <c r="G194" s="54"/>
      <c r="H194" s="54"/>
      <c r="I194" s="54"/>
      <c r="J194" s="54"/>
      <c r="K194" s="54"/>
      <c r="L194" s="54"/>
      <c r="M194" s="54"/>
      <c r="N194" s="54"/>
      <c r="O194" s="54"/>
      <c r="P194" s="54"/>
      <c r="Q194" s="54"/>
      <c r="R194" s="54"/>
      <c r="S194" s="54"/>
      <c r="T194" s="54"/>
      <c r="U194" s="54"/>
      <c r="V194" s="54"/>
      <c r="W194" s="54"/>
      <c r="X194" s="54"/>
      <c r="Y194" s="54"/>
      <c r="Z194" s="54"/>
    </row>
    <row r="195" spans="1:26" ht="6.75" customHeight="1">
      <c r="A195" s="78"/>
      <c r="B195" s="78"/>
      <c r="C195" s="78"/>
      <c r="D195" s="79"/>
      <c r="E195" s="54"/>
      <c r="F195" s="54"/>
      <c r="G195" s="54"/>
      <c r="H195" s="54"/>
      <c r="I195" s="54"/>
      <c r="J195" s="54"/>
      <c r="K195" s="54"/>
      <c r="L195" s="54"/>
      <c r="M195" s="54"/>
      <c r="N195" s="54"/>
      <c r="O195" s="54"/>
      <c r="P195" s="54"/>
      <c r="Q195" s="54"/>
      <c r="R195" s="54"/>
      <c r="S195" s="54"/>
      <c r="T195" s="54"/>
      <c r="U195" s="54"/>
      <c r="V195" s="54"/>
      <c r="W195" s="54"/>
      <c r="X195" s="54"/>
      <c r="Y195" s="54"/>
      <c r="Z195" s="54"/>
    </row>
    <row r="196" spans="1:26" ht="15" customHeight="1">
      <c r="A196" s="598" t="s">
        <v>40</v>
      </c>
      <c r="B196" s="589"/>
      <c r="C196" s="589"/>
      <c r="D196" s="590"/>
      <c r="E196" s="54"/>
      <c r="F196" s="54"/>
      <c r="G196" s="54"/>
      <c r="H196" s="54"/>
      <c r="I196" s="54"/>
      <c r="J196" s="54"/>
      <c r="K196" s="54"/>
      <c r="L196" s="54"/>
      <c r="M196" s="54"/>
      <c r="N196" s="54"/>
      <c r="O196" s="54"/>
      <c r="P196" s="54"/>
      <c r="Q196" s="54"/>
      <c r="R196" s="54"/>
      <c r="S196" s="54"/>
      <c r="T196" s="54"/>
      <c r="U196" s="54"/>
      <c r="V196" s="54"/>
      <c r="W196" s="54"/>
      <c r="X196" s="54"/>
      <c r="Y196" s="54"/>
      <c r="Z196" s="54"/>
    </row>
    <row r="197" spans="1:26" ht="6.75" customHeight="1">
      <c r="A197" s="60"/>
      <c r="B197" s="61"/>
      <c r="C197" s="61"/>
      <c r="D197" s="62"/>
      <c r="E197" s="54"/>
      <c r="F197" s="54"/>
      <c r="G197" s="54"/>
      <c r="H197" s="54"/>
      <c r="I197" s="54"/>
      <c r="J197" s="54"/>
      <c r="K197" s="54"/>
      <c r="L197" s="54"/>
      <c r="M197" s="54"/>
      <c r="N197" s="54"/>
      <c r="O197" s="54"/>
      <c r="P197" s="54"/>
      <c r="Q197" s="54"/>
      <c r="R197" s="54"/>
      <c r="S197" s="54"/>
      <c r="T197" s="54"/>
      <c r="U197" s="54"/>
      <c r="V197" s="54"/>
      <c r="W197" s="54"/>
      <c r="X197" s="54"/>
      <c r="Y197" s="54"/>
      <c r="Z197" s="54"/>
    </row>
    <row r="198" spans="1:26" ht="10.5" customHeight="1">
      <c r="A198" s="63" t="s">
        <v>41</v>
      </c>
      <c r="B198" s="64"/>
      <c r="C198" s="65" t="s">
        <v>42</v>
      </c>
      <c r="D198" s="290">
        <f>'Proposed Rates'!J12</f>
        <v>14946.93</v>
      </c>
      <c r="E198" s="54"/>
      <c r="F198" s="54"/>
      <c r="G198" s="54"/>
      <c r="H198" s="54"/>
      <c r="I198" s="54"/>
      <c r="J198" s="54"/>
      <c r="K198" s="54"/>
      <c r="L198" s="54"/>
      <c r="M198" s="54"/>
      <c r="N198" s="54"/>
      <c r="O198" s="54"/>
      <c r="P198" s="54"/>
      <c r="Q198" s="54"/>
      <c r="R198" s="54"/>
      <c r="S198" s="54"/>
      <c r="T198" s="54"/>
      <c r="U198" s="54"/>
      <c r="V198" s="54"/>
      <c r="W198" s="54"/>
      <c r="X198" s="54"/>
      <c r="Y198" s="54"/>
      <c r="Z198" s="54"/>
    </row>
    <row r="199" spans="1:26" ht="10.5" customHeight="1">
      <c r="A199" s="63" t="s">
        <v>62</v>
      </c>
      <c r="B199" s="64"/>
      <c r="C199" s="65" t="s">
        <v>69</v>
      </c>
      <c r="D199" s="291">
        <f>'Proposed Rates'!J25</f>
        <v>10.8666</v>
      </c>
      <c r="E199" s="54"/>
      <c r="F199" s="54"/>
      <c r="G199" s="54"/>
      <c r="H199" s="54"/>
      <c r="I199" s="54"/>
      <c r="J199" s="54"/>
      <c r="K199" s="54"/>
      <c r="L199" s="54"/>
      <c r="M199" s="54"/>
      <c r="N199" s="54"/>
      <c r="O199" s="54"/>
      <c r="P199" s="54"/>
      <c r="Q199" s="54"/>
      <c r="R199" s="54"/>
      <c r="S199" s="54"/>
      <c r="T199" s="54"/>
      <c r="U199" s="54"/>
      <c r="V199" s="54"/>
      <c r="W199" s="54"/>
      <c r="X199" s="54"/>
      <c r="Y199" s="54"/>
      <c r="Z199" s="54"/>
    </row>
    <row r="200" spans="1:26" ht="10.5" customHeight="1">
      <c r="A200" s="63" t="s">
        <v>47</v>
      </c>
      <c r="B200" s="64"/>
      <c r="C200" s="65" t="s">
        <v>69</v>
      </c>
      <c r="D200" s="293">
        <f>'Proposed Rates'!J271</f>
        <v>2.9170000000000001E-2</v>
      </c>
      <c r="E200" s="54"/>
      <c r="F200" s="54"/>
      <c r="G200" s="54"/>
      <c r="H200" s="54"/>
      <c r="I200" s="54"/>
      <c r="J200" s="54"/>
      <c r="K200" s="54"/>
      <c r="L200" s="54"/>
      <c r="M200" s="54"/>
      <c r="N200" s="54"/>
      <c r="O200" s="54"/>
      <c r="P200" s="54"/>
      <c r="Q200" s="54"/>
      <c r="R200" s="54"/>
      <c r="S200" s="54"/>
      <c r="T200" s="54"/>
      <c r="U200" s="54"/>
      <c r="V200" s="54"/>
      <c r="W200" s="54"/>
      <c r="X200" s="54"/>
      <c r="Y200" s="54"/>
      <c r="Z200" s="54"/>
    </row>
    <row r="201" spans="1:26" ht="10.5" customHeight="1">
      <c r="A201" s="63" t="s">
        <v>49</v>
      </c>
      <c r="B201" s="64"/>
      <c r="C201" s="65" t="s">
        <v>69</v>
      </c>
      <c r="D201" s="291">
        <f>'Proposed Rates'!J41</f>
        <v>0</v>
      </c>
      <c r="E201" s="54"/>
      <c r="F201" s="54"/>
      <c r="G201" s="54"/>
      <c r="H201" s="54"/>
      <c r="I201" s="54"/>
      <c r="J201" s="54"/>
      <c r="K201" s="54"/>
      <c r="L201" s="54"/>
      <c r="M201" s="54"/>
      <c r="N201" s="54"/>
      <c r="O201" s="54"/>
      <c r="P201" s="54"/>
      <c r="Q201" s="54"/>
      <c r="R201" s="54"/>
      <c r="S201" s="54"/>
      <c r="T201" s="54"/>
      <c r="U201" s="54"/>
      <c r="V201" s="54"/>
      <c r="W201" s="54"/>
      <c r="X201" s="54"/>
      <c r="Y201" s="54"/>
      <c r="Z201" s="54"/>
    </row>
    <row r="202" spans="1:26" ht="10.5" customHeight="1">
      <c r="A202" s="63" t="s">
        <v>45</v>
      </c>
      <c r="B202" s="64"/>
      <c r="C202" s="65" t="s">
        <v>69</v>
      </c>
      <c r="D202" s="291">
        <f>'Proposed Rates'!J68</f>
        <v>0</v>
      </c>
      <c r="E202" s="54"/>
      <c r="F202" s="54"/>
      <c r="G202" s="54"/>
      <c r="H202" s="54"/>
      <c r="I202" s="54"/>
      <c r="J202" s="54"/>
      <c r="K202" s="54"/>
      <c r="L202" s="54"/>
      <c r="M202" s="54"/>
      <c r="N202" s="54"/>
      <c r="O202" s="54"/>
      <c r="P202" s="54"/>
      <c r="Q202" s="54"/>
      <c r="R202" s="54"/>
      <c r="S202" s="54"/>
      <c r="T202" s="54"/>
      <c r="U202" s="54"/>
      <c r="V202" s="54"/>
      <c r="W202" s="54"/>
      <c r="X202" s="54"/>
      <c r="Y202" s="54"/>
      <c r="Z202" s="54"/>
    </row>
    <row r="203" spans="1:26" ht="10.5" customHeight="1">
      <c r="A203" s="63" t="s">
        <v>44</v>
      </c>
      <c r="B203" s="64"/>
      <c r="C203" s="65" t="s">
        <v>69</v>
      </c>
      <c r="D203" s="291">
        <f>'Proposed Rates'!J94</f>
        <v>0</v>
      </c>
      <c r="E203" s="54"/>
      <c r="F203" s="54"/>
      <c r="G203" s="54"/>
      <c r="H203" s="54"/>
      <c r="I203" s="54"/>
      <c r="J203" s="54"/>
      <c r="K203" s="54"/>
      <c r="L203" s="54"/>
      <c r="M203" s="54"/>
      <c r="N203" s="54"/>
      <c r="O203" s="54"/>
      <c r="P203" s="54"/>
      <c r="Q203" s="54"/>
      <c r="R203" s="54"/>
      <c r="S203" s="54"/>
      <c r="T203" s="54"/>
      <c r="U203" s="54"/>
      <c r="V203" s="54"/>
      <c r="W203" s="54"/>
      <c r="X203" s="54"/>
      <c r="Y203" s="54"/>
      <c r="Z203" s="54"/>
    </row>
    <row r="204" spans="1:26" ht="10.5" customHeight="1">
      <c r="A204" s="63" t="s">
        <v>233</v>
      </c>
      <c r="B204" s="64"/>
      <c r="C204" s="65" t="s">
        <v>48</v>
      </c>
      <c r="D204" s="291">
        <f>'Proposed Rates'!J149</f>
        <v>0</v>
      </c>
      <c r="E204" s="54"/>
      <c r="F204" s="54"/>
      <c r="G204" s="54"/>
      <c r="H204" s="54"/>
      <c r="I204" s="54"/>
      <c r="J204" s="54"/>
      <c r="K204" s="54"/>
      <c r="L204" s="54"/>
      <c r="M204" s="54"/>
      <c r="N204" s="54"/>
      <c r="O204" s="54"/>
      <c r="P204" s="54"/>
      <c r="Q204" s="54"/>
      <c r="R204" s="54"/>
      <c r="S204" s="54"/>
      <c r="T204" s="54"/>
      <c r="U204" s="54"/>
      <c r="V204" s="54"/>
      <c r="W204" s="54"/>
      <c r="X204" s="54"/>
      <c r="Y204" s="54"/>
      <c r="Z204" s="54"/>
    </row>
    <row r="205" spans="1:26" ht="10.5" customHeight="1">
      <c r="A205" s="63" t="s">
        <v>52</v>
      </c>
      <c r="B205" s="64"/>
      <c r="C205" s="65" t="s">
        <v>69</v>
      </c>
      <c r="D205" s="291">
        <f>'Proposed Rates'!J192</f>
        <v>5.3339999999999996</v>
      </c>
      <c r="E205" s="54"/>
      <c r="F205" s="54"/>
      <c r="G205" s="54"/>
      <c r="H205" s="54"/>
      <c r="I205" s="54"/>
      <c r="J205" s="54"/>
      <c r="K205" s="54"/>
      <c r="L205" s="54"/>
      <c r="M205" s="54"/>
      <c r="N205" s="54"/>
      <c r="O205" s="54"/>
      <c r="P205" s="54"/>
      <c r="Q205" s="54"/>
      <c r="R205" s="54"/>
      <c r="S205" s="54"/>
      <c r="T205" s="54"/>
      <c r="U205" s="54"/>
      <c r="V205" s="54"/>
      <c r="W205" s="54"/>
      <c r="X205" s="54"/>
      <c r="Y205" s="54"/>
      <c r="Z205" s="54"/>
    </row>
    <row r="206" spans="1:26" ht="10.5" customHeight="1">
      <c r="A206" s="63" t="s">
        <v>53</v>
      </c>
      <c r="B206" s="64"/>
      <c r="C206" s="65" t="s">
        <v>69</v>
      </c>
      <c r="D206" s="291">
        <f>'Proposed Rates'!J207</f>
        <v>3.0192999999999999</v>
      </c>
      <c r="E206" s="54"/>
      <c r="F206" s="54"/>
      <c r="G206" s="54"/>
      <c r="H206" s="54"/>
      <c r="I206" s="54"/>
      <c r="J206" s="54"/>
      <c r="K206" s="54"/>
      <c r="L206" s="54"/>
      <c r="M206" s="54"/>
      <c r="N206" s="54"/>
      <c r="O206" s="54"/>
      <c r="P206" s="54"/>
      <c r="Q206" s="54"/>
      <c r="R206" s="54"/>
      <c r="S206" s="54"/>
      <c r="T206" s="54"/>
      <c r="U206" s="54"/>
      <c r="V206" s="54"/>
      <c r="W206" s="54"/>
      <c r="X206" s="54"/>
      <c r="Y206" s="54"/>
      <c r="Z206" s="54"/>
    </row>
    <row r="207" spans="1:26" ht="3.75" customHeight="1">
      <c r="A207" s="65"/>
      <c r="B207" s="65"/>
      <c r="C207" s="65"/>
      <c r="D207" s="294"/>
      <c r="E207" s="54"/>
      <c r="F207" s="54"/>
      <c r="G207" s="54"/>
      <c r="H207" s="54"/>
      <c r="I207" s="54"/>
      <c r="J207" s="54"/>
      <c r="K207" s="54"/>
      <c r="L207" s="54"/>
      <c r="M207" s="54"/>
      <c r="N207" s="54"/>
      <c r="O207" s="54"/>
      <c r="P207" s="54"/>
      <c r="Q207" s="54"/>
      <c r="R207" s="54"/>
      <c r="S207" s="54"/>
      <c r="T207" s="54"/>
      <c r="U207" s="54"/>
      <c r="V207" s="54"/>
      <c r="W207" s="54"/>
      <c r="X207" s="54"/>
      <c r="Y207" s="54"/>
      <c r="Z207" s="54"/>
    </row>
    <row r="208" spans="1:26" ht="11.25" customHeight="1">
      <c r="A208" s="75" t="s">
        <v>54</v>
      </c>
      <c r="B208" s="64"/>
      <c r="C208" s="65"/>
      <c r="D208" s="294"/>
      <c r="E208" s="54"/>
      <c r="F208" s="54"/>
      <c r="G208" s="54"/>
      <c r="H208" s="54"/>
      <c r="I208" s="54"/>
      <c r="J208" s="54"/>
      <c r="K208" s="54"/>
      <c r="L208" s="54"/>
      <c r="M208" s="54"/>
      <c r="N208" s="54"/>
      <c r="O208" s="54"/>
      <c r="P208" s="54"/>
      <c r="Q208" s="54"/>
      <c r="R208" s="54"/>
      <c r="S208" s="54"/>
      <c r="T208" s="54"/>
      <c r="U208" s="54"/>
      <c r="V208" s="54"/>
      <c r="W208" s="54"/>
      <c r="X208" s="54"/>
      <c r="Y208" s="54"/>
      <c r="Z208" s="54"/>
    </row>
    <row r="209" spans="1:26" ht="3.75" customHeight="1">
      <c r="A209" s="60"/>
      <c r="B209" s="65"/>
      <c r="C209" s="65"/>
      <c r="D209" s="294"/>
      <c r="E209" s="54"/>
      <c r="F209" s="54"/>
      <c r="G209" s="54"/>
      <c r="H209" s="54"/>
      <c r="I209" s="54"/>
      <c r="J209" s="54"/>
      <c r="K209" s="54"/>
      <c r="L209" s="54"/>
      <c r="M209" s="54"/>
      <c r="N209" s="54"/>
      <c r="O209" s="54"/>
      <c r="P209" s="54"/>
      <c r="Q209" s="54"/>
      <c r="R209" s="54"/>
      <c r="S209" s="54"/>
      <c r="T209" s="54"/>
      <c r="U209" s="54"/>
      <c r="V209" s="54"/>
      <c r="W209" s="54"/>
      <c r="X209" s="54"/>
      <c r="Y209" s="54"/>
      <c r="Z209" s="54"/>
    </row>
    <row r="210" spans="1:26" ht="10.5" customHeight="1">
      <c r="A210" s="63" t="s">
        <v>55</v>
      </c>
      <c r="B210" s="64"/>
      <c r="C210" s="65" t="s">
        <v>48</v>
      </c>
      <c r="D210" s="291">
        <f>$D$34</f>
        <v>4.1000000000000003E-3</v>
      </c>
      <c r="E210" s="54"/>
      <c r="F210" s="54"/>
      <c r="G210" s="54"/>
      <c r="H210" s="54"/>
      <c r="I210" s="54"/>
      <c r="J210" s="54"/>
      <c r="K210" s="54"/>
      <c r="L210" s="54"/>
      <c r="M210" s="54"/>
      <c r="N210" s="54"/>
      <c r="O210" s="54"/>
      <c r="P210" s="54"/>
      <c r="Q210" s="54"/>
      <c r="R210" s="54"/>
      <c r="S210" s="54"/>
      <c r="T210" s="54"/>
      <c r="U210" s="54"/>
      <c r="V210" s="54"/>
      <c r="W210" s="54"/>
      <c r="X210" s="54"/>
      <c r="Y210" s="54"/>
      <c r="Z210" s="54"/>
    </row>
    <row r="211" spans="1:26" ht="10.5" customHeight="1">
      <c r="A211" s="63" t="s">
        <v>56</v>
      </c>
      <c r="B211" s="64"/>
      <c r="C211" s="65" t="s">
        <v>48</v>
      </c>
      <c r="D211" s="291">
        <f>'Proposed Rates'!J220-'2026'!H227</f>
        <v>4.7000000000000002E-3</v>
      </c>
      <c r="E211" s="54"/>
      <c r="F211" s="54"/>
      <c r="G211" s="54"/>
      <c r="H211" s="54"/>
      <c r="I211" s="54"/>
      <c r="J211" s="54"/>
      <c r="K211" s="54"/>
      <c r="L211" s="54"/>
      <c r="M211" s="54"/>
      <c r="N211" s="54"/>
      <c r="O211" s="54"/>
      <c r="P211" s="54"/>
      <c r="Q211" s="54"/>
      <c r="R211" s="54"/>
      <c r="S211" s="54"/>
      <c r="T211" s="54"/>
      <c r="U211" s="54"/>
      <c r="V211" s="54"/>
      <c r="W211" s="54"/>
      <c r="X211" s="54"/>
      <c r="Y211" s="54"/>
      <c r="Z211" s="54"/>
    </row>
    <row r="212" spans="1:26" ht="10.5" customHeight="1">
      <c r="A212" s="63" t="s">
        <v>57</v>
      </c>
      <c r="B212" s="64"/>
      <c r="C212" s="65" t="s">
        <v>48</v>
      </c>
      <c r="D212" s="291">
        <f>'Proposed Rates'!J233</f>
        <v>5.9999999999999995E-4</v>
      </c>
      <c r="E212" s="54"/>
      <c r="F212" s="54"/>
      <c r="G212" s="54"/>
      <c r="H212" s="54"/>
      <c r="I212" s="54"/>
      <c r="J212" s="54"/>
      <c r="K212" s="54"/>
      <c r="L212" s="54"/>
      <c r="M212" s="54"/>
      <c r="N212" s="54"/>
      <c r="O212" s="54"/>
      <c r="P212" s="54"/>
      <c r="Q212" s="54"/>
      <c r="R212" s="54"/>
      <c r="S212" s="54"/>
      <c r="T212" s="54"/>
      <c r="U212" s="54"/>
      <c r="V212" s="54"/>
      <c r="W212" s="54"/>
      <c r="X212" s="54"/>
      <c r="Y212" s="54"/>
      <c r="Z212" s="54"/>
    </row>
    <row r="213" spans="1:26" ht="10.5" customHeight="1">
      <c r="A213" s="63" t="s">
        <v>58</v>
      </c>
      <c r="B213" s="64"/>
      <c r="C213" s="65" t="s">
        <v>42</v>
      </c>
      <c r="D213" s="291">
        <f>'Proposed Rates'!J247</f>
        <v>0.25</v>
      </c>
      <c r="E213" s="54"/>
      <c r="F213" s="54"/>
      <c r="G213" s="54"/>
      <c r="H213" s="54"/>
      <c r="I213" s="54"/>
      <c r="J213" s="54"/>
      <c r="K213" s="54"/>
      <c r="L213" s="54"/>
      <c r="M213" s="54"/>
      <c r="N213" s="54"/>
      <c r="O213" s="54"/>
      <c r="P213" s="54"/>
      <c r="Q213" s="54"/>
      <c r="R213" s="54"/>
      <c r="S213" s="54"/>
      <c r="T213" s="54"/>
      <c r="U213" s="54"/>
      <c r="V213" s="54"/>
      <c r="W213" s="54"/>
      <c r="X213" s="54"/>
      <c r="Y213" s="54"/>
      <c r="Z213" s="54"/>
    </row>
    <row r="214" spans="1:26" ht="5.25" customHeight="1">
      <c r="A214" s="89"/>
      <c r="B214" s="64"/>
      <c r="C214" s="65"/>
      <c r="D214" s="74"/>
      <c r="E214" s="54"/>
      <c r="F214" s="54"/>
      <c r="G214" s="54"/>
      <c r="H214" s="54"/>
      <c r="I214" s="54"/>
      <c r="J214" s="54"/>
      <c r="K214" s="54"/>
      <c r="L214" s="54"/>
      <c r="M214" s="54"/>
      <c r="N214" s="54"/>
      <c r="O214" s="54"/>
      <c r="P214" s="54"/>
      <c r="Q214" s="54"/>
      <c r="R214" s="54"/>
      <c r="S214" s="54"/>
      <c r="T214" s="54"/>
      <c r="U214" s="54"/>
      <c r="V214" s="54"/>
      <c r="W214" s="54"/>
      <c r="X214" s="54"/>
      <c r="Y214" s="54"/>
      <c r="Z214" s="54"/>
    </row>
    <row r="215" spans="1:26" ht="24" customHeight="1">
      <c r="A215" s="588" t="str">
        <f>$A$1</f>
        <v>Hydro Ottawa Limited</v>
      </c>
      <c r="B215" s="589"/>
      <c r="C215" s="589"/>
      <c r="D215" s="590"/>
      <c r="E215" s="54"/>
      <c r="F215" s="54"/>
      <c r="G215" s="54"/>
      <c r="H215" s="54"/>
      <c r="I215" s="54"/>
      <c r="J215" s="54"/>
      <c r="K215" s="54"/>
      <c r="L215" s="54"/>
      <c r="M215" s="54"/>
      <c r="N215" s="54"/>
      <c r="O215" s="54"/>
      <c r="P215" s="54"/>
      <c r="Q215" s="54"/>
      <c r="R215" s="54"/>
      <c r="S215" s="54"/>
      <c r="T215" s="54"/>
      <c r="U215" s="54"/>
      <c r="V215" s="54"/>
      <c r="W215" s="54"/>
      <c r="X215" s="54"/>
      <c r="Y215" s="54"/>
      <c r="Z215" s="54"/>
    </row>
    <row r="216" spans="1:26" ht="15.75" customHeight="1">
      <c r="A216" s="591" t="str">
        <f>$A$2</f>
        <v>PROPOSED - TARIFF OF RATES AND CHARGES</v>
      </c>
      <c r="B216" s="589"/>
      <c r="C216" s="589"/>
      <c r="D216" s="590"/>
      <c r="E216" s="54"/>
      <c r="F216" s="54"/>
      <c r="G216" s="54"/>
      <c r="H216" s="54"/>
      <c r="I216" s="54"/>
      <c r="J216" s="54"/>
      <c r="K216" s="54"/>
      <c r="L216" s="54"/>
      <c r="M216" s="54"/>
      <c r="N216" s="54"/>
      <c r="O216" s="54"/>
      <c r="P216" s="54"/>
      <c r="Q216" s="54"/>
      <c r="R216" s="54"/>
      <c r="S216" s="54"/>
      <c r="T216" s="54"/>
      <c r="U216" s="54"/>
      <c r="V216" s="54"/>
      <c r="W216" s="54"/>
      <c r="X216" s="54"/>
      <c r="Y216" s="54"/>
      <c r="Z216" s="54"/>
    </row>
    <row r="217" spans="1:26" ht="15.75" customHeight="1">
      <c r="A217" s="592" t="str">
        <f>$A$3</f>
        <v>Effective and Implementation Date January 1, 2030</v>
      </c>
      <c r="B217" s="589"/>
      <c r="C217" s="589"/>
      <c r="D217" s="590"/>
      <c r="E217" s="54"/>
      <c r="F217" s="54"/>
      <c r="G217" s="54"/>
      <c r="H217" s="54"/>
      <c r="I217" s="54"/>
      <c r="J217" s="54"/>
      <c r="K217" s="54"/>
      <c r="L217" s="54"/>
      <c r="M217" s="54"/>
      <c r="N217" s="54"/>
      <c r="O217" s="54"/>
      <c r="P217" s="54"/>
      <c r="Q217" s="54"/>
      <c r="R217" s="54"/>
      <c r="S217" s="54"/>
      <c r="T217" s="54"/>
      <c r="U217" s="54"/>
      <c r="V217" s="54"/>
      <c r="W217" s="54"/>
      <c r="X217" s="54"/>
      <c r="Y217" s="54"/>
      <c r="Z217" s="54"/>
    </row>
    <row r="218" spans="1:26" ht="12" customHeight="1">
      <c r="A218" s="593" t="str">
        <f>$A$4</f>
        <v>This schedule supersedes and replaces all previously</v>
      </c>
      <c r="B218" s="589"/>
      <c r="C218" s="589"/>
      <c r="D218" s="590"/>
      <c r="E218" s="54"/>
      <c r="F218" s="54"/>
      <c r="G218" s="54"/>
      <c r="H218" s="54"/>
      <c r="I218" s="54"/>
      <c r="J218" s="54"/>
      <c r="K218" s="54"/>
      <c r="L218" s="54"/>
      <c r="M218" s="54"/>
      <c r="N218" s="54"/>
      <c r="O218" s="54"/>
      <c r="P218" s="54"/>
      <c r="Q218" s="54"/>
      <c r="R218" s="54"/>
      <c r="S218" s="54"/>
      <c r="T218" s="54"/>
      <c r="U218" s="54"/>
      <c r="V218" s="54"/>
      <c r="W218" s="54"/>
      <c r="X218" s="54"/>
      <c r="Y218" s="54"/>
      <c r="Z218" s="54"/>
    </row>
    <row r="219" spans="1:26" ht="11.25" customHeight="1">
      <c r="A219" s="593" t="str">
        <f>$A$5</f>
        <v>approved schedules of Rates, Charges and Loss Factors</v>
      </c>
      <c r="B219" s="589"/>
      <c r="C219" s="589"/>
      <c r="D219" s="590"/>
      <c r="E219" s="54"/>
      <c r="F219" s="54"/>
      <c r="G219" s="54"/>
      <c r="H219" s="54"/>
      <c r="I219" s="54"/>
      <c r="J219" s="54"/>
      <c r="K219" s="54"/>
      <c r="L219" s="54"/>
      <c r="M219" s="54"/>
      <c r="N219" s="54"/>
      <c r="O219" s="54"/>
      <c r="P219" s="54"/>
      <c r="Q219" s="54"/>
      <c r="R219" s="54"/>
      <c r="S219" s="54"/>
      <c r="T219" s="54"/>
      <c r="U219" s="54"/>
      <c r="V219" s="54"/>
      <c r="W219" s="54"/>
      <c r="X219" s="54"/>
      <c r="Y219" s="54"/>
      <c r="Z219" s="54"/>
    </row>
    <row r="220" spans="1:26" ht="11.25" customHeight="1">
      <c r="A220" s="594" t="str">
        <f>$A$6</f>
        <v>EB-2024-0115</v>
      </c>
      <c r="B220" s="589"/>
      <c r="C220" s="589"/>
      <c r="D220" s="590"/>
      <c r="E220" s="54"/>
      <c r="F220" s="54"/>
      <c r="G220" s="54"/>
      <c r="H220" s="54"/>
      <c r="I220" s="54"/>
      <c r="J220" s="54"/>
      <c r="K220" s="54"/>
      <c r="L220" s="54"/>
      <c r="M220" s="54"/>
      <c r="N220" s="54"/>
      <c r="O220" s="54"/>
      <c r="P220" s="54"/>
      <c r="Q220" s="54"/>
      <c r="R220" s="54"/>
      <c r="S220" s="54"/>
      <c r="T220" s="54"/>
      <c r="U220" s="54"/>
      <c r="V220" s="54"/>
      <c r="W220" s="54"/>
      <c r="X220" s="54"/>
      <c r="Y220" s="54"/>
      <c r="Z220" s="54"/>
    </row>
    <row r="221" spans="1:26" ht="18.75" customHeight="1">
      <c r="A221" s="595" t="s">
        <v>83</v>
      </c>
      <c r="B221" s="589"/>
      <c r="C221" s="589"/>
      <c r="D221" s="590"/>
      <c r="E221" s="76"/>
      <c r="F221" s="76"/>
      <c r="G221" s="76"/>
      <c r="H221" s="76"/>
      <c r="I221" s="76"/>
      <c r="J221" s="76"/>
      <c r="K221" s="76"/>
      <c r="L221" s="76"/>
      <c r="M221" s="76"/>
      <c r="N221" s="76"/>
      <c r="O221" s="76"/>
      <c r="P221" s="76"/>
      <c r="Q221" s="76"/>
      <c r="R221" s="76"/>
      <c r="S221" s="76"/>
      <c r="T221" s="76"/>
      <c r="U221" s="76"/>
      <c r="V221" s="76"/>
      <c r="W221" s="76"/>
      <c r="X221" s="76"/>
      <c r="Y221" s="76"/>
      <c r="Z221" s="76"/>
    </row>
    <row r="222" spans="1:26" ht="84" customHeight="1">
      <c r="A222" s="596" t="s">
        <v>84</v>
      </c>
      <c r="B222" s="589"/>
      <c r="C222" s="589"/>
      <c r="D222" s="590"/>
      <c r="E222" s="54"/>
      <c r="F222" s="54"/>
      <c r="G222" s="54"/>
      <c r="H222" s="54"/>
      <c r="I222" s="54"/>
      <c r="J222" s="54"/>
      <c r="K222" s="54"/>
      <c r="L222" s="54"/>
      <c r="M222" s="54"/>
      <c r="N222" s="54"/>
      <c r="O222" s="54"/>
      <c r="P222" s="54"/>
      <c r="Q222" s="54"/>
      <c r="R222" s="54"/>
      <c r="S222" s="54"/>
      <c r="T222" s="54"/>
      <c r="U222" s="54"/>
      <c r="V222" s="54"/>
      <c r="W222" s="54"/>
      <c r="X222" s="54"/>
      <c r="Y222" s="54"/>
      <c r="Z222" s="54"/>
    </row>
    <row r="223" spans="1:26" ht="6.75" customHeight="1">
      <c r="A223" s="55"/>
      <c r="B223" s="55"/>
      <c r="C223" s="55"/>
      <c r="D223" s="56"/>
      <c r="E223" s="54"/>
      <c r="F223" s="54"/>
      <c r="G223" s="54"/>
      <c r="H223" s="54"/>
      <c r="I223" s="54"/>
      <c r="J223" s="54"/>
      <c r="K223" s="54"/>
      <c r="L223" s="54"/>
      <c r="M223" s="54"/>
      <c r="N223" s="54"/>
      <c r="O223" s="54"/>
      <c r="P223" s="54"/>
      <c r="Q223" s="54"/>
      <c r="R223" s="54"/>
      <c r="S223" s="54"/>
      <c r="T223" s="54"/>
      <c r="U223" s="54"/>
      <c r="V223" s="54"/>
      <c r="W223" s="54"/>
      <c r="X223" s="54"/>
      <c r="Y223" s="54"/>
      <c r="Z223" s="54"/>
    </row>
    <row r="224" spans="1:26" ht="11.25" customHeight="1">
      <c r="A224" s="597" t="s">
        <v>35</v>
      </c>
      <c r="B224" s="589"/>
      <c r="C224" s="589"/>
      <c r="D224" s="590"/>
      <c r="E224" s="54"/>
      <c r="F224" s="54"/>
      <c r="G224" s="54"/>
      <c r="H224" s="54"/>
      <c r="I224" s="54"/>
      <c r="J224" s="54"/>
      <c r="K224" s="54"/>
      <c r="L224" s="54"/>
      <c r="M224" s="54"/>
      <c r="N224" s="54"/>
      <c r="O224" s="54"/>
      <c r="P224" s="54"/>
      <c r="Q224" s="54"/>
      <c r="R224" s="54"/>
      <c r="S224" s="54"/>
      <c r="T224" s="54"/>
      <c r="U224" s="54"/>
      <c r="V224" s="54"/>
      <c r="W224" s="54"/>
      <c r="X224" s="54"/>
      <c r="Y224" s="54"/>
      <c r="Z224" s="54"/>
    </row>
    <row r="225" spans="1:26" ht="6.75" customHeight="1">
      <c r="A225" s="57"/>
      <c r="B225" s="58"/>
      <c r="C225" s="58"/>
      <c r="D225" s="59"/>
      <c r="E225" s="54"/>
      <c r="F225" s="54"/>
      <c r="G225" s="54"/>
      <c r="H225" s="54"/>
      <c r="I225" s="54"/>
      <c r="J225" s="54"/>
      <c r="K225" s="54"/>
      <c r="L225" s="54"/>
      <c r="M225" s="54"/>
      <c r="N225" s="54"/>
      <c r="O225" s="54"/>
      <c r="P225" s="54"/>
      <c r="Q225" s="54"/>
      <c r="R225" s="54"/>
      <c r="S225" s="54"/>
      <c r="T225" s="54"/>
      <c r="U225" s="54"/>
      <c r="V225" s="54"/>
      <c r="W225" s="54"/>
      <c r="X225" s="54"/>
      <c r="Y225" s="54"/>
      <c r="Z225" s="54"/>
    </row>
    <row r="226" spans="1:26" ht="36" customHeight="1">
      <c r="A226" s="596" t="s">
        <v>36</v>
      </c>
      <c r="B226" s="589"/>
      <c r="C226" s="589"/>
      <c r="D226" s="590"/>
      <c r="E226" s="54"/>
      <c r="F226" s="54"/>
      <c r="G226" s="54"/>
      <c r="H226" s="54"/>
      <c r="I226" s="54"/>
      <c r="J226" s="54"/>
      <c r="K226" s="54"/>
      <c r="L226" s="54"/>
      <c r="M226" s="54"/>
      <c r="N226" s="54"/>
      <c r="O226" s="54"/>
      <c r="P226" s="54"/>
      <c r="Q226" s="54"/>
      <c r="R226" s="54"/>
      <c r="S226" s="54"/>
      <c r="T226" s="54"/>
      <c r="U226" s="54"/>
      <c r="V226" s="54"/>
      <c r="W226" s="54"/>
      <c r="X226" s="54"/>
      <c r="Y226" s="54"/>
      <c r="Z226" s="54"/>
    </row>
    <row r="227" spans="1:26" ht="6.75" customHeight="1">
      <c r="A227" s="55"/>
      <c r="B227" s="55"/>
      <c r="C227" s="55"/>
      <c r="D227" s="56"/>
      <c r="E227" s="54"/>
      <c r="F227" s="54"/>
      <c r="G227" s="54"/>
      <c r="H227" s="54"/>
      <c r="I227" s="54"/>
      <c r="J227" s="54"/>
      <c r="K227" s="54"/>
      <c r="L227" s="54"/>
      <c r="M227" s="54"/>
      <c r="N227" s="54"/>
      <c r="O227" s="54"/>
      <c r="P227" s="54"/>
      <c r="Q227" s="54"/>
      <c r="R227" s="54"/>
      <c r="S227" s="54"/>
      <c r="T227" s="54"/>
      <c r="U227" s="54"/>
      <c r="V227" s="54"/>
      <c r="W227" s="54"/>
      <c r="X227" s="54"/>
      <c r="Y227" s="54"/>
      <c r="Z227" s="54"/>
    </row>
    <row r="228" spans="1:26" ht="48" customHeight="1">
      <c r="A228" s="596" t="s">
        <v>37</v>
      </c>
      <c r="B228" s="589"/>
      <c r="C228" s="589"/>
      <c r="D228" s="590"/>
      <c r="E228" s="54"/>
      <c r="F228" s="54"/>
      <c r="G228" s="54"/>
      <c r="H228" s="54"/>
      <c r="I228" s="54"/>
      <c r="J228" s="54"/>
      <c r="K228" s="54"/>
      <c r="L228" s="54"/>
      <c r="M228" s="54"/>
      <c r="N228" s="54"/>
      <c r="O228" s="54"/>
      <c r="P228" s="54"/>
      <c r="Q228" s="54"/>
      <c r="R228" s="54"/>
      <c r="S228" s="54"/>
      <c r="T228" s="54"/>
      <c r="U228" s="54"/>
      <c r="V228" s="54"/>
      <c r="W228" s="54"/>
      <c r="X228" s="54"/>
      <c r="Y228" s="54"/>
      <c r="Z228" s="54"/>
    </row>
    <row r="229" spans="1:26" ht="6.75" customHeight="1">
      <c r="A229" s="55"/>
      <c r="B229" s="55"/>
      <c r="C229" s="55"/>
      <c r="D229" s="56"/>
      <c r="E229" s="54"/>
      <c r="F229" s="54"/>
      <c r="G229" s="54"/>
      <c r="H229" s="54"/>
      <c r="I229" s="54"/>
      <c r="J229" s="54"/>
      <c r="K229" s="54"/>
      <c r="L229" s="54"/>
      <c r="M229" s="54"/>
      <c r="N229" s="54"/>
      <c r="O229" s="54"/>
      <c r="P229" s="54"/>
      <c r="Q229" s="54"/>
      <c r="R229" s="54"/>
      <c r="S229" s="54"/>
      <c r="T229" s="54"/>
      <c r="U229" s="54"/>
      <c r="V229" s="54"/>
      <c r="W229" s="54"/>
      <c r="X229" s="54"/>
      <c r="Y229" s="54"/>
      <c r="Z229" s="54"/>
    </row>
    <row r="230" spans="1:26" ht="48" customHeight="1">
      <c r="A230" s="596" t="s">
        <v>38</v>
      </c>
      <c r="B230" s="589"/>
      <c r="C230" s="589"/>
      <c r="D230" s="590"/>
      <c r="E230" s="54"/>
      <c r="F230" s="54"/>
      <c r="G230" s="54"/>
      <c r="H230" s="54"/>
      <c r="I230" s="54"/>
      <c r="J230" s="54"/>
      <c r="K230" s="54"/>
      <c r="L230" s="54"/>
      <c r="M230" s="54"/>
      <c r="N230" s="54"/>
      <c r="O230" s="54"/>
      <c r="P230" s="54"/>
      <c r="Q230" s="54"/>
      <c r="R230" s="54"/>
      <c r="S230" s="54"/>
      <c r="T230" s="54"/>
      <c r="U230" s="54"/>
      <c r="V230" s="54"/>
      <c r="W230" s="54"/>
      <c r="X230" s="54"/>
      <c r="Y230" s="54"/>
      <c r="Z230" s="54"/>
    </row>
    <row r="231" spans="1:26" ht="6.75" customHeight="1">
      <c r="A231" s="55"/>
      <c r="B231" s="55"/>
      <c r="C231" s="55"/>
      <c r="D231" s="56"/>
      <c r="E231" s="54"/>
      <c r="F231" s="54"/>
      <c r="G231" s="54"/>
      <c r="H231" s="54"/>
      <c r="I231" s="54"/>
      <c r="J231" s="54"/>
      <c r="K231" s="54"/>
      <c r="L231" s="54"/>
      <c r="M231" s="54"/>
      <c r="N231" s="54"/>
      <c r="O231" s="54"/>
      <c r="P231" s="54"/>
      <c r="Q231" s="54"/>
      <c r="R231" s="54"/>
      <c r="S231" s="54"/>
      <c r="T231" s="54"/>
      <c r="U231" s="54"/>
      <c r="V231" s="54"/>
      <c r="W231" s="54"/>
      <c r="X231" s="54"/>
      <c r="Y231" s="54"/>
      <c r="Z231" s="54"/>
    </row>
    <row r="232" spans="1:26" ht="36" customHeight="1">
      <c r="A232" s="596" t="s">
        <v>39</v>
      </c>
      <c r="B232" s="589"/>
      <c r="C232" s="589"/>
      <c r="D232" s="590"/>
      <c r="E232" s="54"/>
      <c r="F232" s="54"/>
      <c r="G232" s="54"/>
      <c r="H232" s="54"/>
      <c r="I232" s="54"/>
      <c r="J232" s="54"/>
      <c r="K232" s="54"/>
      <c r="L232" s="54"/>
      <c r="M232" s="54"/>
      <c r="N232" s="54"/>
      <c r="O232" s="54"/>
      <c r="P232" s="54"/>
      <c r="Q232" s="54"/>
      <c r="R232" s="54"/>
      <c r="S232" s="54"/>
      <c r="T232" s="54"/>
      <c r="U232" s="54"/>
      <c r="V232" s="54"/>
      <c r="W232" s="54"/>
      <c r="X232" s="54"/>
      <c r="Y232" s="54"/>
      <c r="Z232" s="54"/>
    </row>
    <row r="233" spans="1:26" ht="6.75" customHeight="1">
      <c r="A233" s="55"/>
      <c r="B233" s="55"/>
      <c r="C233" s="55"/>
      <c r="D233" s="56"/>
      <c r="E233" s="54"/>
      <c r="F233" s="54"/>
      <c r="G233" s="54"/>
      <c r="H233" s="54"/>
      <c r="I233" s="54"/>
      <c r="J233" s="54"/>
      <c r="K233" s="54"/>
      <c r="L233" s="54"/>
      <c r="M233" s="54"/>
      <c r="N233" s="54"/>
      <c r="O233" s="54"/>
      <c r="P233" s="54"/>
      <c r="Q233" s="54"/>
      <c r="R233" s="54"/>
      <c r="S233" s="54"/>
      <c r="T233" s="54"/>
      <c r="U233" s="54"/>
      <c r="V233" s="54"/>
      <c r="W233" s="54"/>
      <c r="X233" s="54"/>
      <c r="Y233" s="54"/>
      <c r="Z233" s="54"/>
    </row>
    <row r="234" spans="1:26" ht="15" customHeight="1">
      <c r="A234" s="75" t="s">
        <v>40</v>
      </c>
      <c r="B234" s="64"/>
      <c r="C234" s="64"/>
      <c r="D234" s="64"/>
      <c r="E234" s="54"/>
      <c r="F234" s="54"/>
      <c r="G234" s="54"/>
      <c r="H234" s="54"/>
      <c r="I234" s="54"/>
      <c r="J234" s="54"/>
      <c r="K234" s="54"/>
      <c r="L234" s="54"/>
      <c r="M234" s="54"/>
      <c r="N234" s="54"/>
      <c r="O234" s="54"/>
      <c r="P234" s="54"/>
      <c r="Q234" s="54"/>
      <c r="R234" s="54"/>
      <c r="S234" s="54"/>
      <c r="T234" s="54"/>
      <c r="U234" s="54"/>
      <c r="V234" s="54"/>
      <c r="W234" s="54"/>
      <c r="X234" s="54"/>
      <c r="Y234" s="54"/>
      <c r="Z234" s="54"/>
    </row>
    <row r="235" spans="1:26" ht="6.75" customHeight="1">
      <c r="A235" s="60"/>
      <c r="B235" s="61"/>
      <c r="C235" s="61"/>
      <c r="D235" s="62"/>
      <c r="E235" s="54"/>
      <c r="F235" s="54"/>
      <c r="G235" s="54"/>
      <c r="H235" s="54"/>
      <c r="I235" s="54"/>
      <c r="J235" s="54"/>
      <c r="K235" s="54"/>
      <c r="L235" s="54"/>
      <c r="M235" s="54"/>
      <c r="N235" s="54"/>
      <c r="O235" s="54"/>
      <c r="P235" s="54"/>
      <c r="Q235" s="54"/>
      <c r="R235" s="54"/>
      <c r="S235" s="54"/>
      <c r="T235" s="54"/>
      <c r="U235" s="54"/>
      <c r="V235" s="54"/>
      <c r="W235" s="54"/>
      <c r="X235" s="54"/>
      <c r="Y235" s="54"/>
      <c r="Z235" s="54"/>
    </row>
    <row r="236" spans="1:26" ht="10.5" customHeight="1">
      <c r="A236" s="63" t="s">
        <v>85</v>
      </c>
      <c r="B236" s="64"/>
      <c r="C236" s="65" t="s">
        <v>42</v>
      </c>
      <c r="D236" s="290">
        <f>'Proposed Rates'!J15</f>
        <v>9.3699999999999992</v>
      </c>
      <c r="E236" s="54"/>
      <c r="F236" s="54"/>
      <c r="G236" s="54"/>
      <c r="H236" s="54"/>
      <c r="I236" s="54"/>
      <c r="J236" s="54"/>
      <c r="K236" s="54"/>
      <c r="L236" s="54"/>
      <c r="M236" s="54"/>
      <c r="N236" s="54"/>
      <c r="O236" s="54"/>
      <c r="P236" s="54"/>
      <c r="Q236" s="54"/>
      <c r="R236" s="54"/>
      <c r="S236" s="54"/>
      <c r="T236" s="54"/>
      <c r="U236" s="54"/>
      <c r="V236" s="54"/>
      <c r="W236" s="54"/>
      <c r="X236" s="54"/>
      <c r="Y236" s="54"/>
      <c r="Z236" s="54"/>
    </row>
    <row r="237" spans="1:26" ht="10.5" customHeight="1">
      <c r="A237" s="63" t="s">
        <v>62</v>
      </c>
      <c r="B237" s="64"/>
      <c r="C237" s="65" t="s">
        <v>48</v>
      </c>
      <c r="D237" s="291">
        <f>'Proposed Rates'!J28</f>
        <v>4.4699999999999997E-2</v>
      </c>
      <c r="E237" s="54"/>
      <c r="F237" s="54"/>
      <c r="G237" s="54"/>
      <c r="H237" s="54"/>
      <c r="I237" s="54"/>
      <c r="J237" s="54"/>
      <c r="K237" s="54"/>
      <c r="L237" s="54"/>
      <c r="M237" s="54"/>
      <c r="N237" s="54"/>
      <c r="O237" s="54"/>
      <c r="P237" s="54"/>
      <c r="Q237" s="54"/>
      <c r="R237" s="54"/>
      <c r="S237" s="54"/>
      <c r="T237" s="54"/>
      <c r="U237" s="54"/>
      <c r="V237" s="54"/>
      <c r="W237" s="54"/>
      <c r="X237" s="54"/>
      <c r="Y237" s="54"/>
      <c r="Z237" s="54"/>
    </row>
    <row r="238" spans="1:26" ht="10.5" customHeight="1">
      <c r="A238" s="63" t="s">
        <v>47</v>
      </c>
      <c r="B238" s="64"/>
      <c r="C238" s="65" t="s">
        <v>48</v>
      </c>
      <c r="D238" s="293">
        <f>'Proposed Rates'!J274</f>
        <v>4.0000000000000003E-5</v>
      </c>
      <c r="E238" s="54"/>
      <c r="F238" s="54"/>
      <c r="G238" s="54"/>
      <c r="H238" s="54"/>
      <c r="I238" s="54"/>
      <c r="J238" s="54"/>
      <c r="K238" s="54"/>
      <c r="L238" s="54"/>
      <c r="M238" s="54"/>
      <c r="N238" s="54"/>
      <c r="O238" s="54"/>
      <c r="P238" s="54"/>
      <c r="Q238" s="54"/>
      <c r="R238" s="54"/>
      <c r="S238" s="54"/>
      <c r="T238" s="54"/>
      <c r="U238" s="54"/>
      <c r="V238" s="54"/>
      <c r="W238" s="54"/>
      <c r="X238" s="54"/>
      <c r="Y238" s="54"/>
      <c r="Z238" s="54"/>
    </row>
    <row r="239" spans="1:26" ht="10.5" customHeight="1">
      <c r="A239" s="63" t="s">
        <v>49</v>
      </c>
      <c r="B239" s="64"/>
      <c r="C239" s="65" t="s">
        <v>48</v>
      </c>
      <c r="D239" s="291">
        <f>'Proposed Rates'!J44</f>
        <v>0</v>
      </c>
      <c r="E239" s="54"/>
      <c r="F239" s="54"/>
      <c r="G239" s="54"/>
      <c r="H239" s="54"/>
      <c r="I239" s="54"/>
      <c r="J239" s="54"/>
      <c r="K239" s="54"/>
      <c r="L239" s="54"/>
      <c r="M239" s="54"/>
      <c r="N239" s="54"/>
      <c r="O239" s="54"/>
      <c r="P239" s="54"/>
      <c r="Q239" s="54"/>
      <c r="R239" s="54"/>
      <c r="S239" s="54"/>
      <c r="T239" s="54"/>
      <c r="U239" s="54"/>
      <c r="V239" s="54"/>
      <c r="W239" s="54"/>
      <c r="X239" s="54"/>
      <c r="Y239" s="54"/>
      <c r="Z239" s="54"/>
    </row>
    <row r="240" spans="1:26" ht="10.5" customHeight="1">
      <c r="A240" s="63" t="s">
        <v>45</v>
      </c>
      <c r="B240" s="64"/>
      <c r="C240" s="65" t="s">
        <v>48</v>
      </c>
      <c r="D240" s="291">
        <f>'Proposed Rates'!J71</f>
        <v>0</v>
      </c>
      <c r="E240" s="54"/>
      <c r="F240" s="54"/>
      <c r="G240" s="54"/>
      <c r="H240" s="54"/>
      <c r="I240" s="54"/>
      <c r="J240" s="54"/>
      <c r="K240" s="54"/>
      <c r="L240" s="54"/>
      <c r="M240" s="54"/>
      <c r="N240" s="54"/>
      <c r="O240" s="54"/>
      <c r="P240" s="54"/>
      <c r="Q240" s="54"/>
      <c r="R240" s="54"/>
      <c r="S240" s="54"/>
      <c r="T240" s="54"/>
      <c r="U240" s="54"/>
      <c r="V240" s="54"/>
      <c r="W240" s="54"/>
      <c r="X240" s="54"/>
      <c r="Y240" s="54"/>
      <c r="Z240" s="54"/>
    </row>
    <row r="241" spans="1:26" ht="10.5" customHeight="1">
      <c r="A241" s="63" t="s">
        <v>44</v>
      </c>
      <c r="B241" s="64"/>
      <c r="C241" s="65" t="s">
        <v>48</v>
      </c>
      <c r="D241" s="291">
        <f>'Proposed Rates'!J97</f>
        <v>0</v>
      </c>
      <c r="E241" s="54"/>
      <c r="F241" s="54"/>
      <c r="G241" s="54"/>
      <c r="H241" s="54"/>
      <c r="I241" s="54"/>
      <c r="J241" s="54"/>
      <c r="K241" s="54"/>
      <c r="L241" s="54"/>
      <c r="M241" s="54"/>
      <c r="N241" s="54"/>
      <c r="O241" s="54"/>
      <c r="P241" s="54"/>
      <c r="Q241" s="54"/>
      <c r="R241" s="54"/>
      <c r="S241" s="54"/>
      <c r="T241" s="54"/>
      <c r="U241" s="54"/>
      <c r="V241" s="54"/>
      <c r="W241" s="54"/>
      <c r="X241" s="54"/>
      <c r="Y241" s="54"/>
      <c r="Z241" s="54"/>
    </row>
    <row r="242" spans="1:26" ht="10.5" customHeight="1">
      <c r="A242" s="63" t="s">
        <v>52</v>
      </c>
      <c r="B242" s="64"/>
      <c r="C242" s="65" t="s">
        <v>48</v>
      </c>
      <c r="D242" s="291">
        <f>'Proposed Rates'!J195</f>
        <v>7.4999999999999997E-3</v>
      </c>
      <c r="E242" s="54"/>
      <c r="F242" s="54"/>
      <c r="G242" s="54"/>
      <c r="H242" s="54"/>
      <c r="I242" s="54"/>
      <c r="J242" s="54"/>
      <c r="K242" s="54"/>
      <c r="L242" s="54"/>
      <c r="M242" s="54"/>
      <c r="N242" s="54"/>
      <c r="O242" s="54"/>
      <c r="P242" s="54"/>
      <c r="Q242" s="54"/>
      <c r="R242" s="54"/>
      <c r="S242" s="54"/>
      <c r="T242" s="54"/>
      <c r="U242" s="54"/>
      <c r="V242" s="54"/>
      <c r="W242" s="54"/>
      <c r="X242" s="54"/>
      <c r="Y242" s="54"/>
      <c r="Z242" s="54"/>
    </row>
    <row r="243" spans="1:26" ht="10.5" customHeight="1">
      <c r="A243" s="63" t="s">
        <v>53</v>
      </c>
      <c r="B243" s="64"/>
      <c r="C243" s="65" t="s">
        <v>48</v>
      </c>
      <c r="D243" s="291">
        <f>'Proposed Rates'!J210</f>
        <v>4.3E-3</v>
      </c>
      <c r="E243" s="54"/>
      <c r="F243" s="54"/>
      <c r="G243" s="54"/>
      <c r="H243" s="54"/>
      <c r="I243" s="54"/>
      <c r="J243" s="54"/>
      <c r="K243" s="54"/>
      <c r="L243" s="54"/>
      <c r="M243" s="54"/>
      <c r="N243" s="54"/>
      <c r="O243" s="54"/>
      <c r="P243" s="54"/>
      <c r="Q243" s="54"/>
      <c r="R243" s="54"/>
      <c r="S243" s="54"/>
      <c r="T243" s="54"/>
      <c r="U243" s="54"/>
      <c r="V243" s="54"/>
      <c r="W243" s="54"/>
      <c r="X243" s="54"/>
      <c r="Y243" s="54"/>
      <c r="Z243" s="54"/>
    </row>
    <row r="244" spans="1:26" ht="3.75" customHeight="1">
      <c r="A244" s="65"/>
      <c r="B244" s="65"/>
      <c r="C244" s="65"/>
      <c r="D244" s="294"/>
      <c r="E244" s="54"/>
      <c r="F244" s="54"/>
      <c r="G244" s="54"/>
      <c r="H244" s="54"/>
      <c r="I244" s="54"/>
      <c r="J244" s="54"/>
      <c r="K244" s="54"/>
      <c r="L244" s="54"/>
      <c r="M244" s="54"/>
      <c r="N244" s="54"/>
      <c r="O244" s="54"/>
      <c r="P244" s="54"/>
      <c r="Q244" s="54"/>
      <c r="R244" s="54"/>
      <c r="S244" s="54"/>
      <c r="T244" s="54"/>
      <c r="U244" s="54"/>
      <c r="V244" s="54"/>
      <c r="W244" s="54"/>
      <c r="X244" s="54"/>
      <c r="Y244" s="54"/>
      <c r="Z244" s="54"/>
    </row>
    <row r="245" spans="1:26" ht="15.75" customHeight="1">
      <c r="A245" s="75" t="s">
        <v>54</v>
      </c>
      <c r="B245" s="64"/>
      <c r="C245" s="65"/>
      <c r="D245" s="294"/>
      <c r="E245" s="54"/>
      <c r="F245" s="54"/>
      <c r="G245" s="54"/>
      <c r="H245" s="54"/>
      <c r="I245" s="54"/>
      <c r="J245" s="54"/>
      <c r="K245" s="54"/>
      <c r="L245" s="54"/>
      <c r="M245" s="54"/>
      <c r="N245" s="54"/>
      <c r="O245" s="54"/>
      <c r="P245" s="54"/>
      <c r="Q245" s="54"/>
      <c r="R245" s="54"/>
      <c r="S245" s="54"/>
      <c r="T245" s="54"/>
      <c r="U245" s="54"/>
      <c r="V245" s="54"/>
      <c r="W245" s="54"/>
      <c r="X245" s="54"/>
      <c r="Y245" s="54"/>
      <c r="Z245" s="54"/>
    </row>
    <row r="246" spans="1:26" ht="4.5" customHeight="1">
      <c r="A246" s="60"/>
      <c r="B246" s="65"/>
      <c r="C246" s="65"/>
      <c r="D246" s="294"/>
      <c r="E246" s="54"/>
      <c r="F246" s="54"/>
      <c r="G246" s="54"/>
      <c r="H246" s="54"/>
      <c r="I246" s="54"/>
      <c r="J246" s="54"/>
      <c r="K246" s="54"/>
      <c r="L246" s="54"/>
      <c r="M246" s="54"/>
      <c r="N246" s="54"/>
      <c r="O246" s="54"/>
      <c r="P246" s="54"/>
      <c r="Q246" s="54"/>
      <c r="R246" s="54"/>
      <c r="S246" s="54"/>
      <c r="T246" s="54"/>
      <c r="U246" s="54"/>
      <c r="V246" s="54"/>
      <c r="W246" s="54"/>
      <c r="X246" s="54"/>
      <c r="Y246" s="54"/>
      <c r="Z246" s="54"/>
    </row>
    <row r="247" spans="1:26" ht="10.5" customHeight="1">
      <c r="A247" s="63" t="s">
        <v>55</v>
      </c>
      <c r="B247" s="64"/>
      <c r="C247" s="65" t="s">
        <v>48</v>
      </c>
      <c r="D247" s="291">
        <f>$D$34</f>
        <v>4.1000000000000003E-3</v>
      </c>
      <c r="E247" s="54"/>
      <c r="F247" s="54"/>
      <c r="G247" s="54"/>
      <c r="H247" s="54"/>
      <c r="I247" s="54"/>
      <c r="J247" s="54"/>
      <c r="K247" s="54"/>
      <c r="L247" s="54"/>
      <c r="M247" s="54"/>
      <c r="N247" s="54"/>
      <c r="O247" s="54"/>
      <c r="P247" s="54"/>
      <c r="Q247" s="54"/>
      <c r="R247" s="54"/>
      <c r="S247" s="54"/>
      <c r="T247" s="54"/>
      <c r="U247" s="54"/>
      <c r="V247" s="54"/>
      <c r="W247" s="54"/>
      <c r="X247" s="54"/>
      <c r="Y247" s="54"/>
      <c r="Z247" s="54"/>
    </row>
    <row r="248" spans="1:26" ht="10.5" customHeight="1">
      <c r="A248" s="63" t="s">
        <v>56</v>
      </c>
      <c r="B248" s="64"/>
      <c r="C248" s="65" t="s">
        <v>48</v>
      </c>
      <c r="D248" s="291">
        <f>'Proposed Rates'!J223-'2026'!D268</f>
        <v>5.9999999999999984E-4</v>
      </c>
      <c r="E248" s="54"/>
      <c r="F248" s="54"/>
      <c r="G248" s="54"/>
      <c r="H248" s="54"/>
      <c r="I248" s="54"/>
      <c r="J248" s="54"/>
      <c r="K248" s="54"/>
      <c r="L248" s="54"/>
      <c r="M248" s="54"/>
      <c r="N248" s="54"/>
      <c r="O248" s="54"/>
      <c r="P248" s="54"/>
      <c r="Q248" s="54"/>
      <c r="R248" s="54"/>
      <c r="S248" s="54"/>
      <c r="T248" s="54"/>
      <c r="U248" s="54"/>
      <c r="V248" s="54"/>
      <c r="W248" s="54"/>
      <c r="X248" s="54"/>
      <c r="Y248" s="54"/>
      <c r="Z248" s="54"/>
    </row>
    <row r="249" spans="1:26" ht="10.5" customHeight="1">
      <c r="A249" s="63" t="s">
        <v>57</v>
      </c>
      <c r="B249" s="64"/>
      <c r="C249" s="65" t="s">
        <v>48</v>
      </c>
      <c r="D249" s="291">
        <f>'Proposed Rates'!J236</f>
        <v>5.9999999999999995E-4</v>
      </c>
      <c r="E249" s="54"/>
      <c r="F249" s="54"/>
      <c r="G249" s="54"/>
      <c r="H249" s="54"/>
      <c r="I249" s="54"/>
      <c r="J249" s="54"/>
      <c r="K249" s="54"/>
      <c r="L249" s="54"/>
      <c r="M249" s="54"/>
      <c r="N249" s="54"/>
      <c r="O249" s="54"/>
      <c r="P249" s="54"/>
      <c r="Q249" s="54"/>
      <c r="R249" s="54"/>
      <c r="S249" s="54"/>
      <c r="T249" s="54"/>
      <c r="U249" s="54"/>
      <c r="V249" s="54"/>
      <c r="W249" s="54"/>
      <c r="X249" s="54"/>
      <c r="Y249" s="54"/>
      <c r="Z249" s="54"/>
    </row>
    <row r="250" spans="1:26" ht="10.5" customHeight="1">
      <c r="A250" s="63" t="s">
        <v>58</v>
      </c>
      <c r="B250" s="64"/>
      <c r="C250" s="65" t="s">
        <v>42</v>
      </c>
      <c r="D250" s="291">
        <f>'Proposed Rates'!J250</f>
        <v>0.25</v>
      </c>
      <c r="E250" s="54"/>
      <c r="F250" s="54"/>
      <c r="G250" s="54"/>
      <c r="H250" s="54"/>
      <c r="I250" s="54"/>
      <c r="J250" s="54"/>
      <c r="K250" s="54"/>
      <c r="L250" s="54"/>
      <c r="M250" s="54"/>
      <c r="N250" s="54"/>
      <c r="O250" s="54"/>
      <c r="P250" s="54"/>
      <c r="Q250" s="54"/>
      <c r="R250" s="54"/>
      <c r="S250" s="54"/>
      <c r="T250" s="54"/>
      <c r="U250" s="54"/>
      <c r="V250" s="54"/>
      <c r="W250" s="54"/>
      <c r="X250" s="54"/>
      <c r="Y250" s="54"/>
      <c r="Z250" s="54"/>
    </row>
    <row r="251" spans="1:26" ht="3.75" customHeight="1">
      <c r="A251" s="89"/>
      <c r="B251" s="64"/>
      <c r="C251" s="65"/>
      <c r="D251" s="74"/>
      <c r="E251" s="54"/>
      <c r="F251" s="54"/>
      <c r="G251" s="54"/>
      <c r="H251" s="54"/>
      <c r="I251" s="54"/>
      <c r="J251" s="54"/>
      <c r="K251" s="54"/>
      <c r="L251" s="54"/>
      <c r="M251" s="54"/>
      <c r="N251" s="54"/>
      <c r="O251" s="54"/>
      <c r="P251" s="54"/>
      <c r="Q251" s="54"/>
      <c r="R251" s="54"/>
      <c r="S251" s="54"/>
      <c r="T251" s="54"/>
      <c r="U251" s="54"/>
      <c r="V251" s="54"/>
      <c r="W251" s="54"/>
      <c r="X251" s="54"/>
      <c r="Y251" s="54"/>
      <c r="Z251" s="54"/>
    </row>
    <row r="252" spans="1:26" ht="24" customHeight="1">
      <c r="A252" s="588" t="str">
        <f>$A$1</f>
        <v>Hydro Ottawa Limited</v>
      </c>
      <c r="B252" s="589"/>
      <c r="C252" s="589"/>
      <c r="D252" s="590"/>
      <c r="E252" s="54"/>
      <c r="F252" s="54"/>
      <c r="G252" s="54"/>
      <c r="H252" s="54"/>
      <c r="I252" s="54"/>
      <c r="J252" s="54"/>
      <c r="K252" s="54"/>
      <c r="L252" s="54"/>
      <c r="M252" s="54"/>
      <c r="N252" s="54"/>
      <c r="O252" s="54"/>
      <c r="P252" s="54"/>
      <c r="Q252" s="54"/>
      <c r="R252" s="54"/>
      <c r="S252" s="54"/>
      <c r="T252" s="54"/>
      <c r="U252" s="54"/>
      <c r="V252" s="54"/>
      <c r="W252" s="54"/>
      <c r="X252" s="54"/>
      <c r="Y252" s="54"/>
      <c r="Z252" s="54"/>
    </row>
    <row r="253" spans="1:26" ht="15.75" customHeight="1">
      <c r="A253" s="591" t="str">
        <f>$A$2</f>
        <v>PROPOSED - TARIFF OF RATES AND CHARGES</v>
      </c>
      <c r="B253" s="589"/>
      <c r="C253" s="589"/>
      <c r="D253" s="590"/>
      <c r="E253" s="54"/>
      <c r="F253" s="54"/>
      <c r="G253" s="54"/>
      <c r="H253" s="54"/>
      <c r="I253" s="54"/>
      <c r="J253" s="54"/>
      <c r="K253" s="54"/>
      <c r="L253" s="54"/>
      <c r="M253" s="54"/>
      <c r="N253" s="54"/>
      <c r="O253" s="54"/>
      <c r="P253" s="54"/>
      <c r="Q253" s="54"/>
      <c r="R253" s="54"/>
      <c r="S253" s="54"/>
      <c r="T253" s="54"/>
      <c r="U253" s="54"/>
      <c r="V253" s="54"/>
      <c r="W253" s="54"/>
      <c r="X253" s="54"/>
      <c r="Y253" s="54"/>
      <c r="Z253" s="54"/>
    </row>
    <row r="254" spans="1:26" ht="15.75" customHeight="1">
      <c r="A254" s="592" t="str">
        <f>$A$3</f>
        <v>Effective and Implementation Date January 1, 2030</v>
      </c>
      <c r="B254" s="589"/>
      <c r="C254" s="589"/>
      <c r="D254" s="590"/>
      <c r="E254" s="54"/>
      <c r="F254" s="54"/>
      <c r="G254" s="54"/>
      <c r="H254" s="54"/>
      <c r="I254" s="54"/>
      <c r="J254" s="54"/>
      <c r="K254" s="54"/>
      <c r="L254" s="54"/>
      <c r="M254" s="54"/>
      <c r="N254" s="54"/>
      <c r="O254" s="54"/>
      <c r="P254" s="54"/>
      <c r="Q254" s="54"/>
      <c r="R254" s="54"/>
      <c r="S254" s="54"/>
      <c r="T254" s="54"/>
      <c r="U254" s="54"/>
      <c r="V254" s="54"/>
      <c r="W254" s="54"/>
      <c r="X254" s="54"/>
      <c r="Y254" s="54"/>
      <c r="Z254" s="54"/>
    </row>
    <row r="255" spans="1:26" ht="12" customHeight="1">
      <c r="A255" s="593" t="str">
        <f>$A$4</f>
        <v>This schedule supersedes and replaces all previously</v>
      </c>
      <c r="B255" s="589"/>
      <c r="C255" s="589"/>
      <c r="D255" s="590"/>
      <c r="E255" s="54"/>
      <c r="F255" s="54"/>
      <c r="G255" s="54"/>
      <c r="H255" s="54"/>
      <c r="I255" s="54"/>
      <c r="J255" s="54"/>
      <c r="K255" s="54"/>
      <c r="L255" s="54"/>
      <c r="M255" s="54"/>
      <c r="N255" s="54"/>
      <c r="O255" s="54"/>
      <c r="P255" s="54"/>
      <c r="Q255" s="54"/>
      <c r="R255" s="54"/>
      <c r="S255" s="54"/>
      <c r="T255" s="54"/>
      <c r="U255" s="54"/>
      <c r="V255" s="54"/>
      <c r="W255" s="54"/>
      <c r="X255" s="54"/>
      <c r="Y255" s="54"/>
      <c r="Z255" s="54"/>
    </row>
    <row r="256" spans="1:26" ht="11.25" customHeight="1">
      <c r="A256" s="593" t="str">
        <f>$A$5</f>
        <v>approved schedules of Rates, Charges and Loss Factors</v>
      </c>
      <c r="B256" s="589"/>
      <c r="C256" s="589"/>
      <c r="D256" s="590"/>
      <c r="E256" s="54"/>
      <c r="F256" s="54"/>
      <c r="G256" s="54"/>
      <c r="H256" s="54"/>
      <c r="I256" s="54"/>
      <c r="J256" s="54"/>
      <c r="K256" s="54"/>
      <c r="L256" s="54"/>
      <c r="M256" s="54"/>
      <c r="N256" s="54"/>
      <c r="O256" s="54"/>
      <c r="P256" s="54"/>
      <c r="Q256" s="54"/>
      <c r="R256" s="54"/>
      <c r="S256" s="54"/>
      <c r="T256" s="54"/>
      <c r="U256" s="54"/>
      <c r="V256" s="54"/>
      <c r="W256" s="54"/>
      <c r="X256" s="54"/>
      <c r="Y256" s="54"/>
      <c r="Z256" s="54"/>
    </row>
    <row r="257" spans="1:26" ht="11.25" customHeight="1">
      <c r="A257" s="594" t="str">
        <f>$A$6</f>
        <v>EB-2024-0115</v>
      </c>
      <c r="B257" s="589"/>
      <c r="C257" s="589"/>
      <c r="D257" s="590"/>
      <c r="E257" s="54"/>
      <c r="F257" s="54"/>
      <c r="G257" s="54"/>
      <c r="H257" s="54"/>
      <c r="I257" s="54"/>
      <c r="J257" s="54"/>
      <c r="K257" s="54"/>
      <c r="L257" s="54"/>
      <c r="M257" s="54"/>
      <c r="N257" s="54"/>
      <c r="O257" s="54"/>
      <c r="P257" s="54"/>
      <c r="Q257" s="54"/>
      <c r="R257" s="54"/>
      <c r="S257" s="54"/>
      <c r="T257" s="54"/>
      <c r="U257" s="54"/>
      <c r="V257" s="54"/>
      <c r="W257" s="54"/>
      <c r="X257" s="54"/>
      <c r="Y257" s="54"/>
      <c r="Z257" s="54"/>
    </row>
    <row r="258" spans="1:26" ht="18.75" customHeight="1">
      <c r="A258" s="595" t="s">
        <v>86</v>
      </c>
      <c r="B258" s="589"/>
      <c r="C258" s="589"/>
      <c r="D258" s="590"/>
      <c r="E258" s="76"/>
      <c r="F258" s="76"/>
      <c r="G258" s="76"/>
      <c r="H258" s="76"/>
      <c r="I258" s="76"/>
      <c r="J258" s="76"/>
      <c r="K258" s="76"/>
      <c r="L258" s="76"/>
      <c r="M258" s="76"/>
      <c r="N258" s="76"/>
      <c r="O258" s="76"/>
      <c r="P258" s="76"/>
      <c r="Q258" s="76"/>
      <c r="R258" s="76"/>
      <c r="S258" s="76"/>
      <c r="T258" s="76"/>
      <c r="U258" s="76"/>
      <c r="V258" s="76"/>
      <c r="W258" s="76"/>
      <c r="X258" s="76"/>
      <c r="Y258" s="76"/>
      <c r="Z258" s="76"/>
    </row>
    <row r="259" spans="1:26" ht="36" customHeight="1">
      <c r="A259" s="596" t="s">
        <v>87</v>
      </c>
      <c r="B259" s="589"/>
      <c r="C259" s="589"/>
      <c r="D259" s="590"/>
      <c r="E259" s="54"/>
      <c r="F259" s="54"/>
      <c r="G259" s="54"/>
      <c r="H259" s="54"/>
      <c r="I259" s="54"/>
      <c r="J259" s="54"/>
      <c r="K259" s="54"/>
      <c r="L259" s="54"/>
      <c r="M259" s="54"/>
      <c r="N259" s="54"/>
      <c r="O259" s="54"/>
      <c r="P259" s="54"/>
      <c r="Q259" s="54"/>
      <c r="R259" s="54"/>
      <c r="S259" s="54"/>
      <c r="T259" s="54"/>
      <c r="U259" s="54"/>
      <c r="V259" s="54"/>
      <c r="W259" s="54"/>
      <c r="X259" s="54"/>
      <c r="Y259" s="54"/>
      <c r="Z259" s="54"/>
    </row>
    <row r="260" spans="1:26" ht="6.75" customHeight="1">
      <c r="A260" s="55"/>
      <c r="B260" s="55"/>
      <c r="C260" s="55"/>
      <c r="D260" s="56"/>
      <c r="E260" s="54"/>
      <c r="F260" s="54"/>
      <c r="G260" s="54"/>
      <c r="H260" s="54"/>
      <c r="I260" s="54"/>
      <c r="J260" s="54"/>
      <c r="K260" s="54"/>
      <c r="L260" s="54"/>
      <c r="M260" s="54"/>
      <c r="N260" s="54"/>
      <c r="O260" s="54"/>
      <c r="P260" s="54"/>
      <c r="Q260" s="54"/>
      <c r="R260" s="54"/>
      <c r="S260" s="54"/>
      <c r="T260" s="54"/>
      <c r="U260" s="54"/>
      <c r="V260" s="54"/>
      <c r="W260" s="54"/>
      <c r="X260" s="54"/>
      <c r="Y260" s="54"/>
      <c r="Z260" s="54"/>
    </row>
    <row r="261" spans="1:26" ht="11.25" customHeight="1">
      <c r="A261" s="597" t="s">
        <v>35</v>
      </c>
      <c r="B261" s="589"/>
      <c r="C261" s="589"/>
      <c r="D261" s="590"/>
      <c r="E261" s="54"/>
      <c r="F261" s="54"/>
      <c r="G261" s="54"/>
      <c r="H261" s="54"/>
      <c r="I261" s="54"/>
      <c r="J261" s="54"/>
      <c r="K261" s="54"/>
      <c r="L261" s="54"/>
      <c r="M261" s="54"/>
      <c r="N261" s="54"/>
      <c r="O261" s="54"/>
      <c r="P261" s="54"/>
      <c r="Q261" s="54"/>
      <c r="R261" s="54"/>
      <c r="S261" s="54"/>
      <c r="T261" s="54"/>
      <c r="U261" s="54"/>
      <c r="V261" s="54"/>
      <c r="W261" s="54"/>
      <c r="X261" s="54"/>
      <c r="Y261" s="54"/>
      <c r="Z261" s="54"/>
    </row>
    <row r="262" spans="1:26" ht="6.75" customHeight="1">
      <c r="A262" s="57"/>
      <c r="B262" s="58"/>
      <c r="C262" s="58"/>
      <c r="D262" s="59"/>
      <c r="E262" s="54"/>
      <c r="F262" s="54"/>
      <c r="G262" s="54"/>
      <c r="H262" s="54"/>
      <c r="I262" s="54"/>
      <c r="J262" s="54"/>
      <c r="K262" s="54"/>
      <c r="L262" s="54"/>
      <c r="M262" s="54"/>
      <c r="N262" s="54"/>
      <c r="O262" s="54"/>
      <c r="P262" s="54"/>
      <c r="Q262" s="54"/>
      <c r="R262" s="54"/>
      <c r="S262" s="54"/>
      <c r="T262" s="54"/>
      <c r="U262" s="54"/>
      <c r="V262" s="54"/>
      <c r="W262" s="54"/>
      <c r="X262" s="54"/>
      <c r="Y262" s="54"/>
      <c r="Z262" s="54"/>
    </row>
    <row r="263" spans="1:26" ht="36" customHeight="1">
      <c r="A263" s="596" t="s">
        <v>36</v>
      </c>
      <c r="B263" s="589"/>
      <c r="C263" s="589"/>
      <c r="D263" s="590"/>
      <c r="E263" s="54"/>
      <c r="F263" s="54"/>
      <c r="G263" s="54"/>
      <c r="H263" s="54"/>
      <c r="I263" s="54"/>
      <c r="J263" s="54"/>
      <c r="K263" s="54"/>
      <c r="L263" s="54"/>
      <c r="M263" s="54"/>
      <c r="N263" s="54"/>
      <c r="O263" s="54"/>
      <c r="P263" s="54"/>
      <c r="Q263" s="54"/>
      <c r="R263" s="54"/>
      <c r="S263" s="54"/>
      <c r="T263" s="54"/>
      <c r="U263" s="54"/>
      <c r="V263" s="54"/>
      <c r="W263" s="54"/>
      <c r="X263" s="54"/>
      <c r="Y263" s="54"/>
      <c r="Z263" s="54"/>
    </row>
    <row r="264" spans="1:26" ht="6.75" customHeight="1">
      <c r="A264" s="55"/>
      <c r="B264" s="55"/>
      <c r="C264" s="55"/>
      <c r="D264" s="56"/>
      <c r="E264" s="54"/>
      <c r="F264" s="54"/>
      <c r="G264" s="54"/>
      <c r="H264" s="54"/>
      <c r="I264" s="54"/>
      <c r="J264" s="54"/>
      <c r="K264" s="54"/>
      <c r="L264" s="54"/>
      <c r="M264" s="54"/>
      <c r="N264" s="54"/>
      <c r="O264" s="54"/>
      <c r="P264" s="54"/>
      <c r="Q264" s="54"/>
      <c r="R264" s="54"/>
      <c r="S264" s="54"/>
      <c r="T264" s="54"/>
      <c r="U264" s="54"/>
      <c r="V264" s="54"/>
      <c r="W264" s="54"/>
      <c r="X264" s="54"/>
      <c r="Y264" s="54"/>
      <c r="Z264" s="54"/>
    </row>
    <row r="265" spans="1:26" ht="48" customHeight="1">
      <c r="A265" s="596" t="s">
        <v>37</v>
      </c>
      <c r="B265" s="589"/>
      <c r="C265" s="589"/>
      <c r="D265" s="590"/>
      <c r="E265" s="54"/>
      <c r="F265" s="54"/>
      <c r="G265" s="54"/>
      <c r="H265" s="54"/>
      <c r="I265" s="54"/>
      <c r="J265" s="54"/>
      <c r="K265" s="54"/>
      <c r="L265" s="54"/>
      <c r="M265" s="54"/>
      <c r="N265" s="54"/>
      <c r="O265" s="54"/>
      <c r="P265" s="54"/>
      <c r="Q265" s="54"/>
      <c r="R265" s="54"/>
      <c r="S265" s="54"/>
      <c r="T265" s="54"/>
      <c r="U265" s="54"/>
      <c r="V265" s="54"/>
      <c r="W265" s="54"/>
      <c r="X265" s="54"/>
      <c r="Y265" s="54"/>
      <c r="Z265" s="54"/>
    </row>
    <row r="266" spans="1:26" ht="6.75" customHeight="1">
      <c r="A266" s="55"/>
      <c r="B266" s="55"/>
      <c r="C266" s="55"/>
      <c r="D266" s="56"/>
      <c r="E266" s="54"/>
      <c r="F266" s="54"/>
      <c r="G266" s="54"/>
      <c r="H266" s="54"/>
      <c r="I266" s="54"/>
      <c r="J266" s="54"/>
      <c r="K266" s="54"/>
      <c r="L266" s="54"/>
      <c r="M266" s="54"/>
      <c r="N266" s="54"/>
      <c r="O266" s="54"/>
      <c r="P266" s="54"/>
      <c r="Q266" s="54"/>
      <c r="R266" s="54"/>
      <c r="S266" s="54"/>
      <c r="T266" s="54"/>
      <c r="U266" s="54"/>
      <c r="V266" s="54"/>
      <c r="W266" s="54"/>
      <c r="X266" s="54"/>
      <c r="Y266" s="54"/>
      <c r="Z266" s="54"/>
    </row>
    <row r="267" spans="1:26" ht="24" customHeight="1">
      <c r="A267" s="596" t="s">
        <v>88</v>
      </c>
      <c r="B267" s="589"/>
      <c r="C267" s="589"/>
      <c r="D267" s="590"/>
      <c r="E267" s="54"/>
      <c r="F267" s="54"/>
      <c r="G267" s="54"/>
      <c r="H267" s="54"/>
      <c r="I267" s="54"/>
      <c r="J267" s="54"/>
      <c r="K267" s="54"/>
      <c r="L267" s="54"/>
      <c r="M267" s="54"/>
      <c r="N267" s="54"/>
      <c r="O267" s="54"/>
      <c r="P267" s="54"/>
      <c r="Q267" s="54"/>
      <c r="R267" s="54"/>
      <c r="S267" s="54"/>
      <c r="T267" s="54"/>
      <c r="U267" s="54"/>
      <c r="V267" s="54"/>
      <c r="W267" s="54"/>
      <c r="X267" s="54"/>
      <c r="Y267" s="54"/>
      <c r="Z267" s="54"/>
    </row>
    <row r="268" spans="1:26" ht="6.75" customHeight="1">
      <c r="A268" s="55"/>
      <c r="B268" s="55"/>
      <c r="C268" s="55"/>
      <c r="D268" s="56"/>
      <c r="E268" s="54"/>
      <c r="F268" s="54"/>
      <c r="G268" s="54"/>
      <c r="H268" s="54"/>
      <c r="I268" s="54"/>
      <c r="J268" s="54"/>
      <c r="K268" s="54"/>
      <c r="L268" s="54"/>
      <c r="M268" s="54"/>
      <c r="N268" s="54"/>
      <c r="O268" s="54"/>
      <c r="P268" s="54"/>
      <c r="Q268" s="54"/>
      <c r="R268" s="54"/>
      <c r="S268" s="54"/>
      <c r="T268" s="54"/>
      <c r="U268" s="54"/>
      <c r="V268" s="54"/>
      <c r="W268" s="54"/>
      <c r="X268" s="54"/>
      <c r="Y268" s="54"/>
      <c r="Z268" s="54"/>
    </row>
    <row r="269" spans="1:26" ht="36" customHeight="1">
      <c r="A269" s="596" t="s">
        <v>89</v>
      </c>
      <c r="B269" s="589"/>
      <c r="C269" s="589"/>
      <c r="D269" s="590"/>
      <c r="E269" s="54"/>
      <c r="F269" s="54"/>
      <c r="G269" s="54"/>
      <c r="H269" s="54"/>
      <c r="I269" s="54"/>
      <c r="J269" s="54"/>
      <c r="K269" s="54"/>
      <c r="L269" s="54"/>
      <c r="M269" s="54"/>
      <c r="N269" s="54"/>
      <c r="O269" s="54"/>
      <c r="P269" s="54"/>
      <c r="Q269" s="54"/>
      <c r="R269" s="54"/>
      <c r="S269" s="54"/>
      <c r="T269" s="54"/>
      <c r="U269" s="54"/>
      <c r="V269" s="54"/>
      <c r="W269" s="54"/>
      <c r="X269" s="54"/>
      <c r="Y269" s="54"/>
      <c r="Z269" s="54"/>
    </row>
    <row r="270" spans="1:26" ht="6.75" customHeight="1">
      <c r="A270" s="55"/>
      <c r="B270" s="55"/>
      <c r="C270" s="55"/>
      <c r="D270" s="56"/>
      <c r="E270" s="54"/>
      <c r="F270" s="54"/>
      <c r="G270" s="54"/>
      <c r="H270" s="54"/>
      <c r="I270" s="54"/>
      <c r="J270" s="54"/>
      <c r="K270" s="54"/>
      <c r="L270" s="54"/>
      <c r="M270" s="54"/>
      <c r="N270" s="54"/>
      <c r="O270" s="54"/>
      <c r="P270" s="54"/>
      <c r="Q270" s="54"/>
      <c r="R270" s="54"/>
      <c r="S270" s="54"/>
      <c r="T270" s="54"/>
      <c r="U270" s="54"/>
      <c r="V270" s="54"/>
      <c r="W270" s="54"/>
      <c r="X270" s="54"/>
      <c r="Y270" s="54"/>
      <c r="Z270" s="54"/>
    </row>
    <row r="271" spans="1:26" ht="15" customHeight="1">
      <c r="A271" s="598" t="s">
        <v>90</v>
      </c>
      <c r="B271" s="589"/>
      <c r="C271" s="589"/>
      <c r="D271" s="590"/>
      <c r="E271" s="54"/>
      <c r="F271" s="54"/>
      <c r="G271" s="54"/>
      <c r="H271" s="54"/>
      <c r="I271" s="54"/>
      <c r="J271" s="54"/>
      <c r="K271" s="54"/>
      <c r="L271" s="54"/>
      <c r="M271" s="54"/>
      <c r="N271" s="54"/>
      <c r="O271" s="54"/>
      <c r="P271" s="54"/>
      <c r="Q271" s="54"/>
      <c r="R271" s="54"/>
      <c r="S271" s="54"/>
      <c r="T271" s="54"/>
      <c r="U271" s="54"/>
      <c r="V271" s="54"/>
      <c r="W271" s="54"/>
      <c r="X271" s="54"/>
      <c r="Y271" s="54"/>
      <c r="Z271" s="54"/>
    </row>
    <row r="272" spans="1:26" ht="6.75" customHeight="1">
      <c r="A272" s="60"/>
      <c r="B272" s="61"/>
      <c r="C272" s="61"/>
      <c r="D272" s="62"/>
      <c r="E272" s="54"/>
      <c r="F272" s="54"/>
      <c r="G272" s="54"/>
      <c r="H272" s="54"/>
      <c r="I272" s="54"/>
      <c r="J272" s="54"/>
      <c r="K272" s="54"/>
      <c r="L272" s="54"/>
      <c r="M272" s="54"/>
      <c r="N272" s="54"/>
      <c r="O272" s="54"/>
      <c r="P272" s="54"/>
      <c r="Q272" s="54"/>
      <c r="R272" s="54"/>
      <c r="S272" s="54"/>
      <c r="T272" s="54"/>
      <c r="U272" s="54"/>
      <c r="V272" s="54"/>
      <c r="W272" s="54"/>
      <c r="X272" s="54"/>
      <c r="Y272" s="54"/>
      <c r="Z272" s="54"/>
    </row>
    <row r="273" spans="1:26" ht="11.25" customHeight="1">
      <c r="A273" s="603" t="s">
        <v>41</v>
      </c>
      <c r="B273" s="590"/>
      <c r="C273" s="65" t="s">
        <v>42</v>
      </c>
      <c r="D273" s="290">
        <f>'Proposed Rates'!J16</f>
        <v>186.89</v>
      </c>
      <c r="E273" s="54"/>
      <c r="F273" s="54"/>
      <c r="G273" s="54"/>
      <c r="H273" s="54"/>
      <c r="I273" s="54"/>
      <c r="J273" s="54"/>
      <c r="K273" s="54"/>
      <c r="L273" s="54"/>
      <c r="M273" s="54"/>
      <c r="N273" s="54"/>
      <c r="O273" s="54"/>
      <c r="P273" s="54"/>
      <c r="Q273" s="54"/>
      <c r="R273" s="54"/>
      <c r="S273" s="54"/>
      <c r="T273" s="54"/>
      <c r="U273" s="54"/>
      <c r="V273" s="54"/>
      <c r="W273" s="54"/>
      <c r="X273" s="54"/>
      <c r="Y273" s="54"/>
      <c r="Z273" s="54"/>
    </row>
    <row r="274" spans="1:26" ht="11.25" customHeight="1">
      <c r="A274" s="603" t="s">
        <v>91</v>
      </c>
      <c r="B274" s="590"/>
      <c r="C274" s="65" t="s">
        <v>69</v>
      </c>
      <c r="D274" s="291">
        <f>'Proposed Rates'!J29</f>
        <v>4.6707999999999998</v>
      </c>
      <c r="E274" s="54"/>
      <c r="F274" s="54"/>
      <c r="G274" s="54"/>
      <c r="H274" s="54"/>
      <c r="I274" s="54"/>
      <c r="J274" s="54"/>
      <c r="K274" s="54"/>
      <c r="L274" s="54"/>
      <c r="M274" s="54"/>
      <c r="N274" s="54"/>
      <c r="O274" s="54"/>
      <c r="P274" s="54"/>
      <c r="Q274" s="54"/>
      <c r="R274" s="54"/>
      <c r="S274" s="54"/>
      <c r="T274" s="54"/>
      <c r="U274" s="54"/>
      <c r="V274" s="54"/>
      <c r="W274" s="54"/>
      <c r="X274" s="54"/>
      <c r="Y274" s="54"/>
      <c r="Z274" s="54"/>
    </row>
    <row r="275" spans="1:26" ht="11.25" customHeight="1">
      <c r="A275" s="603" t="s">
        <v>92</v>
      </c>
      <c r="B275" s="590"/>
      <c r="C275" s="65" t="s">
        <v>69</v>
      </c>
      <c r="D275" s="291">
        <f>'Proposed Rates'!J30</f>
        <v>4.5818000000000003</v>
      </c>
      <c r="E275" s="54"/>
      <c r="F275" s="54"/>
      <c r="G275" s="54"/>
      <c r="H275" s="54"/>
      <c r="I275" s="54"/>
      <c r="J275" s="54"/>
      <c r="K275" s="54"/>
      <c r="L275" s="54"/>
      <c r="M275" s="54"/>
      <c r="N275" s="54"/>
      <c r="O275" s="54"/>
      <c r="P275" s="54"/>
      <c r="Q275" s="54"/>
      <c r="R275" s="54"/>
      <c r="S275" s="54"/>
      <c r="T275" s="54"/>
      <c r="U275" s="54"/>
      <c r="V275" s="54"/>
      <c r="W275" s="54"/>
      <c r="X275" s="54"/>
      <c r="Y275" s="54"/>
      <c r="Z275" s="54"/>
    </row>
    <row r="276" spans="1:26" ht="11.25" customHeight="1">
      <c r="A276" s="603" t="s">
        <v>93</v>
      </c>
      <c r="B276" s="590"/>
      <c r="C276" s="65" t="s">
        <v>69</v>
      </c>
      <c r="D276" s="291">
        <f>'Proposed Rates'!J31</f>
        <v>5.4333</v>
      </c>
      <c r="E276" s="54"/>
      <c r="F276" s="54"/>
      <c r="G276" s="54"/>
      <c r="H276" s="54"/>
      <c r="I276" s="54"/>
      <c r="J276" s="54"/>
      <c r="K276" s="54"/>
      <c r="L276" s="54"/>
      <c r="M276" s="54"/>
      <c r="N276" s="54"/>
      <c r="O276" s="54"/>
      <c r="P276" s="54"/>
      <c r="Q276" s="54"/>
      <c r="R276" s="54"/>
      <c r="S276" s="54"/>
      <c r="T276" s="54"/>
      <c r="U276" s="54"/>
      <c r="V276" s="54"/>
      <c r="W276" s="54"/>
      <c r="X276" s="54"/>
      <c r="Y276" s="54"/>
      <c r="Z276" s="54"/>
    </row>
    <row r="277" spans="1:26" ht="11.25" customHeight="1">
      <c r="A277" s="73" t="s">
        <v>94</v>
      </c>
      <c r="B277" s="84"/>
      <c r="C277" s="89" t="s">
        <v>69</v>
      </c>
      <c r="D277" s="92">
        <f>'Proposed Rates'!J23</f>
        <v>9.3415999999999997</v>
      </c>
      <c r="E277" s="54"/>
      <c r="F277" s="54"/>
      <c r="G277" s="54"/>
      <c r="H277" s="54"/>
      <c r="I277" s="54"/>
      <c r="J277" s="54"/>
      <c r="K277" s="54"/>
      <c r="L277" s="54"/>
      <c r="M277" s="54"/>
      <c r="N277" s="54"/>
      <c r="O277" s="54"/>
      <c r="P277" s="54"/>
      <c r="Q277" s="54"/>
      <c r="R277" s="54"/>
      <c r="S277" s="54"/>
      <c r="T277" s="54"/>
      <c r="U277" s="54"/>
      <c r="V277" s="54"/>
      <c r="W277" s="54"/>
      <c r="X277" s="54"/>
      <c r="Y277" s="54"/>
      <c r="Z277" s="54"/>
    </row>
    <row r="278" spans="1:26" ht="11.25" customHeight="1">
      <c r="A278" s="73" t="s">
        <v>95</v>
      </c>
      <c r="B278" s="84"/>
      <c r="C278" s="89" t="s">
        <v>69</v>
      </c>
      <c r="D278" s="92">
        <f>'Proposed Rates'!J24</f>
        <v>9.1635000000000009</v>
      </c>
      <c r="E278" s="54"/>
      <c r="F278" s="54"/>
      <c r="G278" s="54"/>
      <c r="H278" s="54"/>
      <c r="I278" s="54"/>
      <c r="J278" s="54"/>
      <c r="K278" s="54"/>
      <c r="L278" s="54"/>
      <c r="M278" s="54"/>
      <c r="N278" s="54"/>
      <c r="O278" s="54"/>
      <c r="P278" s="54"/>
      <c r="Q278" s="54"/>
      <c r="R278" s="54"/>
      <c r="S278" s="54"/>
      <c r="T278" s="54"/>
      <c r="U278" s="54"/>
      <c r="V278" s="54"/>
      <c r="W278" s="54"/>
      <c r="X278" s="54"/>
      <c r="Y278" s="54"/>
      <c r="Z278" s="54"/>
    </row>
    <row r="279" spans="1:26" ht="11.25" customHeight="1">
      <c r="A279" s="73" t="s">
        <v>96</v>
      </c>
      <c r="B279" s="84"/>
      <c r="C279" s="89" t="s">
        <v>69</v>
      </c>
      <c r="D279" s="92">
        <f>'Proposed Rates'!J25</f>
        <v>10.8666</v>
      </c>
      <c r="E279" s="54"/>
      <c r="F279" s="54"/>
      <c r="G279" s="54"/>
      <c r="H279" s="54"/>
      <c r="I279" s="54"/>
      <c r="J279" s="54"/>
      <c r="K279" s="54"/>
      <c r="L279" s="54"/>
      <c r="M279" s="54"/>
      <c r="N279" s="54"/>
      <c r="O279" s="54"/>
      <c r="P279" s="54"/>
      <c r="Q279" s="54"/>
      <c r="R279" s="54"/>
      <c r="S279" s="54"/>
      <c r="T279" s="54"/>
      <c r="U279" s="54"/>
      <c r="V279" s="54"/>
      <c r="W279" s="54"/>
      <c r="X279" s="54"/>
      <c r="Y279" s="54"/>
      <c r="Z279" s="54"/>
    </row>
    <row r="280" spans="1:26" ht="17.25" customHeight="1">
      <c r="A280" s="89"/>
      <c r="B280" s="64"/>
      <c r="C280" s="65"/>
      <c r="D280" s="294"/>
      <c r="E280" s="54"/>
      <c r="F280" s="54"/>
      <c r="G280" s="54"/>
      <c r="H280" s="54"/>
      <c r="I280" s="54"/>
      <c r="J280" s="54"/>
      <c r="K280" s="54"/>
      <c r="L280" s="54"/>
      <c r="M280" s="54"/>
      <c r="N280" s="54"/>
      <c r="O280" s="54"/>
      <c r="P280" s="54"/>
      <c r="Q280" s="54"/>
      <c r="R280" s="54"/>
      <c r="S280" s="54"/>
      <c r="T280" s="54"/>
      <c r="U280" s="54"/>
      <c r="V280" s="54"/>
      <c r="W280" s="54"/>
      <c r="X280" s="54"/>
      <c r="Y280" s="54"/>
      <c r="Z280" s="54"/>
    </row>
    <row r="281" spans="1:26" ht="24" customHeight="1">
      <c r="A281" s="588" t="str">
        <f>$A$1</f>
        <v>Hydro Ottawa Limited</v>
      </c>
      <c r="B281" s="589"/>
      <c r="C281" s="589"/>
      <c r="D281" s="590"/>
      <c r="E281" s="54"/>
      <c r="F281" s="54"/>
      <c r="G281" s="54"/>
      <c r="H281" s="54"/>
      <c r="I281" s="54"/>
      <c r="J281" s="54"/>
      <c r="K281" s="54"/>
      <c r="L281" s="54"/>
      <c r="M281" s="54"/>
      <c r="N281" s="54"/>
      <c r="O281" s="54"/>
      <c r="P281" s="54"/>
      <c r="Q281" s="54"/>
      <c r="R281" s="54"/>
      <c r="S281" s="54"/>
      <c r="T281" s="54"/>
      <c r="U281" s="54"/>
      <c r="V281" s="54"/>
      <c r="W281" s="54"/>
      <c r="X281" s="54"/>
      <c r="Y281" s="54"/>
      <c r="Z281" s="54"/>
    </row>
    <row r="282" spans="1:26" ht="15.75" customHeight="1">
      <c r="A282" s="591" t="str">
        <f>$A$2</f>
        <v>PROPOSED - TARIFF OF RATES AND CHARGES</v>
      </c>
      <c r="B282" s="589"/>
      <c r="C282" s="589"/>
      <c r="D282" s="590"/>
      <c r="E282" s="54"/>
      <c r="F282" s="54"/>
      <c r="G282" s="54"/>
      <c r="H282" s="54"/>
      <c r="I282" s="54"/>
      <c r="J282" s="54"/>
      <c r="K282" s="54"/>
      <c r="L282" s="54"/>
      <c r="M282" s="54"/>
      <c r="N282" s="54"/>
      <c r="O282" s="54"/>
      <c r="P282" s="54"/>
      <c r="Q282" s="54"/>
      <c r="R282" s="54"/>
      <c r="S282" s="54"/>
      <c r="T282" s="54"/>
      <c r="U282" s="54"/>
      <c r="V282" s="54"/>
      <c r="W282" s="54"/>
      <c r="X282" s="54"/>
      <c r="Y282" s="54"/>
      <c r="Z282" s="54"/>
    </row>
    <row r="283" spans="1:26" ht="15.75" customHeight="1">
      <c r="A283" s="592" t="str">
        <f>$A$3</f>
        <v>Effective and Implementation Date January 1, 2030</v>
      </c>
      <c r="B283" s="589"/>
      <c r="C283" s="589"/>
      <c r="D283" s="590"/>
      <c r="E283" s="54"/>
      <c r="F283" s="54"/>
      <c r="G283" s="54"/>
      <c r="H283" s="54"/>
      <c r="I283" s="54"/>
      <c r="J283" s="54"/>
      <c r="K283" s="54"/>
      <c r="L283" s="54"/>
      <c r="M283" s="54"/>
      <c r="N283" s="54"/>
      <c r="O283" s="54"/>
      <c r="P283" s="54"/>
      <c r="Q283" s="54"/>
      <c r="R283" s="54"/>
      <c r="S283" s="54"/>
      <c r="T283" s="54"/>
      <c r="U283" s="54"/>
      <c r="V283" s="54"/>
      <c r="W283" s="54"/>
      <c r="X283" s="54"/>
      <c r="Y283" s="54"/>
      <c r="Z283" s="54"/>
    </row>
    <row r="284" spans="1:26" ht="12" customHeight="1">
      <c r="A284" s="593" t="str">
        <f>$A$4</f>
        <v>This schedule supersedes and replaces all previously</v>
      </c>
      <c r="B284" s="589"/>
      <c r="C284" s="589"/>
      <c r="D284" s="590"/>
      <c r="E284" s="54"/>
      <c r="F284" s="54"/>
      <c r="G284" s="54"/>
      <c r="H284" s="54"/>
      <c r="I284" s="54"/>
      <c r="J284" s="54"/>
      <c r="K284" s="54"/>
      <c r="L284" s="54"/>
      <c r="M284" s="54"/>
      <c r="N284" s="54"/>
      <c r="O284" s="54"/>
      <c r="P284" s="54"/>
      <c r="Q284" s="54"/>
      <c r="R284" s="54"/>
      <c r="S284" s="54"/>
      <c r="T284" s="54"/>
      <c r="U284" s="54"/>
      <c r="V284" s="54"/>
      <c r="W284" s="54"/>
      <c r="X284" s="54"/>
      <c r="Y284" s="54"/>
      <c r="Z284" s="54"/>
    </row>
    <row r="285" spans="1:26" ht="11.25" customHeight="1">
      <c r="A285" s="593" t="str">
        <f>$A$5</f>
        <v>approved schedules of Rates, Charges and Loss Factors</v>
      </c>
      <c r="B285" s="589"/>
      <c r="C285" s="589"/>
      <c r="D285" s="590"/>
      <c r="E285" s="54"/>
      <c r="F285" s="54"/>
      <c r="G285" s="54"/>
      <c r="H285" s="54"/>
      <c r="I285" s="54"/>
      <c r="J285" s="54"/>
      <c r="K285" s="54"/>
      <c r="L285" s="54"/>
      <c r="M285" s="54"/>
      <c r="N285" s="54"/>
      <c r="O285" s="54"/>
      <c r="P285" s="54"/>
      <c r="Q285" s="54"/>
      <c r="R285" s="54"/>
      <c r="S285" s="54"/>
      <c r="T285" s="54"/>
      <c r="U285" s="54"/>
      <c r="V285" s="54"/>
      <c r="W285" s="54"/>
      <c r="X285" s="54"/>
      <c r="Y285" s="54"/>
      <c r="Z285" s="54"/>
    </row>
    <row r="286" spans="1:26" ht="11.25" customHeight="1">
      <c r="A286" s="594" t="str">
        <f>$A$6</f>
        <v>EB-2024-0115</v>
      </c>
      <c r="B286" s="589"/>
      <c r="C286" s="589"/>
      <c r="D286" s="590"/>
      <c r="E286" s="54"/>
      <c r="F286" s="54"/>
      <c r="G286" s="54"/>
      <c r="H286" s="54"/>
      <c r="I286" s="54"/>
      <c r="J286" s="54"/>
      <c r="K286" s="54"/>
      <c r="L286" s="54"/>
      <c r="M286" s="54"/>
      <c r="N286" s="54"/>
      <c r="O286" s="54"/>
      <c r="P286" s="54"/>
      <c r="Q286" s="54"/>
      <c r="R286" s="54"/>
      <c r="S286" s="54"/>
      <c r="T286" s="54"/>
      <c r="U286" s="54"/>
      <c r="V286" s="54"/>
      <c r="W286" s="54"/>
      <c r="X286" s="54"/>
      <c r="Y286" s="54"/>
      <c r="Z286" s="54"/>
    </row>
    <row r="287" spans="1:26" ht="18.75" customHeight="1">
      <c r="A287" s="595" t="s">
        <v>100</v>
      </c>
      <c r="B287" s="589"/>
      <c r="C287" s="589"/>
      <c r="D287" s="590"/>
      <c r="E287" s="76"/>
      <c r="F287" s="76"/>
      <c r="G287" s="76"/>
      <c r="H287" s="76"/>
      <c r="I287" s="76"/>
      <c r="J287" s="76"/>
      <c r="K287" s="76"/>
      <c r="L287" s="76"/>
      <c r="M287" s="76"/>
      <c r="N287" s="76"/>
      <c r="O287" s="76"/>
      <c r="P287" s="76"/>
      <c r="Q287" s="76"/>
      <c r="R287" s="76"/>
      <c r="S287" s="76"/>
      <c r="T287" s="76"/>
      <c r="U287" s="76"/>
      <c r="V287" s="76"/>
      <c r="W287" s="76"/>
      <c r="X287" s="76"/>
      <c r="Y287" s="76"/>
      <c r="Z287" s="76"/>
    </row>
    <row r="288" spans="1:26" ht="36" customHeight="1">
      <c r="A288" s="596" t="s">
        <v>101</v>
      </c>
      <c r="B288" s="589"/>
      <c r="C288" s="589"/>
      <c r="D288" s="590"/>
      <c r="E288" s="54"/>
      <c r="F288" s="54"/>
      <c r="G288" s="54"/>
      <c r="H288" s="54"/>
      <c r="I288" s="54"/>
      <c r="J288" s="54"/>
      <c r="K288" s="54"/>
      <c r="L288" s="54"/>
      <c r="M288" s="54"/>
      <c r="N288" s="54"/>
      <c r="O288" s="54"/>
      <c r="P288" s="54"/>
      <c r="Q288" s="54"/>
      <c r="R288" s="54"/>
      <c r="S288" s="54"/>
      <c r="T288" s="54"/>
      <c r="U288" s="54"/>
      <c r="V288" s="54"/>
      <c r="W288" s="54"/>
      <c r="X288" s="54"/>
      <c r="Y288" s="54"/>
      <c r="Z288" s="54"/>
    </row>
    <row r="289" spans="1:26" ht="6.75" customHeight="1">
      <c r="A289" s="55"/>
      <c r="B289" s="55"/>
      <c r="C289" s="55"/>
      <c r="D289" s="56"/>
      <c r="E289" s="54"/>
      <c r="F289" s="54"/>
      <c r="G289" s="54"/>
      <c r="H289" s="54"/>
      <c r="I289" s="54"/>
      <c r="J289" s="54"/>
      <c r="K289" s="54"/>
      <c r="L289" s="54"/>
      <c r="M289" s="54"/>
      <c r="N289" s="54"/>
      <c r="O289" s="54"/>
      <c r="P289" s="54"/>
      <c r="Q289" s="54"/>
      <c r="R289" s="54"/>
      <c r="S289" s="54"/>
      <c r="T289" s="54"/>
      <c r="U289" s="54"/>
      <c r="V289" s="54"/>
      <c r="W289" s="54"/>
      <c r="X289" s="54"/>
      <c r="Y289" s="54"/>
      <c r="Z289" s="54"/>
    </row>
    <row r="290" spans="1:26" ht="11.25" customHeight="1">
      <c r="A290" s="597" t="s">
        <v>35</v>
      </c>
      <c r="B290" s="589"/>
      <c r="C290" s="589"/>
      <c r="D290" s="590"/>
      <c r="E290" s="54"/>
      <c r="F290" s="54"/>
      <c r="G290" s="54"/>
      <c r="H290" s="54"/>
      <c r="I290" s="54"/>
      <c r="J290" s="54"/>
      <c r="K290" s="54"/>
      <c r="L290" s="54"/>
      <c r="M290" s="54"/>
      <c r="N290" s="54"/>
      <c r="O290" s="54"/>
      <c r="P290" s="54"/>
      <c r="Q290" s="54"/>
      <c r="R290" s="54"/>
      <c r="S290" s="54"/>
      <c r="T290" s="54"/>
      <c r="U290" s="54"/>
      <c r="V290" s="54"/>
      <c r="W290" s="54"/>
      <c r="X290" s="54"/>
      <c r="Y290" s="54"/>
      <c r="Z290" s="54"/>
    </row>
    <row r="291" spans="1:26" ht="6.75" customHeight="1">
      <c r="A291" s="57"/>
      <c r="B291" s="58"/>
      <c r="C291" s="58"/>
      <c r="D291" s="59"/>
      <c r="E291" s="54"/>
      <c r="F291" s="54"/>
      <c r="G291" s="54"/>
      <c r="H291" s="54"/>
      <c r="I291" s="54"/>
      <c r="J291" s="54"/>
      <c r="K291" s="54"/>
      <c r="L291" s="54"/>
      <c r="M291" s="54"/>
      <c r="N291" s="54"/>
      <c r="O291" s="54"/>
      <c r="P291" s="54"/>
      <c r="Q291" s="54"/>
      <c r="R291" s="54"/>
      <c r="S291" s="54"/>
      <c r="T291" s="54"/>
      <c r="U291" s="54"/>
      <c r="V291" s="54"/>
      <c r="W291" s="54"/>
      <c r="X291" s="54"/>
      <c r="Y291" s="54"/>
      <c r="Z291" s="54"/>
    </row>
    <row r="292" spans="1:26" ht="36" customHeight="1">
      <c r="A292" s="596" t="s">
        <v>36</v>
      </c>
      <c r="B292" s="589"/>
      <c r="C292" s="589"/>
      <c r="D292" s="590"/>
      <c r="E292" s="54"/>
      <c r="F292" s="54"/>
      <c r="G292" s="54"/>
      <c r="H292" s="54"/>
      <c r="I292" s="54"/>
      <c r="J292" s="54"/>
      <c r="K292" s="54"/>
      <c r="L292" s="54"/>
      <c r="M292" s="54"/>
      <c r="N292" s="54"/>
      <c r="O292" s="54"/>
      <c r="P292" s="54"/>
      <c r="Q292" s="54"/>
      <c r="R292" s="54"/>
      <c r="S292" s="54"/>
      <c r="T292" s="54"/>
      <c r="U292" s="54"/>
      <c r="V292" s="54"/>
      <c r="W292" s="54"/>
      <c r="X292" s="54"/>
      <c r="Y292" s="54"/>
      <c r="Z292" s="54"/>
    </row>
    <row r="293" spans="1:26" ht="6.75" customHeight="1">
      <c r="A293" s="55"/>
      <c r="B293" s="55"/>
      <c r="C293" s="55"/>
      <c r="D293" s="56"/>
      <c r="E293" s="54"/>
      <c r="F293" s="54"/>
      <c r="G293" s="54"/>
      <c r="H293" s="54"/>
      <c r="I293" s="54"/>
      <c r="J293" s="54"/>
      <c r="K293" s="54"/>
      <c r="L293" s="54"/>
      <c r="M293" s="54"/>
      <c r="N293" s="54"/>
      <c r="O293" s="54"/>
      <c r="P293" s="54"/>
      <c r="Q293" s="54"/>
      <c r="R293" s="54"/>
      <c r="S293" s="54"/>
      <c r="T293" s="54"/>
      <c r="U293" s="54"/>
      <c r="V293" s="54"/>
      <c r="W293" s="54"/>
      <c r="X293" s="54"/>
      <c r="Y293" s="54"/>
      <c r="Z293" s="54"/>
    </row>
    <row r="294" spans="1:26" ht="48" customHeight="1">
      <c r="A294" s="596" t="s">
        <v>37</v>
      </c>
      <c r="B294" s="589"/>
      <c r="C294" s="589"/>
      <c r="D294" s="590"/>
      <c r="E294" s="54"/>
      <c r="F294" s="54"/>
      <c r="G294" s="54"/>
      <c r="H294" s="54"/>
      <c r="I294" s="54"/>
      <c r="J294" s="54"/>
      <c r="K294" s="54"/>
      <c r="L294" s="54"/>
      <c r="M294" s="54"/>
      <c r="N294" s="54"/>
      <c r="O294" s="54"/>
      <c r="P294" s="54"/>
      <c r="Q294" s="54"/>
      <c r="R294" s="54"/>
      <c r="S294" s="54"/>
      <c r="T294" s="54"/>
      <c r="U294" s="54"/>
      <c r="V294" s="54"/>
      <c r="W294" s="54"/>
      <c r="X294" s="54"/>
      <c r="Y294" s="54"/>
      <c r="Z294" s="54"/>
    </row>
    <row r="295" spans="1:26" ht="6.75" customHeight="1">
      <c r="A295" s="55"/>
      <c r="B295" s="55"/>
      <c r="C295" s="55"/>
      <c r="D295" s="56"/>
      <c r="E295" s="54"/>
      <c r="F295" s="54"/>
      <c r="G295" s="54"/>
      <c r="H295" s="54"/>
      <c r="I295" s="54"/>
      <c r="J295" s="54"/>
      <c r="K295" s="54"/>
      <c r="L295" s="54"/>
      <c r="M295" s="54"/>
      <c r="N295" s="54"/>
      <c r="O295" s="54"/>
      <c r="P295" s="54"/>
      <c r="Q295" s="54"/>
      <c r="R295" s="54"/>
      <c r="S295" s="54"/>
      <c r="T295" s="54"/>
      <c r="U295" s="54"/>
      <c r="V295" s="54"/>
      <c r="W295" s="54"/>
      <c r="X295" s="54"/>
      <c r="Y295" s="54"/>
      <c r="Z295" s="54"/>
    </row>
    <row r="296" spans="1:26" ht="48" customHeight="1">
      <c r="A296" s="596" t="s">
        <v>38</v>
      </c>
      <c r="B296" s="589"/>
      <c r="C296" s="589"/>
      <c r="D296" s="590"/>
      <c r="E296" s="54"/>
      <c r="F296" s="54"/>
      <c r="G296" s="54"/>
      <c r="H296" s="54"/>
      <c r="I296" s="54"/>
      <c r="J296" s="54"/>
      <c r="K296" s="54"/>
      <c r="L296" s="54"/>
      <c r="M296" s="54"/>
      <c r="N296" s="54"/>
      <c r="O296" s="54"/>
      <c r="P296" s="54"/>
      <c r="Q296" s="54"/>
      <c r="R296" s="54"/>
      <c r="S296" s="54"/>
      <c r="T296" s="54"/>
      <c r="U296" s="54"/>
      <c r="V296" s="54"/>
      <c r="W296" s="54"/>
      <c r="X296" s="54"/>
      <c r="Y296" s="54"/>
      <c r="Z296" s="54"/>
    </row>
    <row r="297" spans="1:26" ht="6.75" customHeight="1">
      <c r="A297" s="55"/>
      <c r="B297" s="55"/>
      <c r="C297" s="55"/>
      <c r="D297" s="56"/>
      <c r="E297" s="54"/>
      <c r="F297" s="54"/>
      <c r="G297" s="54"/>
      <c r="H297" s="54"/>
      <c r="I297" s="54"/>
      <c r="J297" s="54"/>
      <c r="K297" s="54"/>
      <c r="L297" s="54"/>
      <c r="M297" s="54"/>
      <c r="N297" s="54"/>
      <c r="O297" s="54"/>
      <c r="P297" s="54"/>
      <c r="Q297" s="54"/>
      <c r="R297" s="54"/>
      <c r="S297" s="54"/>
      <c r="T297" s="54"/>
      <c r="U297" s="54"/>
      <c r="V297" s="54"/>
      <c r="W297" s="54"/>
      <c r="X297" s="54"/>
      <c r="Y297" s="54"/>
      <c r="Z297" s="54"/>
    </row>
    <row r="298" spans="1:26" ht="36" customHeight="1">
      <c r="A298" s="596" t="s">
        <v>39</v>
      </c>
      <c r="B298" s="589"/>
      <c r="C298" s="589"/>
      <c r="D298" s="590"/>
      <c r="E298" s="54"/>
      <c r="F298" s="54"/>
      <c r="G298" s="54"/>
      <c r="H298" s="54"/>
      <c r="I298" s="54"/>
      <c r="J298" s="54"/>
      <c r="K298" s="54"/>
      <c r="L298" s="54"/>
      <c r="M298" s="54"/>
      <c r="N298" s="54"/>
      <c r="O298" s="54"/>
      <c r="P298" s="54"/>
      <c r="Q298" s="54"/>
      <c r="R298" s="54"/>
      <c r="S298" s="54"/>
      <c r="T298" s="54"/>
      <c r="U298" s="54"/>
      <c r="V298" s="54"/>
      <c r="W298" s="54"/>
      <c r="X298" s="54"/>
      <c r="Y298" s="54"/>
      <c r="Z298" s="54"/>
    </row>
    <row r="299" spans="1:26" ht="6.75" customHeight="1">
      <c r="A299" s="55"/>
      <c r="B299" s="55"/>
      <c r="C299" s="55"/>
      <c r="D299" s="56"/>
      <c r="E299" s="54"/>
      <c r="F299" s="54"/>
      <c r="G299" s="54"/>
      <c r="H299" s="54"/>
      <c r="I299" s="54"/>
      <c r="J299" s="54"/>
      <c r="K299" s="54"/>
      <c r="L299" s="54"/>
      <c r="M299" s="54"/>
      <c r="N299" s="54"/>
      <c r="O299" s="54"/>
      <c r="P299" s="54"/>
      <c r="Q299" s="54"/>
      <c r="R299" s="54"/>
      <c r="S299" s="54"/>
      <c r="T299" s="54"/>
      <c r="U299" s="54"/>
      <c r="V299" s="54"/>
      <c r="W299" s="54"/>
      <c r="X299" s="54"/>
      <c r="Y299" s="54"/>
      <c r="Z299" s="54"/>
    </row>
    <row r="300" spans="1:26" ht="15" customHeight="1">
      <c r="A300" s="598" t="s">
        <v>40</v>
      </c>
      <c r="B300" s="589"/>
      <c r="C300" s="589"/>
      <c r="D300" s="590"/>
      <c r="E300" s="54"/>
      <c r="F300" s="54"/>
      <c r="G300" s="54"/>
      <c r="H300" s="54"/>
      <c r="I300" s="54"/>
      <c r="J300" s="54"/>
      <c r="K300" s="54"/>
      <c r="L300" s="54"/>
      <c r="M300" s="54"/>
      <c r="N300" s="54"/>
      <c r="O300" s="54"/>
      <c r="P300" s="54"/>
      <c r="Q300" s="54"/>
      <c r="R300" s="54"/>
      <c r="S300" s="54"/>
      <c r="T300" s="54"/>
      <c r="U300" s="54"/>
      <c r="V300" s="54"/>
      <c r="W300" s="54"/>
      <c r="X300" s="54"/>
      <c r="Y300" s="54"/>
      <c r="Z300" s="54"/>
    </row>
    <row r="301" spans="1:26" ht="6.75" customHeight="1">
      <c r="A301" s="60"/>
      <c r="B301" s="61"/>
      <c r="C301" s="61"/>
      <c r="D301" s="62"/>
      <c r="E301" s="54"/>
      <c r="F301" s="54"/>
      <c r="G301" s="54"/>
      <c r="H301" s="54"/>
      <c r="I301" s="54"/>
      <c r="J301" s="54"/>
      <c r="K301" s="54"/>
      <c r="L301" s="54"/>
      <c r="M301" s="54"/>
      <c r="N301" s="54"/>
      <c r="O301" s="54"/>
      <c r="P301" s="54"/>
      <c r="Q301" s="54"/>
      <c r="R301" s="54"/>
      <c r="S301" s="54"/>
      <c r="T301" s="54"/>
      <c r="U301" s="54"/>
      <c r="V301" s="54"/>
      <c r="W301" s="54"/>
      <c r="X301" s="54"/>
      <c r="Y301" s="54"/>
      <c r="Z301" s="54"/>
    </row>
    <row r="302" spans="1:26" ht="10.5" customHeight="1">
      <c r="A302" s="63" t="s">
        <v>85</v>
      </c>
      <c r="B302" s="64"/>
      <c r="C302" s="65" t="s">
        <v>42</v>
      </c>
      <c r="D302" s="290">
        <f>'Proposed Rates'!J14</f>
        <v>9.57</v>
      </c>
      <c r="E302" s="54"/>
      <c r="F302" s="54"/>
      <c r="G302" s="54"/>
      <c r="H302" s="54"/>
      <c r="I302" s="54"/>
      <c r="J302" s="54"/>
      <c r="K302" s="54"/>
      <c r="L302" s="54"/>
      <c r="M302" s="54"/>
      <c r="N302" s="54"/>
      <c r="O302" s="54"/>
      <c r="P302" s="54"/>
      <c r="Q302" s="54"/>
      <c r="R302" s="54"/>
      <c r="S302" s="54"/>
      <c r="T302" s="54"/>
      <c r="U302" s="54"/>
      <c r="V302" s="54"/>
      <c r="W302" s="54"/>
      <c r="X302" s="54"/>
      <c r="Y302" s="54"/>
      <c r="Z302" s="54"/>
    </row>
    <row r="303" spans="1:26" ht="10.5" customHeight="1">
      <c r="A303" s="63" t="s">
        <v>62</v>
      </c>
      <c r="B303" s="64"/>
      <c r="C303" s="65" t="s">
        <v>69</v>
      </c>
      <c r="D303" s="291">
        <f>'Proposed Rates'!J27</f>
        <v>44.893500000000003</v>
      </c>
      <c r="E303" s="54"/>
      <c r="F303" s="54"/>
      <c r="G303" s="54"/>
      <c r="H303" s="54"/>
      <c r="I303" s="54"/>
      <c r="J303" s="54"/>
      <c r="K303" s="54"/>
      <c r="L303" s="54"/>
      <c r="M303" s="54"/>
      <c r="N303" s="54"/>
      <c r="O303" s="54"/>
      <c r="P303" s="54"/>
      <c r="Q303" s="54"/>
      <c r="R303" s="54"/>
      <c r="S303" s="54"/>
      <c r="T303" s="54"/>
      <c r="U303" s="54"/>
      <c r="V303" s="54"/>
      <c r="W303" s="54"/>
      <c r="X303" s="54"/>
      <c r="Y303" s="54"/>
      <c r="Z303" s="54"/>
    </row>
    <row r="304" spans="1:26" ht="10.5" customHeight="1">
      <c r="A304" s="63" t="s">
        <v>47</v>
      </c>
      <c r="B304" s="64"/>
      <c r="C304" s="65" t="s">
        <v>69</v>
      </c>
      <c r="D304" s="293">
        <f>'Proposed Rates'!J273</f>
        <v>4.6699999999999997E-3</v>
      </c>
      <c r="E304" s="54"/>
      <c r="F304" s="54"/>
      <c r="G304" s="54"/>
      <c r="H304" s="54"/>
      <c r="I304" s="54"/>
      <c r="J304" s="54"/>
      <c r="K304" s="54"/>
      <c r="L304" s="54"/>
      <c r="M304" s="54"/>
      <c r="N304" s="54"/>
      <c r="O304" s="54"/>
      <c r="P304" s="54"/>
      <c r="Q304" s="54"/>
      <c r="R304" s="54"/>
      <c r="S304" s="54"/>
      <c r="T304" s="54"/>
      <c r="U304" s="54"/>
      <c r="V304" s="54"/>
      <c r="W304" s="54"/>
      <c r="X304" s="54"/>
      <c r="Y304" s="54"/>
      <c r="Z304" s="54"/>
    </row>
    <row r="305" spans="1:26" ht="10.5" customHeight="1">
      <c r="A305" s="63" t="s">
        <v>49</v>
      </c>
      <c r="B305" s="64"/>
      <c r="C305" s="65" t="s">
        <v>69</v>
      </c>
      <c r="D305" s="291">
        <f>'Proposed Rates'!J43</f>
        <v>0</v>
      </c>
      <c r="E305" s="54"/>
      <c r="F305" s="54"/>
      <c r="G305" s="54"/>
      <c r="H305" s="54"/>
      <c r="I305" s="54"/>
      <c r="J305" s="54"/>
      <c r="K305" s="54"/>
      <c r="L305" s="54"/>
      <c r="M305" s="54"/>
      <c r="N305" s="54"/>
      <c r="O305" s="54"/>
      <c r="P305" s="54"/>
      <c r="Q305" s="54"/>
      <c r="R305" s="54"/>
      <c r="S305" s="54"/>
      <c r="T305" s="54"/>
      <c r="U305" s="54"/>
      <c r="V305" s="54"/>
      <c r="W305" s="54"/>
      <c r="X305" s="54"/>
      <c r="Y305" s="54"/>
      <c r="Z305" s="54"/>
    </row>
    <row r="306" spans="1:26" ht="10.5" customHeight="1">
      <c r="A306" s="63" t="s">
        <v>45</v>
      </c>
      <c r="B306" s="64"/>
      <c r="C306" s="65" t="s">
        <v>69</v>
      </c>
      <c r="D306" s="291">
        <f>'Proposed Rates'!J70</f>
        <v>0</v>
      </c>
      <c r="E306" s="54"/>
      <c r="F306" s="54"/>
      <c r="G306" s="54"/>
      <c r="H306" s="54"/>
      <c r="I306" s="54"/>
      <c r="J306" s="54"/>
      <c r="K306" s="54"/>
      <c r="L306" s="54"/>
      <c r="M306" s="54"/>
      <c r="N306" s="54"/>
      <c r="O306" s="54"/>
      <c r="P306" s="54"/>
      <c r="Q306" s="54"/>
      <c r="R306" s="54"/>
      <c r="S306" s="54"/>
      <c r="T306" s="54"/>
      <c r="U306" s="54"/>
      <c r="V306" s="54"/>
      <c r="W306" s="54"/>
      <c r="X306" s="54"/>
      <c r="Y306" s="54"/>
      <c r="Z306" s="54"/>
    </row>
    <row r="307" spans="1:26" ht="10.5" customHeight="1">
      <c r="A307" s="63" t="s">
        <v>233</v>
      </c>
      <c r="B307" s="64"/>
      <c r="C307" s="65" t="s">
        <v>48</v>
      </c>
      <c r="D307" s="291">
        <f>'Proposed Rates'!J151</f>
        <v>0</v>
      </c>
      <c r="E307" s="54"/>
      <c r="F307" s="54"/>
      <c r="G307" s="54"/>
      <c r="H307" s="54"/>
      <c r="I307" s="54"/>
      <c r="J307" s="54"/>
      <c r="K307" s="54"/>
      <c r="L307" s="54"/>
      <c r="M307" s="54"/>
      <c r="N307" s="54"/>
      <c r="O307" s="54"/>
      <c r="P307" s="54"/>
      <c r="Q307" s="54"/>
      <c r="R307" s="54"/>
      <c r="S307" s="54"/>
      <c r="T307" s="54"/>
      <c r="U307" s="54"/>
      <c r="V307" s="54"/>
      <c r="W307" s="54"/>
      <c r="X307" s="54"/>
      <c r="Y307" s="54"/>
      <c r="Z307" s="54"/>
    </row>
    <row r="308" spans="1:26" ht="10.5" customHeight="1">
      <c r="A308" s="63" t="s">
        <v>52</v>
      </c>
      <c r="B308" s="64"/>
      <c r="C308" s="65" t="s">
        <v>69</v>
      </c>
      <c r="D308" s="291">
        <f>'Proposed Rates'!J194</f>
        <v>0.85450000000000004</v>
      </c>
      <c r="E308" s="54"/>
      <c r="F308" s="54"/>
      <c r="G308" s="54"/>
      <c r="H308" s="54"/>
      <c r="I308" s="54"/>
      <c r="J308" s="54"/>
      <c r="K308" s="54"/>
      <c r="L308" s="54"/>
      <c r="M308" s="54"/>
      <c r="N308" s="54"/>
      <c r="O308" s="54"/>
      <c r="P308" s="54"/>
      <c r="Q308" s="54"/>
      <c r="R308" s="54"/>
      <c r="S308" s="54"/>
      <c r="T308" s="54"/>
      <c r="U308" s="54"/>
      <c r="V308" s="54"/>
      <c r="W308" s="54"/>
      <c r="X308" s="54"/>
      <c r="Y308" s="54"/>
      <c r="Z308" s="54"/>
    </row>
    <row r="309" spans="1:26" ht="10.5" customHeight="1">
      <c r="A309" s="94" t="s">
        <v>53</v>
      </c>
      <c r="B309" s="64"/>
      <c r="C309" s="95" t="s">
        <v>69</v>
      </c>
      <c r="D309" s="300">
        <f>'Proposed Rates'!J209</f>
        <v>0.48370000000000002</v>
      </c>
      <c r="E309" s="54"/>
      <c r="F309" s="54"/>
      <c r="G309" s="54"/>
      <c r="H309" s="54"/>
      <c r="I309" s="54"/>
      <c r="J309" s="54"/>
      <c r="K309" s="54"/>
      <c r="L309" s="54"/>
      <c r="M309" s="54"/>
      <c r="N309" s="54"/>
      <c r="O309" s="54"/>
      <c r="P309" s="54"/>
      <c r="Q309" s="54"/>
      <c r="R309" s="54"/>
      <c r="S309" s="54"/>
      <c r="T309" s="54"/>
      <c r="U309" s="54"/>
      <c r="V309" s="54"/>
      <c r="W309" s="54"/>
      <c r="X309" s="54"/>
      <c r="Y309" s="54"/>
      <c r="Z309" s="54"/>
    </row>
    <row r="310" spans="1:26" ht="5.25" customHeight="1">
      <c r="A310" s="94"/>
      <c r="B310" s="64"/>
      <c r="C310" s="95"/>
      <c r="D310" s="301"/>
      <c r="E310" s="54"/>
      <c r="F310" s="54"/>
      <c r="G310" s="54"/>
      <c r="H310" s="54"/>
      <c r="I310" s="54"/>
      <c r="J310" s="54"/>
      <c r="K310" s="54"/>
      <c r="L310" s="54"/>
      <c r="M310" s="54"/>
      <c r="N310" s="54"/>
      <c r="O310" s="54"/>
      <c r="P310" s="54"/>
      <c r="Q310" s="54"/>
      <c r="R310" s="54"/>
      <c r="S310" s="54"/>
      <c r="T310" s="54"/>
      <c r="U310" s="54"/>
      <c r="V310" s="54"/>
      <c r="W310" s="54"/>
      <c r="X310" s="54"/>
      <c r="Y310" s="54"/>
      <c r="Z310" s="54"/>
    </row>
    <row r="311" spans="1:26" ht="11.25" customHeight="1">
      <c r="A311" s="75" t="s">
        <v>54</v>
      </c>
      <c r="B311" s="64"/>
      <c r="C311" s="65"/>
      <c r="D311" s="294"/>
      <c r="E311" s="54"/>
      <c r="F311" s="54"/>
      <c r="G311" s="54"/>
      <c r="H311" s="54"/>
      <c r="I311" s="54"/>
      <c r="J311" s="54"/>
      <c r="K311" s="54"/>
      <c r="L311" s="54"/>
      <c r="M311" s="54"/>
      <c r="N311" s="54"/>
      <c r="O311" s="54"/>
      <c r="P311" s="54"/>
      <c r="Q311" s="54"/>
      <c r="R311" s="54"/>
      <c r="S311" s="54"/>
      <c r="T311" s="54"/>
      <c r="U311" s="54"/>
      <c r="V311" s="54"/>
      <c r="W311" s="54"/>
      <c r="X311" s="54"/>
      <c r="Y311" s="54"/>
      <c r="Z311" s="54"/>
    </row>
    <row r="312" spans="1:26" ht="4.5" customHeight="1">
      <c r="A312" s="60"/>
      <c r="B312" s="65"/>
      <c r="C312" s="65"/>
      <c r="D312" s="294"/>
      <c r="E312" s="54"/>
      <c r="F312" s="54"/>
      <c r="G312" s="54"/>
      <c r="H312" s="54"/>
      <c r="I312" s="54"/>
      <c r="J312" s="54"/>
      <c r="K312" s="54"/>
      <c r="L312" s="54"/>
      <c r="M312" s="54"/>
      <c r="N312" s="54"/>
      <c r="O312" s="54"/>
      <c r="P312" s="54"/>
      <c r="Q312" s="54"/>
      <c r="R312" s="54"/>
      <c r="S312" s="54"/>
      <c r="T312" s="54"/>
      <c r="U312" s="54"/>
      <c r="V312" s="54"/>
      <c r="W312" s="54"/>
      <c r="X312" s="54"/>
      <c r="Y312" s="54"/>
      <c r="Z312" s="54"/>
    </row>
    <row r="313" spans="1:26" ht="10.5" customHeight="1">
      <c r="A313" s="63" t="s">
        <v>55</v>
      </c>
      <c r="B313" s="64"/>
      <c r="C313" s="65" t="s">
        <v>48</v>
      </c>
      <c r="D313" s="291">
        <f>$D$34</f>
        <v>4.1000000000000003E-3</v>
      </c>
      <c r="E313" s="54"/>
      <c r="F313" s="54"/>
      <c r="G313" s="54"/>
      <c r="H313" s="54"/>
      <c r="I313" s="54"/>
      <c r="J313" s="54"/>
      <c r="K313" s="54"/>
      <c r="L313" s="54"/>
      <c r="M313" s="54"/>
      <c r="N313" s="54"/>
      <c r="O313" s="54"/>
      <c r="P313" s="54"/>
      <c r="Q313" s="54"/>
      <c r="R313" s="54"/>
      <c r="S313" s="54"/>
      <c r="T313" s="54"/>
      <c r="U313" s="54"/>
      <c r="V313" s="54"/>
      <c r="W313" s="54"/>
      <c r="X313" s="54"/>
      <c r="Y313" s="54"/>
      <c r="Z313" s="54"/>
    </row>
    <row r="314" spans="1:26" ht="10.5" customHeight="1">
      <c r="A314" s="63" t="s">
        <v>56</v>
      </c>
      <c r="B314" s="64"/>
      <c r="C314" s="65" t="s">
        <v>48</v>
      </c>
      <c r="D314" s="291">
        <f>'Proposed Rates'!J222-'2026'!D345</f>
        <v>5.9999999999999984E-4</v>
      </c>
      <c r="E314" s="54"/>
      <c r="F314" s="54"/>
      <c r="G314" s="54"/>
      <c r="H314" s="54"/>
      <c r="I314" s="54"/>
      <c r="J314" s="54"/>
      <c r="K314" s="54"/>
      <c r="L314" s="54"/>
      <c r="M314" s="54"/>
      <c r="N314" s="54"/>
      <c r="O314" s="54"/>
      <c r="P314" s="54"/>
      <c r="Q314" s="54"/>
      <c r="R314" s="54"/>
      <c r="S314" s="54"/>
      <c r="T314" s="54"/>
      <c r="U314" s="54"/>
      <c r="V314" s="54"/>
      <c r="W314" s="54"/>
      <c r="X314" s="54"/>
      <c r="Y314" s="54"/>
      <c r="Z314" s="54"/>
    </row>
    <row r="315" spans="1:26" ht="10.5" customHeight="1">
      <c r="A315" s="63" t="s">
        <v>57</v>
      </c>
      <c r="B315" s="64"/>
      <c r="C315" s="65" t="s">
        <v>48</v>
      </c>
      <c r="D315" s="291">
        <f>'Proposed Rates'!J235</f>
        <v>5.9999999999999995E-4</v>
      </c>
      <c r="E315" s="54"/>
      <c r="F315" s="54"/>
      <c r="G315" s="54"/>
      <c r="H315" s="54"/>
      <c r="I315" s="54"/>
      <c r="J315" s="54"/>
      <c r="K315" s="54"/>
      <c r="L315" s="54"/>
      <c r="M315" s="54"/>
      <c r="N315" s="54"/>
      <c r="O315" s="54"/>
      <c r="P315" s="54"/>
      <c r="Q315" s="54"/>
      <c r="R315" s="54"/>
      <c r="S315" s="54"/>
      <c r="T315" s="54"/>
      <c r="U315" s="54"/>
      <c r="V315" s="54"/>
      <c r="W315" s="54"/>
      <c r="X315" s="54"/>
      <c r="Y315" s="54"/>
      <c r="Z315" s="54"/>
    </row>
    <row r="316" spans="1:26" ht="10.5" customHeight="1">
      <c r="A316" s="63" t="s">
        <v>58</v>
      </c>
      <c r="B316" s="64"/>
      <c r="C316" s="65" t="s">
        <v>42</v>
      </c>
      <c r="D316" s="291">
        <f>'Proposed Rates'!J249</f>
        <v>0.25</v>
      </c>
      <c r="E316" s="54"/>
      <c r="F316" s="54"/>
      <c r="G316" s="54"/>
      <c r="H316" s="54"/>
      <c r="I316" s="54"/>
      <c r="J316" s="54"/>
      <c r="K316" s="54"/>
      <c r="L316" s="54"/>
      <c r="M316" s="54"/>
      <c r="N316" s="54"/>
      <c r="O316" s="54"/>
      <c r="P316" s="54"/>
      <c r="Q316" s="54"/>
      <c r="R316" s="54"/>
      <c r="S316" s="54"/>
      <c r="T316" s="54"/>
      <c r="U316" s="54"/>
      <c r="V316" s="54"/>
      <c r="W316" s="54"/>
      <c r="X316" s="54"/>
      <c r="Y316" s="54"/>
      <c r="Z316" s="54"/>
    </row>
    <row r="317" spans="1:26" ht="4.5" customHeight="1">
      <c r="A317" s="89"/>
      <c r="B317" s="64"/>
      <c r="C317" s="65"/>
      <c r="D317" s="74"/>
      <c r="E317" s="54"/>
      <c r="F317" s="54"/>
      <c r="G317" s="54"/>
      <c r="H317" s="54"/>
      <c r="I317" s="54"/>
      <c r="J317" s="54"/>
      <c r="K317" s="54"/>
      <c r="L317" s="54"/>
      <c r="M317" s="54"/>
      <c r="N317" s="54"/>
      <c r="O317" s="54"/>
      <c r="P317" s="54"/>
      <c r="Q317" s="54"/>
      <c r="R317" s="54"/>
      <c r="S317" s="54"/>
      <c r="T317" s="54"/>
      <c r="U317" s="54"/>
      <c r="V317" s="54"/>
      <c r="W317" s="54"/>
      <c r="X317" s="54"/>
      <c r="Y317" s="54"/>
      <c r="Z317" s="54"/>
    </row>
    <row r="318" spans="1:26" ht="24" customHeight="1">
      <c r="A318" s="588" t="str">
        <f>$A$1</f>
        <v>Hydro Ottawa Limited</v>
      </c>
      <c r="B318" s="589"/>
      <c r="C318" s="589"/>
      <c r="D318" s="590"/>
      <c r="E318" s="54"/>
      <c r="F318" s="54"/>
      <c r="G318" s="54"/>
      <c r="H318" s="54"/>
      <c r="I318" s="54"/>
      <c r="J318" s="54"/>
      <c r="K318" s="54"/>
      <c r="L318" s="54"/>
      <c r="M318" s="54"/>
      <c r="N318" s="54"/>
      <c r="O318" s="54"/>
      <c r="P318" s="54"/>
      <c r="Q318" s="54"/>
      <c r="R318" s="54"/>
      <c r="S318" s="54"/>
      <c r="T318" s="54"/>
      <c r="U318" s="54"/>
      <c r="V318" s="54"/>
      <c r="W318" s="54"/>
      <c r="X318" s="54"/>
      <c r="Y318" s="54"/>
      <c r="Z318" s="54"/>
    </row>
    <row r="319" spans="1:26" ht="15.75" customHeight="1">
      <c r="A319" s="591" t="str">
        <f>$A$2</f>
        <v>PROPOSED - TARIFF OF RATES AND CHARGES</v>
      </c>
      <c r="B319" s="589"/>
      <c r="C319" s="589"/>
      <c r="D319" s="590"/>
      <c r="E319" s="54"/>
      <c r="F319" s="54"/>
      <c r="G319" s="54"/>
      <c r="H319" s="54"/>
      <c r="I319" s="54"/>
      <c r="J319" s="54"/>
      <c r="K319" s="54"/>
      <c r="L319" s="54"/>
      <c r="M319" s="54"/>
      <c r="N319" s="54"/>
      <c r="O319" s="54"/>
      <c r="P319" s="54"/>
      <c r="Q319" s="54"/>
      <c r="R319" s="54"/>
      <c r="S319" s="54"/>
      <c r="T319" s="54"/>
      <c r="U319" s="54"/>
      <c r="V319" s="54"/>
      <c r="W319" s="54"/>
      <c r="X319" s="54"/>
      <c r="Y319" s="54"/>
      <c r="Z319" s="54"/>
    </row>
    <row r="320" spans="1:26" ht="15.75" customHeight="1">
      <c r="A320" s="592" t="str">
        <f>$A$3</f>
        <v>Effective and Implementation Date January 1, 2030</v>
      </c>
      <c r="B320" s="589"/>
      <c r="C320" s="589"/>
      <c r="D320" s="590"/>
      <c r="E320" s="54"/>
      <c r="F320" s="54"/>
      <c r="G320" s="54"/>
      <c r="H320" s="54"/>
      <c r="I320" s="54"/>
      <c r="J320" s="54"/>
      <c r="K320" s="54"/>
      <c r="L320" s="54"/>
      <c r="M320" s="54"/>
      <c r="N320" s="54"/>
      <c r="O320" s="54"/>
      <c r="P320" s="54"/>
      <c r="Q320" s="54"/>
      <c r="R320" s="54"/>
      <c r="S320" s="54"/>
      <c r="T320" s="54"/>
      <c r="U320" s="54"/>
      <c r="V320" s="54"/>
      <c r="W320" s="54"/>
      <c r="X320" s="54"/>
      <c r="Y320" s="54"/>
      <c r="Z320" s="54"/>
    </row>
    <row r="321" spans="1:26" ht="12" customHeight="1">
      <c r="A321" s="593" t="str">
        <f>$A$4</f>
        <v>This schedule supersedes and replaces all previously</v>
      </c>
      <c r="B321" s="589"/>
      <c r="C321" s="589"/>
      <c r="D321" s="590"/>
      <c r="E321" s="54"/>
      <c r="F321" s="54"/>
      <c r="G321" s="54"/>
      <c r="H321" s="54"/>
      <c r="I321" s="54"/>
      <c r="J321" s="54"/>
      <c r="K321" s="54"/>
      <c r="L321" s="54"/>
      <c r="M321" s="54"/>
      <c r="N321" s="54"/>
      <c r="O321" s="54"/>
      <c r="P321" s="54"/>
      <c r="Q321" s="54"/>
      <c r="R321" s="54"/>
      <c r="S321" s="54"/>
      <c r="T321" s="54"/>
      <c r="U321" s="54"/>
      <c r="V321" s="54"/>
      <c r="W321" s="54"/>
      <c r="X321" s="54"/>
      <c r="Y321" s="54"/>
      <c r="Z321" s="54"/>
    </row>
    <row r="322" spans="1:26" ht="11.25" customHeight="1">
      <c r="A322" s="593" t="str">
        <f>$A$5</f>
        <v>approved schedules of Rates, Charges and Loss Factors</v>
      </c>
      <c r="B322" s="589"/>
      <c r="C322" s="589"/>
      <c r="D322" s="590"/>
      <c r="E322" s="54"/>
      <c r="F322" s="54"/>
      <c r="G322" s="54"/>
      <c r="H322" s="54"/>
      <c r="I322" s="54"/>
      <c r="J322" s="54"/>
      <c r="K322" s="54"/>
      <c r="L322" s="54"/>
      <c r="M322" s="54"/>
      <c r="N322" s="54"/>
      <c r="O322" s="54"/>
      <c r="P322" s="54"/>
      <c r="Q322" s="54"/>
      <c r="R322" s="54"/>
      <c r="S322" s="54"/>
      <c r="T322" s="54"/>
      <c r="U322" s="54"/>
      <c r="V322" s="54"/>
      <c r="W322" s="54"/>
      <c r="X322" s="54"/>
      <c r="Y322" s="54"/>
      <c r="Z322" s="54"/>
    </row>
    <row r="323" spans="1:26" ht="11.25" customHeight="1">
      <c r="A323" s="594" t="str">
        <f>$A$6</f>
        <v>EB-2024-0115</v>
      </c>
      <c r="B323" s="589"/>
      <c r="C323" s="589"/>
      <c r="D323" s="590"/>
      <c r="E323" s="54"/>
      <c r="F323" s="54"/>
      <c r="G323" s="54"/>
      <c r="H323" s="54"/>
      <c r="I323" s="54"/>
      <c r="J323" s="54"/>
      <c r="K323" s="54"/>
      <c r="L323" s="54"/>
      <c r="M323" s="54"/>
      <c r="N323" s="54"/>
      <c r="O323" s="54"/>
      <c r="P323" s="54"/>
      <c r="Q323" s="54"/>
      <c r="R323" s="54"/>
      <c r="S323" s="54"/>
      <c r="T323" s="54"/>
      <c r="U323" s="54"/>
      <c r="V323" s="54"/>
      <c r="W323" s="54"/>
      <c r="X323" s="54"/>
      <c r="Y323" s="54"/>
      <c r="Z323" s="54"/>
    </row>
    <row r="324" spans="1:26" ht="18.75" customHeight="1">
      <c r="A324" s="595" t="s">
        <v>102</v>
      </c>
      <c r="B324" s="589"/>
      <c r="C324" s="589"/>
      <c r="D324" s="590"/>
      <c r="E324" s="76"/>
      <c r="F324" s="76"/>
      <c r="G324" s="76"/>
      <c r="H324" s="76"/>
      <c r="I324" s="76"/>
      <c r="J324" s="76"/>
      <c r="K324" s="76"/>
      <c r="L324" s="76"/>
      <c r="M324" s="76"/>
      <c r="N324" s="76"/>
      <c r="O324" s="76"/>
      <c r="P324" s="76"/>
      <c r="Q324" s="76"/>
      <c r="R324" s="76"/>
      <c r="S324" s="76"/>
      <c r="T324" s="76"/>
      <c r="U324" s="76"/>
      <c r="V324" s="76"/>
      <c r="W324" s="76"/>
      <c r="X324" s="76"/>
      <c r="Y324" s="76"/>
      <c r="Z324" s="76"/>
    </row>
    <row r="325" spans="1:26" ht="60" customHeight="1">
      <c r="A325" s="596" t="s">
        <v>103</v>
      </c>
      <c r="B325" s="589"/>
      <c r="C325" s="589"/>
      <c r="D325" s="590"/>
      <c r="E325" s="54"/>
      <c r="F325" s="54"/>
      <c r="G325" s="54"/>
      <c r="H325" s="54"/>
      <c r="I325" s="54"/>
      <c r="J325" s="54"/>
      <c r="K325" s="54"/>
      <c r="L325" s="54"/>
      <c r="M325" s="54"/>
      <c r="N325" s="54"/>
      <c r="O325" s="54"/>
      <c r="P325" s="54"/>
      <c r="Q325" s="54"/>
      <c r="R325" s="54"/>
      <c r="S325" s="54"/>
      <c r="T325" s="54"/>
      <c r="U325" s="54"/>
      <c r="V325" s="54"/>
      <c r="W325" s="54"/>
      <c r="X325" s="54"/>
      <c r="Y325" s="54"/>
      <c r="Z325" s="54"/>
    </row>
    <row r="326" spans="1:26" ht="6.75" customHeight="1">
      <c r="A326" s="55"/>
      <c r="B326" s="55"/>
      <c r="C326" s="55"/>
      <c r="D326" s="56"/>
      <c r="E326" s="54"/>
      <c r="F326" s="54"/>
      <c r="G326" s="54"/>
      <c r="H326" s="54"/>
      <c r="I326" s="54"/>
      <c r="J326" s="54"/>
      <c r="K326" s="54"/>
      <c r="L326" s="54"/>
      <c r="M326" s="54"/>
      <c r="N326" s="54"/>
      <c r="O326" s="54"/>
      <c r="P326" s="54"/>
      <c r="Q326" s="54"/>
      <c r="R326" s="54"/>
      <c r="S326" s="54"/>
      <c r="T326" s="54"/>
      <c r="U326" s="54"/>
      <c r="V326" s="54"/>
      <c r="W326" s="54"/>
      <c r="X326" s="54"/>
      <c r="Y326" s="54"/>
      <c r="Z326" s="54"/>
    </row>
    <row r="327" spans="1:26" ht="11.25" customHeight="1">
      <c r="A327" s="597" t="s">
        <v>35</v>
      </c>
      <c r="B327" s="589"/>
      <c r="C327" s="589"/>
      <c r="D327" s="590"/>
      <c r="E327" s="54"/>
      <c r="F327" s="54"/>
      <c r="G327" s="54"/>
      <c r="H327" s="54"/>
      <c r="I327" s="54"/>
      <c r="J327" s="54"/>
      <c r="K327" s="54"/>
      <c r="L327" s="54"/>
      <c r="M327" s="54"/>
      <c r="N327" s="54"/>
      <c r="O327" s="54"/>
      <c r="P327" s="54"/>
      <c r="Q327" s="54"/>
      <c r="R327" s="54"/>
      <c r="S327" s="54"/>
      <c r="T327" s="54"/>
      <c r="U327" s="54"/>
      <c r="V327" s="54"/>
      <c r="W327" s="54"/>
      <c r="X327" s="54"/>
      <c r="Y327" s="54"/>
      <c r="Z327" s="54"/>
    </row>
    <row r="328" spans="1:26" ht="6.75" customHeight="1">
      <c r="A328" s="57"/>
      <c r="B328" s="58"/>
      <c r="C328" s="58"/>
      <c r="D328" s="59"/>
      <c r="E328" s="54"/>
      <c r="F328" s="54"/>
      <c r="G328" s="54"/>
      <c r="H328" s="54"/>
      <c r="I328" s="54"/>
      <c r="J328" s="54"/>
      <c r="K328" s="54"/>
      <c r="L328" s="54"/>
      <c r="M328" s="54"/>
      <c r="N328" s="54"/>
      <c r="O328" s="54"/>
      <c r="P328" s="54"/>
      <c r="Q328" s="54"/>
      <c r="R328" s="54"/>
      <c r="S328" s="54"/>
      <c r="T328" s="54"/>
      <c r="U328" s="54"/>
      <c r="V328" s="54"/>
      <c r="W328" s="54"/>
      <c r="X328" s="54"/>
      <c r="Y328" s="54"/>
      <c r="Z328" s="54"/>
    </row>
    <row r="329" spans="1:26" ht="36" customHeight="1">
      <c r="A329" s="596" t="s">
        <v>36</v>
      </c>
      <c r="B329" s="589"/>
      <c r="C329" s="589"/>
      <c r="D329" s="590"/>
      <c r="E329" s="54"/>
      <c r="F329" s="54"/>
      <c r="G329" s="54"/>
      <c r="H329" s="54"/>
      <c r="I329" s="54"/>
      <c r="J329" s="54"/>
      <c r="K329" s="54"/>
      <c r="L329" s="54"/>
      <c r="M329" s="54"/>
      <c r="N329" s="54"/>
      <c r="O329" s="54"/>
      <c r="P329" s="54"/>
      <c r="Q329" s="54"/>
      <c r="R329" s="54"/>
      <c r="S329" s="54"/>
      <c r="T329" s="54"/>
      <c r="U329" s="54"/>
      <c r="V329" s="54"/>
      <c r="W329" s="54"/>
      <c r="X329" s="54"/>
      <c r="Y329" s="54"/>
      <c r="Z329" s="54"/>
    </row>
    <row r="330" spans="1:26" ht="6.75" customHeight="1">
      <c r="A330" s="55"/>
      <c r="B330" s="55"/>
      <c r="C330" s="55"/>
      <c r="D330" s="56"/>
      <c r="E330" s="54"/>
      <c r="F330" s="54"/>
      <c r="G330" s="54"/>
      <c r="H330" s="54"/>
      <c r="I330" s="54"/>
      <c r="J330" s="54"/>
      <c r="K330" s="54"/>
      <c r="L330" s="54"/>
      <c r="M330" s="54"/>
      <c r="N330" s="54"/>
      <c r="O330" s="54"/>
      <c r="P330" s="54"/>
      <c r="Q330" s="54"/>
      <c r="R330" s="54"/>
      <c r="S330" s="54"/>
      <c r="T330" s="54"/>
      <c r="U330" s="54"/>
      <c r="V330" s="54"/>
      <c r="W330" s="54"/>
      <c r="X330" s="54"/>
      <c r="Y330" s="54"/>
      <c r="Z330" s="54"/>
    </row>
    <row r="331" spans="1:26" ht="48" customHeight="1">
      <c r="A331" s="596" t="s">
        <v>37</v>
      </c>
      <c r="B331" s="589"/>
      <c r="C331" s="589"/>
      <c r="D331" s="590"/>
      <c r="E331" s="54"/>
      <c r="F331" s="54"/>
      <c r="G331" s="54"/>
      <c r="H331" s="54"/>
      <c r="I331" s="54"/>
      <c r="J331" s="54"/>
      <c r="K331" s="54"/>
      <c r="L331" s="54"/>
      <c r="M331" s="54"/>
      <c r="N331" s="54"/>
      <c r="O331" s="54"/>
      <c r="P331" s="54"/>
      <c r="Q331" s="54"/>
      <c r="R331" s="54"/>
      <c r="S331" s="54"/>
      <c r="T331" s="54"/>
      <c r="U331" s="54"/>
      <c r="V331" s="54"/>
      <c r="W331" s="54"/>
      <c r="X331" s="54"/>
      <c r="Y331" s="54"/>
      <c r="Z331" s="54"/>
    </row>
    <row r="332" spans="1:26" ht="6.75" customHeight="1">
      <c r="A332" s="55"/>
      <c r="B332" s="55"/>
      <c r="C332" s="55"/>
      <c r="D332" s="56"/>
      <c r="E332" s="54"/>
      <c r="F332" s="54"/>
      <c r="G332" s="54"/>
      <c r="H332" s="54"/>
      <c r="I332" s="54"/>
      <c r="J332" s="54"/>
      <c r="K332" s="54"/>
      <c r="L332" s="54"/>
      <c r="M332" s="54"/>
      <c r="N332" s="54"/>
      <c r="O332" s="54"/>
      <c r="P332" s="54"/>
      <c r="Q332" s="54"/>
      <c r="R332" s="54"/>
      <c r="S332" s="54"/>
      <c r="T332" s="54"/>
      <c r="U332" s="54"/>
      <c r="V332" s="54"/>
      <c r="W332" s="54"/>
      <c r="X332" s="54"/>
      <c r="Y332" s="54"/>
      <c r="Z332" s="54"/>
    </row>
    <row r="333" spans="1:26" ht="48" customHeight="1">
      <c r="A333" s="596" t="s">
        <v>38</v>
      </c>
      <c r="B333" s="589"/>
      <c r="C333" s="589"/>
      <c r="D333" s="590"/>
      <c r="E333" s="54"/>
      <c r="F333" s="54"/>
      <c r="G333" s="54"/>
      <c r="H333" s="54"/>
      <c r="I333" s="54"/>
      <c r="J333" s="54"/>
      <c r="K333" s="54"/>
      <c r="L333" s="54"/>
      <c r="M333" s="54"/>
      <c r="N333" s="54"/>
      <c r="O333" s="54"/>
      <c r="P333" s="54"/>
      <c r="Q333" s="54"/>
      <c r="R333" s="54"/>
      <c r="S333" s="54"/>
      <c r="T333" s="54"/>
      <c r="U333" s="54"/>
      <c r="V333" s="54"/>
      <c r="W333" s="54"/>
      <c r="X333" s="54"/>
      <c r="Y333" s="54"/>
      <c r="Z333" s="54"/>
    </row>
    <row r="334" spans="1:26" ht="6.75" customHeight="1">
      <c r="A334" s="55"/>
      <c r="B334" s="55"/>
      <c r="C334" s="55"/>
      <c r="D334" s="56"/>
      <c r="E334" s="54"/>
      <c r="F334" s="54"/>
      <c r="G334" s="54"/>
      <c r="H334" s="54"/>
      <c r="I334" s="54"/>
      <c r="J334" s="54"/>
      <c r="K334" s="54"/>
      <c r="L334" s="54"/>
      <c r="M334" s="54"/>
      <c r="N334" s="54"/>
      <c r="O334" s="54"/>
      <c r="P334" s="54"/>
      <c r="Q334" s="54"/>
      <c r="R334" s="54"/>
      <c r="S334" s="54"/>
      <c r="T334" s="54"/>
      <c r="U334" s="54"/>
      <c r="V334" s="54"/>
      <c r="W334" s="54"/>
      <c r="X334" s="54"/>
      <c r="Y334" s="54"/>
      <c r="Z334" s="54"/>
    </row>
    <row r="335" spans="1:26" ht="36" customHeight="1">
      <c r="A335" s="596" t="s">
        <v>104</v>
      </c>
      <c r="B335" s="589"/>
      <c r="C335" s="589"/>
      <c r="D335" s="590"/>
      <c r="E335" s="54"/>
      <c r="F335" s="54"/>
      <c r="G335" s="54"/>
      <c r="H335" s="54"/>
      <c r="I335" s="54"/>
      <c r="J335" s="54"/>
      <c r="K335" s="54"/>
      <c r="L335" s="54"/>
      <c r="M335" s="54"/>
      <c r="N335" s="54"/>
      <c r="O335" s="54"/>
      <c r="P335" s="54"/>
      <c r="Q335" s="54"/>
      <c r="R335" s="54"/>
      <c r="S335" s="54"/>
      <c r="T335" s="54"/>
      <c r="U335" s="54"/>
      <c r="V335" s="54"/>
      <c r="W335" s="54"/>
      <c r="X335" s="54"/>
      <c r="Y335" s="54"/>
      <c r="Z335" s="54"/>
    </row>
    <row r="336" spans="1:26" ht="6.75" customHeight="1">
      <c r="A336" s="55"/>
      <c r="B336" s="55"/>
      <c r="C336" s="55"/>
      <c r="D336" s="56"/>
      <c r="E336" s="54"/>
      <c r="F336" s="54"/>
      <c r="G336" s="54"/>
      <c r="H336" s="54"/>
      <c r="I336" s="54"/>
      <c r="J336" s="54"/>
      <c r="K336" s="54"/>
      <c r="L336" s="54"/>
      <c r="M336" s="54"/>
      <c r="N336" s="54"/>
      <c r="O336" s="54"/>
      <c r="P336" s="54"/>
      <c r="Q336" s="54"/>
      <c r="R336" s="54"/>
      <c r="S336" s="54"/>
      <c r="T336" s="54"/>
      <c r="U336" s="54"/>
      <c r="V336" s="54"/>
      <c r="W336" s="54"/>
      <c r="X336" s="54"/>
      <c r="Y336" s="54"/>
      <c r="Z336" s="54"/>
    </row>
    <row r="337" spans="1:26" ht="15" customHeight="1">
      <c r="A337" s="598" t="s">
        <v>40</v>
      </c>
      <c r="B337" s="589"/>
      <c r="C337" s="589"/>
      <c r="D337" s="590"/>
      <c r="E337" s="54"/>
      <c r="F337" s="54"/>
      <c r="G337" s="54"/>
      <c r="H337" s="54"/>
      <c r="I337" s="54"/>
      <c r="J337" s="54"/>
      <c r="K337" s="54"/>
      <c r="L337" s="54"/>
      <c r="M337" s="54"/>
      <c r="N337" s="54"/>
      <c r="O337" s="54"/>
      <c r="P337" s="54"/>
      <c r="Q337" s="54"/>
      <c r="R337" s="54"/>
      <c r="S337" s="54"/>
      <c r="T337" s="54"/>
      <c r="U337" s="54"/>
      <c r="V337" s="54"/>
      <c r="W337" s="54"/>
      <c r="X337" s="54"/>
      <c r="Y337" s="54"/>
      <c r="Z337" s="54"/>
    </row>
    <row r="338" spans="1:26" ht="6.75" customHeight="1">
      <c r="A338" s="60"/>
      <c r="B338" s="61"/>
      <c r="C338" s="61"/>
      <c r="D338" s="62"/>
      <c r="E338" s="54"/>
      <c r="F338" s="54"/>
      <c r="G338" s="54"/>
      <c r="H338" s="54"/>
      <c r="I338" s="54"/>
      <c r="J338" s="54"/>
      <c r="K338" s="54"/>
      <c r="L338" s="54"/>
      <c r="M338" s="54"/>
      <c r="N338" s="54"/>
      <c r="O338" s="54"/>
      <c r="P338" s="54"/>
      <c r="Q338" s="54"/>
      <c r="R338" s="54"/>
      <c r="S338" s="54"/>
      <c r="T338" s="54"/>
      <c r="U338" s="54"/>
      <c r="V338" s="54"/>
      <c r="W338" s="54"/>
      <c r="X338" s="54"/>
      <c r="Y338" s="54"/>
      <c r="Z338" s="54"/>
    </row>
    <row r="339" spans="1:26" ht="12" customHeight="1">
      <c r="A339" s="63" t="s">
        <v>85</v>
      </c>
      <c r="B339" s="64"/>
      <c r="C339" s="65" t="s">
        <v>42</v>
      </c>
      <c r="D339" s="290">
        <f>'Proposed Rates'!J13</f>
        <v>1.21</v>
      </c>
      <c r="E339" s="54"/>
      <c r="F339" s="54"/>
      <c r="G339" s="54"/>
      <c r="H339" s="54"/>
      <c r="I339" s="54"/>
      <c r="J339" s="54"/>
      <c r="K339" s="54"/>
      <c r="L339" s="54"/>
      <c r="M339" s="54"/>
      <c r="N339" s="54"/>
      <c r="O339" s="54"/>
      <c r="P339" s="54"/>
      <c r="Q339" s="54"/>
      <c r="R339" s="54"/>
      <c r="S339" s="54"/>
      <c r="T339" s="54"/>
      <c r="U339" s="54"/>
      <c r="V339" s="54"/>
      <c r="W339" s="54"/>
      <c r="X339" s="54"/>
      <c r="Y339" s="54"/>
      <c r="Z339" s="54"/>
    </row>
    <row r="340" spans="1:26" ht="12" customHeight="1">
      <c r="A340" s="63" t="s">
        <v>62</v>
      </c>
      <c r="B340" s="64"/>
      <c r="C340" s="65" t="s">
        <v>69</v>
      </c>
      <c r="D340" s="291">
        <f>'Proposed Rates'!J26</f>
        <v>8.4146999999999998</v>
      </c>
      <c r="E340" s="54"/>
      <c r="F340" s="54"/>
      <c r="G340" s="54"/>
      <c r="H340" s="54"/>
      <c r="I340" s="54"/>
      <c r="J340" s="54"/>
      <c r="K340" s="54"/>
      <c r="L340" s="54"/>
      <c r="M340" s="54"/>
      <c r="N340" s="54"/>
      <c r="O340" s="54"/>
      <c r="P340" s="54"/>
      <c r="Q340" s="54"/>
      <c r="R340" s="54"/>
      <c r="S340" s="54"/>
      <c r="T340" s="54"/>
      <c r="U340" s="54"/>
      <c r="V340" s="54"/>
      <c r="W340" s="54"/>
      <c r="X340" s="54"/>
      <c r="Y340" s="54"/>
      <c r="Z340" s="54"/>
    </row>
    <row r="341" spans="1:26" ht="12" customHeight="1">
      <c r="A341" s="63" t="s">
        <v>47</v>
      </c>
      <c r="B341" s="64"/>
      <c r="C341" s="65" t="s">
        <v>69</v>
      </c>
      <c r="D341" s="293">
        <f>'Proposed Rates'!J272</f>
        <v>1.18E-2</v>
      </c>
      <c r="E341" s="54"/>
      <c r="F341" s="54"/>
      <c r="G341" s="54"/>
      <c r="H341" s="54"/>
      <c r="I341" s="54"/>
      <c r="J341" s="54"/>
      <c r="K341" s="54"/>
      <c r="L341" s="54"/>
      <c r="M341" s="54"/>
      <c r="N341" s="54"/>
      <c r="O341" s="54"/>
      <c r="P341" s="54"/>
      <c r="Q341" s="54"/>
      <c r="R341" s="54"/>
      <c r="S341" s="54"/>
      <c r="T341" s="54"/>
      <c r="U341" s="54"/>
      <c r="V341" s="54"/>
      <c r="W341" s="54"/>
      <c r="X341" s="54"/>
      <c r="Y341" s="54"/>
      <c r="Z341" s="54"/>
    </row>
    <row r="342" spans="1:26" ht="12" customHeight="1">
      <c r="A342" s="63" t="s">
        <v>49</v>
      </c>
      <c r="B342" s="64"/>
      <c r="C342" s="65" t="s">
        <v>69</v>
      </c>
      <c r="D342" s="291">
        <f>'Proposed Rates'!J42</f>
        <v>0</v>
      </c>
      <c r="E342" s="54"/>
      <c r="F342" s="54"/>
      <c r="G342" s="54"/>
      <c r="H342" s="54"/>
      <c r="I342" s="54"/>
      <c r="J342" s="54"/>
      <c r="K342" s="54"/>
      <c r="L342" s="54"/>
      <c r="M342" s="54"/>
      <c r="N342" s="54"/>
      <c r="O342" s="54"/>
      <c r="P342" s="54"/>
      <c r="Q342" s="54"/>
      <c r="R342" s="54"/>
      <c r="S342" s="54"/>
      <c r="T342" s="54"/>
      <c r="U342" s="54"/>
      <c r="V342" s="54"/>
      <c r="W342" s="54"/>
      <c r="X342" s="54"/>
      <c r="Y342" s="54"/>
      <c r="Z342" s="54"/>
    </row>
    <row r="343" spans="1:26" ht="12" customHeight="1">
      <c r="A343" s="63" t="s">
        <v>45</v>
      </c>
      <c r="B343" s="64"/>
      <c r="C343" s="65" t="s">
        <v>69</v>
      </c>
      <c r="D343" s="291">
        <f>'Proposed Rates'!J69</f>
        <v>0</v>
      </c>
      <c r="E343" s="54"/>
      <c r="F343" s="54"/>
      <c r="G343" s="54"/>
      <c r="H343" s="54"/>
      <c r="I343" s="54"/>
      <c r="J343" s="54"/>
      <c r="K343" s="54"/>
      <c r="L343" s="54"/>
      <c r="M343" s="54"/>
      <c r="N343" s="54"/>
      <c r="O343" s="54"/>
      <c r="P343" s="54"/>
      <c r="Q343" s="54"/>
      <c r="R343" s="54"/>
      <c r="S343" s="54"/>
      <c r="T343" s="54"/>
      <c r="U343" s="54"/>
      <c r="V343" s="54"/>
      <c r="W343" s="54"/>
      <c r="X343" s="54"/>
      <c r="Y343" s="54"/>
      <c r="Z343" s="54"/>
    </row>
    <row r="344" spans="1:26" ht="12" customHeight="1">
      <c r="A344" s="63" t="s">
        <v>44</v>
      </c>
      <c r="B344" s="64"/>
      <c r="C344" s="65" t="s">
        <v>69</v>
      </c>
      <c r="D344" s="291">
        <f>'Proposed Rates'!J95</f>
        <v>0</v>
      </c>
      <c r="E344" s="54"/>
      <c r="F344" s="54"/>
      <c r="G344" s="54"/>
      <c r="H344" s="54"/>
      <c r="I344" s="54"/>
      <c r="J344" s="54"/>
      <c r="K344" s="54"/>
      <c r="L344" s="54"/>
      <c r="M344" s="54"/>
      <c r="N344" s="54"/>
      <c r="O344" s="54"/>
      <c r="P344" s="54"/>
      <c r="Q344" s="54"/>
      <c r="R344" s="54"/>
      <c r="S344" s="54"/>
      <c r="T344" s="54"/>
      <c r="U344" s="54"/>
      <c r="V344" s="54"/>
      <c r="W344" s="54"/>
      <c r="X344" s="54"/>
      <c r="Y344" s="54"/>
      <c r="Z344" s="54"/>
    </row>
    <row r="345" spans="1:26" ht="12" customHeight="1">
      <c r="A345" s="63" t="s">
        <v>233</v>
      </c>
      <c r="B345" s="64"/>
      <c r="C345" s="65" t="s">
        <v>48</v>
      </c>
      <c r="D345" s="291">
        <f>'Proposed Rates'!J150</f>
        <v>0</v>
      </c>
      <c r="E345" s="54"/>
      <c r="F345" s="54"/>
      <c r="G345" s="54"/>
      <c r="H345" s="54"/>
      <c r="I345" s="54"/>
      <c r="J345" s="54"/>
      <c r="K345" s="54"/>
      <c r="L345" s="54"/>
      <c r="M345" s="54"/>
      <c r="N345" s="54"/>
      <c r="O345" s="54"/>
      <c r="P345" s="54"/>
      <c r="Q345" s="54"/>
      <c r="R345" s="54"/>
      <c r="S345" s="54"/>
      <c r="T345" s="54"/>
      <c r="U345" s="54"/>
      <c r="V345" s="54"/>
      <c r="W345" s="54"/>
      <c r="X345" s="54"/>
      <c r="Y345" s="54"/>
      <c r="Z345" s="54"/>
    </row>
    <row r="346" spans="1:26" ht="12" customHeight="1">
      <c r="A346" s="63" t="s">
        <v>52</v>
      </c>
      <c r="B346" s="64"/>
      <c r="C346" s="65" t="s">
        <v>69</v>
      </c>
      <c r="D346" s="291">
        <f>'Proposed Rates'!J193</f>
        <v>2.1576</v>
      </c>
      <c r="E346" s="54"/>
      <c r="F346" s="54"/>
      <c r="G346" s="54"/>
      <c r="H346" s="54"/>
      <c r="I346" s="54"/>
      <c r="J346" s="54"/>
      <c r="K346" s="54"/>
      <c r="L346" s="54"/>
      <c r="M346" s="54"/>
      <c r="N346" s="54"/>
      <c r="O346" s="54"/>
      <c r="P346" s="54"/>
      <c r="Q346" s="54"/>
      <c r="R346" s="54"/>
      <c r="S346" s="54"/>
      <c r="T346" s="54"/>
      <c r="U346" s="54"/>
      <c r="V346" s="54"/>
      <c r="W346" s="54"/>
      <c r="X346" s="54"/>
      <c r="Y346" s="54"/>
      <c r="Z346" s="54"/>
    </row>
    <row r="347" spans="1:26" ht="12" customHeight="1">
      <c r="A347" s="63" t="s">
        <v>53</v>
      </c>
      <c r="B347" s="64"/>
      <c r="C347" s="65" t="s">
        <v>69</v>
      </c>
      <c r="D347" s="291">
        <f>'Proposed Rates'!J208</f>
        <v>1.2213000000000001</v>
      </c>
      <c r="E347" s="54"/>
      <c r="F347" s="54"/>
      <c r="G347" s="54"/>
      <c r="H347" s="54"/>
      <c r="I347" s="54"/>
      <c r="J347" s="54"/>
      <c r="K347" s="54"/>
      <c r="L347" s="54"/>
      <c r="M347" s="54"/>
      <c r="N347" s="54"/>
      <c r="O347" s="54"/>
      <c r="P347" s="54"/>
      <c r="Q347" s="54"/>
      <c r="R347" s="54"/>
      <c r="S347" s="54"/>
      <c r="T347" s="54"/>
      <c r="U347" s="54"/>
      <c r="V347" s="54"/>
      <c r="W347" s="54"/>
      <c r="X347" s="54"/>
      <c r="Y347" s="54"/>
      <c r="Z347" s="54"/>
    </row>
    <row r="348" spans="1:26" ht="4.5" customHeight="1">
      <c r="A348" s="65"/>
      <c r="B348" s="65"/>
      <c r="C348" s="65"/>
      <c r="D348" s="294"/>
      <c r="E348" s="54"/>
      <c r="F348" s="54"/>
      <c r="G348" s="54"/>
      <c r="H348" s="54"/>
      <c r="I348" s="54"/>
      <c r="J348" s="54"/>
      <c r="K348" s="54"/>
      <c r="L348" s="54"/>
      <c r="M348" s="54"/>
      <c r="N348" s="54"/>
      <c r="O348" s="54"/>
      <c r="P348" s="54"/>
      <c r="Q348" s="54"/>
      <c r="R348" s="54"/>
      <c r="S348" s="54"/>
      <c r="T348" s="54"/>
      <c r="U348" s="54"/>
      <c r="V348" s="54"/>
      <c r="W348" s="54"/>
      <c r="X348" s="54"/>
      <c r="Y348" s="54"/>
      <c r="Z348" s="54"/>
    </row>
    <row r="349" spans="1:26" ht="11.25" customHeight="1">
      <c r="A349" s="75" t="s">
        <v>54</v>
      </c>
      <c r="B349" s="64"/>
      <c r="C349" s="65"/>
      <c r="D349" s="294"/>
      <c r="E349" s="54"/>
      <c r="F349" s="54"/>
      <c r="G349" s="54"/>
      <c r="H349" s="54"/>
      <c r="I349" s="54"/>
      <c r="J349" s="54"/>
      <c r="K349" s="54"/>
      <c r="L349" s="54"/>
      <c r="M349" s="54"/>
      <c r="N349" s="54"/>
      <c r="O349" s="54"/>
      <c r="P349" s="54"/>
      <c r="Q349" s="54"/>
      <c r="R349" s="54"/>
      <c r="S349" s="54"/>
      <c r="T349" s="54"/>
      <c r="U349" s="54"/>
      <c r="V349" s="54"/>
      <c r="W349" s="54"/>
      <c r="X349" s="54"/>
      <c r="Y349" s="54"/>
      <c r="Z349" s="54"/>
    </row>
    <row r="350" spans="1:26" ht="4.5" customHeight="1">
      <c r="A350" s="60"/>
      <c r="B350" s="65"/>
      <c r="C350" s="65"/>
      <c r="D350" s="294"/>
      <c r="E350" s="54"/>
      <c r="F350" s="54"/>
      <c r="G350" s="54"/>
      <c r="H350" s="54"/>
      <c r="I350" s="54"/>
      <c r="J350" s="54"/>
      <c r="K350" s="54"/>
      <c r="L350" s="54"/>
      <c r="M350" s="54"/>
      <c r="N350" s="54"/>
      <c r="O350" s="54"/>
      <c r="P350" s="54"/>
      <c r="Q350" s="54"/>
      <c r="R350" s="54"/>
      <c r="S350" s="54"/>
      <c r="T350" s="54"/>
      <c r="U350" s="54"/>
      <c r="V350" s="54"/>
      <c r="W350" s="54"/>
      <c r="X350" s="54"/>
      <c r="Y350" s="54"/>
      <c r="Z350" s="54"/>
    </row>
    <row r="351" spans="1:26" ht="12" customHeight="1">
      <c r="A351" s="63" t="s">
        <v>55</v>
      </c>
      <c r="B351" s="64"/>
      <c r="C351" s="65" t="s">
        <v>48</v>
      </c>
      <c r="D351" s="291">
        <f>$D$34</f>
        <v>4.1000000000000003E-3</v>
      </c>
      <c r="E351" s="54"/>
      <c r="F351" s="54"/>
      <c r="G351" s="54"/>
      <c r="H351" s="54"/>
      <c r="I351" s="54"/>
      <c r="J351" s="54"/>
      <c r="K351" s="54"/>
      <c r="L351" s="54"/>
      <c r="M351" s="54"/>
      <c r="N351" s="54"/>
      <c r="O351" s="54"/>
      <c r="P351" s="54"/>
      <c r="Q351" s="54"/>
      <c r="R351" s="54"/>
      <c r="S351" s="54"/>
      <c r="T351" s="54"/>
      <c r="U351" s="54"/>
      <c r="V351" s="54"/>
      <c r="W351" s="54"/>
      <c r="X351" s="54"/>
      <c r="Y351" s="54"/>
      <c r="Z351" s="54"/>
    </row>
    <row r="352" spans="1:26" ht="12" customHeight="1">
      <c r="A352" s="63" t="s">
        <v>56</v>
      </c>
      <c r="B352" s="64"/>
      <c r="C352" s="65" t="s">
        <v>48</v>
      </c>
      <c r="D352" s="291">
        <f>'Proposed Rates'!J1-'2026'!D388</f>
        <v>-4.1000000000000003E-3</v>
      </c>
      <c r="E352" s="54"/>
      <c r="F352" s="54"/>
      <c r="G352" s="54"/>
      <c r="H352" s="54"/>
      <c r="I352" s="54"/>
      <c r="J352" s="54"/>
      <c r="K352" s="54"/>
      <c r="L352" s="54"/>
      <c r="M352" s="54"/>
      <c r="N352" s="54"/>
      <c r="O352" s="54"/>
      <c r="P352" s="54"/>
      <c r="Q352" s="54"/>
      <c r="R352" s="54"/>
      <c r="S352" s="54"/>
      <c r="T352" s="54"/>
      <c r="U352" s="54"/>
      <c r="V352" s="54"/>
      <c r="W352" s="54"/>
      <c r="X352" s="54"/>
      <c r="Y352" s="54"/>
      <c r="Z352" s="54"/>
    </row>
    <row r="353" spans="1:26" ht="12" customHeight="1">
      <c r="A353" s="63" t="s">
        <v>57</v>
      </c>
      <c r="B353" s="64"/>
      <c r="C353" s="65" t="s">
        <v>48</v>
      </c>
      <c r="D353" s="291">
        <f>'Proposed Rates'!J234</f>
        <v>5.9999999999999995E-4</v>
      </c>
      <c r="E353" s="54"/>
      <c r="F353" s="54"/>
      <c r="G353" s="54"/>
      <c r="H353" s="54"/>
      <c r="I353" s="54"/>
      <c r="J353" s="54"/>
      <c r="K353" s="54"/>
      <c r="L353" s="54"/>
      <c r="M353" s="54"/>
      <c r="N353" s="54"/>
      <c r="O353" s="54"/>
      <c r="P353" s="54"/>
      <c r="Q353" s="54"/>
      <c r="R353" s="54"/>
      <c r="S353" s="54"/>
      <c r="T353" s="54"/>
      <c r="U353" s="54"/>
      <c r="V353" s="54"/>
      <c r="W353" s="54"/>
      <c r="X353" s="54"/>
      <c r="Y353" s="54"/>
      <c r="Z353" s="54"/>
    </row>
    <row r="354" spans="1:26" ht="12" customHeight="1">
      <c r="A354" s="63" t="s">
        <v>58</v>
      </c>
      <c r="B354" s="64"/>
      <c r="C354" s="65" t="s">
        <v>42</v>
      </c>
      <c r="D354" s="291">
        <f>'Proposed Rates'!J248</f>
        <v>0.25</v>
      </c>
      <c r="E354" s="54"/>
      <c r="F354" s="54"/>
      <c r="G354" s="54"/>
      <c r="H354" s="54"/>
      <c r="I354" s="54"/>
      <c r="J354" s="54"/>
      <c r="K354" s="54"/>
      <c r="L354" s="54"/>
      <c r="M354" s="54"/>
      <c r="N354" s="54"/>
      <c r="O354" s="54"/>
      <c r="P354" s="54"/>
      <c r="Q354" s="54"/>
      <c r="R354" s="54"/>
      <c r="S354" s="54"/>
      <c r="T354" s="54"/>
      <c r="U354" s="54"/>
      <c r="V354" s="54"/>
      <c r="W354" s="54"/>
      <c r="X354" s="54"/>
      <c r="Y354" s="54"/>
      <c r="Z354" s="54"/>
    </row>
    <row r="355" spans="1:26" ht="4.5" customHeight="1">
      <c r="A355" s="89"/>
      <c r="B355" s="64"/>
      <c r="C355" s="65"/>
      <c r="D355" s="74"/>
      <c r="E355" s="54"/>
      <c r="F355" s="54"/>
      <c r="G355" s="54"/>
      <c r="H355" s="54"/>
      <c r="I355" s="54"/>
      <c r="J355" s="54"/>
      <c r="K355" s="54"/>
      <c r="L355" s="54"/>
      <c r="M355" s="54"/>
      <c r="N355" s="54"/>
      <c r="O355" s="54"/>
      <c r="P355" s="54"/>
      <c r="Q355" s="54"/>
      <c r="R355" s="54"/>
      <c r="S355" s="54"/>
      <c r="T355" s="54"/>
      <c r="U355" s="54"/>
      <c r="V355" s="54"/>
      <c r="W355" s="54"/>
      <c r="X355" s="54"/>
      <c r="Y355" s="54"/>
      <c r="Z355" s="54"/>
    </row>
    <row r="356" spans="1:26" ht="24" customHeight="1">
      <c r="A356" s="588" t="str">
        <f>$A$1</f>
        <v>Hydro Ottawa Limited</v>
      </c>
      <c r="B356" s="589"/>
      <c r="C356" s="589"/>
      <c r="D356" s="590"/>
      <c r="E356" s="54"/>
      <c r="F356" s="54"/>
      <c r="G356" s="54"/>
      <c r="H356" s="54"/>
      <c r="I356" s="54"/>
      <c r="J356" s="54"/>
      <c r="K356" s="54"/>
      <c r="L356" s="54"/>
      <c r="M356" s="54"/>
      <c r="N356" s="54"/>
      <c r="O356" s="54"/>
      <c r="P356" s="54"/>
      <c r="Q356" s="54"/>
      <c r="R356" s="54"/>
      <c r="S356" s="54"/>
      <c r="T356" s="54"/>
      <c r="U356" s="54"/>
      <c r="V356" s="54"/>
      <c r="W356" s="54"/>
      <c r="X356" s="54"/>
      <c r="Y356" s="54"/>
      <c r="Z356" s="54"/>
    </row>
    <row r="357" spans="1:26" ht="15.75" customHeight="1">
      <c r="A357" s="591" t="str">
        <f>$A$2</f>
        <v>PROPOSED - TARIFF OF RATES AND CHARGES</v>
      </c>
      <c r="B357" s="589"/>
      <c r="C357" s="589"/>
      <c r="D357" s="590"/>
      <c r="E357" s="54"/>
      <c r="F357" s="54"/>
      <c r="G357" s="54"/>
      <c r="H357" s="54"/>
      <c r="I357" s="54"/>
      <c r="J357" s="54"/>
      <c r="K357" s="54"/>
      <c r="L357" s="54"/>
      <c r="M357" s="54"/>
      <c r="N357" s="54"/>
      <c r="O357" s="54"/>
      <c r="P357" s="54"/>
      <c r="Q357" s="54"/>
      <c r="R357" s="54"/>
      <c r="S357" s="54"/>
      <c r="T357" s="54"/>
      <c r="U357" s="54"/>
      <c r="V357" s="54"/>
      <c r="W357" s="54"/>
      <c r="X357" s="54"/>
      <c r="Y357" s="54"/>
      <c r="Z357" s="54"/>
    </row>
    <row r="358" spans="1:26" ht="15.75" customHeight="1">
      <c r="A358" s="592" t="str">
        <f>$A$3</f>
        <v>Effective and Implementation Date January 1, 2030</v>
      </c>
      <c r="B358" s="589"/>
      <c r="C358" s="589"/>
      <c r="D358" s="590"/>
      <c r="E358" s="54"/>
      <c r="F358" s="54"/>
      <c r="G358" s="54"/>
      <c r="H358" s="54"/>
      <c r="I358" s="54"/>
      <c r="J358" s="54"/>
      <c r="K358" s="54"/>
      <c r="L358" s="54"/>
      <c r="M358" s="54"/>
      <c r="N358" s="54"/>
      <c r="O358" s="54"/>
      <c r="P358" s="54"/>
      <c r="Q358" s="54"/>
      <c r="R358" s="54"/>
      <c r="S358" s="54"/>
      <c r="T358" s="54"/>
      <c r="U358" s="54"/>
      <c r="V358" s="54"/>
      <c r="W358" s="54"/>
      <c r="X358" s="54"/>
      <c r="Y358" s="54"/>
      <c r="Z358" s="54"/>
    </row>
    <row r="359" spans="1:26" ht="12" customHeight="1">
      <c r="A359" s="593" t="str">
        <f>$A$4</f>
        <v>This schedule supersedes and replaces all previously</v>
      </c>
      <c r="B359" s="589"/>
      <c r="C359" s="589"/>
      <c r="D359" s="590"/>
      <c r="E359" s="54"/>
      <c r="F359" s="54"/>
      <c r="G359" s="54"/>
      <c r="H359" s="54"/>
      <c r="I359" s="54"/>
      <c r="J359" s="54"/>
      <c r="K359" s="54"/>
      <c r="L359" s="54"/>
      <c r="M359" s="54"/>
      <c r="N359" s="54"/>
      <c r="O359" s="54"/>
      <c r="P359" s="54"/>
      <c r="Q359" s="54"/>
      <c r="R359" s="54"/>
      <c r="S359" s="54"/>
      <c r="T359" s="54"/>
      <c r="U359" s="54"/>
      <c r="V359" s="54"/>
      <c r="W359" s="54"/>
      <c r="X359" s="54"/>
      <c r="Y359" s="54"/>
      <c r="Z359" s="54"/>
    </row>
    <row r="360" spans="1:26" ht="11.25" customHeight="1">
      <c r="A360" s="593" t="str">
        <f>$A$5</f>
        <v>approved schedules of Rates, Charges and Loss Factors</v>
      </c>
      <c r="B360" s="589"/>
      <c r="C360" s="589"/>
      <c r="D360" s="590"/>
      <c r="E360" s="54"/>
      <c r="F360" s="54"/>
      <c r="G360" s="54"/>
      <c r="H360" s="54"/>
      <c r="I360" s="54"/>
      <c r="J360" s="54"/>
      <c r="K360" s="54"/>
      <c r="L360" s="54"/>
      <c r="M360" s="54"/>
      <c r="N360" s="54"/>
      <c r="O360" s="54"/>
      <c r="P360" s="54"/>
      <c r="Q360" s="54"/>
      <c r="R360" s="54"/>
      <c r="S360" s="54"/>
      <c r="T360" s="54"/>
      <c r="U360" s="54"/>
      <c r="V360" s="54"/>
      <c r="W360" s="54"/>
      <c r="X360" s="54"/>
      <c r="Y360" s="54"/>
      <c r="Z360" s="54"/>
    </row>
    <row r="361" spans="1:26" ht="11.25" customHeight="1">
      <c r="A361" s="594" t="str">
        <f>$A$6</f>
        <v>EB-2024-0115</v>
      </c>
      <c r="B361" s="589"/>
      <c r="C361" s="589"/>
      <c r="D361" s="590"/>
      <c r="E361" s="54"/>
      <c r="F361" s="54"/>
      <c r="G361" s="54"/>
      <c r="H361" s="54"/>
      <c r="I361" s="54"/>
      <c r="J361" s="54"/>
      <c r="K361" s="54"/>
      <c r="L361" s="54"/>
      <c r="M361" s="54"/>
      <c r="N361" s="54"/>
      <c r="O361" s="54"/>
      <c r="P361" s="54"/>
      <c r="Q361" s="54"/>
      <c r="R361" s="54"/>
      <c r="S361" s="54"/>
      <c r="T361" s="54"/>
      <c r="U361" s="54"/>
      <c r="V361" s="54"/>
      <c r="W361" s="54"/>
      <c r="X361" s="54"/>
      <c r="Y361" s="54"/>
      <c r="Z361" s="54"/>
    </row>
    <row r="362" spans="1:26" ht="18.75" customHeight="1">
      <c r="A362" s="595" t="s">
        <v>106</v>
      </c>
      <c r="B362" s="589"/>
      <c r="C362" s="589"/>
      <c r="D362" s="590"/>
      <c r="E362" s="76"/>
      <c r="F362" s="76"/>
      <c r="G362" s="76"/>
      <c r="H362" s="76"/>
      <c r="I362" s="76"/>
      <c r="J362" s="76"/>
      <c r="K362" s="76"/>
      <c r="L362" s="76"/>
      <c r="M362" s="76"/>
      <c r="N362" s="76"/>
      <c r="O362" s="76"/>
      <c r="P362" s="76"/>
      <c r="Q362" s="76"/>
      <c r="R362" s="76"/>
      <c r="S362" s="76"/>
      <c r="T362" s="76"/>
      <c r="U362" s="76"/>
      <c r="V362" s="76"/>
      <c r="W362" s="76"/>
      <c r="X362" s="76"/>
      <c r="Y362" s="76"/>
      <c r="Z362" s="76"/>
    </row>
    <row r="363" spans="1:26" ht="36" customHeight="1">
      <c r="A363" s="596" t="s">
        <v>107</v>
      </c>
      <c r="B363" s="589"/>
      <c r="C363" s="589"/>
      <c r="D363" s="590"/>
      <c r="E363" s="54"/>
      <c r="F363" s="54"/>
      <c r="G363" s="54"/>
      <c r="H363" s="54"/>
      <c r="I363" s="54"/>
      <c r="J363" s="54"/>
      <c r="K363" s="54"/>
      <c r="L363" s="54"/>
      <c r="M363" s="54"/>
      <c r="N363" s="54"/>
      <c r="O363" s="54"/>
      <c r="P363" s="54"/>
      <c r="Q363" s="54"/>
      <c r="R363" s="54"/>
      <c r="S363" s="54"/>
      <c r="T363" s="54"/>
      <c r="U363" s="54"/>
      <c r="V363" s="54"/>
      <c r="W363" s="54"/>
      <c r="X363" s="54"/>
      <c r="Y363" s="54"/>
      <c r="Z363" s="54"/>
    </row>
    <row r="364" spans="1:26" ht="6.75" customHeight="1">
      <c r="A364" s="55"/>
      <c r="B364" s="55"/>
      <c r="C364" s="55"/>
      <c r="D364" s="56"/>
      <c r="E364" s="54"/>
      <c r="F364" s="54"/>
      <c r="G364" s="54"/>
      <c r="H364" s="54"/>
      <c r="I364" s="54"/>
      <c r="J364" s="54"/>
      <c r="K364" s="54"/>
      <c r="L364" s="54"/>
      <c r="M364" s="54"/>
      <c r="N364" s="54"/>
      <c r="O364" s="54"/>
      <c r="P364" s="54"/>
      <c r="Q364" s="54"/>
      <c r="R364" s="54"/>
      <c r="S364" s="54"/>
      <c r="T364" s="54"/>
      <c r="U364" s="54"/>
      <c r="V364" s="54"/>
      <c r="W364" s="54"/>
      <c r="X364" s="54"/>
      <c r="Y364" s="54"/>
      <c r="Z364" s="54"/>
    </row>
    <row r="365" spans="1:26" ht="11.25" customHeight="1">
      <c r="A365" s="597" t="s">
        <v>35</v>
      </c>
      <c r="B365" s="589"/>
      <c r="C365" s="589"/>
      <c r="D365" s="590"/>
      <c r="E365" s="54"/>
      <c r="F365" s="54"/>
      <c r="G365" s="54"/>
      <c r="H365" s="54"/>
      <c r="I365" s="54"/>
      <c r="J365" s="54"/>
      <c r="K365" s="54"/>
      <c r="L365" s="54"/>
      <c r="M365" s="54"/>
      <c r="N365" s="54"/>
      <c r="O365" s="54"/>
      <c r="P365" s="54"/>
      <c r="Q365" s="54"/>
      <c r="R365" s="54"/>
      <c r="S365" s="54"/>
      <c r="T365" s="54"/>
      <c r="U365" s="54"/>
      <c r="V365" s="54"/>
      <c r="W365" s="54"/>
      <c r="X365" s="54"/>
      <c r="Y365" s="54"/>
      <c r="Z365" s="54"/>
    </row>
    <row r="366" spans="1:26" ht="6.75" customHeight="1">
      <c r="A366" s="57"/>
      <c r="B366" s="58"/>
      <c r="C366" s="58"/>
      <c r="D366" s="59"/>
      <c r="E366" s="54"/>
      <c r="F366" s="54"/>
      <c r="G366" s="54"/>
      <c r="H366" s="54"/>
      <c r="I366" s="54"/>
      <c r="J366" s="54"/>
      <c r="K366" s="54"/>
      <c r="L366" s="54"/>
      <c r="M366" s="54"/>
      <c r="N366" s="54"/>
      <c r="O366" s="54"/>
      <c r="P366" s="54"/>
      <c r="Q366" s="54"/>
      <c r="R366" s="54"/>
      <c r="S366" s="54"/>
      <c r="T366" s="54"/>
      <c r="U366" s="54"/>
      <c r="V366" s="54"/>
      <c r="W366" s="54"/>
      <c r="X366" s="54"/>
      <c r="Y366" s="54"/>
      <c r="Z366" s="54"/>
    </row>
    <row r="367" spans="1:26" ht="36" customHeight="1">
      <c r="A367" s="596" t="s">
        <v>36</v>
      </c>
      <c r="B367" s="589"/>
      <c r="C367" s="589"/>
      <c r="D367" s="590"/>
      <c r="E367" s="54"/>
      <c r="F367" s="54"/>
      <c r="G367" s="54"/>
      <c r="H367" s="54"/>
      <c r="I367" s="54"/>
      <c r="J367" s="54"/>
      <c r="K367" s="54"/>
      <c r="L367" s="54"/>
      <c r="M367" s="54"/>
      <c r="N367" s="54"/>
      <c r="O367" s="54"/>
      <c r="P367" s="54"/>
      <c r="Q367" s="54"/>
      <c r="R367" s="54"/>
      <c r="S367" s="54"/>
      <c r="T367" s="54"/>
      <c r="U367" s="54"/>
      <c r="V367" s="54"/>
      <c r="W367" s="54"/>
      <c r="X367" s="54"/>
      <c r="Y367" s="54"/>
      <c r="Z367" s="54"/>
    </row>
    <row r="368" spans="1:26" ht="6.75" customHeight="1">
      <c r="A368" s="55"/>
      <c r="B368" s="55"/>
      <c r="C368" s="55"/>
      <c r="D368" s="56"/>
      <c r="E368" s="54"/>
      <c r="F368" s="54"/>
      <c r="G368" s="54"/>
      <c r="H368" s="54"/>
      <c r="I368" s="54"/>
      <c r="J368" s="54"/>
      <c r="K368" s="54"/>
      <c r="L368" s="54"/>
      <c r="M368" s="54"/>
      <c r="N368" s="54"/>
      <c r="O368" s="54"/>
      <c r="P368" s="54"/>
      <c r="Q368" s="54"/>
      <c r="R368" s="54"/>
      <c r="S368" s="54"/>
      <c r="T368" s="54"/>
      <c r="U368" s="54"/>
      <c r="V368" s="54"/>
      <c r="W368" s="54"/>
      <c r="X368" s="54"/>
      <c r="Y368" s="54"/>
      <c r="Z368" s="54"/>
    </row>
    <row r="369" spans="1:26" ht="48" customHeight="1">
      <c r="A369" s="596" t="s">
        <v>37</v>
      </c>
      <c r="B369" s="589"/>
      <c r="C369" s="589"/>
      <c r="D369" s="590"/>
      <c r="E369" s="54"/>
      <c r="F369" s="54"/>
      <c r="G369" s="54"/>
      <c r="H369" s="54"/>
      <c r="I369" s="54"/>
      <c r="J369" s="54"/>
      <c r="K369" s="54"/>
      <c r="L369" s="54"/>
      <c r="M369" s="54"/>
      <c r="N369" s="54"/>
      <c r="O369" s="54"/>
      <c r="P369" s="54"/>
      <c r="Q369" s="54"/>
      <c r="R369" s="54"/>
      <c r="S369" s="54"/>
      <c r="T369" s="54"/>
      <c r="U369" s="54"/>
      <c r="V369" s="54"/>
      <c r="W369" s="54"/>
      <c r="X369" s="54"/>
      <c r="Y369" s="54"/>
      <c r="Z369" s="54"/>
    </row>
    <row r="370" spans="1:26" ht="6.75" customHeight="1">
      <c r="A370" s="55"/>
      <c r="B370" s="55"/>
      <c r="C370" s="55"/>
      <c r="D370" s="56"/>
      <c r="E370" s="54"/>
      <c r="F370" s="54"/>
      <c r="G370" s="54"/>
      <c r="H370" s="54"/>
      <c r="I370" s="54"/>
      <c r="J370" s="54"/>
      <c r="K370" s="54"/>
      <c r="L370" s="54"/>
      <c r="M370" s="54"/>
      <c r="N370" s="54"/>
      <c r="O370" s="54"/>
      <c r="P370" s="54"/>
      <c r="Q370" s="54"/>
      <c r="R370" s="54"/>
      <c r="S370" s="54"/>
      <c r="T370" s="54"/>
      <c r="U370" s="54"/>
      <c r="V370" s="54"/>
      <c r="W370" s="54"/>
      <c r="X370" s="54"/>
      <c r="Y370" s="54"/>
      <c r="Z370" s="54"/>
    </row>
    <row r="371" spans="1:26" ht="24" customHeight="1">
      <c r="A371" s="596" t="s">
        <v>108</v>
      </c>
      <c r="B371" s="589"/>
      <c r="C371" s="589"/>
      <c r="D371" s="590"/>
      <c r="E371" s="54"/>
      <c r="F371" s="54"/>
      <c r="G371" s="54"/>
      <c r="H371" s="54"/>
      <c r="I371" s="54"/>
      <c r="J371" s="54"/>
      <c r="K371" s="54"/>
      <c r="L371" s="54"/>
      <c r="M371" s="54"/>
      <c r="N371" s="54"/>
      <c r="O371" s="54"/>
      <c r="P371" s="54"/>
      <c r="Q371" s="54"/>
      <c r="R371" s="54"/>
      <c r="S371" s="54"/>
      <c r="T371" s="54"/>
      <c r="U371" s="54"/>
      <c r="V371" s="54"/>
      <c r="W371" s="54"/>
      <c r="X371" s="54"/>
      <c r="Y371" s="54"/>
      <c r="Z371" s="54"/>
    </row>
    <row r="372" spans="1:26" ht="6.75" customHeight="1">
      <c r="A372" s="55"/>
      <c r="B372" s="55"/>
      <c r="C372" s="55"/>
      <c r="D372" s="56"/>
      <c r="E372" s="54"/>
      <c r="F372" s="54"/>
      <c r="G372" s="54"/>
      <c r="H372" s="54"/>
      <c r="I372" s="54"/>
      <c r="J372" s="54"/>
      <c r="K372" s="54"/>
      <c r="L372" s="54"/>
      <c r="M372" s="54"/>
      <c r="N372" s="54"/>
      <c r="O372" s="54"/>
      <c r="P372" s="54"/>
      <c r="Q372" s="54"/>
      <c r="R372" s="54"/>
      <c r="S372" s="54"/>
      <c r="T372" s="54"/>
      <c r="U372" s="54"/>
      <c r="V372" s="54"/>
      <c r="W372" s="54"/>
      <c r="X372" s="54"/>
      <c r="Y372" s="54"/>
      <c r="Z372" s="54"/>
    </row>
    <row r="373" spans="1:26" ht="36" customHeight="1">
      <c r="A373" s="596" t="s">
        <v>104</v>
      </c>
      <c r="B373" s="589"/>
      <c r="C373" s="589"/>
      <c r="D373" s="590"/>
      <c r="E373" s="54"/>
      <c r="F373" s="54"/>
      <c r="G373" s="54"/>
      <c r="H373" s="54"/>
      <c r="I373" s="54"/>
      <c r="J373" s="54"/>
      <c r="K373" s="54"/>
      <c r="L373" s="54"/>
      <c r="M373" s="54"/>
      <c r="N373" s="54"/>
      <c r="O373" s="54"/>
      <c r="P373" s="54"/>
      <c r="Q373" s="54"/>
      <c r="R373" s="54"/>
      <c r="S373" s="54"/>
      <c r="T373" s="54"/>
      <c r="U373" s="54"/>
      <c r="V373" s="54"/>
      <c r="W373" s="54"/>
      <c r="X373" s="54"/>
      <c r="Y373" s="54"/>
      <c r="Z373" s="54"/>
    </row>
    <row r="374" spans="1:26" ht="6.75" customHeight="1">
      <c r="A374" s="55"/>
      <c r="B374" s="55"/>
      <c r="C374" s="55"/>
      <c r="D374" s="56"/>
      <c r="E374" s="54"/>
      <c r="F374" s="54"/>
      <c r="G374" s="54"/>
      <c r="H374" s="54"/>
      <c r="I374" s="54"/>
      <c r="J374" s="54"/>
      <c r="K374" s="54"/>
      <c r="L374" s="54"/>
      <c r="M374" s="54"/>
      <c r="N374" s="54"/>
      <c r="O374" s="54"/>
      <c r="P374" s="54"/>
      <c r="Q374" s="54"/>
      <c r="R374" s="54"/>
      <c r="S374" s="54"/>
      <c r="T374" s="54"/>
      <c r="U374" s="54"/>
      <c r="V374" s="54"/>
      <c r="W374" s="54"/>
      <c r="X374" s="54"/>
      <c r="Y374" s="54"/>
      <c r="Z374" s="54"/>
    </row>
    <row r="375" spans="1:26" ht="15" customHeight="1">
      <c r="A375" s="598" t="s">
        <v>40</v>
      </c>
      <c r="B375" s="589"/>
      <c r="C375" s="589"/>
      <c r="D375" s="590"/>
      <c r="E375" s="54"/>
      <c r="F375" s="54"/>
      <c r="G375" s="54"/>
      <c r="H375" s="54"/>
      <c r="I375" s="54"/>
      <c r="J375" s="54"/>
      <c r="K375" s="54"/>
      <c r="L375" s="54"/>
      <c r="M375" s="54"/>
      <c r="N375" s="54"/>
      <c r="O375" s="54"/>
      <c r="P375" s="54"/>
      <c r="Q375" s="54"/>
      <c r="R375" s="54"/>
      <c r="S375" s="54"/>
      <c r="T375" s="54"/>
      <c r="U375" s="54"/>
      <c r="V375" s="54"/>
      <c r="W375" s="54"/>
      <c r="X375" s="54"/>
      <c r="Y375" s="54"/>
      <c r="Z375" s="54"/>
    </row>
    <row r="376" spans="1:26" ht="6.75" customHeight="1">
      <c r="A376" s="60"/>
      <c r="B376" s="61"/>
      <c r="C376" s="61"/>
      <c r="D376" s="62"/>
      <c r="E376" s="54"/>
      <c r="F376" s="54"/>
      <c r="G376" s="54"/>
      <c r="H376" s="54"/>
      <c r="I376" s="54"/>
      <c r="J376" s="54"/>
      <c r="K376" s="54"/>
      <c r="L376" s="54"/>
      <c r="M376" s="54"/>
      <c r="N376" s="54"/>
      <c r="O376" s="54"/>
      <c r="P376" s="54"/>
      <c r="Q376" s="54"/>
      <c r="R376" s="54"/>
      <c r="S376" s="54"/>
      <c r="T376" s="54"/>
      <c r="U376" s="54"/>
      <c r="V376" s="54"/>
      <c r="W376" s="54"/>
      <c r="X376" s="54"/>
      <c r="Y376" s="54"/>
      <c r="Z376" s="54"/>
    </row>
    <row r="377" spans="1:26" ht="10.5" customHeight="1">
      <c r="A377" s="603" t="s">
        <v>41</v>
      </c>
      <c r="B377" s="590"/>
      <c r="C377" s="65" t="s">
        <v>42</v>
      </c>
      <c r="D377" s="98" t="str">
        <f>'Proposed Rates'!J379</f>
        <v>no charge</v>
      </c>
      <c r="E377" s="54"/>
      <c r="F377" s="54"/>
      <c r="G377" s="54"/>
      <c r="H377" s="54"/>
      <c r="I377" s="54"/>
      <c r="J377" s="54"/>
      <c r="K377" s="54"/>
      <c r="L377" s="54"/>
      <c r="M377" s="54"/>
      <c r="N377" s="54"/>
      <c r="O377" s="54"/>
      <c r="P377" s="54"/>
      <c r="Q377" s="54"/>
      <c r="R377" s="54"/>
      <c r="S377" s="54"/>
      <c r="T377" s="54"/>
      <c r="U377" s="54"/>
      <c r="V377" s="54"/>
      <c r="W377" s="54"/>
      <c r="X377" s="54"/>
      <c r="Y377" s="54"/>
      <c r="Z377" s="54"/>
    </row>
    <row r="378" spans="1:26" ht="10.5" customHeight="1">
      <c r="A378" s="89"/>
      <c r="B378" s="64"/>
      <c r="C378" s="65"/>
      <c r="D378" s="74"/>
      <c r="E378" s="54"/>
      <c r="F378" s="54"/>
      <c r="G378" s="54"/>
      <c r="H378" s="54"/>
      <c r="I378" s="54"/>
      <c r="J378" s="54"/>
      <c r="K378" s="54"/>
      <c r="L378" s="54"/>
      <c r="M378" s="54"/>
      <c r="N378" s="54"/>
      <c r="O378" s="54"/>
      <c r="P378" s="54"/>
      <c r="Q378" s="54"/>
      <c r="R378" s="54"/>
      <c r="S378" s="54"/>
      <c r="T378" s="54"/>
      <c r="U378" s="54"/>
      <c r="V378" s="54"/>
      <c r="W378" s="54"/>
      <c r="X378" s="54"/>
      <c r="Y378" s="54"/>
      <c r="Z378" s="54"/>
    </row>
    <row r="379" spans="1:26" ht="24" customHeight="1">
      <c r="A379" s="588" t="str">
        <f>$A$1</f>
        <v>Hydro Ottawa Limited</v>
      </c>
      <c r="B379" s="589"/>
      <c r="C379" s="589"/>
      <c r="D379" s="590"/>
      <c r="E379" s="54"/>
      <c r="F379" s="54"/>
      <c r="G379" s="54"/>
      <c r="H379" s="54"/>
      <c r="I379" s="54"/>
      <c r="J379" s="54"/>
      <c r="K379" s="54"/>
      <c r="L379" s="54"/>
      <c r="M379" s="54"/>
      <c r="N379" s="54"/>
      <c r="O379" s="54"/>
      <c r="P379" s="54"/>
      <c r="Q379" s="54"/>
      <c r="R379" s="54"/>
      <c r="S379" s="54"/>
      <c r="T379" s="54"/>
      <c r="U379" s="54"/>
      <c r="V379" s="54"/>
      <c r="W379" s="54"/>
      <c r="X379" s="54"/>
      <c r="Y379" s="54"/>
      <c r="Z379" s="54"/>
    </row>
    <row r="380" spans="1:26" ht="15.75" customHeight="1">
      <c r="A380" s="591" t="str">
        <f>$A$2</f>
        <v>PROPOSED - TARIFF OF RATES AND CHARGES</v>
      </c>
      <c r="B380" s="589"/>
      <c r="C380" s="589"/>
      <c r="D380" s="590"/>
      <c r="E380" s="54"/>
      <c r="F380" s="54"/>
      <c r="G380" s="54"/>
      <c r="H380" s="54"/>
      <c r="I380" s="54"/>
      <c r="J380" s="54"/>
      <c r="K380" s="54"/>
      <c r="L380" s="54"/>
      <c r="M380" s="54"/>
      <c r="N380" s="54"/>
      <c r="O380" s="54"/>
      <c r="P380" s="54"/>
      <c r="Q380" s="54"/>
      <c r="R380" s="54"/>
      <c r="S380" s="54"/>
      <c r="T380" s="54"/>
      <c r="U380" s="54"/>
      <c r="V380" s="54"/>
      <c r="W380" s="54"/>
      <c r="X380" s="54"/>
      <c r="Y380" s="54"/>
      <c r="Z380" s="54"/>
    </row>
    <row r="381" spans="1:26" ht="15.75" customHeight="1">
      <c r="A381" s="592" t="str">
        <f>$A$3</f>
        <v>Effective and Implementation Date January 1, 2030</v>
      </c>
      <c r="B381" s="589"/>
      <c r="C381" s="589"/>
      <c r="D381" s="590"/>
      <c r="E381" s="54"/>
      <c r="F381" s="54"/>
      <c r="G381" s="54"/>
      <c r="H381" s="54"/>
      <c r="I381" s="54"/>
      <c r="J381" s="54"/>
      <c r="K381" s="54"/>
      <c r="L381" s="54"/>
      <c r="M381" s="54"/>
      <c r="N381" s="54"/>
      <c r="O381" s="54"/>
      <c r="P381" s="54"/>
      <c r="Q381" s="54"/>
      <c r="R381" s="54"/>
      <c r="S381" s="54"/>
      <c r="T381" s="54"/>
      <c r="U381" s="54"/>
      <c r="V381" s="54"/>
      <c r="W381" s="54"/>
      <c r="X381" s="54"/>
      <c r="Y381" s="54"/>
      <c r="Z381" s="54"/>
    </row>
    <row r="382" spans="1:26" ht="12" customHeight="1">
      <c r="A382" s="593" t="str">
        <f>$A$4</f>
        <v>This schedule supersedes and replaces all previously</v>
      </c>
      <c r="B382" s="589"/>
      <c r="C382" s="589"/>
      <c r="D382" s="590"/>
      <c r="E382" s="54"/>
      <c r="F382" s="54"/>
      <c r="G382" s="54"/>
      <c r="H382" s="54"/>
      <c r="I382" s="54"/>
      <c r="J382" s="54"/>
      <c r="K382" s="54"/>
      <c r="L382" s="54"/>
      <c r="M382" s="54"/>
      <c r="N382" s="54"/>
      <c r="O382" s="54"/>
      <c r="P382" s="54"/>
      <c r="Q382" s="54"/>
      <c r="R382" s="54"/>
      <c r="S382" s="54"/>
      <c r="T382" s="54"/>
      <c r="U382" s="54"/>
      <c r="V382" s="54"/>
      <c r="W382" s="54"/>
      <c r="X382" s="54"/>
      <c r="Y382" s="54"/>
      <c r="Z382" s="54"/>
    </row>
    <row r="383" spans="1:26" ht="11.25" customHeight="1">
      <c r="A383" s="593" t="str">
        <f>$A$5</f>
        <v>approved schedules of Rates, Charges and Loss Factors</v>
      </c>
      <c r="B383" s="589"/>
      <c r="C383" s="589"/>
      <c r="D383" s="590"/>
      <c r="E383" s="54"/>
      <c r="F383" s="54"/>
      <c r="G383" s="54"/>
      <c r="H383" s="54"/>
      <c r="I383" s="54"/>
      <c r="J383" s="54"/>
      <c r="K383" s="54"/>
      <c r="L383" s="54"/>
      <c r="M383" s="54"/>
      <c r="N383" s="54"/>
      <c r="O383" s="54"/>
      <c r="P383" s="54"/>
      <c r="Q383" s="54"/>
      <c r="R383" s="54"/>
      <c r="S383" s="54"/>
      <c r="T383" s="54"/>
      <c r="U383" s="54"/>
      <c r="V383" s="54"/>
      <c r="W383" s="54"/>
      <c r="X383" s="54"/>
      <c r="Y383" s="54"/>
      <c r="Z383" s="54"/>
    </row>
    <row r="384" spans="1:26" ht="11.25" customHeight="1">
      <c r="A384" s="594" t="str">
        <f>$A$6</f>
        <v>EB-2024-0115</v>
      </c>
      <c r="B384" s="589"/>
      <c r="C384" s="589"/>
      <c r="D384" s="590"/>
      <c r="E384" s="54"/>
      <c r="F384" s="54"/>
      <c r="G384" s="54"/>
      <c r="H384" s="54"/>
      <c r="I384" s="54"/>
      <c r="J384" s="54"/>
      <c r="K384" s="54"/>
      <c r="L384" s="54"/>
      <c r="M384" s="54"/>
      <c r="N384" s="54"/>
      <c r="O384" s="54"/>
      <c r="P384" s="54"/>
      <c r="Q384" s="54"/>
      <c r="R384" s="54"/>
      <c r="S384" s="54"/>
      <c r="T384" s="54"/>
      <c r="U384" s="54"/>
      <c r="V384" s="54"/>
      <c r="W384" s="54"/>
      <c r="X384" s="54"/>
      <c r="Y384" s="54"/>
      <c r="Z384" s="54"/>
    </row>
    <row r="385" spans="1:26" ht="18.75" customHeight="1">
      <c r="A385" s="595" t="s">
        <v>109</v>
      </c>
      <c r="B385" s="589"/>
      <c r="C385" s="589"/>
      <c r="D385" s="590"/>
      <c r="E385" s="76"/>
      <c r="F385" s="76"/>
      <c r="G385" s="76"/>
      <c r="H385" s="76"/>
      <c r="I385" s="76"/>
      <c r="J385" s="76"/>
      <c r="K385" s="76"/>
      <c r="L385" s="76"/>
      <c r="M385" s="76"/>
      <c r="N385" s="76"/>
      <c r="O385" s="76"/>
      <c r="P385" s="76"/>
      <c r="Q385" s="76"/>
      <c r="R385" s="76"/>
      <c r="S385" s="76"/>
      <c r="T385" s="76"/>
      <c r="U385" s="76"/>
      <c r="V385" s="76"/>
      <c r="W385" s="76"/>
      <c r="X385" s="76"/>
      <c r="Y385" s="76"/>
      <c r="Z385" s="76"/>
    </row>
    <row r="386" spans="1:26" ht="36" customHeight="1">
      <c r="A386" s="607" t="s">
        <v>110</v>
      </c>
      <c r="B386" s="608"/>
      <c r="C386" s="608"/>
      <c r="D386" s="600"/>
      <c r="E386" s="54"/>
      <c r="F386" s="54"/>
      <c r="G386" s="54"/>
      <c r="H386" s="54"/>
      <c r="I386" s="54"/>
      <c r="J386" s="54"/>
      <c r="K386" s="54"/>
      <c r="L386" s="54"/>
      <c r="M386" s="54"/>
      <c r="N386" s="54"/>
      <c r="O386" s="54"/>
      <c r="P386" s="54"/>
      <c r="Q386" s="54"/>
      <c r="R386" s="54"/>
      <c r="S386" s="54"/>
      <c r="T386" s="54"/>
      <c r="U386" s="54"/>
      <c r="V386" s="54"/>
      <c r="W386" s="54"/>
      <c r="X386" s="54"/>
      <c r="Y386" s="54"/>
      <c r="Z386" s="54"/>
    </row>
    <row r="387" spans="1:26" ht="6.75" customHeight="1">
      <c r="A387" s="55"/>
      <c r="B387" s="55"/>
      <c r="C387" s="55"/>
      <c r="D387" s="56"/>
      <c r="E387" s="54"/>
      <c r="F387" s="54"/>
      <c r="G387" s="54"/>
      <c r="H387" s="54"/>
      <c r="I387" s="54"/>
      <c r="J387" s="54"/>
      <c r="K387" s="54"/>
      <c r="L387" s="54"/>
      <c r="M387" s="54"/>
      <c r="N387" s="54"/>
      <c r="O387" s="54"/>
      <c r="P387" s="54"/>
      <c r="Q387" s="54"/>
      <c r="R387" s="54"/>
      <c r="S387" s="54"/>
      <c r="T387" s="54"/>
      <c r="U387" s="54"/>
      <c r="V387" s="54"/>
      <c r="W387" s="54"/>
      <c r="X387" s="54"/>
      <c r="Y387" s="54"/>
      <c r="Z387" s="54"/>
    </row>
    <row r="388" spans="1:26" ht="11.25" customHeight="1">
      <c r="A388" s="597" t="s">
        <v>35</v>
      </c>
      <c r="B388" s="589"/>
      <c r="C388" s="589"/>
      <c r="D388" s="590"/>
      <c r="E388" s="54"/>
      <c r="F388" s="54"/>
      <c r="G388" s="54"/>
      <c r="H388" s="54"/>
      <c r="I388" s="54"/>
      <c r="J388" s="54"/>
      <c r="K388" s="54"/>
      <c r="L388" s="54"/>
      <c r="M388" s="54"/>
      <c r="N388" s="54"/>
      <c r="O388" s="54"/>
      <c r="P388" s="54"/>
      <c r="Q388" s="54"/>
      <c r="R388" s="54"/>
      <c r="S388" s="54"/>
      <c r="T388" s="54"/>
      <c r="U388" s="54"/>
      <c r="V388" s="54"/>
      <c r="W388" s="54"/>
      <c r="X388" s="54"/>
      <c r="Y388" s="54"/>
      <c r="Z388" s="54"/>
    </row>
    <row r="389" spans="1:26" ht="6.75" customHeight="1">
      <c r="A389" s="57"/>
      <c r="B389" s="58"/>
      <c r="C389" s="58"/>
      <c r="D389" s="59"/>
      <c r="E389" s="54"/>
      <c r="F389" s="54"/>
      <c r="G389" s="54"/>
      <c r="H389" s="54"/>
      <c r="I389" s="54"/>
      <c r="J389" s="54"/>
      <c r="K389" s="54"/>
      <c r="L389" s="54"/>
      <c r="M389" s="54"/>
      <c r="N389" s="54"/>
      <c r="O389" s="54"/>
      <c r="P389" s="54"/>
      <c r="Q389" s="54"/>
      <c r="R389" s="54"/>
      <c r="S389" s="54"/>
      <c r="T389" s="54"/>
      <c r="U389" s="54"/>
      <c r="V389" s="54"/>
      <c r="W389" s="54"/>
      <c r="X389" s="54"/>
      <c r="Y389" s="54"/>
      <c r="Z389" s="54"/>
    </row>
    <row r="390" spans="1:26" ht="36" customHeight="1">
      <c r="A390" s="596" t="s">
        <v>36</v>
      </c>
      <c r="B390" s="589"/>
      <c r="C390" s="589"/>
      <c r="D390" s="590"/>
      <c r="E390" s="54"/>
      <c r="F390" s="54"/>
      <c r="G390" s="54"/>
      <c r="H390" s="54"/>
      <c r="I390" s="54"/>
      <c r="J390" s="54"/>
      <c r="K390" s="54"/>
      <c r="L390" s="54"/>
      <c r="M390" s="54"/>
      <c r="N390" s="54"/>
      <c r="O390" s="54"/>
      <c r="P390" s="54"/>
      <c r="Q390" s="54"/>
      <c r="R390" s="54"/>
      <c r="S390" s="54"/>
      <c r="T390" s="54"/>
      <c r="U390" s="54"/>
      <c r="V390" s="54"/>
      <c r="W390" s="54"/>
      <c r="X390" s="54"/>
      <c r="Y390" s="54"/>
      <c r="Z390" s="54"/>
    </row>
    <row r="391" spans="1:26" ht="6.75" customHeight="1">
      <c r="A391" s="55"/>
      <c r="B391" s="55"/>
      <c r="C391" s="55"/>
      <c r="D391" s="56"/>
      <c r="E391" s="54"/>
      <c r="F391" s="54"/>
      <c r="G391" s="54"/>
      <c r="H391" s="54"/>
      <c r="I391" s="54"/>
      <c r="J391" s="54"/>
      <c r="K391" s="54"/>
      <c r="L391" s="54"/>
      <c r="M391" s="54"/>
      <c r="N391" s="54"/>
      <c r="O391" s="54"/>
      <c r="P391" s="54"/>
      <c r="Q391" s="54"/>
      <c r="R391" s="54"/>
      <c r="S391" s="54"/>
      <c r="T391" s="54"/>
      <c r="U391" s="54"/>
      <c r="V391" s="54"/>
      <c r="W391" s="54"/>
      <c r="X391" s="54"/>
      <c r="Y391" s="54"/>
      <c r="Z391" s="54"/>
    </row>
    <row r="392" spans="1:26" ht="48" customHeight="1">
      <c r="A392" s="596" t="s">
        <v>37</v>
      </c>
      <c r="B392" s="589"/>
      <c r="C392" s="589"/>
      <c r="D392" s="590"/>
      <c r="E392" s="54"/>
      <c r="F392" s="54"/>
      <c r="G392" s="54"/>
      <c r="H392" s="54"/>
      <c r="I392" s="54"/>
      <c r="J392" s="54"/>
      <c r="K392" s="54"/>
      <c r="L392" s="54"/>
      <c r="M392" s="54"/>
      <c r="N392" s="54"/>
      <c r="O392" s="54"/>
      <c r="P392" s="54"/>
      <c r="Q392" s="54"/>
      <c r="R392" s="54"/>
      <c r="S392" s="54"/>
      <c r="T392" s="54"/>
      <c r="U392" s="54"/>
      <c r="V392" s="54"/>
      <c r="W392" s="54"/>
      <c r="X392" s="54"/>
      <c r="Y392" s="54"/>
      <c r="Z392" s="54"/>
    </row>
    <row r="393" spans="1:26" ht="6.75" customHeight="1">
      <c r="A393" s="55"/>
      <c r="B393" s="55"/>
      <c r="C393" s="55"/>
      <c r="D393" s="56"/>
      <c r="E393" s="54"/>
      <c r="F393" s="54"/>
      <c r="G393" s="54"/>
      <c r="H393" s="54"/>
      <c r="I393" s="54"/>
      <c r="J393" s="54"/>
      <c r="K393" s="54"/>
      <c r="L393" s="54"/>
      <c r="M393" s="54"/>
      <c r="N393" s="54"/>
      <c r="O393" s="54"/>
      <c r="P393" s="54"/>
      <c r="Q393" s="54"/>
      <c r="R393" s="54"/>
      <c r="S393" s="54"/>
      <c r="T393" s="54"/>
      <c r="U393" s="54"/>
      <c r="V393" s="54"/>
      <c r="W393" s="54"/>
      <c r="X393" s="54"/>
      <c r="Y393" s="54"/>
      <c r="Z393" s="54"/>
    </row>
    <row r="394" spans="1:26" ht="24" customHeight="1">
      <c r="A394" s="596" t="s">
        <v>108</v>
      </c>
      <c r="B394" s="589"/>
      <c r="C394" s="589"/>
      <c r="D394" s="590"/>
      <c r="E394" s="54"/>
      <c r="F394" s="54"/>
      <c r="G394" s="54"/>
      <c r="H394" s="54"/>
      <c r="I394" s="54"/>
      <c r="J394" s="54"/>
      <c r="K394" s="54"/>
      <c r="L394" s="54"/>
      <c r="M394" s="54"/>
      <c r="N394" s="54"/>
      <c r="O394" s="54"/>
      <c r="P394" s="54"/>
      <c r="Q394" s="54"/>
      <c r="R394" s="54"/>
      <c r="S394" s="54"/>
      <c r="T394" s="54"/>
      <c r="U394" s="54"/>
      <c r="V394" s="54"/>
      <c r="W394" s="54"/>
      <c r="X394" s="54"/>
      <c r="Y394" s="54"/>
      <c r="Z394" s="54"/>
    </row>
    <row r="395" spans="1:26" ht="6.75" customHeight="1">
      <c r="A395" s="55"/>
      <c r="B395" s="55"/>
      <c r="C395" s="55"/>
      <c r="D395" s="56"/>
      <c r="E395" s="54"/>
      <c r="F395" s="54"/>
      <c r="G395" s="54"/>
      <c r="H395" s="54"/>
      <c r="I395" s="54"/>
      <c r="J395" s="54"/>
      <c r="K395" s="54"/>
      <c r="L395" s="54"/>
      <c r="M395" s="54"/>
      <c r="N395" s="54"/>
      <c r="O395" s="54"/>
      <c r="P395" s="54"/>
      <c r="Q395" s="54"/>
      <c r="R395" s="54"/>
      <c r="S395" s="54"/>
      <c r="T395" s="54"/>
      <c r="U395" s="54"/>
      <c r="V395" s="54"/>
      <c r="W395" s="54"/>
      <c r="X395" s="54"/>
      <c r="Y395" s="54"/>
      <c r="Z395" s="54"/>
    </row>
    <row r="396" spans="1:26" ht="36" customHeight="1">
      <c r="A396" s="596" t="s">
        <v>104</v>
      </c>
      <c r="B396" s="589"/>
      <c r="C396" s="589"/>
      <c r="D396" s="590"/>
      <c r="E396" s="54"/>
      <c r="F396" s="54"/>
      <c r="G396" s="54"/>
      <c r="H396" s="54"/>
      <c r="I396" s="54"/>
      <c r="J396" s="54"/>
      <c r="K396" s="54"/>
      <c r="L396" s="54"/>
      <c r="M396" s="54"/>
      <c r="N396" s="54"/>
      <c r="O396" s="54"/>
      <c r="P396" s="54"/>
      <c r="Q396" s="54"/>
      <c r="R396" s="54"/>
      <c r="S396" s="54"/>
      <c r="T396" s="54"/>
      <c r="U396" s="54"/>
      <c r="V396" s="54"/>
      <c r="W396" s="54"/>
      <c r="X396" s="54"/>
      <c r="Y396" s="54"/>
      <c r="Z396" s="54"/>
    </row>
    <row r="397" spans="1:26" ht="6.75" customHeight="1">
      <c r="A397" s="55"/>
      <c r="B397" s="55"/>
      <c r="C397" s="55"/>
      <c r="D397" s="56"/>
      <c r="E397" s="54"/>
      <c r="F397" s="54"/>
      <c r="G397" s="54"/>
      <c r="H397" s="54"/>
      <c r="I397" s="54"/>
      <c r="J397" s="54"/>
      <c r="K397" s="54"/>
      <c r="L397" s="54"/>
      <c r="M397" s="54"/>
      <c r="N397" s="54"/>
      <c r="O397" s="54"/>
      <c r="P397" s="54"/>
      <c r="Q397" s="54"/>
      <c r="R397" s="54"/>
      <c r="S397" s="54"/>
      <c r="T397" s="54"/>
      <c r="U397" s="54"/>
      <c r="V397" s="54"/>
      <c r="W397" s="54"/>
      <c r="X397" s="54"/>
      <c r="Y397" s="54"/>
      <c r="Z397" s="54"/>
    </row>
    <row r="398" spans="1:26" ht="15" customHeight="1">
      <c r="A398" s="598" t="s">
        <v>40</v>
      </c>
      <c r="B398" s="589"/>
      <c r="C398" s="589"/>
      <c r="D398" s="590"/>
      <c r="E398" s="54"/>
      <c r="F398" s="54"/>
      <c r="G398" s="54"/>
      <c r="H398" s="54"/>
      <c r="I398" s="54"/>
      <c r="J398" s="54"/>
      <c r="K398" s="54"/>
      <c r="L398" s="54"/>
      <c r="M398" s="54"/>
      <c r="N398" s="54"/>
      <c r="O398" s="54"/>
      <c r="P398" s="54"/>
      <c r="Q398" s="54"/>
      <c r="R398" s="54"/>
      <c r="S398" s="54"/>
      <c r="T398" s="54"/>
      <c r="U398" s="54"/>
      <c r="V398" s="54"/>
      <c r="W398" s="54"/>
      <c r="X398" s="54"/>
      <c r="Y398" s="54"/>
      <c r="Z398" s="54"/>
    </row>
    <row r="399" spans="1:26" ht="6.75" customHeight="1">
      <c r="A399" s="60"/>
      <c r="B399" s="61"/>
      <c r="C399" s="61"/>
      <c r="D399" s="62"/>
      <c r="E399" s="54"/>
      <c r="F399" s="54"/>
      <c r="G399" s="54"/>
      <c r="H399" s="54"/>
      <c r="I399" s="54"/>
      <c r="J399" s="54"/>
      <c r="K399" s="54"/>
      <c r="L399" s="54"/>
      <c r="M399" s="54"/>
      <c r="N399" s="54"/>
      <c r="O399" s="54"/>
      <c r="P399" s="54"/>
      <c r="Q399" s="54"/>
      <c r="R399" s="54"/>
      <c r="S399" s="54"/>
      <c r="T399" s="54"/>
      <c r="U399" s="54"/>
      <c r="V399" s="54"/>
      <c r="W399" s="54"/>
      <c r="X399" s="54"/>
      <c r="Y399" s="54"/>
      <c r="Z399" s="54"/>
    </row>
    <row r="400" spans="1:26" ht="11.25" customHeight="1">
      <c r="A400" s="603" t="s">
        <v>41</v>
      </c>
      <c r="B400" s="590"/>
      <c r="C400" s="65" t="s">
        <v>42</v>
      </c>
      <c r="D400" s="98">
        <f>'Proposed Rates'!J376</f>
        <v>12</v>
      </c>
      <c r="E400" s="54"/>
      <c r="F400" s="54"/>
      <c r="G400" s="54"/>
      <c r="H400" s="54"/>
      <c r="I400" s="54"/>
      <c r="J400" s="54"/>
      <c r="K400" s="54"/>
      <c r="L400" s="54"/>
      <c r="M400" s="54"/>
      <c r="N400" s="54"/>
      <c r="O400" s="54"/>
      <c r="P400" s="54"/>
      <c r="Q400" s="54"/>
      <c r="R400" s="54"/>
      <c r="S400" s="54"/>
      <c r="T400" s="54"/>
      <c r="U400" s="54"/>
      <c r="V400" s="54"/>
      <c r="W400" s="54"/>
      <c r="X400" s="54"/>
      <c r="Y400" s="54"/>
      <c r="Z400" s="54"/>
    </row>
    <row r="401" spans="1:26" ht="11.25" customHeight="1">
      <c r="A401" s="89"/>
      <c r="B401" s="64"/>
      <c r="C401" s="65"/>
      <c r="D401" s="74"/>
      <c r="E401" s="54"/>
      <c r="F401" s="54"/>
      <c r="G401" s="54"/>
      <c r="H401" s="54"/>
      <c r="I401" s="54"/>
      <c r="J401" s="54"/>
      <c r="K401" s="54"/>
      <c r="L401" s="54"/>
      <c r="M401" s="54"/>
      <c r="N401" s="54"/>
      <c r="O401" s="54"/>
      <c r="P401" s="54"/>
      <c r="Q401" s="54"/>
      <c r="R401" s="54"/>
      <c r="S401" s="54"/>
      <c r="T401" s="54"/>
      <c r="U401" s="54"/>
      <c r="V401" s="54"/>
      <c r="W401" s="54"/>
      <c r="X401" s="54"/>
      <c r="Y401" s="54"/>
      <c r="Z401" s="54"/>
    </row>
    <row r="402" spans="1:26" ht="24" customHeight="1">
      <c r="A402" s="588" t="str">
        <f>$A$1</f>
        <v>Hydro Ottawa Limited</v>
      </c>
      <c r="B402" s="589"/>
      <c r="C402" s="589"/>
      <c r="D402" s="590"/>
      <c r="E402" s="54"/>
      <c r="F402" s="54"/>
      <c r="G402" s="54"/>
      <c r="H402" s="54"/>
      <c r="I402" s="54"/>
      <c r="J402" s="54"/>
      <c r="K402" s="54"/>
      <c r="L402" s="54"/>
      <c r="M402" s="54"/>
      <c r="N402" s="54"/>
      <c r="O402" s="54"/>
      <c r="P402" s="54"/>
      <c r="Q402" s="54"/>
      <c r="R402" s="54"/>
      <c r="S402" s="54"/>
      <c r="T402" s="54"/>
      <c r="U402" s="54"/>
      <c r="V402" s="54"/>
      <c r="W402" s="54"/>
      <c r="X402" s="54"/>
      <c r="Y402" s="54"/>
      <c r="Z402" s="54"/>
    </row>
    <row r="403" spans="1:26" ht="15.75" customHeight="1">
      <c r="A403" s="591" t="str">
        <f>$A$2</f>
        <v>PROPOSED - TARIFF OF RATES AND CHARGES</v>
      </c>
      <c r="B403" s="589"/>
      <c r="C403" s="589"/>
      <c r="D403" s="590"/>
      <c r="E403" s="54"/>
      <c r="F403" s="54"/>
      <c r="G403" s="54"/>
      <c r="H403" s="54"/>
      <c r="I403" s="54"/>
      <c r="J403" s="54"/>
      <c r="K403" s="54"/>
      <c r="L403" s="54"/>
      <c r="M403" s="54"/>
      <c r="N403" s="54"/>
      <c r="O403" s="54"/>
      <c r="P403" s="54"/>
      <c r="Q403" s="54"/>
      <c r="R403" s="54"/>
      <c r="S403" s="54"/>
      <c r="T403" s="54"/>
      <c r="U403" s="54"/>
      <c r="V403" s="54"/>
      <c r="W403" s="54"/>
      <c r="X403" s="54"/>
      <c r="Y403" s="54"/>
      <c r="Z403" s="54"/>
    </row>
    <row r="404" spans="1:26" ht="15.75" customHeight="1">
      <c r="A404" s="592" t="str">
        <f>$A$3</f>
        <v>Effective and Implementation Date January 1, 2030</v>
      </c>
      <c r="B404" s="589"/>
      <c r="C404" s="589"/>
      <c r="D404" s="590"/>
      <c r="E404" s="54"/>
      <c r="F404" s="54"/>
      <c r="G404" s="54"/>
      <c r="H404" s="54"/>
      <c r="I404" s="54"/>
      <c r="J404" s="54"/>
      <c r="K404" s="54"/>
      <c r="L404" s="54"/>
      <c r="M404" s="54"/>
      <c r="N404" s="54"/>
      <c r="O404" s="54"/>
      <c r="P404" s="54"/>
      <c r="Q404" s="54"/>
      <c r="R404" s="54"/>
      <c r="S404" s="54"/>
      <c r="T404" s="54"/>
      <c r="U404" s="54"/>
      <c r="V404" s="54"/>
      <c r="W404" s="54"/>
      <c r="X404" s="54"/>
      <c r="Y404" s="54"/>
      <c r="Z404" s="54"/>
    </row>
    <row r="405" spans="1:26" ht="12" customHeight="1">
      <c r="A405" s="593" t="str">
        <f>$A$4</f>
        <v>This schedule supersedes and replaces all previously</v>
      </c>
      <c r="B405" s="589"/>
      <c r="C405" s="589"/>
      <c r="D405" s="590"/>
      <c r="E405" s="54"/>
      <c r="F405" s="54"/>
      <c r="G405" s="54"/>
      <c r="H405" s="54"/>
      <c r="I405" s="54"/>
      <c r="J405" s="54"/>
      <c r="K405" s="54"/>
      <c r="L405" s="54"/>
      <c r="M405" s="54"/>
      <c r="N405" s="54"/>
      <c r="O405" s="54"/>
      <c r="P405" s="54"/>
      <c r="Q405" s="54"/>
      <c r="R405" s="54"/>
      <c r="S405" s="54"/>
      <c r="T405" s="54"/>
      <c r="U405" s="54"/>
      <c r="V405" s="54"/>
      <c r="W405" s="54"/>
      <c r="X405" s="54"/>
      <c r="Y405" s="54"/>
      <c r="Z405" s="54"/>
    </row>
    <row r="406" spans="1:26" ht="11.25" customHeight="1">
      <c r="A406" s="593" t="str">
        <f>$A$5</f>
        <v>approved schedules of Rates, Charges and Loss Factors</v>
      </c>
      <c r="B406" s="589"/>
      <c r="C406" s="589"/>
      <c r="D406" s="590"/>
      <c r="E406" s="54"/>
      <c r="F406" s="54"/>
      <c r="G406" s="54"/>
      <c r="H406" s="54"/>
      <c r="I406" s="54"/>
      <c r="J406" s="54"/>
      <c r="K406" s="54"/>
      <c r="L406" s="54"/>
      <c r="M406" s="54"/>
      <c r="N406" s="54"/>
      <c r="O406" s="54"/>
      <c r="P406" s="54"/>
      <c r="Q406" s="54"/>
      <c r="R406" s="54"/>
      <c r="S406" s="54"/>
      <c r="T406" s="54"/>
      <c r="U406" s="54"/>
      <c r="V406" s="54"/>
      <c r="W406" s="54"/>
      <c r="X406" s="54"/>
      <c r="Y406" s="54"/>
      <c r="Z406" s="54"/>
    </row>
    <row r="407" spans="1:26" ht="11.25" customHeight="1">
      <c r="A407" s="594" t="str">
        <f>$A$6</f>
        <v>EB-2024-0115</v>
      </c>
      <c r="B407" s="589"/>
      <c r="C407" s="589"/>
      <c r="D407" s="590"/>
      <c r="E407" s="54"/>
      <c r="F407" s="54"/>
      <c r="G407" s="54"/>
      <c r="H407" s="54"/>
      <c r="I407" s="54"/>
      <c r="J407" s="54"/>
      <c r="K407" s="54"/>
      <c r="L407" s="54"/>
      <c r="M407" s="54"/>
      <c r="N407" s="54"/>
      <c r="O407" s="54"/>
      <c r="P407" s="54"/>
      <c r="Q407" s="54"/>
      <c r="R407" s="54"/>
      <c r="S407" s="54"/>
      <c r="T407" s="54"/>
      <c r="U407" s="54"/>
      <c r="V407" s="54"/>
      <c r="W407" s="54"/>
      <c r="X407" s="54"/>
      <c r="Y407" s="54"/>
      <c r="Z407" s="54"/>
    </row>
    <row r="408" spans="1:26" ht="18.75" customHeight="1">
      <c r="A408" s="595" t="s">
        <v>111</v>
      </c>
      <c r="B408" s="589"/>
      <c r="C408" s="589"/>
      <c r="D408" s="590"/>
      <c r="E408" s="76"/>
      <c r="F408" s="76"/>
      <c r="G408" s="76"/>
      <c r="H408" s="76"/>
      <c r="I408" s="76"/>
      <c r="J408" s="76"/>
      <c r="K408" s="76"/>
      <c r="L408" s="76"/>
      <c r="M408" s="76"/>
      <c r="N408" s="76"/>
      <c r="O408" s="76"/>
      <c r="P408" s="76"/>
      <c r="Q408" s="76"/>
      <c r="R408" s="76"/>
      <c r="S408" s="76"/>
      <c r="T408" s="76"/>
      <c r="U408" s="76"/>
      <c r="V408" s="76"/>
      <c r="W408" s="76"/>
      <c r="X408" s="76"/>
      <c r="Y408" s="76"/>
      <c r="Z408" s="76"/>
    </row>
    <row r="409" spans="1:26" ht="36" customHeight="1">
      <c r="A409" s="607" t="s">
        <v>112</v>
      </c>
      <c r="B409" s="608"/>
      <c r="C409" s="608"/>
      <c r="D409" s="600"/>
      <c r="E409" s="54"/>
      <c r="F409" s="54"/>
      <c r="G409" s="54"/>
      <c r="H409" s="54"/>
      <c r="I409" s="54"/>
      <c r="J409" s="54"/>
      <c r="K409" s="54"/>
      <c r="L409" s="54"/>
      <c r="M409" s="54"/>
      <c r="N409" s="54"/>
      <c r="O409" s="54"/>
      <c r="P409" s="54"/>
      <c r="Q409" s="54"/>
      <c r="R409" s="54"/>
      <c r="S409" s="54"/>
      <c r="T409" s="54"/>
      <c r="U409" s="54"/>
      <c r="V409" s="54"/>
      <c r="W409" s="54"/>
      <c r="X409" s="54"/>
      <c r="Y409" s="54"/>
      <c r="Z409" s="54"/>
    </row>
    <row r="410" spans="1:26" ht="6.75" customHeight="1">
      <c r="A410" s="55"/>
      <c r="B410" s="55"/>
      <c r="C410" s="55"/>
      <c r="D410" s="56"/>
      <c r="E410" s="54"/>
      <c r="F410" s="54"/>
      <c r="G410" s="54"/>
      <c r="H410" s="54"/>
      <c r="I410" s="54"/>
      <c r="J410" s="54"/>
      <c r="K410" s="54"/>
      <c r="L410" s="54"/>
      <c r="M410" s="54"/>
      <c r="N410" s="54"/>
      <c r="O410" s="54"/>
      <c r="P410" s="54"/>
      <c r="Q410" s="54"/>
      <c r="R410" s="54"/>
      <c r="S410" s="54"/>
      <c r="T410" s="54"/>
      <c r="U410" s="54"/>
      <c r="V410" s="54"/>
      <c r="W410" s="54"/>
      <c r="X410" s="54"/>
      <c r="Y410" s="54"/>
      <c r="Z410" s="54"/>
    </row>
    <row r="411" spans="1:26" ht="11.25" customHeight="1">
      <c r="A411" s="597" t="s">
        <v>35</v>
      </c>
      <c r="B411" s="589"/>
      <c r="C411" s="589"/>
      <c r="D411" s="590"/>
      <c r="E411" s="54"/>
      <c r="F411" s="54"/>
      <c r="G411" s="54"/>
      <c r="H411" s="54"/>
      <c r="I411" s="54"/>
      <c r="J411" s="54"/>
      <c r="K411" s="54"/>
      <c r="L411" s="54"/>
      <c r="M411" s="54"/>
      <c r="N411" s="54"/>
      <c r="O411" s="54"/>
      <c r="P411" s="54"/>
      <c r="Q411" s="54"/>
      <c r="R411" s="54"/>
      <c r="S411" s="54"/>
      <c r="T411" s="54"/>
      <c r="U411" s="54"/>
      <c r="V411" s="54"/>
      <c r="W411" s="54"/>
      <c r="X411" s="54"/>
      <c r="Y411" s="54"/>
      <c r="Z411" s="54"/>
    </row>
    <row r="412" spans="1:26" ht="6.75" customHeight="1">
      <c r="A412" s="57"/>
      <c r="B412" s="58"/>
      <c r="C412" s="58"/>
      <c r="D412" s="59"/>
      <c r="E412" s="54"/>
      <c r="F412" s="54"/>
      <c r="G412" s="54"/>
      <c r="H412" s="54"/>
      <c r="I412" s="54"/>
      <c r="J412" s="54"/>
      <c r="K412" s="54"/>
      <c r="L412" s="54"/>
      <c r="M412" s="54"/>
      <c r="N412" s="54"/>
      <c r="O412" s="54"/>
      <c r="P412" s="54"/>
      <c r="Q412" s="54"/>
      <c r="R412" s="54"/>
      <c r="S412" s="54"/>
      <c r="T412" s="54"/>
      <c r="U412" s="54"/>
      <c r="V412" s="54"/>
      <c r="W412" s="54"/>
      <c r="X412" s="54"/>
      <c r="Y412" s="54"/>
      <c r="Z412" s="54"/>
    </row>
    <row r="413" spans="1:26" ht="36" customHeight="1">
      <c r="A413" s="596" t="s">
        <v>36</v>
      </c>
      <c r="B413" s="589"/>
      <c r="C413" s="589"/>
      <c r="D413" s="590"/>
      <c r="E413" s="54"/>
      <c r="F413" s="54"/>
      <c r="G413" s="54"/>
      <c r="H413" s="54"/>
      <c r="I413" s="54"/>
      <c r="J413" s="54"/>
      <c r="K413" s="54"/>
      <c r="L413" s="54"/>
      <c r="M413" s="54"/>
      <c r="N413" s="54"/>
      <c r="O413" s="54"/>
      <c r="P413" s="54"/>
      <c r="Q413" s="54"/>
      <c r="R413" s="54"/>
      <c r="S413" s="54"/>
      <c r="T413" s="54"/>
      <c r="U413" s="54"/>
      <c r="V413" s="54"/>
      <c r="W413" s="54"/>
      <c r="X413" s="54"/>
      <c r="Y413" s="54"/>
      <c r="Z413" s="54"/>
    </row>
    <row r="414" spans="1:26" ht="6.75" customHeight="1">
      <c r="A414" s="55"/>
      <c r="B414" s="55"/>
      <c r="C414" s="55"/>
      <c r="D414" s="56"/>
      <c r="E414" s="54"/>
      <c r="F414" s="54"/>
      <c r="G414" s="54"/>
      <c r="H414" s="54"/>
      <c r="I414" s="54"/>
      <c r="J414" s="54"/>
      <c r="K414" s="54"/>
      <c r="L414" s="54"/>
      <c r="M414" s="54"/>
      <c r="N414" s="54"/>
      <c r="O414" s="54"/>
      <c r="P414" s="54"/>
      <c r="Q414" s="54"/>
      <c r="R414" s="54"/>
      <c r="S414" s="54"/>
      <c r="T414" s="54"/>
      <c r="U414" s="54"/>
      <c r="V414" s="54"/>
      <c r="W414" s="54"/>
      <c r="X414" s="54"/>
      <c r="Y414" s="54"/>
      <c r="Z414" s="54"/>
    </row>
    <row r="415" spans="1:26" ht="48" customHeight="1">
      <c r="A415" s="596" t="s">
        <v>37</v>
      </c>
      <c r="B415" s="589"/>
      <c r="C415" s="589"/>
      <c r="D415" s="590"/>
      <c r="E415" s="54"/>
      <c r="F415" s="54"/>
      <c r="G415" s="54"/>
      <c r="H415" s="54"/>
      <c r="I415" s="54"/>
      <c r="J415" s="54"/>
      <c r="K415" s="54"/>
      <c r="L415" s="54"/>
      <c r="M415" s="54"/>
      <c r="N415" s="54"/>
      <c r="O415" s="54"/>
      <c r="P415" s="54"/>
      <c r="Q415" s="54"/>
      <c r="R415" s="54"/>
      <c r="S415" s="54"/>
      <c r="T415" s="54"/>
      <c r="U415" s="54"/>
      <c r="V415" s="54"/>
      <c r="W415" s="54"/>
      <c r="X415" s="54"/>
      <c r="Y415" s="54"/>
      <c r="Z415" s="54"/>
    </row>
    <row r="416" spans="1:26" ht="6.75" customHeight="1">
      <c r="A416" s="55"/>
      <c r="B416" s="55"/>
      <c r="C416" s="55"/>
      <c r="D416" s="56"/>
      <c r="E416" s="54"/>
      <c r="F416" s="54"/>
      <c r="G416" s="54"/>
      <c r="H416" s="54"/>
      <c r="I416" s="54"/>
      <c r="J416" s="54"/>
      <c r="K416" s="54"/>
      <c r="L416" s="54"/>
      <c r="M416" s="54"/>
      <c r="N416" s="54"/>
      <c r="O416" s="54"/>
      <c r="P416" s="54"/>
      <c r="Q416" s="54"/>
      <c r="R416" s="54"/>
      <c r="S416" s="54"/>
      <c r="T416" s="54"/>
      <c r="U416" s="54"/>
      <c r="V416" s="54"/>
      <c r="W416" s="54"/>
      <c r="X416" s="54"/>
      <c r="Y416" s="54"/>
      <c r="Z416" s="54"/>
    </row>
    <row r="417" spans="1:26" ht="24" customHeight="1">
      <c r="A417" s="596" t="s">
        <v>108</v>
      </c>
      <c r="B417" s="589"/>
      <c r="C417" s="589"/>
      <c r="D417" s="590"/>
      <c r="E417" s="54"/>
      <c r="F417" s="54"/>
      <c r="G417" s="54"/>
      <c r="H417" s="54"/>
      <c r="I417" s="54"/>
      <c r="J417" s="54"/>
      <c r="K417" s="54"/>
      <c r="L417" s="54"/>
      <c r="M417" s="54"/>
      <c r="N417" s="54"/>
      <c r="O417" s="54"/>
      <c r="P417" s="54"/>
      <c r="Q417" s="54"/>
      <c r="R417" s="54"/>
      <c r="S417" s="54"/>
      <c r="T417" s="54"/>
      <c r="U417" s="54"/>
      <c r="V417" s="54"/>
      <c r="W417" s="54"/>
      <c r="X417" s="54"/>
      <c r="Y417" s="54"/>
      <c r="Z417" s="54"/>
    </row>
    <row r="418" spans="1:26" ht="6.75" customHeight="1">
      <c r="A418" s="55"/>
      <c r="B418" s="55"/>
      <c r="C418" s="55"/>
      <c r="D418" s="56"/>
      <c r="E418" s="54"/>
      <c r="F418" s="54"/>
      <c r="G418" s="54"/>
      <c r="H418" s="54"/>
      <c r="I418" s="54"/>
      <c r="J418" s="54"/>
      <c r="K418" s="54"/>
      <c r="L418" s="54"/>
      <c r="M418" s="54"/>
      <c r="N418" s="54"/>
      <c r="O418" s="54"/>
      <c r="P418" s="54"/>
      <c r="Q418" s="54"/>
      <c r="R418" s="54"/>
      <c r="S418" s="54"/>
      <c r="T418" s="54"/>
      <c r="U418" s="54"/>
      <c r="V418" s="54"/>
      <c r="W418" s="54"/>
      <c r="X418" s="54"/>
      <c r="Y418" s="54"/>
      <c r="Z418" s="54"/>
    </row>
    <row r="419" spans="1:26" ht="36" customHeight="1">
      <c r="A419" s="596" t="s">
        <v>104</v>
      </c>
      <c r="B419" s="589"/>
      <c r="C419" s="589"/>
      <c r="D419" s="590"/>
      <c r="E419" s="54"/>
      <c r="F419" s="54"/>
      <c r="G419" s="54"/>
      <c r="H419" s="54"/>
      <c r="I419" s="54"/>
      <c r="J419" s="54"/>
      <c r="K419" s="54"/>
      <c r="L419" s="54"/>
      <c r="M419" s="54"/>
      <c r="N419" s="54"/>
      <c r="O419" s="54"/>
      <c r="P419" s="54"/>
      <c r="Q419" s="54"/>
      <c r="R419" s="54"/>
      <c r="S419" s="54"/>
      <c r="T419" s="54"/>
      <c r="U419" s="54"/>
      <c r="V419" s="54"/>
      <c r="W419" s="54"/>
      <c r="X419" s="54"/>
      <c r="Y419" s="54"/>
      <c r="Z419" s="54"/>
    </row>
    <row r="420" spans="1:26" ht="6.75" customHeight="1">
      <c r="A420" s="55"/>
      <c r="B420" s="55"/>
      <c r="C420" s="55"/>
      <c r="D420" s="56"/>
      <c r="E420" s="54"/>
      <c r="F420" s="54"/>
      <c r="G420" s="54"/>
      <c r="H420" s="54"/>
      <c r="I420" s="54"/>
      <c r="J420" s="54"/>
      <c r="K420" s="54"/>
      <c r="L420" s="54"/>
      <c r="M420" s="54"/>
      <c r="N420" s="54"/>
      <c r="O420" s="54"/>
      <c r="P420" s="54"/>
      <c r="Q420" s="54"/>
      <c r="R420" s="54"/>
      <c r="S420" s="54"/>
      <c r="T420" s="54"/>
      <c r="U420" s="54"/>
      <c r="V420" s="54"/>
      <c r="W420" s="54"/>
      <c r="X420" s="54"/>
      <c r="Y420" s="54"/>
      <c r="Z420" s="54"/>
    </row>
    <row r="421" spans="1:26" ht="15" customHeight="1">
      <c r="A421" s="598" t="s">
        <v>40</v>
      </c>
      <c r="B421" s="589"/>
      <c r="C421" s="589"/>
      <c r="D421" s="590"/>
      <c r="E421" s="54"/>
      <c r="F421" s="54"/>
      <c r="G421" s="54"/>
      <c r="H421" s="54"/>
      <c r="I421" s="54"/>
      <c r="J421" s="54"/>
      <c r="K421" s="54"/>
      <c r="L421" s="54"/>
      <c r="M421" s="54"/>
      <c r="N421" s="54"/>
      <c r="O421" s="54"/>
      <c r="P421" s="54"/>
      <c r="Q421" s="54"/>
      <c r="R421" s="54"/>
      <c r="S421" s="54"/>
      <c r="T421" s="54"/>
      <c r="U421" s="54"/>
      <c r="V421" s="54"/>
      <c r="W421" s="54"/>
      <c r="X421" s="54"/>
      <c r="Y421" s="54"/>
      <c r="Z421" s="54"/>
    </row>
    <row r="422" spans="1:26" ht="6.75" customHeight="1">
      <c r="A422" s="60"/>
      <c r="B422" s="61"/>
      <c r="C422" s="61"/>
      <c r="D422" s="62"/>
      <c r="E422" s="54"/>
      <c r="F422" s="54"/>
      <c r="G422" s="54"/>
      <c r="H422" s="54"/>
      <c r="I422" s="54"/>
      <c r="J422" s="54"/>
      <c r="K422" s="54"/>
      <c r="L422" s="54"/>
      <c r="M422" s="54"/>
      <c r="N422" s="54"/>
      <c r="O422" s="54"/>
      <c r="P422" s="54"/>
      <c r="Q422" s="54"/>
      <c r="R422" s="54"/>
      <c r="S422" s="54"/>
      <c r="T422" s="54"/>
      <c r="U422" s="54"/>
      <c r="V422" s="54"/>
      <c r="W422" s="54"/>
      <c r="X422" s="54"/>
      <c r="Y422" s="54"/>
      <c r="Z422" s="54"/>
    </row>
    <row r="423" spans="1:26" ht="11.25" customHeight="1">
      <c r="A423" s="603" t="s">
        <v>41</v>
      </c>
      <c r="B423" s="590"/>
      <c r="C423" s="65" t="s">
        <v>42</v>
      </c>
      <c r="D423" s="98">
        <f>'Proposed Rates'!J377</f>
        <v>95</v>
      </c>
      <c r="E423" s="54"/>
      <c r="F423" s="54"/>
      <c r="G423" s="54"/>
      <c r="H423" s="54"/>
      <c r="I423" s="54"/>
      <c r="J423" s="54"/>
      <c r="K423" s="54"/>
      <c r="L423" s="54"/>
      <c r="M423" s="54"/>
      <c r="N423" s="54"/>
      <c r="O423" s="54"/>
      <c r="P423" s="54"/>
      <c r="Q423" s="54"/>
      <c r="R423" s="54"/>
      <c r="S423" s="54"/>
      <c r="T423" s="54"/>
      <c r="U423" s="54"/>
      <c r="V423" s="54"/>
      <c r="W423" s="54"/>
      <c r="X423" s="54"/>
      <c r="Y423" s="54"/>
      <c r="Z423" s="54"/>
    </row>
    <row r="424" spans="1:26" ht="11.25" customHeight="1">
      <c r="A424" s="89"/>
      <c r="B424" s="64"/>
      <c r="C424" s="65"/>
      <c r="D424" s="74"/>
      <c r="E424" s="54"/>
      <c r="F424" s="54"/>
      <c r="G424" s="54"/>
      <c r="H424" s="54"/>
      <c r="I424" s="54"/>
      <c r="J424" s="54"/>
      <c r="K424" s="54"/>
      <c r="L424" s="54"/>
      <c r="M424" s="54"/>
      <c r="N424" s="54"/>
      <c r="O424" s="54"/>
      <c r="P424" s="54"/>
      <c r="Q424" s="54"/>
      <c r="R424" s="54"/>
      <c r="S424" s="54"/>
      <c r="T424" s="54"/>
      <c r="U424" s="54"/>
      <c r="V424" s="54"/>
      <c r="W424" s="54"/>
      <c r="X424" s="54"/>
      <c r="Y424" s="54"/>
      <c r="Z424" s="54"/>
    </row>
    <row r="425" spans="1:26" ht="24" customHeight="1">
      <c r="A425" s="588" t="str">
        <f>$A$1</f>
        <v>Hydro Ottawa Limited</v>
      </c>
      <c r="B425" s="589"/>
      <c r="C425" s="589"/>
      <c r="D425" s="590"/>
      <c r="E425" s="54"/>
      <c r="F425" s="54"/>
      <c r="G425" s="54"/>
      <c r="H425" s="54"/>
      <c r="I425" s="54"/>
      <c r="J425" s="54"/>
      <c r="K425" s="54"/>
      <c r="L425" s="54"/>
      <c r="M425" s="54"/>
      <c r="N425" s="54"/>
      <c r="O425" s="54"/>
      <c r="P425" s="54"/>
      <c r="Q425" s="54"/>
      <c r="R425" s="54"/>
      <c r="S425" s="54"/>
      <c r="T425" s="54"/>
      <c r="U425" s="54"/>
      <c r="V425" s="54"/>
      <c r="W425" s="54"/>
      <c r="X425" s="54"/>
      <c r="Y425" s="54"/>
      <c r="Z425" s="54"/>
    </row>
    <row r="426" spans="1:26" ht="15.75" customHeight="1">
      <c r="A426" s="591" t="str">
        <f>$A$2</f>
        <v>PROPOSED - TARIFF OF RATES AND CHARGES</v>
      </c>
      <c r="B426" s="589"/>
      <c r="C426" s="589"/>
      <c r="D426" s="590"/>
      <c r="E426" s="54"/>
      <c r="F426" s="54"/>
      <c r="G426" s="54"/>
      <c r="H426" s="54"/>
      <c r="I426" s="54"/>
      <c r="J426" s="54"/>
      <c r="K426" s="54"/>
      <c r="L426" s="54"/>
      <c r="M426" s="54"/>
      <c r="N426" s="54"/>
      <c r="O426" s="54"/>
      <c r="P426" s="54"/>
      <c r="Q426" s="54"/>
      <c r="R426" s="54"/>
      <c r="S426" s="54"/>
      <c r="T426" s="54"/>
      <c r="U426" s="54"/>
      <c r="V426" s="54"/>
      <c r="W426" s="54"/>
      <c r="X426" s="54"/>
      <c r="Y426" s="54"/>
      <c r="Z426" s="54"/>
    </row>
    <row r="427" spans="1:26" ht="15.75" customHeight="1">
      <c r="A427" s="592" t="str">
        <f>$A$3</f>
        <v>Effective and Implementation Date January 1, 2030</v>
      </c>
      <c r="B427" s="589"/>
      <c r="C427" s="589"/>
      <c r="D427" s="590"/>
      <c r="E427" s="54"/>
      <c r="F427" s="54"/>
      <c r="G427" s="54"/>
      <c r="H427" s="54"/>
      <c r="I427" s="54"/>
      <c r="J427" s="54"/>
      <c r="K427" s="54"/>
      <c r="L427" s="54"/>
      <c r="M427" s="54"/>
      <c r="N427" s="54"/>
      <c r="O427" s="54"/>
      <c r="P427" s="54"/>
      <c r="Q427" s="54"/>
      <c r="R427" s="54"/>
      <c r="S427" s="54"/>
      <c r="T427" s="54"/>
      <c r="U427" s="54"/>
      <c r="V427" s="54"/>
      <c r="W427" s="54"/>
      <c r="X427" s="54"/>
      <c r="Y427" s="54"/>
      <c r="Z427" s="54"/>
    </row>
    <row r="428" spans="1:26" ht="12" customHeight="1">
      <c r="A428" s="593" t="str">
        <f>$A$4</f>
        <v>This schedule supersedes and replaces all previously</v>
      </c>
      <c r="B428" s="589"/>
      <c r="C428" s="589"/>
      <c r="D428" s="590"/>
      <c r="E428" s="54"/>
      <c r="F428" s="54"/>
      <c r="G428" s="54"/>
      <c r="H428" s="54"/>
      <c r="I428" s="54"/>
      <c r="J428" s="54"/>
      <c r="K428" s="54"/>
      <c r="L428" s="54"/>
      <c r="M428" s="54"/>
      <c r="N428" s="54"/>
      <c r="O428" s="54"/>
      <c r="P428" s="54"/>
      <c r="Q428" s="54"/>
      <c r="R428" s="54"/>
      <c r="S428" s="54"/>
      <c r="T428" s="54"/>
      <c r="U428" s="54"/>
      <c r="V428" s="54"/>
      <c r="W428" s="54"/>
      <c r="X428" s="54"/>
      <c r="Y428" s="54"/>
      <c r="Z428" s="54"/>
    </row>
    <row r="429" spans="1:26" ht="11.25" customHeight="1">
      <c r="A429" s="593" t="str">
        <f>$A$5</f>
        <v>approved schedules of Rates, Charges and Loss Factors</v>
      </c>
      <c r="B429" s="589"/>
      <c r="C429" s="589"/>
      <c r="D429" s="590"/>
      <c r="E429" s="54"/>
      <c r="F429" s="54"/>
      <c r="G429" s="54"/>
      <c r="H429" s="54"/>
      <c r="I429" s="54"/>
      <c r="J429" s="54"/>
      <c r="K429" s="54"/>
      <c r="L429" s="54"/>
      <c r="M429" s="54"/>
      <c r="N429" s="54"/>
      <c r="O429" s="54"/>
      <c r="P429" s="54"/>
      <c r="Q429" s="54"/>
      <c r="R429" s="54"/>
      <c r="S429" s="54"/>
      <c r="T429" s="54"/>
      <c r="U429" s="54"/>
      <c r="V429" s="54"/>
      <c r="W429" s="54"/>
      <c r="X429" s="54"/>
      <c r="Y429" s="54"/>
      <c r="Z429" s="54"/>
    </row>
    <row r="430" spans="1:26" ht="11.25" customHeight="1">
      <c r="A430" s="594" t="str">
        <f>$A$6</f>
        <v>EB-2024-0115</v>
      </c>
      <c r="B430" s="589"/>
      <c r="C430" s="589"/>
      <c r="D430" s="590"/>
      <c r="E430" s="54"/>
      <c r="F430" s="54"/>
      <c r="G430" s="54"/>
      <c r="H430" s="54"/>
      <c r="I430" s="54"/>
      <c r="J430" s="54"/>
      <c r="K430" s="54"/>
      <c r="L430" s="54"/>
      <c r="M430" s="54"/>
      <c r="N430" s="54"/>
      <c r="O430" s="54"/>
      <c r="P430" s="54"/>
      <c r="Q430" s="54"/>
      <c r="R430" s="54"/>
      <c r="S430" s="54"/>
      <c r="T430" s="54"/>
      <c r="U430" s="54"/>
      <c r="V430" s="54"/>
      <c r="W430" s="54"/>
      <c r="X430" s="54"/>
      <c r="Y430" s="54"/>
      <c r="Z430" s="54"/>
    </row>
    <row r="431" spans="1:26" ht="18.75" customHeight="1">
      <c r="A431" s="595" t="s">
        <v>113</v>
      </c>
      <c r="B431" s="589"/>
      <c r="C431" s="589"/>
      <c r="D431" s="590"/>
      <c r="E431" s="76"/>
      <c r="F431" s="76"/>
      <c r="G431" s="76"/>
      <c r="H431" s="76"/>
      <c r="I431" s="76"/>
      <c r="J431" s="76"/>
      <c r="K431" s="76"/>
      <c r="L431" s="76"/>
      <c r="M431" s="76"/>
      <c r="N431" s="76"/>
      <c r="O431" s="76"/>
      <c r="P431" s="76"/>
      <c r="Q431" s="76"/>
      <c r="R431" s="76"/>
      <c r="S431" s="76"/>
      <c r="T431" s="76"/>
      <c r="U431" s="76"/>
      <c r="V431" s="76"/>
      <c r="W431" s="76"/>
      <c r="X431" s="76"/>
      <c r="Y431" s="76"/>
      <c r="Z431" s="76"/>
    </row>
    <row r="432" spans="1:26" ht="36" customHeight="1">
      <c r="A432" s="596" t="s">
        <v>114</v>
      </c>
      <c r="B432" s="589"/>
      <c r="C432" s="589"/>
      <c r="D432" s="590"/>
      <c r="E432" s="54"/>
      <c r="F432" s="54"/>
      <c r="G432" s="54"/>
      <c r="H432" s="54"/>
      <c r="I432" s="54"/>
      <c r="J432" s="54"/>
      <c r="K432" s="54"/>
      <c r="L432" s="54"/>
      <c r="M432" s="54"/>
      <c r="N432" s="54"/>
      <c r="O432" s="54"/>
      <c r="P432" s="54"/>
      <c r="Q432" s="54"/>
      <c r="R432" s="54"/>
      <c r="S432" s="54"/>
      <c r="T432" s="54"/>
      <c r="U432" s="54"/>
      <c r="V432" s="54"/>
      <c r="W432" s="54"/>
      <c r="X432" s="54"/>
      <c r="Y432" s="54"/>
      <c r="Z432" s="54"/>
    </row>
    <row r="433" spans="1:26" ht="6.75" customHeight="1">
      <c r="A433" s="55"/>
      <c r="B433" s="55"/>
      <c r="C433" s="55"/>
      <c r="D433" s="56"/>
      <c r="E433" s="54"/>
      <c r="F433" s="54"/>
      <c r="G433" s="54"/>
      <c r="H433" s="54"/>
      <c r="I433" s="54"/>
      <c r="J433" s="54"/>
      <c r="K433" s="54"/>
      <c r="L433" s="54"/>
      <c r="M433" s="54"/>
      <c r="N433" s="54"/>
      <c r="O433" s="54"/>
      <c r="P433" s="54"/>
      <c r="Q433" s="54"/>
      <c r="R433" s="54"/>
      <c r="S433" s="54"/>
      <c r="T433" s="54"/>
      <c r="U433" s="54"/>
      <c r="V433" s="54"/>
      <c r="W433" s="54"/>
      <c r="X433" s="54"/>
      <c r="Y433" s="54"/>
      <c r="Z433" s="54"/>
    </row>
    <row r="434" spans="1:26" ht="11.25" customHeight="1">
      <c r="A434" s="597" t="s">
        <v>35</v>
      </c>
      <c r="B434" s="589"/>
      <c r="C434" s="589"/>
      <c r="D434" s="590"/>
      <c r="E434" s="54"/>
      <c r="F434" s="54"/>
      <c r="G434" s="54"/>
      <c r="H434" s="54"/>
      <c r="I434" s="54"/>
      <c r="J434" s="54"/>
      <c r="K434" s="54"/>
      <c r="L434" s="54"/>
      <c r="M434" s="54"/>
      <c r="N434" s="54"/>
      <c r="O434" s="54"/>
      <c r="P434" s="54"/>
      <c r="Q434" s="54"/>
      <c r="R434" s="54"/>
      <c r="S434" s="54"/>
      <c r="T434" s="54"/>
      <c r="U434" s="54"/>
      <c r="V434" s="54"/>
      <c r="W434" s="54"/>
      <c r="X434" s="54"/>
      <c r="Y434" s="54"/>
      <c r="Z434" s="54"/>
    </row>
    <row r="435" spans="1:26" ht="6.75" customHeight="1">
      <c r="A435" s="57"/>
      <c r="B435" s="58"/>
      <c r="C435" s="58"/>
      <c r="D435" s="59"/>
      <c r="E435" s="54"/>
      <c r="F435" s="54"/>
      <c r="G435" s="54"/>
      <c r="H435" s="54"/>
      <c r="I435" s="54"/>
      <c r="J435" s="54"/>
      <c r="K435" s="54"/>
      <c r="L435" s="54"/>
      <c r="M435" s="54"/>
      <c r="N435" s="54"/>
      <c r="O435" s="54"/>
      <c r="P435" s="54"/>
      <c r="Q435" s="54"/>
      <c r="R435" s="54"/>
      <c r="S435" s="54"/>
      <c r="T435" s="54"/>
      <c r="U435" s="54"/>
      <c r="V435" s="54"/>
      <c r="W435" s="54"/>
      <c r="X435" s="54"/>
      <c r="Y435" s="54"/>
      <c r="Z435" s="54"/>
    </row>
    <row r="436" spans="1:26" ht="36" customHeight="1">
      <c r="A436" s="596" t="s">
        <v>36</v>
      </c>
      <c r="B436" s="589"/>
      <c r="C436" s="589"/>
      <c r="D436" s="590"/>
      <c r="E436" s="54"/>
      <c r="F436" s="54"/>
      <c r="G436" s="54"/>
      <c r="H436" s="54"/>
      <c r="I436" s="54"/>
      <c r="J436" s="54"/>
      <c r="K436" s="54"/>
      <c r="L436" s="54"/>
      <c r="M436" s="54"/>
      <c r="N436" s="54"/>
      <c r="O436" s="54"/>
      <c r="P436" s="54"/>
      <c r="Q436" s="54"/>
      <c r="R436" s="54"/>
      <c r="S436" s="54"/>
      <c r="T436" s="54"/>
      <c r="U436" s="54"/>
      <c r="V436" s="54"/>
      <c r="W436" s="54"/>
      <c r="X436" s="54"/>
      <c r="Y436" s="54"/>
      <c r="Z436" s="54"/>
    </row>
    <row r="437" spans="1:26" ht="6.75" customHeight="1">
      <c r="A437" s="55"/>
      <c r="B437" s="55"/>
      <c r="C437" s="55"/>
      <c r="D437" s="56"/>
      <c r="E437" s="54"/>
      <c r="F437" s="54"/>
      <c r="G437" s="54"/>
      <c r="H437" s="54"/>
      <c r="I437" s="54"/>
      <c r="J437" s="54"/>
      <c r="K437" s="54"/>
      <c r="L437" s="54"/>
      <c r="M437" s="54"/>
      <c r="N437" s="54"/>
      <c r="O437" s="54"/>
      <c r="P437" s="54"/>
      <c r="Q437" s="54"/>
      <c r="R437" s="54"/>
      <c r="S437" s="54"/>
      <c r="T437" s="54"/>
      <c r="U437" s="54"/>
      <c r="V437" s="54"/>
      <c r="W437" s="54"/>
      <c r="X437" s="54"/>
      <c r="Y437" s="54"/>
      <c r="Z437" s="54"/>
    </row>
    <row r="438" spans="1:26" ht="48" customHeight="1">
      <c r="A438" s="596" t="s">
        <v>37</v>
      </c>
      <c r="B438" s="589"/>
      <c r="C438" s="589"/>
      <c r="D438" s="590"/>
      <c r="E438" s="54"/>
      <c r="F438" s="54"/>
      <c r="G438" s="54"/>
      <c r="H438" s="54"/>
      <c r="I438" s="54"/>
      <c r="J438" s="54"/>
      <c r="K438" s="54"/>
      <c r="L438" s="54"/>
      <c r="M438" s="54"/>
      <c r="N438" s="54"/>
      <c r="O438" s="54"/>
      <c r="P438" s="54"/>
      <c r="Q438" s="54"/>
      <c r="R438" s="54"/>
      <c r="S438" s="54"/>
      <c r="T438" s="54"/>
      <c r="U438" s="54"/>
      <c r="V438" s="54"/>
      <c r="W438" s="54"/>
      <c r="X438" s="54"/>
      <c r="Y438" s="54"/>
      <c r="Z438" s="54"/>
    </row>
    <row r="439" spans="1:26" ht="6.75" customHeight="1">
      <c r="A439" s="55"/>
      <c r="B439" s="55"/>
      <c r="C439" s="55"/>
      <c r="D439" s="56"/>
      <c r="E439" s="54"/>
      <c r="F439" s="54"/>
      <c r="G439" s="54"/>
      <c r="H439" s="54"/>
      <c r="I439" s="54"/>
      <c r="J439" s="54"/>
      <c r="K439" s="54"/>
      <c r="L439" s="54"/>
      <c r="M439" s="54"/>
      <c r="N439" s="54"/>
      <c r="O439" s="54"/>
      <c r="P439" s="54"/>
      <c r="Q439" s="54"/>
      <c r="R439" s="54"/>
      <c r="S439" s="54"/>
      <c r="T439" s="54"/>
      <c r="U439" s="54"/>
      <c r="V439" s="54"/>
      <c r="W439" s="54"/>
      <c r="X439" s="54"/>
      <c r="Y439" s="54"/>
      <c r="Z439" s="54"/>
    </row>
    <row r="440" spans="1:26" ht="24" customHeight="1">
      <c r="A440" s="596" t="s">
        <v>108</v>
      </c>
      <c r="B440" s="589"/>
      <c r="C440" s="589"/>
      <c r="D440" s="590"/>
      <c r="E440" s="54"/>
      <c r="F440" s="54"/>
      <c r="G440" s="54"/>
      <c r="H440" s="54"/>
      <c r="I440" s="54"/>
      <c r="J440" s="54"/>
      <c r="K440" s="54"/>
      <c r="L440" s="54"/>
      <c r="M440" s="54"/>
      <c r="N440" s="54"/>
      <c r="O440" s="54"/>
      <c r="P440" s="54"/>
      <c r="Q440" s="54"/>
      <c r="R440" s="54"/>
      <c r="S440" s="54"/>
      <c r="T440" s="54"/>
      <c r="U440" s="54"/>
      <c r="V440" s="54"/>
      <c r="W440" s="54"/>
      <c r="X440" s="54"/>
      <c r="Y440" s="54"/>
      <c r="Z440" s="54"/>
    </row>
    <row r="441" spans="1:26" ht="6.75" customHeight="1">
      <c r="A441" s="55"/>
      <c r="B441" s="55"/>
      <c r="C441" s="55"/>
      <c r="D441" s="56"/>
      <c r="E441" s="54"/>
      <c r="F441" s="54"/>
      <c r="G441" s="54"/>
      <c r="H441" s="54"/>
      <c r="I441" s="54"/>
      <c r="J441" s="54"/>
      <c r="K441" s="54"/>
      <c r="L441" s="54"/>
      <c r="M441" s="54"/>
      <c r="N441" s="54"/>
      <c r="O441" s="54"/>
      <c r="P441" s="54"/>
      <c r="Q441" s="54"/>
      <c r="R441" s="54"/>
      <c r="S441" s="54"/>
      <c r="T441" s="54"/>
      <c r="U441" s="54"/>
      <c r="V441" s="54"/>
      <c r="W441" s="54"/>
      <c r="X441" s="54"/>
      <c r="Y441" s="54"/>
      <c r="Z441" s="54"/>
    </row>
    <row r="442" spans="1:26" ht="36" customHeight="1">
      <c r="A442" s="596" t="s">
        <v>104</v>
      </c>
      <c r="B442" s="589"/>
      <c r="C442" s="589"/>
      <c r="D442" s="590"/>
      <c r="E442" s="54"/>
      <c r="F442" s="54"/>
      <c r="G442" s="54"/>
      <c r="H442" s="54"/>
      <c r="I442" s="54"/>
      <c r="J442" s="54"/>
      <c r="K442" s="54"/>
      <c r="L442" s="54"/>
      <c r="M442" s="54"/>
      <c r="N442" s="54"/>
      <c r="O442" s="54"/>
      <c r="P442" s="54"/>
      <c r="Q442" s="54"/>
      <c r="R442" s="54"/>
      <c r="S442" s="54"/>
      <c r="T442" s="54"/>
      <c r="U442" s="54"/>
      <c r="V442" s="54"/>
      <c r="W442" s="54"/>
      <c r="X442" s="54"/>
      <c r="Y442" s="54"/>
      <c r="Z442" s="54"/>
    </row>
    <row r="443" spans="1:26" ht="6.75" customHeight="1">
      <c r="A443" s="55"/>
      <c r="B443" s="55"/>
      <c r="C443" s="55"/>
      <c r="D443" s="56"/>
      <c r="E443" s="54"/>
      <c r="F443" s="54"/>
      <c r="G443" s="54"/>
      <c r="H443" s="54"/>
      <c r="I443" s="54"/>
      <c r="J443" s="54"/>
      <c r="K443" s="54"/>
      <c r="L443" s="54"/>
      <c r="M443" s="54"/>
      <c r="N443" s="54"/>
      <c r="O443" s="54"/>
      <c r="P443" s="54"/>
      <c r="Q443" s="54"/>
      <c r="R443" s="54"/>
      <c r="S443" s="54"/>
      <c r="T443" s="54"/>
      <c r="U443" s="54"/>
      <c r="V443" s="54"/>
      <c r="W443" s="54"/>
      <c r="X443" s="54"/>
      <c r="Y443" s="54"/>
      <c r="Z443" s="54"/>
    </row>
    <row r="444" spans="1:26" ht="15" customHeight="1">
      <c r="A444" s="598" t="s">
        <v>40</v>
      </c>
      <c r="B444" s="589"/>
      <c r="C444" s="589"/>
      <c r="D444" s="590"/>
      <c r="E444" s="54"/>
      <c r="F444" s="54"/>
      <c r="G444" s="54"/>
      <c r="H444" s="54"/>
      <c r="I444" s="54"/>
      <c r="J444" s="54"/>
      <c r="K444" s="54"/>
      <c r="L444" s="54"/>
      <c r="M444" s="54"/>
      <c r="N444" s="54"/>
      <c r="O444" s="54"/>
      <c r="P444" s="54"/>
      <c r="Q444" s="54"/>
      <c r="R444" s="54"/>
      <c r="S444" s="54"/>
      <c r="T444" s="54"/>
      <c r="U444" s="54"/>
      <c r="V444" s="54"/>
      <c r="W444" s="54"/>
      <c r="X444" s="54"/>
      <c r="Y444" s="54"/>
      <c r="Z444" s="54"/>
    </row>
    <row r="445" spans="1:26" ht="6.75" customHeight="1">
      <c r="A445" s="60"/>
      <c r="B445" s="61"/>
      <c r="C445" s="61"/>
      <c r="D445" s="62"/>
      <c r="E445" s="54"/>
      <c r="F445" s="54"/>
      <c r="G445" s="54"/>
      <c r="H445" s="54"/>
      <c r="I445" s="54"/>
      <c r="J445" s="54"/>
      <c r="K445" s="54"/>
      <c r="L445" s="54"/>
      <c r="M445" s="54"/>
      <c r="N445" s="54"/>
      <c r="O445" s="54"/>
      <c r="P445" s="54"/>
      <c r="Q445" s="54"/>
      <c r="R445" s="54"/>
      <c r="S445" s="54"/>
      <c r="T445" s="54"/>
      <c r="U445" s="54"/>
      <c r="V445" s="54"/>
      <c r="W445" s="54"/>
      <c r="X445" s="54"/>
      <c r="Y445" s="54"/>
      <c r="Z445" s="54"/>
    </row>
    <row r="446" spans="1:26" ht="11.25" customHeight="1">
      <c r="A446" s="603" t="s">
        <v>41</v>
      </c>
      <c r="B446" s="590"/>
      <c r="C446" s="65" t="s">
        <v>42</v>
      </c>
      <c r="D446" s="98">
        <f>'Proposed Rates'!J378</f>
        <v>289</v>
      </c>
      <c r="E446" s="54"/>
      <c r="F446" s="54"/>
      <c r="G446" s="54"/>
      <c r="H446" s="54"/>
      <c r="I446" s="54"/>
      <c r="J446" s="54"/>
      <c r="K446" s="54"/>
      <c r="L446" s="54"/>
      <c r="M446" s="54"/>
      <c r="N446" s="54"/>
      <c r="O446" s="54"/>
      <c r="P446" s="54"/>
      <c r="Q446" s="54"/>
      <c r="R446" s="54"/>
      <c r="S446" s="54"/>
      <c r="T446" s="54"/>
      <c r="U446" s="54"/>
      <c r="V446" s="54"/>
      <c r="W446" s="54"/>
      <c r="X446" s="54"/>
      <c r="Y446" s="54"/>
      <c r="Z446" s="54"/>
    </row>
    <row r="447" spans="1:26" ht="6.75" customHeight="1">
      <c r="A447" s="104"/>
      <c r="B447" s="89"/>
      <c r="C447" s="65"/>
      <c r="D447" s="294"/>
      <c r="E447" s="54"/>
      <c r="F447" s="54"/>
      <c r="G447" s="54"/>
      <c r="H447" s="54"/>
      <c r="I447" s="54"/>
      <c r="J447" s="54"/>
      <c r="K447" s="54"/>
      <c r="L447" s="54"/>
      <c r="M447" s="54"/>
      <c r="N447" s="54"/>
      <c r="O447" s="54"/>
      <c r="P447" s="54"/>
      <c r="Q447" s="54"/>
      <c r="R447" s="54"/>
      <c r="S447" s="54"/>
      <c r="T447" s="54"/>
      <c r="U447" s="54"/>
      <c r="V447" s="54"/>
      <c r="W447" s="54"/>
      <c r="X447" s="54"/>
      <c r="Y447" s="54"/>
      <c r="Z447" s="54"/>
    </row>
    <row r="448" spans="1:26" ht="18" customHeight="1">
      <c r="A448" s="105" t="s">
        <v>115</v>
      </c>
      <c r="B448" s="106"/>
      <c r="C448" s="106"/>
      <c r="D448" s="305"/>
      <c r="E448" s="54"/>
      <c r="F448" s="54"/>
      <c r="G448" s="54"/>
      <c r="H448" s="54"/>
      <c r="I448" s="54"/>
      <c r="J448" s="54"/>
      <c r="K448" s="54"/>
      <c r="L448" s="54"/>
      <c r="M448" s="54"/>
      <c r="N448" s="54"/>
      <c r="O448" s="54"/>
      <c r="P448" s="54"/>
      <c r="Q448" s="54"/>
      <c r="R448" s="54"/>
      <c r="S448" s="54"/>
      <c r="T448" s="54"/>
      <c r="U448" s="54"/>
      <c r="V448" s="54"/>
      <c r="W448" s="54"/>
      <c r="X448" s="54"/>
      <c r="Y448" s="54"/>
      <c r="Z448" s="54"/>
    </row>
    <row r="449" spans="1:26" ht="11.25" customHeight="1">
      <c r="A449" s="603" t="s">
        <v>116</v>
      </c>
      <c r="B449" s="590"/>
      <c r="C449" s="107" t="s">
        <v>117</v>
      </c>
      <c r="D449" s="294">
        <v>-1</v>
      </c>
      <c r="E449" s="54"/>
      <c r="F449" s="54"/>
      <c r="G449" s="54"/>
      <c r="H449" s="54"/>
      <c r="I449" s="54"/>
      <c r="J449" s="54"/>
      <c r="K449" s="54"/>
      <c r="L449" s="54"/>
      <c r="M449" s="54"/>
      <c r="N449" s="54"/>
      <c r="O449" s="54"/>
      <c r="P449" s="54"/>
      <c r="Q449" s="54"/>
      <c r="R449" s="54"/>
      <c r="S449" s="54"/>
      <c r="T449" s="54"/>
      <c r="U449" s="54"/>
      <c r="V449" s="54"/>
      <c r="W449" s="54"/>
      <c r="X449" s="54"/>
      <c r="Y449" s="54"/>
      <c r="Z449" s="54"/>
    </row>
    <row r="450" spans="1:26" ht="11.25" customHeight="1">
      <c r="A450" s="89"/>
      <c r="B450" s="64"/>
      <c r="C450" s="107"/>
      <c r="D450" s="74"/>
      <c r="E450" s="54"/>
      <c r="F450" s="54"/>
      <c r="G450" s="54"/>
      <c r="H450" s="54"/>
      <c r="I450" s="54"/>
      <c r="J450" s="54"/>
      <c r="K450" s="54"/>
      <c r="L450" s="54"/>
      <c r="M450" s="54"/>
      <c r="N450" s="54"/>
      <c r="O450" s="54"/>
      <c r="P450" s="54"/>
      <c r="Q450" s="54"/>
      <c r="R450" s="54"/>
      <c r="S450" s="54"/>
      <c r="T450" s="54"/>
      <c r="U450" s="54"/>
      <c r="V450" s="54"/>
      <c r="W450" s="54"/>
      <c r="X450" s="54"/>
      <c r="Y450" s="54"/>
      <c r="Z450" s="54"/>
    </row>
    <row r="451" spans="1:26" ht="24" customHeight="1">
      <c r="A451" s="588" t="str">
        <f>$A$1</f>
        <v>Hydro Ottawa Limited</v>
      </c>
      <c r="B451" s="589"/>
      <c r="C451" s="589"/>
      <c r="D451" s="590"/>
      <c r="E451" s="54"/>
      <c r="F451" s="54"/>
      <c r="G451" s="54"/>
      <c r="H451" s="54"/>
      <c r="I451" s="54"/>
      <c r="J451" s="54"/>
      <c r="K451" s="54"/>
      <c r="L451" s="54"/>
      <c r="M451" s="54"/>
      <c r="N451" s="54"/>
      <c r="O451" s="54"/>
      <c r="P451" s="54"/>
      <c r="Q451" s="54"/>
      <c r="R451" s="54"/>
      <c r="S451" s="54"/>
      <c r="T451" s="54"/>
      <c r="U451" s="54"/>
      <c r="V451" s="54"/>
      <c r="W451" s="54"/>
      <c r="X451" s="54"/>
      <c r="Y451" s="54"/>
      <c r="Z451" s="54"/>
    </row>
    <row r="452" spans="1:26" ht="15.75" customHeight="1">
      <c r="A452" s="591" t="str">
        <f>$A$2</f>
        <v>PROPOSED - TARIFF OF RATES AND CHARGES</v>
      </c>
      <c r="B452" s="589"/>
      <c r="C452" s="589"/>
      <c r="D452" s="590"/>
      <c r="E452" s="54"/>
      <c r="F452" s="54"/>
      <c r="G452" s="54"/>
      <c r="H452" s="54"/>
      <c r="I452" s="54"/>
      <c r="J452" s="54"/>
      <c r="K452" s="54"/>
      <c r="L452" s="54"/>
      <c r="M452" s="54"/>
      <c r="N452" s="54"/>
      <c r="O452" s="54"/>
      <c r="P452" s="54"/>
      <c r="Q452" s="54"/>
      <c r="R452" s="54"/>
      <c r="S452" s="54"/>
      <c r="T452" s="54"/>
      <c r="U452" s="54"/>
      <c r="V452" s="54"/>
      <c r="W452" s="54"/>
      <c r="X452" s="54"/>
      <c r="Y452" s="54"/>
      <c r="Z452" s="54"/>
    </row>
    <row r="453" spans="1:26" ht="15.75" customHeight="1">
      <c r="A453" s="592" t="str">
        <f>$A$3</f>
        <v>Effective and Implementation Date January 1, 2030</v>
      </c>
      <c r="B453" s="589"/>
      <c r="C453" s="589"/>
      <c r="D453" s="590"/>
      <c r="E453" s="54"/>
      <c r="F453" s="54"/>
      <c r="G453" s="54"/>
      <c r="H453" s="54"/>
      <c r="I453" s="54"/>
      <c r="J453" s="54"/>
      <c r="K453" s="54"/>
      <c r="L453" s="54"/>
      <c r="M453" s="54"/>
      <c r="N453" s="54"/>
      <c r="O453" s="54"/>
      <c r="P453" s="54"/>
      <c r="Q453" s="54"/>
      <c r="R453" s="54"/>
      <c r="S453" s="54"/>
      <c r="T453" s="54"/>
      <c r="U453" s="54"/>
      <c r="V453" s="54"/>
      <c r="W453" s="54"/>
      <c r="X453" s="54"/>
      <c r="Y453" s="54"/>
      <c r="Z453" s="54"/>
    </row>
    <row r="454" spans="1:26" ht="12" customHeight="1">
      <c r="A454" s="593" t="str">
        <f>$A$4</f>
        <v>This schedule supersedes and replaces all previously</v>
      </c>
      <c r="B454" s="589"/>
      <c r="C454" s="589"/>
      <c r="D454" s="590"/>
      <c r="E454" s="54"/>
      <c r="F454" s="54"/>
      <c r="G454" s="54"/>
      <c r="H454" s="54"/>
      <c r="I454" s="54"/>
      <c r="J454" s="54"/>
      <c r="K454" s="54"/>
      <c r="L454" s="54"/>
      <c r="M454" s="54"/>
      <c r="N454" s="54"/>
      <c r="O454" s="54"/>
      <c r="P454" s="54"/>
      <c r="Q454" s="54"/>
      <c r="R454" s="54"/>
      <c r="S454" s="54"/>
      <c r="T454" s="54"/>
      <c r="U454" s="54"/>
      <c r="V454" s="54"/>
      <c r="W454" s="54"/>
      <c r="X454" s="54"/>
      <c r="Y454" s="54"/>
      <c r="Z454" s="54"/>
    </row>
    <row r="455" spans="1:26" ht="11.25" customHeight="1">
      <c r="A455" s="593" t="str">
        <f>$A$5</f>
        <v>approved schedules of Rates, Charges and Loss Factors</v>
      </c>
      <c r="B455" s="589"/>
      <c r="C455" s="589"/>
      <c r="D455" s="590"/>
      <c r="E455" s="54"/>
      <c r="F455" s="54"/>
      <c r="G455" s="54"/>
      <c r="H455" s="54"/>
      <c r="I455" s="54"/>
      <c r="J455" s="54"/>
      <c r="K455" s="54"/>
      <c r="L455" s="54"/>
      <c r="M455" s="54"/>
      <c r="N455" s="54"/>
      <c r="O455" s="54"/>
      <c r="P455" s="54"/>
      <c r="Q455" s="54"/>
      <c r="R455" s="54"/>
      <c r="S455" s="54"/>
      <c r="T455" s="54"/>
      <c r="U455" s="54"/>
      <c r="V455" s="54"/>
      <c r="W455" s="54"/>
      <c r="X455" s="54"/>
      <c r="Y455" s="54"/>
      <c r="Z455" s="54"/>
    </row>
    <row r="456" spans="1:26" ht="11.25" customHeight="1">
      <c r="A456" s="594" t="str">
        <f>$A$6</f>
        <v>EB-2024-0115</v>
      </c>
      <c r="B456" s="589"/>
      <c r="C456" s="589"/>
      <c r="D456" s="590"/>
      <c r="E456" s="54"/>
      <c r="F456" s="54"/>
      <c r="G456" s="54"/>
      <c r="H456" s="54"/>
      <c r="I456" s="54"/>
      <c r="J456" s="54"/>
      <c r="K456" s="54"/>
      <c r="L456" s="54"/>
      <c r="M456" s="54"/>
      <c r="N456" s="54"/>
      <c r="O456" s="54"/>
      <c r="P456" s="54"/>
      <c r="Q456" s="54"/>
      <c r="R456" s="54"/>
      <c r="S456" s="54"/>
      <c r="T456" s="54"/>
      <c r="U456" s="54"/>
      <c r="V456" s="54"/>
      <c r="W456" s="54"/>
      <c r="X456" s="54"/>
      <c r="Y456" s="54"/>
      <c r="Z456" s="54"/>
    </row>
    <row r="457" spans="1:26" ht="18" customHeight="1">
      <c r="A457" s="105" t="s">
        <v>118</v>
      </c>
      <c r="B457" s="106"/>
      <c r="C457" s="106"/>
      <c r="D457" s="77"/>
      <c r="E457" s="54"/>
      <c r="F457" s="54"/>
      <c r="G457" s="54"/>
      <c r="H457" s="54"/>
      <c r="I457" s="54"/>
      <c r="J457" s="54"/>
      <c r="K457" s="54"/>
      <c r="L457" s="54"/>
      <c r="M457" s="54"/>
      <c r="N457" s="54"/>
      <c r="O457" s="54"/>
      <c r="P457" s="54"/>
      <c r="Q457" s="54"/>
      <c r="R457" s="54"/>
      <c r="S457" s="54"/>
      <c r="T457" s="54"/>
      <c r="U457" s="54"/>
      <c r="V457" s="54"/>
      <c r="W457" s="54"/>
      <c r="X457" s="54"/>
      <c r="Y457" s="54"/>
      <c r="Z457" s="54"/>
    </row>
    <row r="458" spans="1:26" ht="6.75" customHeight="1">
      <c r="A458" s="105"/>
      <c r="B458" s="106"/>
      <c r="C458" s="106"/>
      <c r="D458" s="77"/>
      <c r="E458" s="54"/>
      <c r="F458" s="54"/>
      <c r="G458" s="54"/>
      <c r="H458" s="54"/>
      <c r="I458" s="54"/>
      <c r="J458" s="54"/>
      <c r="K458" s="54"/>
      <c r="L458" s="54"/>
      <c r="M458" s="54"/>
      <c r="N458" s="54"/>
      <c r="O458" s="54"/>
      <c r="P458" s="54"/>
      <c r="Q458" s="54"/>
      <c r="R458" s="54"/>
      <c r="S458" s="54"/>
      <c r="T458" s="54"/>
      <c r="U458" s="54"/>
      <c r="V458" s="54"/>
      <c r="W458" s="54"/>
      <c r="X458" s="54"/>
      <c r="Y458" s="54"/>
      <c r="Z458" s="54"/>
    </row>
    <row r="459" spans="1:26" ht="11.25" customHeight="1">
      <c r="A459" s="609" t="s">
        <v>35</v>
      </c>
      <c r="B459" s="589"/>
      <c r="C459" s="589"/>
      <c r="D459" s="590"/>
      <c r="E459" s="54"/>
      <c r="F459" s="54"/>
      <c r="G459" s="54"/>
      <c r="H459" s="54"/>
      <c r="I459" s="54"/>
      <c r="J459" s="54"/>
      <c r="K459" s="54"/>
      <c r="L459" s="54"/>
      <c r="M459" s="54"/>
      <c r="N459" s="54"/>
      <c r="O459" s="54"/>
      <c r="P459" s="54"/>
      <c r="Q459" s="54"/>
      <c r="R459" s="54"/>
      <c r="S459" s="54"/>
      <c r="T459" s="54"/>
      <c r="U459" s="54"/>
      <c r="V459" s="54"/>
      <c r="W459" s="54"/>
      <c r="X459" s="54"/>
      <c r="Y459" s="54"/>
      <c r="Z459" s="54"/>
    </row>
    <row r="460" spans="1:26" ht="6.75" customHeight="1">
      <c r="A460" s="108"/>
      <c r="B460" s="55"/>
      <c r="C460" s="55"/>
      <c r="D460" s="56"/>
      <c r="E460" s="54"/>
      <c r="F460" s="54"/>
      <c r="G460" s="54"/>
      <c r="H460" s="54"/>
      <c r="I460" s="54"/>
      <c r="J460" s="54"/>
      <c r="K460" s="54"/>
      <c r="L460" s="54"/>
      <c r="M460" s="54"/>
      <c r="N460" s="54"/>
      <c r="O460" s="54"/>
      <c r="P460" s="54"/>
      <c r="Q460" s="54"/>
      <c r="R460" s="54"/>
      <c r="S460" s="54"/>
      <c r="T460" s="54"/>
      <c r="U460" s="54"/>
      <c r="V460" s="54"/>
      <c r="W460" s="54"/>
      <c r="X460" s="54"/>
      <c r="Y460" s="54"/>
      <c r="Z460" s="54"/>
    </row>
    <row r="461" spans="1:26" ht="36" customHeight="1">
      <c r="A461" s="596" t="s">
        <v>36</v>
      </c>
      <c r="B461" s="589"/>
      <c r="C461" s="589"/>
      <c r="D461" s="590"/>
      <c r="E461" s="54"/>
      <c r="F461" s="54"/>
      <c r="G461" s="54"/>
      <c r="H461" s="54"/>
      <c r="I461" s="54"/>
      <c r="J461" s="54"/>
      <c r="K461" s="54"/>
      <c r="L461" s="54"/>
      <c r="M461" s="54"/>
      <c r="N461" s="54"/>
      <c r="O461" s="54"/>
      <c r="P461" s="54"/>
      <c r="Q461" s="54"/>
      <c r="R461" s="54"/>
      <c r="S461" s="54"/>
      <c r="T461" s="54"/>
      <c r="U461" s="54"/>
      <c r="V461" s="54"/>
      <c r="W461" s="54"/>
      <c r="X461" s="54"/>
      <c r="Y461" s="54"/>
      <c r="Z461" s="54"/>
    </row>
    <row r="462" spans="1:26" ht="6.75" customHeight="1">
      <c r="A462" s="55"/>
      <c r="B462" s="55"/>
      <c r="C462" s="55"/>
      <c r="D462" s="56"/>
      <c r="E462" s="54"/>
      <c r="F462" s="54"/>
      <c r="G462" s="54"/>
      <c r="H462" s="54"/>
      <c r="I462" s="54"/>
      <c r="J462" s="54"/>
      <c r="K462" s="54"/>
      <c r="L462" s="54"/>
      <c r="M462" s="54"/>
      <c r="N462" s="54"/>
      <c r="O462" s="54"/>
      <c r="P462" s="54"/>
      <c r="Q462" s="54"/>
      <c r="R462" s="54"/>
      <c r="S462" s="54"/>
      <c r="T462" s="54"/>
      <c r="U462" s="54"/>
      <c r="V462" s="54"/>
      <c r="W462" s="54"/>
      <c r="X462" s="54"/>
      <c r="Y462" s="54"/>
      <c r="Z462" s="54"/>
    </row>
    <row r="463" spans="1:26" ht="48" customHeight="1">
      <c r="A463" s="596" t="s">
        <v>119</v>
      </c>
      <c r="B463" s="589"/>
      <c r="C463" s="589"/>
      <c r="D463" s="590"/>
      <c r="E463" s="54"/>
      <c r="F463" s="54"/>
      <c r="G463" s="54"/>
      <c r="H463" s="54"/>
      <c r="I463" s="54"/>
      <c r="J463" s="54"/>
      <c r="K463" s="54"/>
      <c r="L463" s="54"/>
      <c r="M463" s="54"/>
      <c r="N463" s="54"/>
      <c r="O463" s="54"/>
      <c r="P463" s="54"/>
      <c r="Q463" s="54"/>
      <c r="R463" s="54"/>
      <c r="S463" s="54"/>
      <c r="T463" s="54"/>
      <c r="U463" s="54"/>
      <c r="V463" s="54"/>
      <c r="W463" s="54"/>
      <c r="X463" s="54"/>
      <c r="Y463" s="54"/>
      <c r="Z463" s="54"/>
    </row>
    <row r="464" spans="1:26" ht="6.75" customHeight="1">
      <c r="A464" s="55"/>
      <c r="B464" s="55"/>
      <c r="C464" s="55"/>
      <c r="D464" s="56"/>
      <c r="E464" s="54"/>
      <c r="F464" s="54"/>
      <c r="G464" s="54"/>
      <c r="H464" s="54"/>
      <c r="I464" s="54"/>
      <c r="J464" s="54"/>
      <c r="K464" s="54"/>
      <c r="L464" s="54"/>
      <c r="M464" s="54"/>
      <c r="N464" s="54"/>
      <c r="O464" s="54"/>
      <c r="P464" s="54"/>
      <c r="Q464" s="54"/>
      <c r="R464" s="54"/>
      <c r="S464" s="54"/>
      <c r="T464" s="54"/>
      <c r="U464" s="54"/>
      <c r="V464" s="54"/>
      <c r="W464" s="54"/>
      <c r="X464" s="54"/>
      <c r="Y464" s="54"/>
      <c r="Z464" s="54"/>
    </row>
    <row r="465" spans="1:26" ht="36" customHeight="1">
      <c r="A465" s="596" t="s">
        <v>39</v>
      </c>
      <c r="B465" s="589"/>
      <c r="C465" s="589"/>
      <c r="D465" s="590"/>
      <c r="E465" s="54"/>
      <c r="F465" s="54"/>
      <c r="G465" s="54"/>
      <c r="H465" s="54"/>
      <c r="I465" s="54"/>
      <c r="J465" s="54"/>
      <c r="K465" s="54"/>
      <c r="L465" s="54"/>
      <c r="M465" s="54"/>
      <c r="N465" s="54"/>
      <c r="O465" s="54"/>
      <c r="P465" s="54"/>
      <c r="Q465" s="54"/>
      <c r="R465" s="54"/>
      <c r="S465" s="54"/>
      <c r="T465" s="54"/>
      <c r="U465" s="54"/>
      <c r="V465" s="54"/>
      <c r="W465" s="54"/>
      <c r="X465" s="54"/>
      <c r="Y465" s="54"/>
      <c r="Z465" s="54"/>
    </row>
    <row r="466" spans="1:26" ht="6.75" customHeight="1">
      <c r="A466" s="55"/>
      <c r="B466" s="55"/>
      <c r="C466" s="55"/>
      <c r="D466" s="56"/>
      <c r="E466" s="54"/>
      <c r="F466" s="54"/>
      <c r="G466" s="54"/>
      <c r="H466" s="54"/>
      <c r="I466" s="54"/>
      <c r="J466" s="54"/>
      <c r="K466" s="54"/>
      <c r="L466" s="54"/>
      <c r="M466" s="54"/>
      <c r="N466" s="54"/>
      <c r="O466" s="54"/>
      <c r="P466" s="54"/>
      <c r="Q466" s="54"/>
      <c r="R466" s="54"/>
      <c r="S466" s="54"/>
      <c r="T466" s="54"/>
      <c r="U466" s="54"/>
      <c r="V466" s="54"/>
      <c r="W466" s="54"/>
      <c r="X466" s="54"/>
      <c r="Y466" s="54"/>
      <c r="Z466" s="54"/>
    </row>
    <row r="467" spans="1:26" ht="15" customHeight="1">
      <c r="A467" s="109" t="s">
        <v>120</v>
      </c>
      <c r="B467" s="106"/>
      <c r="C467" s="106"/>
      <c r="D467" s="77"/>
      <c r="E467" s="54"/>
      <c r="F467" s="54"/>
      <c r="G467" s="54"/>
      <c r="H467" s="54"/>
      <c r="I467" s="54"/>
      <c r="J467" s="54"/>
      <c r="K467" s="54"/>
      <c r="L467" s="54"/>
      <c r="M467" s="54"/>
      <c r="N467" s="54"/>
      <c r="O467" s="54"/>
      <c r="P467" s="54"/>
      <c r="Q467" s="54"/>
      <c r="R467" s="54"/>
      <c r="S467" s="54"/>
      <c r="T467" s="54"/>
      <c r="U467" s="54"/>
      <c r="V467" s="54"/>
      <c r="W467" s="54"/>
      <c r="X467" s="54"/>
      <c r="Y467" s="54"/>
      <c r="Z467" s="54"/>
    </row>
    <row r="468" spans="1:26" ht="11.25" customHeight="1">
      <c r="A468" s="603" t="s">
        <v>121</v>
      </c>
      <c r="B468" s="590"/>
      <c r="C468" s="65" t="s">
        <v>42</v>
      </c>
      <c r="D468" s="110">
        <f>'Proposed Rates'!J326</f>
        <v>0</v>
      </c>
      <c r="E468" s="54"/>
      <c r="F468" s="54"/>
      <c r="G468" s="54"/>
      <c r="H468" s="54"/>
      <c r="I468" s="54"/>
      <c r="J468" s="54"/>
      <c r="K468" s="54"/>
      <c r="L468" s="54"/>
      <c r="M468" s="54"/>
      <c r="N468" s="54"/>
      <c r="O468" s="54"/>
      <c r="P468" s="54"/>
      <c r="Q468" s="54"/>
      <c r="R468" s="54"/>
      <c r="S468" s="54"/>
      <c r="T468" s="54"/>
      <c r="U468" s="54"/>
      <c r="V468" s="54"/>
      <c r="W468" s="54"/>
      <c r="X468" s="54"/>
      <c r="Y468" s="54"/>
      <c r="Z468" s="54"/>
    </row>
    <row r="469" spans="1:26" ht="11.25" customHeight="1">
      <c r="A469" s="89" t="s">
        <v>122</v>
      </c>
      <c r="B469" s="89"/>
      <c r="C469" s="65" t="s">
        <v>42</v>
      </c>
      <c r="D469" s="110">
        <f>'Proposed Rates'!J327</f>
        <v>30</v>
      </c>
      <c r="E469" s="54"/>
      <c r="F469" s="54"/>
      <c r="G469" s="54"/>
      <c r="H469" s="54"/>
      <c r="I469" s="54"/>
      <c r="J469" s="54"/>
      <c r="K469" s="54"/>
      <c r="L469" s="54"/>
      <c r="M469" s="54"/>
      <c r="N469" s="54"/>
      <c r="O469" s="54"/>
      <c r="P469" s="54"/>
      <c r="Q469" s="54"/>
      <c r="R469" s="54"/>
      <c r="S469" s="54"/>
      <c r="T469" s="54"/>
      <c r="U469" s="54"/>
      <c r="V469" s="54"/>
      <c r="W469" s="54"/>
      <c r="X469" s="54"/>
      <c r="Y469" s="54"/>
      <c r="Z469" s="54"/>
    </row>
    <row r="470" spans="1:26" ht="11.25" customHeight="1">
      <c r="A470" s="603" t="s">
        <v>123</v>
      </c>
      <c r="B470" s="590"/>
      <c r="C470" s="65" t="s">
        <v>42</v>
      </c>
      <c r="D470" s="110">
        <f>'Proposed Rates'!J328</f>
        <v>7</v>
      </c>
      <c r="E470" s="54"/>
      <c r="F470" s="54"/>
      <c r="G470" s="54"/>
      <c r="H470" s="54"/>
      <c r="I470" s="54"/>
      <c r="J470" s="54"/>
      <c r="K470" s="54"/>
      <c r="L470" s="54"/>
      <c r="M470" s="54"/>
      <c r="N470" s="54"/>
      <c r="O470" s="54"/>
      <c r="P470" s="54"/>
      <c r="Q470" s="54"/>
      <c r="R470" s="54"/>
      <c r="S470" s="54"/>
      <c r="T470" s="54"/>
      <c r="U470" s="54"/>
      <c r="V470" s="54"/>
      <c r="W470" s="54"/>
      <c r="X470" s="54"/>
      <c r="Y470" s="54"/>
      <c r="Z470" s="54"/>
    </row>
    <row r="471" spans="1:26" ht="11.25" customHeight="1">
      <c r="A471" s="603" t="s">
        <v>124</v>
      </c>
      <c r="B471" s="590"/>
      <c r="C471" s="65" t="s">
        <v>42</v>
      </c>
      <c r="D471" s="110">
        <f>'Proposed Rates'!J329</f>
        <v>154</v>
      </c>
      <c r="E471" s="54"/>
      <c r="F471" s="54"/>
      <c r="G471" s="54"/>
      <c r="H471" s="54"/>
      <c r="I471" s="54"/>
      <c r="J471" s="54"/>
      <c r="K471" s="54"/>
      <c r="L471" s="54"/>
      <c r="M471" s="54"/>
      <c r="N471" s="54"/>
      <c r="O471" s="54"/>
      <c r="P471" s="54"/>
      <c r="Q471" s="54"/>
      <c r="R471" s="54"/>
      <c r="S471" s="54"/>
      <c r="T471" s="54"/>
      <c r="U471" s="54"/>
      <c r="V471" s="54"/>
      <c r="W471" s="54"/>
      <c r="X471" s="54"/>
      <c r="Y471" s="54"/>
      <c r="Z471" s="54"/>
    </row>
    <row r="472" spans="1:26" ht="11.25" customHeight="1">
      <c r="A472" s="603" t="s">
        <v>125</v>
      </c>
      <c r="B472" s="590"/>
      <c r="C472" s="65" t="s">
        <v>42</v>
      </c>
      <c r="D472" s="110">
        <f>'Proposed Rates'!J330</f>
        <v>20</v>
      </c>
      <c r="E472" s="54"/>
      <c r="F472" s="54"/>
      <c r="G472" s="54"/>
      <c r="H472" s="54"/>
      <c r="I472" s="54"/>
      <c r="J472" s="54"/>
      <c r="K472" s="54"/>
      <c r="L472" s="54"/>
      <c r="M472" s="54"/>
      <c r="N472" s="54"/>
      <c r="O472" s="54"/>
      <c r="P472" s="54"/>
      <c r="Q472" s="54"/>
      <c r="R472" s="54"/>
      <c r="S472" s="54"/>
      <c r="T472" s="54"/>
      <c r="U472" s="54"/>
      <c r="V472" s="54"/>
      <c r="W472" s="54"/>
      <c r="X472" s="54"/>
      <c r="Y472" s="54"/>
      <c r="Z472" s="54"/>
    </row>
    <row r="473" spans="1:26" ht="11.25" customHeight="1">
      <c r="A473" s="603" t="s">
        <v>126</v>
      </c>
      <c r="B473" s="590"/>
      <c r="C473" s="65" t="s">
        <v>42</v>
      </c>
      <c r="D473" s="110">
        <f>'Proposed Rates'!J331</f>
        <v>25</v>
      </c>
      <c r="E473" s="54"/>
      <c r="F473" s="54"/>
      <c r="G473" s="54"/>
      <c r="H473" s="54"/>
      <c r="I473" s="54"/>
      <c r="J473" s="54"/>
      <c r="K473" s="54"/>
      <c r="L473" s="54"/>
      <c r="M473" s="54"/>
      <c r="N473" s="54"/>
      <c r="O473" s="54"/>
      <c r="P473" s="54"/>
      <c r="Q473" s="54"/>
      <c r="R473" s="54"/>
      <c r="S473" s="54"/>
      <c r="T473" s="54"/>
      <c r="U473" s="54"/>
      <c r="V473" s="54"/>
      <c r="W473" s="54"/>
      <c r="X473" s="54"/>
      <c r="Y473" s="54"/>
      <c r="Z473" s="54"/>
    </row>
    <row r="474" spans="1:26" ht="11.25" customHeight="1">
      <c r="A474" s="603" t="s">
        <v>127</v>
      </c>
      <c r="B474" s="590"/>
      <c r="C474" s="65" t="s">
        <v>42</v>
      </c>
      <c r="D474" s="110">
        <f>'Proposed Rates'!J332</f>
        <v>10</v>
      </c>
      <c r="E474" s="54"/>
      <c r="F474" s="54"/>
      <c r="G474" s="54"/>
      <c r="H474" s="54"/>
      <c r="I474" s="54"/>
      <c r="J474" s="54"/>
      <c r="K474" s="54"/>
      <c r="L474" s="54"/>
      <c r="M474" s="54"/>
      <c r="N474" s="54"/>
      <c r="O474" s="54"/>
      <c r="P474" s="54"/>
      <c r="Q474" s="54"/>
      <c r="R474" s="54"/>
      <c r="S474" s="54"/>
      <c r="T474" s="54"/>
      <c r="U474" s="54"/>
      <c r="V474" s="54"/>
      <c r="W474" s="54"/>
      <c r="X474" s="54"/>
      <c r="Y474" s="54"/>
      <c r="Z474" s="54"/>
    </row>
    <row r="475" spans="1:26" ht="11.25" customHeight="1">
      <c r="A475" s="603" t="s">
        <v>128</v>
      </c>
      <c r="B475" s="590"/>
      <c r="C475" s="65" t="s">
        <v>42</v>
      </c>
      <c r="D475" s="110">
        <f>'Proposed Rates'!J335</f>
        <v>398</v>
      </c>
      <c r="E475" s="54"/>
      <c r="F475" s="54"/>
      <c r="G475" s="54"/>
      <c r="H475" s="54"/>
      <c r="I475" s="54"/>
      <c r="J475" s="54"/>
      <c r="K475" s="54"/>
      <c r="L475" s="54"/>
      <c r="M475" s="54"/>
      <c r="N475" s="54"/>
      <c r="O475" s="54"/>
      <c r="P475" s="54"/>
      <c r="Q475" s="54"/>
      <c r="R475" s="54"/>
      <c r="S475" s="54"/>
      <c r="T475" s="54"/>
      <c r="U475" s="54"/>
      <c r="V475" s="54"/>
      <c r="W475" s="54"/>
      <c r="X475" s="54"/>
      <c r="Y475" s="54"/>
      <c r="Z475" s="54"/>
    </row>
    <row r="476" spans="1:26" ht="11.25" customHeight="1">
      <c r="A476" s="603" t="s">
        <v>129</v>
      </c>
      <c r="B476" s="590"/>
      <c r="C476" s="65" t="s">
        <v>42</v>
      </c>
      <c r="D476" s="110">
        <f>'Proposed Rates'!J336</f>
        <v>350</v>
      </c>
      <c r="E476" s="54"/>
      <c r="F476" s="54"/>
      <c r="G476" s="54"/>
      <c r="H476" s="54"/>
      <c r="I476" s="54"/>
      <c r="J476" s="54"/>
      <c r="K476" s="54"/>
      <c r="L476" s="54"/>
      <c r="M476" s="54"/>
      <c r="N476" s="54"/>
      <c r="O476" s="54"/>
      <c r="P476" s="54"/>
      <c r="Q476" s="54"/>
      <c r="R476" s="54"/>
      <c r="S476" s="54"/>
      <c r="T476" s="54"/>
      <c r="U476" s="54"/>
      <c r="V476" s="54"/>
      <c r="W476" s="54"/>
      <c r="X476" s="54"/>
      <c r="Y476" s="54"/>
      <c r="Z476" s="54"/>
    </row>
    <row r="477" spans="1:26" ht="6.75" customHeight="1">
      <c r="A477" s="89"/>
      <c r="B477" s="89"/>
      <c r="C477" s="65"/>
      <c r="D477" s="74"/>
      <c r="E477" s="54"/>
      <c r="F477" s="54"/>
      <c r="G477" s="54"/>
      <c r="H477" s="54"/>
      <c r="I477" s="54"/>
      <c r="J477" s="54"/>
      <c r="K477" s="54"/>
      <c r="L477" s="54"/>
      <c r="M477" s="54"/>
      <c r="N477" s="54"/>
      <c r="O477" s="54"/>
      <c r="P477" s="54"/>
      <c r="Q477" s="54"/>
      <c r="R477" s="54"/>
      <c r="S477" s="54"/>
      <c r="T477" s="54"/>
      <c r="U477" s="54"/>
      <c r="V477" s="54"/>
      <c r="W477" s="54"/>
      <c r="X477" s="54"/>
      <c r="Y477" s="54"/>
      <c r="Z477" s="54"/>
    </row>
    <row r="478" spans="1:26" ht="15" customHeight="1">
      <c r="A478" s="109" t="s">
        <v>130</v>
      </c>
      <c r="B478" s="106"/>
      <c r="C478" s="95"/>
      <c r="D478" s="97"/>
      <c r="E478" s="54"/>
      <c r="F478" s="54"/>
      <c r="G478" s="54"/>
      <c r="H478" s="54"/>
      <c r="I478" s="54"/>
      <c r="J478" s="54"/>
      <c r="K478" s="54"/>
      <c r="L478" s="54"/>
      <c r="M478" s="54"/>
      <c r="N478" s="54"/>
      <c r="O478" s="54"/>
      <c r="P478" s="54"/>
      <c r="Q478" s="54"/>
      <c r="R478" s="54"/>
      <c r="S478" s="54"/>
      <c r="T478" s="54"/>
      <c r="U478" s="54"/>
      <c r="V478" s="54"/>
      <c r="W478" s="54"/>
      <c r="X478" s="54"/>
      <c r="Y478" s="54"/>
      <c r="Z478" s="54"/>
    </row>
    <row r="479" spans="1:26" ht="22.5" customHeight="1">
      <c r="A479" s="603" t="s">
        <v>131</v>
      </c>
      <c r="B479" s="590"/>
      <c r="C479" s="65" t="s">
        <v>117</v>
      </c>
      <c r="D479" s="103">
        <f>'Proposed Rates'!J339</f>
        <v>1.4999999999999999E-2</v>
      </c>
      <c r="E479" s="54"/>
      <c r="F479" s="54"/>
      <c r="G479" s="54"/>
      <c r="H479" s="54"/>
      <c r="I479" s="54"/>
      <c r="J479" s="54"/>
      <c r="K479" s="54"/>
      <c r="L479" s="54"/>
      <c r="M479" s="54"/>
      <c r="N479" s="54"/>
      <c r="O479" s="54"/>
      <c r="P479" s="54"/>
      <c r="Q479" s="54"/>
      <c r="R479" s="54"/>
      <c r="S479" s="54"/>
      <c r="T479" s="54"/>
      <c r="U479" s="54"/>
      <c r="V479" s="54"/>
      <c r="W479" s="54"/>
      <c r="X479" s="54"/>
      <c r="Y479" s="54"/>
      <c r="Z479" s="54"/>
    </row>
    <row r="480" spans="1:26" ht="11.25" customHeight="1">
      <c r="A480" s="603" t="s">
        <v>132</v>
      </c>
      <c r="B480" s="590"/>
      <c r="C480" s="65" t="s">
        <v>42</v>
      </c>
      <c r="D480" s="110">
        <f>'Proposed Rates'!J340</f>
        <v>76</v>
      </c>
      <c r="E480" s="54"/>
      <c r="F480" s="54"/>
      <c r="G480" s="54"/>
      <c r="H480" s="54"/>
      <c r="I480" s="54"/>
      <c r="J480" s="54"/>
      <c r="K480" s="54"/>
      <c r="L480" s="54"/>
      <c r="M480" s="54"/>
      <c r="N480" s="54"/>
      <c r="O480" s="54"/>
      <c r="P480" s="54"/>
      <c r="Q480" s="54"/>
      <c r="R480" s="54"/>
      <c r="S480" s="54"/>
      <c r="T480" s="54"/>
      <c r="U480" s="54"/>
      <c r="V480" s="54"/>
      <c r="W480" s="54"/>
      <c r="X480" s="54"/>
      <c r="Y480" s="54"/>
      <c r="Z480" s="54"/>
    </row>
    <row r="481" spans="1:26" ht="11.25" customHeight="1">
      <c r="A481" s="603" t="s">
        <v>133</v>
      </c>
      <c r="B481" s="590"/>
      <c r="C481" s="65" t="s">
        <v>42</v>
      </c>
      <c r="D481" s="110">
        <f>'Proposed Rates'!J341</f>
        <v>102</v>
      </c>
      <c r="E481" s="54"/>
      <c r="F481" s="54"/>
      <c r="G481" s="54"/>
      <c r="H481" s="54"/>
      <c r="I481" s="54"/>
      <c r="J481" s="54"/>
      <c r="K481" s="54"/>
      <c r="L481" s="54"/>
      <c r="M481" s="54"/>
      <c r="N481" s="54"/>
      <c r="O481" s="54"/>
      <c r="P481" s="54"/>
      <c r="Q481" s="54"/>
      <c r="R481" s="54"/>
      <c r="S481" s="54"/>
      <c r="T481" s="54"/>
      <c r="U481" s="54"/>
      <c r="V481" s="54"/>
      <c r="W481" s="54"/>
      <c r="X481" s="54"/>
      <c r="Y481" s="54"/>
      <c r="Z481" s="54"/>
    </row>
    <row r="482" spans="1:26" ht="11.25" customHeight="1">
      <c r="A482" s="603" t="s">
        <v>134</v>
      </c>
      <c r="B482" s="590"/>
      <c r="C482" s="65" t="s">
        <v>42</v>
      </c>
      <c r="D482" s="110">
        <f>'Proposed Rates'!J342</f>
        <v>345</v>
      </c>
      <c r="E482" s="54"/>
      <c r="F482" s="54"/>
      <c r="G482" s="54"/>
      <c r="H482" s="54"/>
      <c r="I482" s="54"/>
      <c r="J482" s="54"/>
      <c r="K482" s="54"/>
      <c r="L482" s="54"/>
      <c r="M482" s="54"/>
      <c r="N482" s="54"/>
      <c r="O482" s="54"/>
      <c r="P482" s="54"/>
      <c r="Q482" s="54"/>
      <c r="R482" s="54"/>
      <c r="S482" s="54"/>
      <c r="T482" s="54"/>
      <c r="U482" s="54"/>
      <c r="V482" s="54"/>
      <c r="W482" s="54"/>
      <c r="X482" s="54"/>
      <c r="Y482" s="54"/>
      <c r="Z482" s="54"/>
    </row>
    <row r="483" spans="1:26" ht="11.25" customHeight="1">
      <c r="A483" s="603" t="s">
        <v>135</v>
      </c>
      <c r="B483" s="590"/>
      <c r="C483" s="65" t="s">
        <v>42</v>
      </c>
      <c r="D483" s="110">
        <f>'Proposed Rates'!J343</f>
        <v>521</v>
      </c>
      <c r="E483" s="54"/>
      <c r="F483" s="54"/>
      <c r="G483" s="54"/>
      <c r="H483" s="54"/>
      <c r="I483" s="54"/>
      <c r="J483" s="54"/>
      <c r="K483" s="54"/>
      <c r="L483" s="54"/>
      <c r="M483" s="54"/>
      <c r="N483" s="54"/>
      <c r="O483" s="54"/>
      <c r="P483" s="54"/>
      <c r="Q483" s="54"/>
      <c r="R483" s="54"/>
      <c r="S483" s="54"/>
      <c r="T483" s="54"/>
      <c r="U483" s="54"/>
      <c r="V483" s="54"/>
      <c r="W483" s="54"/>
      <c r="X483" s="54"/>
      <c r="Y483" s="54"/>
      <c r="Z483" s="54"/>
    </row>
    <row r="484" spans="1:26" ht="6.75" customHeight="1">
      <c r="A484" s="89"/>
      <c r="B484" s="89"/>
      <c r="C484" s="65"/>
      <c r="D484" s="74"/>
      <c r="E484" s="54"/>
      <c r="F484" s="54"/>
      <c r="G484" s="54"/>
      <c r="H484" s="54"/>
      <c r="I484" s="54"/>
      <c r="J484" s="54"/>
      <c r="K484" s="54"/>
      <c r="L484" s="54"/>
      <c r="M484" s="54"/>
      <c r="N484" s="54"/>
      <c r="O484" s="54"/>
      <c r="P484" s="54"/>
      <c r="Q484" s="54"/>
      <c r="R484" s="54"/>
      <c r="S484" s="54"/>
      <c r="T484" s="54"/>
      <c r="U484" s="54"/>
      <c r="V484" s="54"/>
      <c r="W484" s="54"/>
      <c r="X484" s="54"/>
      <c r="Y484" s="54"/>
      <c r="Z484" s="54"/>
    </row>
    <row r="485" spans="1:26" ht="15" customHeight="1">
      <c r="A485" s="109" t="s">
        <v>136</v>
      </c>
      <c r="B485" s="106"/>
      <c r="C485" s="95"/>
      <c r="D485" s="74"/>
      <c r="E485" s="54"/>
      <c r="F485" s="54"/>
      <c r="G485" s="54"/>
      <c r="H485" s="54"/>
      <c r="I485" s="54"/>
      <c r="J485" s="54"/>
      <c r="K485" s="54"/>
      <c r="L485" s="54"/>
      <c r="M485" s="54"/>
      <c r="N485" s="54"/>
      <c r="O485" s="54"/>
      <c r="P485" s="54"/>
      <c r="Q485" s="54"/>
      <c r="R485" s="54"/>
      <c r="S485" s="54"/>
      <c r="T485" s="54"/>
      <c r="U485" s="54"/>
      <c r="V485" s="54"/>
      <c r="W485" s="54"/>
      <c r="X485" s="54"/>
      <c r="Y485" s="54"/>
      <c r="Z485" s="54"/>
    </row>
    <row r="486" spans="1:26" ht="11.25" customHeight="1">
      <c r="A486" s="603" t="s">
        <v>137</v>
      </c>
      <c r="B486" s="590"/>
      <c r="C486" s="65" t="s">
        <v>42</v>
      </c>
      <c r="D486" s="110">
        <f>'Proposed Rates'!J346</f>
        <v>1172</v>
      </c>
      <c r="E486" s="54"/>
      <c r="F486" s="54"/>
      <c r="G486" s="54"/>
      <c r="H486" s="54"/>
      <c r="I486" s="54"/>
      <c r="J486" s="54"/>
      <c r="K486" s="54"/>
      <c r="L486" s="54"/>
      <c r="M486" s="54"/>
      <c r="N486" s="54"/>
      <c r="O486" s="54"/>
      <c r="P486" s="54"/>
      <c r="Q486" s="54"/>
      <c r="R486" s="54"/>
      <c r="S486" s="54"/>
      <c r="T486" s="54"/>
      <c r="U486" s="54"/>
      <c r="V486" s="54"/>
      <c r="W486" s="54"/>
      <c r="X486" s="54"/>
      <c r="Y486" s="54"/>
      <c r="Z486" s="54"/>
    </row>
    <row r="487" spans="1:26" ht="11.25" customHeight="1">
      <c r="A487" s="603" t="s">
        <v>138</v>
      </c>
      <c r="B487" s="590"/>
      <c r="C487" s="65" t="s">
        <v>42</v>
      </c>
      <c r="D487" s="110">
        <f>'Proposed Rates'!J347</f>
        <v>1546</v>
      </c>
      <c r="E487" s="54"/>
      <c r="F487" s="54"/>
      <c r="G487" s="54"/>
      <c r="H487" s="54"/>
      <c r="I487" s="54"/>
      <c r="J487" s="54"/>
      <c r="K487" s="54"/>
      <c r="L487" s="54"/>
      <c r="M487" s="54"/>
      <c r="N487" s="54"/>
      <c r="O487" s="54"/>
      <c r="P487" s="54"/>
      <c r="Q487" s="54"/>
      <c r="R487" s="54"/>
      <c r="S487" s="54"/>
      <c r="T487" s="54"/>
      <c r="U487" s="54"/>
      <c r="V487" s="54"/>
      <c r="W487" s="54"/>
      <c r="X487" s="54"/>
      <c r="Y487" s="54"/>
      <c r="Z487" s="54"/>
    </row>
    <row r="488" spans="1:26" ht="11.25" customHeight="1">
      <c r="A488" s="603" t="s">
        <v>139</v>
      </c>
      <c r="B488" s="590"/>
      <c r="C488" s="65" t="s">
        <v>42</v>
      </c>
      <c r="D488" s="110">
        <f>'Proposed Rates'!J348</f>
        <v>5445</v>
      </c>
      <c r="E488" s="54"/>
      <c r="F488" s="54"/>
      <c r="G488" s="54"/>
      <c r="H488" s="54"/>
      <c r="I488" s="54"/>
      <c r="J488" s="54"/>
      <c r="K488" s="54"/>
      <c r="L488" s="54"/>
      <c r="M488" s="54"/>
      <c r="N488" s="54"/>
      <c r="O488" s="54"/>
      <c r="P488" s="54"/>
      <c r="Q488" s="54"/>
      <c r="R488" s="54"/>
      <c r="S488" s="54"/>
      <c r="T488" s="54"/>
      <c r="U488" s="54"/>
      <c r="V488" s="54"/>
      <c r="W488" s="54"/>
      <c r="X488" s="54"/>
      <c r="Y488" s="54"/>
      <c r="Z488" s="54"/>
    </row>
    <row r="489" spans="1:26" ht="11.25" customHeight="1">
      <c r="A489" s="63" t="s">
        <v>140</v>
      </c>
      <c r="B489" s="64"/>
      <c r="C489" s="65" t="s">
        <v>42</v>
      </c>
      <c r="D489" s="103">
        <f>'Proposed Rates'!J349</f>
        <v>40.590000000000003</v>
      </c>
      <c r="E489" s="54"/>
      <c r="F489" s="54"/>
      <c r="G489" s="54"/>
      <c r="H489" s="54"/>
      <c r="I489" s="54"/>
      <c r="J489" s="54"/>
      <c r="K489" s="54"/>
      <c r="L489" s="54"/>
      <c r="M489" s="54"/>
      <c r="N489" s="54"/>
      <c r="O489" s="54"/>
      <c r="P489" s="54"/>
      <c r="Q489" s="54"/>
      <c r="R489" s="54"/>
      <c r="S489" s="54"/>
      <c r="T489" s="54"/>
      <c r="U489" s="54"/>
      <c r="V489" s="54"/>
      <c r="W489" s="54"/>
      <c r="X489" s="54"/>
      <c r="Y489" s="54"/>
      <c r="Z489" s="54"/>
    </row>
    <row r="490" spans="1:26" ht="11.25" customHeight="1">
      <c r="A490" s="603" t="s">
        <v>141</v>
      </c>
      <c r="B490" s="590"/>
      <c r="C490" s="65"/>
      <c r="D490" s="74" t="str">
        <f>'Proposed Rates'!J350</f>
        <v>Per Attached Table</v>
      </c>
      <c r="E490" s="54"/>
      <c r="F490" s="54"/>
      <c r="G490" s="54"/>
      <c r="H490" s="54"/>
      <c r="I490" s="54"/>
      <c r="J490" s="54"/>
      <c r="K490" s="54"/>
      <c r="L490" s="54"/>
      <c r="M490" s="54"/>
      <c r="N490" s="54"/>
      <c r="O490" s="54"/>
      <c r="P490" s="54"/>
      <c r="Q490" s="54"/>
      <c r="R490" s="54"/>
      <c r="S490" s="54"/>
      <c r="T490" s="54"/>
      <c r="U490" s="54"/>
      <c r="V490" s="54"/>
      <c r="W490" s="54"/>
      <c r="X490" s="54"/>
      <c r="Y490" s="54"/>
      <c r="Z490" s="54"/>
    </row>
    <row r="491" spans="1:26" ht="11.25" customHeight="1">
      <c r="A491" s="603" t="s">
        <v>142</v>
      </c>
      <c r="B491" s="590"/>
      <c r="C491" s="65" t="s">
        <v>42</v>
      </c>
      <c r="D491" s="110">
        <f>'Proposed Rates'!J351</f>
        <v>179</v>
      </c>
      <c r="E491" s="54"/>
      <c r="F491" s="54"/>
      <c r="G491" s="54"/>
      <c r="H491" s="54"/>
      <c r="I491" s="54"/>
      <c r="J491" s="54"/>
      <c r="K491" s="54"/>
      <c r="L491" s="54"/>
      <c r="M491" s="54"/>
      <c r="N491" s="54"/>
      <c r="O491" s="54"/>
      <c r="P491" s="54"/>
      <c r="Q491" s="54"/>
      <c r="R491" s="54"/>
      <c r="S491" s="54"/>
      <c r="T491" s="54"/>
      <c r="U491" s="54"/>
      <c r="V491" s="54"/>
      <c r="W491" s="54"/>
      <c r="X491" s="54"/>
      <c r="Y491" s="54"/>
      <c r="Z491" s="54"/>
    </row>
    <row r="492" spans="1:26" ht="11.25" customHeight="1">
      <c r="A492" s="603"/>
      <c r="B492" s="590"/>
      <c r="C492" s="65"/>
      <c r="D492" s="74"/>
      <c r="E492" s="54"/>
      <c r="F492" s="54"/>
      <c r="G492" s="54"/>
      <c r="H492" s="54"/>
      <c r="I492" s="54"/>
      <c r="J492" s="54"/>
      <c r="K492" s="54"/>
      <c r="L492" s="54"/>
      <c r="M492" s="54"/>
      <c r="N492" s="54"/>
      <c r="O492" s="54"/>
      <c r="P492" s="54"/>
      <c r="Q492" s="54"/>
      <c r="R492" s="54"/>
      <c r="S492" s="54"/>
      <c r="T492" s="54"/>
      <c r="U492" s="54"/>
      <c r="V492" s="54"/>
      <c r="W492" s="54"/>
      <c r="X492" s="54"/>
      <c r="Y492" s="54"/>
      <c r="Z492" s="54"/>
    </row>
    <row r="493" spans="1:26" ht="24" customHeight="1">
      <c r="A493" s="588" t="str">
        <f>$A$1</f>
        <v>Hydro Ottawa Limited</v>
      </c>
      <c r="B493" s="589"/>
      <c r="C493" s="589"/>
      <c r="D493" s="590"/>
      <c r="E493" s="54"/>
      <c r="F493" s="54"/>
      <c r="G493" s="54"/>
      <c r="H493" s="54"/>
      <c r="I493" s="54"/>
      <c r="J493" s="54"/>
      <c r="K493" s="54"/>
      <c r="L493" s="54"/>
      <c r="M493" s="54"/>
      <c r="N493" s="54"/>
      <c r="O493" s="54"/>
      <c r="P493" s="54"/>
      <c r="Q493" s="54"/>
      <c r="R493" s="54"/>
      <c r="S493" s="54"/>
      <c r="T493" s="54"/>
      <c r="U493" s="54"/>
      <c r="V493" s="54"/>
      <c r="W493" s="54"/>
      <c r="X493" s="54"/>
      <c r="Y493" s="54"/>
      <c r="Z493" s="54"/>
    </row>
    <row r="494" spans="1:26" ht="15.75" customHeight="1">
      <c r="A494" s="591" t="str">
        <f>$A$2</f>
        <v>PROPOSED - TARIFF OF RATES AND CHARGES</v>
      </c>
      <c r="B494" s="589"/>
      <c r="C494" s="589"/>
      <c r="D494" s="590"/>
      <c r="E494" s="54"/>
      <c r="F494" s="54"/>
      <c r="G494" s="54"/>
      <c r="H494" s="54"/>
      <c r="I494" s="54"/>
      <c r="J494" s="54"/>
      <c r="K494" s="54"/>
      <c r="L494" s="54"/>
      <c r="M494" s="54"/>
      <c r="N494" s="54"/>
      <c r="O494" s="54"/>
      <c r="P494" s="54"/>
      <c r="Q494" s="54"/>
      <c r="R494" s="54"/>
      <c r="S494" s="54"/>
      <c r="T494" s="54"/>
      <c r="U494" s="54"/>
      <c r="V494" s="54"/>
      <c r="W494" s="54"/>
      <c r="X494" s="54"/>
      <c r="Y494" s="54"/>
      <c r="Z494" s="54"/>
    </row>
    <row r="495" spans="1:26" ht="15.75" customHeight="1">
      <c r="A495" s="592" t="str">
        <f>$A$3</f>
        <v>Effective and Implementation Date January 1, 2030</v>
      </c>
      <c r="B495" s="589"/>
      <c r="C495" s="589"/>
      <c r="D495" s="590"/>
      <c r="E495" s="54"/>
      <c r="F495" s="54"/>
      <c r="G495" s="54"/>
      <c r="H495" s="54"/>
      <c r="I495" s="54"/>
      <c r="J495" s="54"/>
      <c r="K495" s="54"/>
      <c r="L495" s="54"/>
      <c r="M495" s="54"/>
      <c r="N495" s="54"/>
      <c r="O495" s="54"/>
      <c r="P495" s="54"/>
      <c r="Q495" s="54"/>
      <c r="R495" s="54"/>
      <c r="S495" s="54"/>
      <c r="T495" s="54"/>
      <c r="U495" s="54"/>
      <c r="V495" s="54"/>
      <c r="W495" s="54"/>
      <c r="X495" s="54"/>
      <c r="Y495" s="54"/>
      <c r="Z495" s="54"/>
    </row>
    <row r="496" spans="1:26" ht="12" customHeight="1">
      <c r="A496" s="593" t="str">
        <f>$A$4</f>
        <v>This schedule supersedes and replaces all previously</v>
      </c>
      <c r="B496" s="589"/>
      <c r="C496" s="589"/>
      <c r="D496" s="590"/>
      <c r="E496" s="54"/>
      <c r="F496" s="54"/>
      <c r="G496" s="54"/>
      <c r="H496" s="54"/>
      <c r="I496" s="54"/>
      <c r="J496" s="54"/>
      <c r="K496" s="54"/>
      <c r="L496" s="54"/>
      <c r="M496" s="54"/>
      <c r="N496" s="54"/>
      <c r="O496" s="54"/>
      <c r="P496" s="54"/>
      <c r="Q496" s="54"/>
      <c r="R496" s="54"/>
      <c r="S496" s="54"/>
      <c r="T496" s="54"/>
      <c r="U496" s="54"/>
      <c r="V496" s="54"/>
      <c r="W496" s="54"/>
      <c r="X496" s="54"/>
      <c r="Y496" s="54"/>
      <c r="Z496" s="54"/>
    </row>
    <row r="497" spans="1:26" ht="11.25" customHeight="1">
      <c r="A497" s="593" t="str">
        <f>$A$5</f>
        <v>approved schedules of Rates, Charges and Loss Factors</v>
      </c>
      <c r="B497" s="589"/>
      <c r="C497" s="589"/>
      <c r="D497" s="590"/>
      <c r="E497" s="54"/>
      <c r="F497" s="54"/>
      <c r="G497" s="54"/>
      <c r="H497" s="54"/>
      <c r="I497" s="54"/>
      <c r="J497" s="54"/>
      <c r="K497" s="54"/>
      <c r="L497" s="54"/>
      <c r="M497" s="54"/>
      <c r="N497" s="54"/>
      <c r="O497" s="54"/>
      <c r="P497" s="54"/>
      <c r="Q497" s="54"/>
      <c r="R497" s="54"/>
      <c r="S497" s="54"/>
      <c r="T497" s="54"/>
      <c r="U497" s="54"/>
      <c r="V497" s="54"/>
      <c r="W497" s="54"/>
      <c r="X497" s="54"/>
      <c r="Y497" s="54"/>
      <c r="Z497" s="54"/>
    </row>
    <row r="498" spans="1:26" ht="11.25" customHeight="1">
      <c r="A498" s="594" t="str">
        <f>$A$6</f>
        <v>EB-2024-0115</v>
      </c>
      <c r="B498" s="589"/>
      <c r="C498" s="589"/>
      <c r="D498" s="590"/>
      <c r="E498" s="54"/>
      <c r="F498" s="54"/>
      <c r="G498" s="54"/>
      <c r="H498" s="54"/>
      <c r="I498" s="54"/>
      <c r="J498" s="54"/>
      <c r="K498" s="54"/>
      <c r="L498" s="54"/>
      <c r="M498" s="54"/>
      <c r="N498" s="54"/>
      <c r="O498" s="54"/>
      <c r="P498" s="54"/>
      <c r="Q498" s="54"/>
      <c r="R498" s="54"/>
      <c r="S498" s="54"/>
      <c r="T498" s="54"/>
      <c r="U498" s="54"/>
      <c r="V498" s="54"/>
      <c r="W498" s="54"/>
      <c r="X498" s="54"/>
      <c r="Y498" s="54"/>
      <c r="Z498" s="54"/>
    </row>
    <row r="499" spans="1:26" ht="18" customHeight="1">
      <c r="A499" s="105" t="s">
        <v>143</v>
      </c>
      <c r="B499" s="106"/>
      <c r="C499" s="106"/>
      <c r="D499" s="77"/>
      <c r="E499" s="54"/>
      <c r="F499" s="54"/>
      <c r="G499" s="54"/>
      <c r="H499" s="54"/>
      <c r="I499" s="54"/>
      <c r="J499" s="54"/>
      <c r="K499" s="54"/>
      <c r="L499" s="54"/>
      <c r="M499" s="54"/>
      <c r="N499" s="54"/>
      <c r="O499" s="54"/>
      <c r="P499" s="54"/>
      <c r="Q499" s="54"/>
      <c r="R499" s="54"/>
      <c r="S499" s="54"/>
      <c r="T499" s="54"/>
      <c r="U499" s="54"/>
      <c r="V499" s="54"/>
      <c r="W499" s="54"/>
      <c r="X499" s="54"/>
      <c r="Y499" s="54"/>
      <c r="Z499" s="54"/>
    </row>
    <row r="500" spans="1:26" ht="6.75" customHeight="1">
      <c r="A500" s="105"/>
      <c r="B500" s="106"/>
      <c r="C500" s="106"/>
      <c r="D500" s="77"/>
      <c r="E500" s="54"/>
      <c r="F500" s="54"/>
      <c r="G500" s="54"/>
      <c r="H500" s="54"/>
      <c r="I500" s="54"/>
      <c r="J500" s="54"/>
      <c r="K500" s="54"/>
      <c r="L500" s="54"/>
      <c r="M500" s="54"/>
      <c r="N500" s="54"/>
      <c r="O500" s="54"/>
      <c r="P500" s="54"/>
      <c r="Q500" s="54"/>
      <c r="R500" s="54"/>
      <c r="S500" s="54"/>
      <c r="T500" s="54"/>
      <c r="U500" s="54"/>
      <c r="V500" s="54"/>
      <c r="W500" s="54"/>
      <c r="X500" s="54"/>
      <c r="Y500" s="54"/>
      <c r="Z500" s="54"/>
    </row>
    <row r="501" spans="1:26" ht="36" customHeight="1">
      <c r="A501" s="596" t="s">
        <v>144</v>
      </c>
      <c r="B501" s="589"/>
      <c r="C501" s="589"/>
      <c r="D501" s="590"/>
      <c r="E501" s="54"/>
      <c r="F501" s="54"/>
      <c r="G501" s="54"/>
      <c r="H501" s="54"/>
      <c r="I501" s="54"/>
      <c r="J501" s="54"/>
      <c r="K501" s="54"/>
      <c r="L501" s="54"/>
      <c r="M501" s="54"/>
      <c r="N501" s="54"/>
      <c r="O501" s="54"/>
      <c r="P501" s="54"/>
      <c r="Q501" s="54"/>
      <c r="R501" s="54"/>
      <c r="S501" s="54"/>
      <c r="T501" s="54"/>
      <c r="U501" s="54"/>
      <c r="V501" s="54"/>
      <c r="W501" s="54"/>
      <c r="X501" s="54"/>
      <c r="Y501" s="54"/>
      <c r="Z501" s="54"/>
    </row>
    <row r="502" spans="1:26" ht="6.75" customHeight="1">
      <c r="A502" s="55"/>
      <c r="B502" s="55"/>
      <c r="C502" s="55"/>
      <c r="D502" s="56"/>
      <c r="E502" s="54"/>
      <c r="F502" s="54"/>
      <c r="G502" s="54"/>
      <c r="H502" s="54"/>
      <c r="I502" s="54"/>
      <c r="J502" s="54"/>
      <c r="K502" s="54"/>
      <c r="L502" s="54"/>
      <c r="M502" s="54"/>
      <c r="N502" s="54"/>
      <c r="O502" s="54"/>
      <c r="P502" s="54"/>
      <c r="Q502" s="54"/>
      <c r="R502" s="54"/>
      <c r="S502" s="54"/>
      <c r="T502" s="54"/>
      <c r="U502" s="54"/>
      <c r="V502" s="54"/>
      <c r="W502" s="54"/>
      <c r="X502" s="54"/>
      <c r="Y502" s="54"/>
      <c r="Z502" s="54"/>
    </row>
    <row r="503" spans="1:26" ht="48" customHeight="1">
      <c r="A503" s="596" t="s">
        <v>37</v>
      </c>
      <c r="B503" s="589"/>
      <c r="C503" s="589"/>
      <c r="D503" s="590"/>
      <c r="E503" s="54"/>
      <c r="F503" s="54"/>
      <c r="G503" s="54"/>
      <c r="H503" s="54"/>
      <c r="I503" s="54"/>
      <c r="J503" s="54"/>
      <c r="K503" s="54"/>
      <c r="L503" s="54"/>
      <c r="M503" s="54"/>
      <c r="N503" s="54"/>
      <c r="O503" s="54"/>
      <c r="P503" s="54"/>
      <c r="Q503" s="54"/>
      <c r="R503" s="54"/>
      <c r="S503" s="54"/>
      <c r="T503" s="54"/>
      <c r="U503" s="54"/>
      <c r="V503" s="54"/>
      <c r="W503" s="54"/>
      <c r="X503" s="54"/>
      <c r="Y503" s="54"/>
      <c r="Z503" s="54"/>
    </row>
    <row r="504" spans="1:26" ht="6.75" customHeight="1">
      <c r="A504" s="55"/>
      <c r="B504" s="55"/>
      <c r="C504" s="55"/>
      <c r="D504" s="56"/>
      <c r="E504" s="54"/>
      <c r="F504" s="54"/>
      <c r="G504" s="54"/>
      <c r="H504" s="54"/>
      <c r="I504" s="54"/>
      <c r="J504" s="54"/>
      <c r="K504" s="54"/>
      <c r="L504" s="54"/>
      <c r="M504" s="54"/>
      <c r="N504" s="54"/>
      <c r="O504" s="54"/>
      <c r="P504" s="54"/>
      <c r="Q504" s="54"/>
      <c r="R504" s="54"/>
      <c r="S504" s="54"/>
      <c r="T504" s="54"/>
      <c r="U504" s="54"/>
      <c r="V504" s="54"/>
      <c r="W504" s="54"/>
      <c r="X504" s="54"/>
      <c r="Y504" s="54"/>
      <c r="Z504" s="54"/>
    </row>
    <row r="505" spans="1:26" ht="24" customHeight="1">
      <c r="A505" s="596" t="s">
        <v>88</v>
      </c>
      <c r="B505" s="589"/>
      <c r="C505" s="589"/>
      <c r="D505" s="590"/>
      <c r="E505" s="54"/>
      <c r="F505" s="54"/>
      <c r="G505" s="54"/>
      <c r="H505" s="54"/>
      <c r="I505" s="54"/>
      <c r="J505" s="54"/>
      <c r="K505" s="54"/>
      <c r="L505" s="54"/>
      <c r="M505" s="54"/>
      <c r="N505" s="54"/>
      <c r="O505" s="54"/>
      <c r="P505" s="54"/>
      <c r="Q505" s="54"/>
      <c r="R505" s="54"/>
      <c r="S505" s="54"/>
      <c r="T505" s="54"/>
      <c r="U505" s="54"/>
      <c r="V505" s="54"/>
      <c r="W505" s="54"/>
      <c r="X505" s="54"/>
      <c r="Y505" s="54"/>
      <c r="Z505" s="54"/>
    </row>
    <row r="506" spans="1:26" ht="6.75" customHeight="1">
      <c r="A506" s="55"/>
      <c r="B506" s="55"/>
      <c r="C506" s="55"/>
      <c r="D506" s="56"/>
      <c r="E506" s="54"/>
      <c r="F506" s="54"/>
      <c r="G506" s="54"/>
      <c r="H506" s="54"/>
      <c r="I506" s="54"/>
      <c r="J506" s="54"/>
      <c r="K506" s="54"/>
      <c r="L506" s="54"/>
      <c r="M506" s="54"/>
      <c r="N506" s="54"/>
      <c r="O506" s="54"/>
      <c r="P506" s="54"/>
      <c r="Q506" s="54"/>
      <c r="R506" s="54"/>
      <c r="S506" s="54"/>
      <c r="T506" s="54"/>
      <c r="U506" s="54"/>
      <c r="V506" s="54"/>
      <c r="W506" s="54"/>
      <c r="X506" s="54"/>
      <c r="Y506" s="54"/>
      <c r="Z506" s="54"/>
    </row>
    <row r="507" spans="1:26" ht="36" customHeight="1">
      <c r="A507" s="596" t="s">
        <v>39</v>
      </c>
      <c r="B507" s="589"/>
      <c r="C507" s="589"/>
      <c r="D507" s="590"/>
      <c r="E507" s="54"/>
      <c r="F507" s="54"/>
      <c r="G507" s="54"/>
      <c r="H507" s="54"/>
      <c r="I507" s="54"/>
      <c r="J507" s="54"/>
      <c r="K507" s="54"/>
      <c r="L507" s="54"/>
      <c r="M507" s="54"/>
      <c r="N507" s="54"/>
      <c r="O507" s="54"/>
      <c r="P507" s="54"/>
      <c r="Q507" s="54"/>
      <c r="R507" s="54"/>
      <c r="S507" s="54"/>
      <c r="T507" s="54"/>
      <c r="U507" s="54"/>
      <c r="V507" s="54"/>
      <c r="W507" s="54"/>
      <c r="X507" s="54"/>
      <c r="Y507" s="54"/>
      <c r="Z507" s="54"/>
    </row>
    <row r="508" spans="1:26" ht="6.75" customHeight="1">
      <c r="A508" s="55"/>
      <c r="B508" s="55"/>
      <c r="C508" s="55"/>
      <c r="D508" s="56"/>
      <c r="E508" s="54"/>
      <c r="F508" s="54"/>
      <c r="G508" s="54"/>
      <c r="H508" s="54"/>
      <c r="I508" s="54"/>
      <c r="J508" s="54"/>
      <c r="K508" s="54"/>
      <c r="L508" s="54"/>
      <c r="M508" s="54"/>
      <c r="N508" s="54"/>
      <c r="O508" s="54"/>
      <c r="P508" s="54"/>
      <c r="Q508" s="54"/>
      <c r="R508" s="54"/>
      <c r="S508" s="54"/>
      <c r="T508" s="54"/>
      <c r="U508" s="54"/>
      <c r="V508" s="54"/>
      <c r="W508" s="54"/>
      <c r="X508" s="54"/>
      <c r="Y508" s="54"/>
      <c r="Z508" s="54"/>
    </row>
    <row r="509" spans="1:26" ht="24" customHeight="1">
      <c r="A509" s="596" t="s">
        <v>145</v>
      </c>
      <c r="B509" s="589"/>
      <c r="C509" s="589"/>
      <c r="D509" s="590"/>
      <c r="E509" s="54"/>
      <c r="F509" s="54"/>
      <c r="G509" s="54"/>
      <c r="H509" s="54"/>
      <c r="I509" s="54"/>
      <c r="J509" s="54"/>
      <c r="K509" s="54"/>
      <c r="L509" s="54"/>
      <c r="M509" s="54"/>
      <c r="N509" s="54"/>
      <c r="O509" s="54"/>
      <c r="P509" s="54"/>
      <c r="Q509" s="54"/>
      <c r="R509" s="54"/>
      <c r="S509" s="54"/>
      <c r="T509" s="54"/>
      <c r="U509" s="54"/>
      <c r="V509" s="54"/>
      <c r="W509" s="54"/>
      <c r="X509" s="54"/>
      <c r="Y509" s="54"/>
      <c r="Z509" s="54"/>
    </row>
    <row r="510" spans="1:26" ht="7.5" customHeight="1">
      <c r="A510" s="311"/>
      <c r="B510" s="311"/>
      <c r="C510" s="311"/>
      <c r="D510" s="312"/>
      <c r="E510" s="54"/>
      <c r="F510" s="54"/>
      <c r="G510" s="54"/>
      <c r="H510" s="54"/>
      <c r="I510" s="54"/>
      <c r="J510" s="54"/>
      <c r="K510" s="54"/>
      <c r="L510" s="54"/>
      <c r="M510" s="54"/>
      <c r="N510" s="54"/>
      <c r="O510" s="54"/>
      <c r="P510" s="54"/>
      <c r="Q510" s="54"/>
      <c r="R510" s="54"/>
      <c r="S510" s="54"/>
      <c r="T510" s="54"/>
      <c r="U510" s="54"/>
      <c r="V510" s="54"/>
      <c r="W510" s="54"/>
      <c r="X510" s="54"/>
      <c r="Y510" s="54"/>
      <c r="Z510" s="54"/>
    </row>
    <row r="511" spans="1:26" ht="11.25" customHeight="1">
      <c r="A511" s="63" t="s">
        <v>146</v>
      </c>
      <c r="B511" s="64"/>
      <c r="C511" s="112" t="s">
        <v>42</v>
      </c>
      <c r="D511" s="308">
        <f>'Proposed Rates'!J354</f>
        <v>125.72</v>
      </c>
      <c r="E511" s="54"/>
      <c r="F511" s="54"/>
      <c r="G511" s="54"/>
      <c r="H511" s="54"/>
      <c r="I511" s="54"/>
      <c r="J511" s="54"/>
      <c r="K511" s="54"/>
      <c r="L511" s="54"/>
      <c r="M511" s="54"/>
      <c r="N511" s="54"/>
      <c r="O511" s="54"/>
      <c r="P511" s="54"/>
      <c r="Q511" s="54"/>
      <c r="R511" s="54"/>
      <c r="S511" s="54"/>
      <c r="T511" s="54"/>
      <c r="U511" s="54"/>
      <c r="V511" s="54"/>
      <c r="W511" s="54"/>
      <c r="X511" s="54"/>
      <c r="Y511" s="54"/>
      <c r="Z511" s="54"/>
    </row>
    <row r="512" spans="1:26" ht="11.25" customHeight="1">
      <c r="A512" s="63" t="s">
        <v>147</v>
      </c>
      <c r="B512" s="64"/>
      <c r="C512" s="112" t="s">
        <v>42</v>
      </c>
      <c r="D512" s="308">
        <f>'Proposed Rates'!J355</f>
        <v>50.29</v>
      </c>
      <c r="E512" s="54"/>
      <c r="F512" s="54"/>
      <c r="G512" s="54"/>
      <c r="H512" s="54"/>
      <c r="I512" s="54"/>
      <c r="J512" s="54"/>
      <c r="K512" s="54"/>
      <c r="L512" s="54"/>
      <c r="M512" s="54"/>
      <c r="N512" s="54"/>
      <c r="O512" s="54"/>
      <c r="P512" s="54"/>
      <c r="Q512" s="54"/>
      <c r="R512" s="54"/>
      <c r="S512" s="54"/>
      <c r="T512" s="54"/>
      <c r="U512" s="54"/>
      <c r="V512" s="54"/>
      <c r="W512" s="54"/>
      <c r="X512" s="54"/>
      <c r="Y512" s="54"/>
      <c r="Z512" s="54"/>
    </row>
    <row r="513" spans="1:26" ht="11.25" customHeight="1">
      <c r="A513" s="63" t="s">
        <v>148</v>
      </c>
      <c r="B513" s="64"/>
      <c r="C513" s="112" t="s">
        <v>149</v>
      </c>
      <c r="D513" s="308">
        <f>'Proposed Rates'!J356</f>
        <v>1.24</v>
      </c>
      <c r="E513" s="54"/>
      <c r="F513" s="54"/>
      <c r="G513" s="54"/>
      <c r="H513" s="54"/>
      <c r="I513" s="54"/>
      <c r="J513" s="54"/>
      <c r="K513" s="54"/>
      <c r="L513" s="54"/>
      <c r="M513" s="54"/>
      <c r="N513" s="54"/>
      <c r="O513" s="54"/>
      <c r="P513" s="54"/>
      <c r="Q513" s="54"/>
      <c r="R513" s="54"/>
      <c r="S513" s="54"/>
      <c r="T513" s="54"/>
      <c r="U513" s="54"/>
      <c r="V513" s="54"/>
      <c r="W513" s="54"/>
      <c r="X513" s="54"/>
      <c r="Y513" s="54"/>
      <c r="Z513" s="54"/>
    </row>
    <row r="514" spans="1:26" ht="11.25" customHeight="1">
      <c r="A514" s="63" t="s">
        <v>150</v>
      </c>
      <c r="B514" s="64"/>
      <c r="C514" s="112" t="s">
        <v>149</v>
      </c>
      <c r="D514" s="308">
        <f>'Proposed Rates'!J357</f>
        <v>0.74</v>
      </c>
      <c r="E514" s="54"/>
      <c r="F514" s="54"/>
      <c r="G514" s="54"/>
      <c r="H514" s="54"/>
      <c r="I514" s="54"/>
      <c r="J514" s="54"/>
      <c r="K514" s="54"/>
      <c r="L514" s="54"/>
      <c r="M514" s="54"/>
      <c r="N514" s="54"/>
      <c r="O514" s="54"/>
      <c r="P514" s="54"/>
      <c r="Q514" s="54"/>
      <c r="R514" s="54"/>
      <c r="S514" s="54"/>
      <c r="T514" s="54"/>
      <c r="U514" s="54"/>
      <c r="V514" s="54"/>
      <c r="W514" s="54"/>
      <c r="X514" s="54"/>
      <c r="Y514" s="54"/>
      <c r="Z514" s="54"/>
    </row>
    <row r="515" spans="1:26" ht="11.25" customHeight="1">
      <c r="A515" s="63" t="s">
        <v>151</v>
      </c>
      <c r="B515" s="64"/>
      <c r="C515" s="112" t="s">
        <v>149</v>
      </c>
      <c r="D515" s="308">
        <f>'Proposed Rates'!J358</f>
        <v>-0.74</v>
      </c>
      <c r="E515" s="54"/>
      <c r="F515" s="54"/>
      <c r="G515" s="54"/>
      <c r="H515" s="54"/>
      <c r="I515" s="54"/>
      <c r="J515" s="54"/>
      <c r="K515" s="54"/>
      <c r="L515" s="54"/>
      <c r="M515" s="54"/>
      <c r="N515" s="54"/>
      <c r="O515" s="54"/>
      <c r="P515" s="54"/>
      <c r="Q515" s="54"/>
      <c r="R515" s="54"/>
      <c r="S515" s="54"/>
      <c r="T515" s="54"/>
      <c r="U515" s="54"/>
      <c r="V515" s="54"/>
      <c r="W515" s="54"/>
      <c r="X515" s="54"/>
      <c r="Y515" s="54"/>
      <c r="Z515" s="54"/>
    </row>
    <row r="516" spans="1:26" ht="11.25" customHeight="1">
      <c r="A516" s="63" t="s">
        <v>152</v>
      </c>
      <c r="B516" s="64"/>
      <c r="C516" s="63"/>
      <c r="D516" s="308"/>
      <c r="E516" s="54"/>
      <c r="F516" s="54"/>
      <c r="G516" s="54"/>
      <c r="H516" s="54"/>
      <c r="I516" s="54"/>
      <c r="J516" s="54"/>
      <c r="K516" s="54"/>
      <c r="L516" s="54"/>
      <c r="M516" s="54"/>
      <c r="N516" s="54"/>
      <c r="O516" s="54"/>
      <c r="P516" s="54"/>
      <c r="Q516" s="54"/>
      <c r="R516" s="54"/>
      <c r="S516" s="54"/>
      <c r="T516" s="54"/>
      <c r="U516" s="54"/>
      <c r="V516" s="54"/>
      <c r="W516" s="54"/>
      <c r="X516" s="54"/>
      <c r="Y516" s="54"/>
      <c r="Z516" s="54"/>
    </row>
    <row r="517" spans="1:26" ht="11.25" customHeight="1">
      <c r="A517" s="63" t="s">
        <v>153</v>
      </c>
      <c r="B517" s="64"/>
      <c r="C517" s="112" t="s">
        <v>42</v>
      </c>
      <c r="D517" s="308">
        <f>'Proposed Rates'!J360</f>
        <v>0.63</v>
      </c>
      <c r="E517" s="54"/>
      <c r="F517" s="54"/>
      <c r="G517" s="54"/>
      <c r="H517" s="54"/>
      <c r="I517" s="54"/>
      <c r="J517" s="54"/>
      <c r="K517" s="54"/>
      <c r="L517" s="54"/>
      <c r="M517" s="54"/>
      <c r="N517" s="54"/>
      <c r="O517" s="54"/>
      <c r="P517" s="54"/>
      <c r="Q517" s="54"/>
      <c r="R517" s="54"/>
      <c r="S517" s="54"/>
      <c r="T517" s="54"/>
      <c r="U517" s="54"/>
      <c r="V517" s="54"/>
      <c r="W517" s="54"/>
      <c r="X517" s="54"/>
      <c r="Y517" s="54"/>
      <c r="Z517" s="54"/>
    </row>
    <row r="518" spans="1:26" ht="11.25" customHeight="1">
      <c r="A518" s="63" t="s">
        <v>154</v>
      </c>
      <c r="B518" s="64"/>
      <c r="C518" s="112" t="s">
        <v>42</v>
      </c>
      <c r="D518" s="308">
        <f>'Proposed Rates'!J361</f>
        <v>1.24</v>
      </c>
      <c r="E518" s="54"/>
      <c r="F518" s="54"/>
      <c r="G518" s="54"/>
      <c r="H518" s="54"/>
      <c r="I518" s="54"/>
      <c r="J518" s="54"/>
      <c r="K518" s="54"/>
      <c r="L518" s="54"/>
      <c r="M518" s="54"/>
      <c r="N518" s="54"/>
      <c r="O518" s="54"/>
      <c r="P518" s="54"/>
      <c r="Q518" s="54"/>
      <c r="R518" s="54"/>
      <c r="S518" s="54"/>
      <c r="T518" s="54"/>
      <c r="U518" s="54"/>
      <c r="V518" s="54"/>
      <c r="W518" s="54"/>
      <c r="X518" s="54"/>
      <c r="Y518" s="54"/>
      <c r="Z518" s="54"/>
    </row>
    <row r="519" spans="1:26" ht="5.25" customHeight="1">
      <c r="A519" s="63"/>
      <c r="B519" s="64"/>
      <c r="C519" s="112"/>
      <c r="D519" s="308"/>
      <c r="E519" s="54"/>
      <c r="F519" s="54"/>
      <c r="G519" s="54"/>
      <c r="H519" s="54"/>
      <c r="I519" s="54"/>
      <c r="J519" s="54"/>
      <c r="K519" s="54"/>
      <c r="L519" s="54"/>
      <c r="M519" s="54"/>
      <c r="N519" s="54"/>
      <c r="O519" s="54"/>
      <c r="P519" s="54"/>
      <c r="Q519" s="54"/>
      <c r="R519" s="54"/>
      <c r="S519" s="54"/>
      <c r="T519" s="54"/>
      <c r="U519" s="54"/>
      <c r="V519" s="54"/>
      <c r="W519" s="54"/>
      <c r="X519" s="54"/>
      <c r="Y519" s="54"/>
      <c r="Z519" s="54"/>
    </row>
    <row r="520" spans="1:26" ht="11.25" customHeight="1">
      <c r="A520" s="63" t="s">
        <v>155</v>
      </c>
      <c r="B520" s="64"/>
      <c r="C520" s="115"/>
      <c r="D520" s="308"/>
      <c r="E520" s="54"/>
      <c r="F520" s="54"/>
      <c r="G520" s="54"/>
      <c r="H520" s="54"/>
      <c r="I520" s="54"/>
      <c r="J520" s="54"/>
      <c r="K520" s="54"/>
      <c r="L520" s="54"/>
      <c r="M520" s="54"/>
      <c r="N520" s="54"/>
      <c r="O520" s="54"/>
      <c r="P520" s="54"/>
      <c r="Q520" s="54"/>
      <c r="R520" s="54"/>
      <c r="S520" s="54"/>
      <c r="T520" s="54"/>
      <c r="U520" s="54"/>
      <c r="V520" s="54"/>
      <c r="W520" s="54"/>
      <c r="X520" s="54"/>
      <c r="Y520" s="54"/>
      <c r="Z520" s="54"/>
    </row>
    <row r="521" spans="1:26" ht="11.25" customHeight="1">
      <c r="A521" s="63" t="s">
        <v>156</v>
      </c>
      <c r="B521" s="64"/>
      <c r="C521" s="115"/>
      <c r="D521" s="308"/>
      <c r="E521" s="54"/>
      <c r="F521" s="54"/>
      <c r="G521" s="54"/>
      <c r="H521" s="54"/>
      <c r="I521" s="54"/>
      <c r="J521" s="54"/>
      <c r="K521" s="54"/>
      <c r="L521" s="54"/>
      <c r="M521" s="54"/>
      <c r="N521" s="54"/>
      <c r="O521" s="54"/>
      <c r="P521" s="54"/>
      <c r="Q521" s="54"/>
      <c r="R521" s="54"/>
      <c r="S521" s="54"/>
      <c r="T521" s="54"/>
      <c r="U521" s="54"/>
      <c r="V521" s="54"/>
      <c r="W521" s="54"/>
      <c r="X521" s="54"/>
      <c r="Y521" s="54"/>
      <c r="Z521" s="54"/>
    </row>
    <row r="522" spans="1:26" ht="11.25" customHeight="1">
      <c r="A522" s="63" t="s">
        <v>157</v>
      </c>
      <c r="B522" s="64"/>
      <c r="C522" s="115"/>
      <c r="D522" s="308"/>
      <c r="E522" s="54"/>
      <c r="F522" s="54"/>
      <c r="G522" s="54"/>
      <c r="H522" s="54"/>
      <c r="I522" s="54"/>
      <c r="J522" s="54"/>
      <c r="K522" s="54"/>
      <c r="L522" s="54"/>
      <c r="M522" s="54"/>
      <c r="N522" s="54"/>
      <c r="O522" s="54"/>
      <c r="P522" s="54"/>
      <c r="Q522" s="54"/>
      <c r="R522" s="54"/>
      <c r="S522" s="54"/>
      <c r="T522" s="54"/>
      <c r="U522" s="54"/>
      <c r="V522" s="54"/>
      <c r="W522" s="54"/>
      <c r="X522" s="54"/>
      <c r="Y522" s="54"/>
      <c r="Z522" s="54"/>
    </row>
    <row r="523" spans="1:26" ht="11.25" customHeight="1">
      <c r="A523" s="63" t="s">
        <v>158</v>
      </c>
      <c r="B523" s="64"/>
      <c r="C523" s="112" t="s">
        <v>42</v>
      </c>
      <c r="D523" s="308" t="str">
        <f>'Proposed Rates'!J365</f>
        <v>no charge</v>
      </c>
      <c r="E523" s="54"/>
      <c r="F523" s="54"/>
      <c r="G523" s="54"/>
      <c r="H523" s="54"/>
      <c r="I523" s="54"/>
      <c r="J523" s="54"/>
      <c r="K523" s="54"/>
      <c r="L523" s="54"/>
      <c r="M523" s="54"/>
      <c r="N523" s="54"/>
      <c r="O523" s="54"/>
      <c r="P523" s="54"/>
      <c r="Q523" s="54"/>
      <c r="R523" s="54"/>
      <c r="S523" s="54"/>
      <c r="T523" s="54"/>
      <c r="U523" s="54"/>
      <c r="V523" s="54"/>
      <c r="W523" s="54"/>
      <c r="X523" s="54"/>
      <c r="Y523" s="54"/>
      <c r="Z523" s="54"/>
    </row>
    <row r="524" spans="1:26" ht="11.25" customHeight="1">
      <c r="A524" s="63" t="s">
        <v>159</v>
      </c>
      <c r="B524" s="64"/>
      <c r="C524" s="112" t="s">
        <v>42</v>
      </c>
      <c r="D524" s="308">
        <f>'Proposed Rates'!J366</f>
        <v>5.03</v>
      </c>
      <c r="E524" s="54"/>
      <c r="F524" s="54"/>
      <c r="G524" s="54"/>
      <c r="H524" s="54"/>
      <c r="I524" s="54"/>
      <c r="J524" s="54"/>
      <c r="K524" s="54"/>
      <c r="L524" s="54"/>
      <c r="M524" s="54"/>
      <c r="N524" s="54"/>
      <c r="O524" s="54"/>
      <c r="P524" s="54"/>
      <c r="Q524" s="54"/>
      <c r="R524" s="54"/>
      <c r="S524" s="54"/>
      <c r="T524" s="54"/>
      <c r="U524" s="54"/>
      <c r="V524" s="54"/>
      <c r="W524" s="54"/>
      <c r="X524" s="54"/>
      <c r="Y524" s="54"/>
      <c r="Z524" s="54"/>
    </row>
    <row r="525" spans="1:26" ht="3" customHeight="1">
      <c r="A525" s="63"/>
      <c r="B525" s="64"/>
      <c r="C525" s="112"/>
      <c r="D525" s="308"/>
      <c r="E525" s="54"/>
      <c r="F525" s="54"/>
      <c r="G525" s="54"/>
      <c r="H525" s="54"/>
      <c r="I525" s="54"/>
      <c r="J525" s="54"/>
      <c r="K525" s="54"/>
      <c r="L525" s="54"/>
      <c r="M525" s="54"/>
      <c r="N525" s="54"/>
      <c r="O525" s="54"/>
      <c r="P525" s="54"/>
      <c r="Q525" s="54"/>
      <c r="R525" s="54"/>
      <c r="S525" s="54"/>
      <c r="T525" s="54"/>
      <c r="U525" s="54"/>
      <c r="V525" s="54"/>
      <c r="W525" s="54"/>
      <c r="X525" s="54"/>
      <c r="Y525" s="54"/>
      <c r="Z525" s="54"/>
    </row>
    <row r="526" spans="1:26" ht="11.25" customHeight="1">
      <c r="A526" s="63" t="s">
        <v>160</v>
      </c>
      <c r="B526" s="64"/>
      <c r="C526" s="115"/>
      <c r="D526" s="308"/>
      <c r="E526" s="54"/>
      <c r="F526" s="54"/>
      <c r="G526" s="54"/>
      <c r="H526" s="54"/>
      <c r="I526" s="54"/>
      <c r="J526" s="54"/>
      <c r="K526" s="54"/>
      <c r="L526" s="54"/>
      <c r="M526" s="54"/>
      <c r="N526" s="54"/>
      <c r="O526" s="54"/>
      <c r="P526" s="54"/>
      <c r="Q526" s="54"/>
      <c r="R526" s="54"/>
      <c r="S526" s="54"/>
      <c r="T526" s="54"/>
      <c r="U526" s="54"/>
      <c r="V526" s="54"/>
      <c r="W526" s="54"/>
      <c r="X526" s="54"/>
      <c r="Y526" s="54"/>
      <c r="Z526" s="54"/>
    </row>
    <row r="527" spans="1:26" ht="11.25" customHeight="1">
      <c r="A527" s="63" t="s">
        <v>161</v>
      </c>
      <c r="B527" s="64"/>
      <c r="C527" s="112" t="s">
        <v>42</v>
      </c>
      <c r="D527" s="308">
        <f>'Proposed Rates'!J368</f>
        <v>2.5099999999999998</v>
      </c>
      <c r="E527" s="54"/>
      <c r="F527" s="54"/>
      <c r="G527" s="54"/>
      <c r="H527" s="54"/>
      <c r="I527" s="54"/>
      <c r="J527" s="54"/>
      <c r="K527" s="54"/>
      <c r="L527" s="54"/>
      <c r="M527" s="54"/>
      <c r="N527" s="54"/>
      <c r="O527" s="54"/>
      <c r="P527" s="54"/>
      <c r="Q527" s="54"/>
      <c r="R527" s="54"/>
      <c r="S527" s="54"/>
      <c r="T527" s="54"/>
      <c r="U527" s="54"/>
      <c r="V527" s="54"/>
      <c r="W527" s="54"/>
      <c r="X527" s="54"/>
      <c r="Y527" s="54"/>
      <c r="Z527" s="54"/>
    </row>
    <row r="528" spans="1:26" ht="6.75" customHeight="1">
      <c r="A528" s="73"/>
      <c r="B528" s="73"/>
      <c r="C528" s="112"/>
      <c r="D528" s="97"/>
      <c r="E528" s="54"/>
      <c r="F528" s="54"/>
      <c r="G528" s="54"/>
      <c r="H528" s="54"/>
      <c r="I528" s="54"/>
      <c r="J528" s="54"/>
      <c r="K528" s="54"/>
      <c r="L528" s="54"/>
      <c r="M528" s="54"/>
      <c r="N528" s="54"/>
      <c r="O528" s="54"/>
      <c r="P528" s="54"/>
      <c r="Q528" s="54"/>
      <c r="R528" s="54"/>
      <c r="S528" s="54"/>
      <c r="T528" s="54"/>
      <c r="U528" s="54"/>
      <c r="V528" s="54"/>
      <c r="W528" s="54"/>
      <c r="X528" s="54"/>
      <c r="Y528" s="54"/>
      <c r="Z528" s="54"/>
    </row>
    <row r="529" spans="1:26" ht="24" customHeight="1">
      <c r="A529" s="588" t="str">
        <f>$A$1</f>
        <v>Hydro Ottawa Limited</v>
      </c>
      <c r="B529" s="589"/>
      <c r="C529" s="589"/>
      <c r="D529" s="590"/>
      <c r="E529" s="54"/>
      <c r="F529" s="54"/>
      <c r="G529" s="54"/>
      <c r="H529" s="54"/>
      <c r="I529" s="54"/>
      <c r="J529" s="54"/>
      <c r="K529" s="54"/>
      <c r="L529" s="54"/>
      <c r="M529" s="54"/>
      <c r="N529" s="54"/>
      <c r="O529" s="54"/>
      <c r="P529" s="54"/>
      <c r="Q529" s="54"/>
      <c r="R529" s="54"/>
      <c r="S529" s="54"/>
      <c r="T529" s="54"/>
      <c r="U529" s="54"/>
      <c r="V529" s="54"/>
      <c r="W529" s="54"/>
      <c r="X529" s="54"/>
      <c r="Y529" s="54"/>
      <c r="Z529" s="54"/>
    </row>
    <row r="530" spans="1:26" ht="15.75" customHeight="1">
      <c r="A530" s="591" t="str">
        <f>$A$2</f>
        <v>PROPOSED - TARIFF OF RATES AND CHARGES</v>
      </c>
      <c r="B530" s="589"/>
      <c r="C530" s="589"/>
      <c r="D530" s="590"/>
      <c r="E530" s="54"/>
      <c r="F530" s="54"/>
      <c r="G530" s="54"/>
      <c r="H530" s="54"/>
      <c r="I530" s="54"/>
      <c r="J530" s="54"/>
      <c r="K530" s="54"/>
      <c r="L530" s="54"/>
      <c r="M530" s="54"/>
      <c r="N530" s="54"/>
      <c r="O530" s="54"/>
      <c r="P530" s="54"/>
      <c r="Q530" s="54"/>
      <c r="R530" s="54"/>
      <c r="S530" s="54"/>
      <c r="T530" s="54"/>
      <c r="U530" s="54"/>
      <c r="V530" s="54"/>
      <c r="W530" s="54"/>
      <c r="X530" s="54"/>
      <c r="Y530" s="54"/>
      <c r="Z530" s="54"/>
    </row>
    <row r="531" spans="1:26" ht="15.75" customHeight="1">
      <c r="A531" s="592" t="str">
        <f>$A$3</f>
        <v>Effective and Implementation Date January 1, 2030</v>
      </c>
      <c r="B531" s="589"/>
      <c r="C531" s="589"/>
      <c r="D531" s="590"/>
      <c r="E531" s="54"/>
      <c r="F531" s="54"/>
      <c r="G531" s="54"/>
      <c r="H531" s="54"/>
      <c r="I531" s="54"/>
      <c r="J531" s="54"/>
      <c r="K531" s="54"/>
      <c r="L531" s="54"/>
      <c r="M531" s="54"/>
      <c r="N531" s="54"/>
      <c r="O531" s="54"/>
      <c r="P531" s="54"/>
      <c r="Q531" s="54"/>
      <c r="R531" s="54"/>
      <c r="S531" s="54"/>
      <c r="T531" s="54"/>
      <c r="U531" s="54"/>
      <c r="V531" s="54"/>
      <c r="W531" s="54"/>
      <c r="X531" s="54"/>
      <c r="Y531" s="54"/>
      <c r="Z531" s="54"/>
    </row>
    <row r="532" spans="1:26" ht="12" customHeight="1">
      <c r="A532" s="593" t="str">
        <f>$A$4</f>
        <v>This schedule supersedes and replaces all previously</v>
      </c>
      <c r="B532" s="589"/>
      <c r="C532" s="589"/>
      <c r="D532" s="590"/>
      <c r="E532" s="54"/>
      <c r="F532" s="54"/>
      <c r="G532" s="54"/>
      <c r="H532" s="54"/>
      <c r="I532" s="54"/>
      <c r="J532" s="54"/>
      <c r="K532" s="54"/>
      <c r="L532" s="54"/>
      <c r="M532" s="54"/>
      <c r="N532" s="54"/>
      <c r="O532" s="54"/>
      <c r="P532" s="54"/>
      <c r="Q532" s="54"/>
      <c r="R532" s="54"/>
      <c r="S532" s="54"/>
      <c r="T532" s="54"/>
      <c r="U532" s="54"/>
      <c r="V532" s="54"/>
      <c r="W532" s="54"/>
      <c r="X532" s="54"/>
      <c r="Y532" s="54"/>
      <c r="Z532" s="54"/>
    </row>
    <row r="533" spans="1:26" ht="11.25" customHeight="1">
      <c r="A533" s="593" t="str">
        <f>$A$5</f>
        <v>approved schedules of Rates, Charges and Loss Factors</v>
      </c>
      <c r="B533" s="589"/>
      <c r="C533" s="589"/>
      <c r="D533" s="590"/>
      <c r="E533" s="54"/>
      <c r="F533" s="54"/>
      <c r="G533" s="54"/>
      <c r="H533" s="54"/>
      <c r="I533" s="54"/>
      <c r="J533" s="54"/>
      <c r="K533" s="54"/>
      <c r="L533" s="54"/>
      <c r="M533" s="54"/>
      <c r="N533" s="54"/>
      <c r="O533" s="54"/>
      <c r="P533" s="54"/>
      <c r="Q533" s="54"/>
      <c r="R533" s="54"/>
      <c r="S533" s="54"/>
      <c r="T533" s="54"/>
      <c r="U533" s="54"/>
      <c r="V533" s="54"/>
      <c r="W533" s="54"/>
      <c r="X533" s="54"/>
      <c r="Y533" s="54"/>
      <c r="Z533" s="54"/>
    </row>
    <row r="534" spans="1:26" ht="11.25" customHeight="1">
      <c r="A534" s="594" t="str">
        <f>$A$6</f>
        <v>EB-2024-0115</v>
      </c>
      <c r="B534" s="589"/>
      <c r="C534" s="589"/>
      <c r="D534" s="590"/>
      <c r="E534" s="54"/>
      <c r="F534" s="54"/>
      <c r="G534" s="54"/>
      <c r="H534" s="54"/>
      <c r="I534" s="54"/>
      <c r="J534" s="54"/>
      <c r="K534" s="54"/>
      <c r="L534" s="54"/>
      <c r="M534" s="54"/>
      <c r="N534" s="54"/>
      <c r="O534" s="54"/>
      <c r="P534" s="54"/>
      <c r="Q534" s="54"/>
      <c r="R534" s="54"/>
      <c r="S534" s="54"/>
      <c r="T534" s="54"/>
      <c r="U534" s="54"/>
      <c r="V534" s="54"/>
      <c r="W534" s="54"/>
      <c r="X534" s="54"/>
      <c r="Y534" s="54"/>
      <c r="Z534" s="54"/>
    </row>
    <row r="535" spans="1:26" ht="15" customHeight="1">
      <c r="A535" s="116" t="s">
        <v>162</v>
      </c>
      <c r="B535" s="116"/>
      <c r="C535" s="117"/>
      <c r="D535" s="118"/>
      <c r="E535" s="54"/>
      <c r="F535" s="54"/>
      <c r="G535" s="54"/>
      <c r="H535" s="54"/>
      <c r="I535" s="54"/>
      <c r="J535" s="54"/>
      <c r="K535" s="54"/>
      <c r="L535" s="54"/>
      <c r="M535" s="54"/>
      <c r="N535" s="54"/>
      <c r="O535" s="54"/>
      <c r="P535" s="54"/>
      <c r="Q535" s="54"/>
      <c r="R535" s="54"/>
      <c r="S535" s="54"/>
      <c r="T535" s="54"/>
      <c r="U535" s="54"/>
      <c r="V535" s="54"/>
      <c r="W535" s="54"/>
      <c r="X535" s="54"/>
      <c r="Y535" s="54"/>
      <c r="Z535" s="54"/>
    </row>
    <row r="536" spans="1:26" ht="6.75" customHeight="1">
      <c r="A536" s="116"/>
      <c r="B536" s="116"/>
      <c r="C536" s="117"/>
      <c r="D536" s="118"/>
      <c r="E536" s="54"/>
      <c r="F536" s="54"/>
      <c r="G536" s="54"/>
      <c r="H536" s="54"/>
      <c r="I536" s="54"/>
      <c r="J536" s="54"/>
      <c r="K536" s="54"/>
      <c r="L536" s="54"/>
      <c r="M536" s="54"/>
      <c r="N536" s="54"/>
      <c r="O536" s="54"/>
      <c r="P536" s="54"/>
      <c r="Q536" s="54"/>
      <c r="R536" s="54"/>
      <c r="S536" s="54"/>
      <c r="T536" s="54"/>
      <c r="U536" s="54"/>
      <c r="V536" s="54"/>
      <c r="W536" s="54"/>
      <c r="X536" s="54"/>
      <c r="Y536" s="54"/>
      <c r="Z536" s="54"/>
    </row>
    <row r="537" spans="1:26" ht="22.5" customHeight="1">
      <c r="A537" s="610" t="s">
        <v>163</v>
      </c>
      <c r="B537" s="589"/>
      <c r="C537" s="589"/>
      <c r="D537" s="590"/>
      <c r="E537" s="54"/>
      <c r="F537" s="54"/>
      <c r="G537" s="54"/>
      <c r="H537" s="54"/>
      <c r="I537" s="54"/>
      <c r="J537" s="54"/>
      <c r="K537" s="54"/>
      <c r="L537" s="54"/>
      <c r="M537" s="54"/>
      <c r="N537" s="54"/>
      <c r="O537" s="54"/>
      <c r="P537" s="54"/>
      <c r="Q537" s="54"/>
      <c r="R537" s="54"/>
      <c r="S537" s="54"/>
      <c r="T537" s="54"/>
      <c r="U537" s="54"/>
      <c r="V537" s="54"/>
      <c r="W537" s="54"/>
      <c r="X537" s="54"/>
      <c r="Y537" s="54"/>
      <c r="Z537" s="54"/>
    </row>
    <row r="538" spans="1:26" ht="11.25" customHeight="1">
      <c r="A538" s="603" t="s">
        <v>164</v>
      </c>
      <c r="B538" s="589"/>
      <c r="C538" s="590"/>
      <c r="D538" s="294">
        <f>'Proposed Rates'!J319</f>
        <v>1.0331999999999999</v>
      </c>
      <c r="E538" s="54"/>
      <c r="F538" s="54"/>
      <c r="G538" s="54"/>
      <c r="H538" s="54"/>
      <c r="I538" s="54"/>
      <c r="J538" s="54"/>
      <c r="K538" s="54"/>
      <c r="L538" s="54"/>
      <c r="M538" s="54"/>
      <c r="N538" s="54"/>
      <c r="O538" s="54"/>
      <c r="P538" s="54"/>
      <c r="Q538" s="54"/>
      <c r="R538" s="54"/>
      <c r="S538" s="54"/>
      <c r="T538" s="54"/>
      <c r="U538" s="54"/>
      <c r="V538" s="54"/>
      <c r="W538" s="54"/>
      <c r="X538" s="54"/>
      <c r="Y538" s="54"/>
      <c r="Z538" s="54"/>
    </row>
    <row r="539" spans="1:26" ht="11.25" customHeight="1">
      <c r="A539" s="603" t="s">
        <v>165</v>
      </c>
      <c r="B539" s="589"/>
      <c r="C539" s="590"/>
      <c r="D539" s="291">
        <f>'Proposed Rates'!J320</f>
        <v>1.0149999999999999</v>
      </c>
      <c r="E539" s="54"/>
      <c r="F539" s="54"/>
      <c r="G539" s="54"/>
      <c r="H539" s="54"/>
      <c r="I539" s="54"/>
      <c r="J539" s="54"/>
      <c r="K539" s="54"/>
      <c r="L539" s="54"/>
      <c r="M539" s="54"/>
      <c r="N539" s="54"/>
      <c r="O539" s="54"/>
      <c r="P539" s="54"/>
      <c r="Q539" s="54"/>
      <c r="R539" s="54"/>
      <c r="S539" s="54"/>
      <c r="T539" s="54"/>
      <c r="U539" s="54"/>
      <c r="V539" s="54"/>
      <c r="W539" s="54"/>
      <c r="X539" s="54"/>
      <c r="Y539" s="54"/>
      <c r="Z539" s="54"/>
    </row>
    <row r="540" spans="1:26" ht="11.25" customHeight="1">
      <c r="A540" s="603" t="s">
        <v>166</v>
      </c>
      <c r="B540" s="589"/>
      <c r="C540" s="590"/>
      <c r="D540" s="294">
        <f>'Proposed Rates'!J321</f>
        <v>1.0227999999999999</v>
      </c>
      <c r="E540" s="54"/>
      <c r="F540" s="54"/>
      <c r="G540" s="54"/>
      <c r="H540" s="54"/>
      <c r="I540" s="54"/>
      <c r="J540" s="54"/>
      <c r="K540" s="54"/>
      <c r="L540" s="54"/>
      <c r="M540" s="54"/>
      <c r="N540" s="54"/>
      <c r="O540" s="54"/>
      <c r="P540" s="54"/>
      <c r="Q540" s="54"/>
      <c r="R540" s="54"/>
      <c r="S540" s="54"/>
      <c r="T540" s="54"/>
      <c r="U540" s="54"/>
      <c r="V540" s="54"/>
      <c r="W540" s="54"/>
      <c r="X540" s="54"/>
      <c r="Y540" s="54"/>
      <c r="Z540" s="54"/>
    </row>
    <row r="541" spans="1:26" ht="11.25" customHeight="1">
      <c r="A541" s="603" t="s">
        <v>167</v>
      </c>
      <c r="B541" s="589"/>
      <c r="C541" s="590"/>
      <c r="D541" s="294">
        <f>'Proposed Rates'!J322</f>
        <v>1.0047999999999999</v>
      </c>
      <c r="E541" s="54"/>
      <c r="F541" s="54"/>
      <c r="G541" s="54"/>
      <c r="H541" s="54"/>
      <c r="I541" s="54"/>
      <c r="J541" s="54"/>
      <c r="K541" s="54"/>
      <c r="L541" s="54"/>
      <c r="M541" s="54"/>
      <c r="N541" s="54"/>
      <c r="O541" s="54"/>
      <c r="P541" s="54"/>
      <c r="Q541" s="54"/>
      <c r="R541" s="54"/>
      <c r="S541" s="54"/>
      <c r="T541" s="54"/>
      <c r="U541" s="54"/>
      <c r="V541" s="54"/>
      <c r="W541" s="54"/>
      <c r="X541" s="54"/>
      <c r="Y541" s="54"/>
      <c r="Z541" s="54"/>
    </row>
    <row r="542" spans="1:26" ht="127.5" customHeight="1">
      <c r="A542" s="54"/>
      <c r="B542" s="54"/>
      <c r="C542" s="54"/>
      <c r="D542" s="119"/>
      <c r="E542" s="54"/>
      <c r="F542" s="54"/>
      <c r="G542" s="54"/>
      <c r="H542" s="54"/>
      <c r="I542" s="54"/>
      <c r="J542" s="54"/>
      <c r="K542" s="54"/>
      <c r="L542" s="54"/>
      <c r="M542" s="54"/>
      <c r="N542" s="54"/>
      <c r="O542" s="54"/>
      <c r="P542" s="54"/>
      <c r="Q542" s="54"/>
      <c r="R542" s="54"/>
      <c r="S542" s="54"/>
      <c r="T542" s="54"/>
      <c r="U542" s="54"/>
      <c r="V542" s="54"/>
      <c r="W542" s="54"/>
      <c r="X542" s="54"/>
      <c r="Y542" s="54"/>
      <c r="Z542" s="54"/>
    </row>
    <row r="543" spans="1:26" ht="127.5" customHeight="1">
      <c r="A543" s="54"/>
      <c r="B543" s="54"/>
      <c r="C543" s="54"/>
      <c r="D543" s="119"/>
      <c r="E543" s="54"/>
      <c r="F543" s="54"/>
      <c r="G543" s="54"/>
      <c r="H543" s="54"/>
      <c r="I543" s="54"/>
      <c r="J543" s="54"/>
      <c r="K543" s="54"/>
      <c r="L543" s="54"/>
      <c r="M543" s="54"/>
      <c r="N543" s="54"/>
      <c r="O543" s="54"/>
      <c r="P543" s="54"/>
      <c r="Q543" s="54"/>
      <c r="R543" s="54"/>
      <c r="S543" s="54"/>
      <c r="T543" s="54"/>
      <c r="U543" s="54"/>
      <c r="V543" s="54"/>
      <c r="W543" s="54"/>
      <c r="X543" s="54"/>
      <c r="Y543" s="54"/>
      <c r="Z543" s="54"/>
    </row>
    <row r="544" spans="1:26" ht="127.5" customHeight="1">
      <c r="A544" s="54"/>
      <c r="B544" s="54"/>
      <c r="C544" s="54"/>
      <c r="D544" s="119"/>
      <c r="E544" s="54"/>
      <c r="F544" s="54"/>
      <c r="G544" s="54"/>
      <c r="H544" s="54"/>
      <c r="I544" s="54"/>
      <c r="J544" s="54"/>
      <c r="K544" s="54"/>
      <c r="L544" s="54"/>
      <c r="M544" s="54"/>
      <c r="N544" s="54"/>
      <c r="O544" s="54"/>
      <c r="P544" s="54"/>
      <c r="Q544" s="54"/>
      <c r="R544" s="54"/>
      <c r="S544" s="54"/>
      <c r="T544" s="54"/>
      <c r="U544" s="54"/>
      <c r="V544" s="54"/>
      <c r="W544" s="54"/>
      <c r="X544" s="54"/>
      <c r="Y544" s="54"/>
      <c r="Z544" s="54"/>
    </row>
    <row r="545" spans="1:26" ht="127.5" customHeight="1">
      <c r="A545" s="54"/>
      <c r="B545" s="54"/>
      <c r="C545" s="54"/>
      <c r="D545" s="119"/>
      <c r="E545" s="54"/>
      <c r="F545" s="54"/>
      <c r="G545" s="54"/>
      <c r="H545" s="54"/>
      <c r="I545" s="54"/>
      <c r="J545" s="54"/>
      <c r="K545" s="54"/>
      <c r="L545" s="54"/>
      <c r="M545" s="54"/>
      <c r="N545" s="54"/>
      <c r="O545" s="54"/>
      <c r="P545" s="54"/>
      <c r="Q545" s="54"/>
      <c r="R545" s="54"/>
      <c r="S545" s="54"/>
      <c r="T545" s="54"/>
      <c r="U545" s="54"/>
      <c r="V545" s="54"/>
      <c r="W545" s="54"/>
      <c r="X545" s="54"/>
      <c r="Y545" s="54"/>
      <c r="Z545" s="54"/>
    </row>
    <row r="546" spans="1:26" ht="127.5" customHeight="1">
      <c r="A546" s="54"/>
      <c r="B546" s="54"/>
      <c r="C546" s="54"/>
      <c r="D546" s="119"/>
      <c r="E546" s="54"/>
      <c r="F546" s="54"/>
      <c r="G546" s="54"/>
      <c r="H546" s="54"/>
      <c r="I546" s="54"/>
      <c r="J546" s="54"/>
      <c r="K546" s="54"/>
      <c r="L546" s="54"/>
      <c r="M546" s="54"/>
      <c r="N546" s="54"/>
      <c r="O546" s="54"/>
      <c r="P546" s="54"/>
      <c r="Q546" s="54"/>
      <c r="R546" s="54"/>
      <c r="S546" s="54"/>
      <c r="T546" s="54"/>
      <c r="U546" s="54"/>
      <c r="V546" s="54"/>
      <c r="W546" s="54"/>
      <c r="X546" s="54"/>
      <c r="Y546" s="54"/>
      <c r="Z546" s="54"/>
    </row>
    <row r="547" spans="1:26" ht="127.5" customHeight="1">
      <c r="A547" s="54"/>
      <c r="B547" s="54"/>
      <c r="C547" s="54"/>
      <c r="D547" s="119"/>
      <c r="E547" s="54"/>
      <c r="F547" s="54"/>
      <c r="G547" s="54"/>
      <c r="H547" s="54"/>
      <c r="I547" s="54"/>
      <c r="J547" s="54"/>
      <c r="K547" s="54"/>
      <c r="L547" s="54"/>
      <c r="M547" s="54"/>
      <c r="N547" s="54"/>
      <c r="O547" s="54"/>
      <c r="P547" s="54"/>
      <c r="Q547" s="54"/>
      <c r="R547" s="54"/>
      <c r="S547" s="54"/>
      <c r="T547" s="54"/>
      <c r="U547" s="54"/>
      <c r="V547" s="54"/>
      <c r="W547" s="54"/>
      <c r="X547" s="54"/>
      <c r="Y547" s="54"/>
      <c r="Z547" s="54"/>
    </row>
    <row r="548" spans="1:26" ht="127.5" customHeight="1">
      <c r="A548" s="54"/>
      <c r="B548" s="54"/>
      <c r="C548" s="54"/>
      <c r="D548" s="119"/>
      <c r="E548" s="54"/>
      <c r="F548" s="54"/>
      <c r="G548" s="54"/>
      <c r="H548" s="54"/>
      <c r="I548" s="54"/>
      <c r="J548" s="54"/>
      <c r="K548" s="54"/>
      <c r="L548" s="54"/>
      <c r="M548" s="54"/>
      <c r="N548" s="54"/>
      <c r="O548" s="54"/>
      <c r="P548" s="54"/>
      <c r="Q548" s="54"/>
      <c r="R548" s="54"/>
      <c r="S548" s="54"/>
      <c r="T548" s="54"/>
      <c r="U548" s="54"/>
      <c r="V548" s="54"/>
      <c r="W548" s="54"/>
      <c r="X548" s="54"/>
      <c r="Y548" s="54"/>
      <c r="Z548" s="54"/>
    </row>
    <row r="549" spans="1:26" ht="127.5" customHeight="1">
      <c r="A549" s="54"/>
      <c r="B549" s="54"/>
      <c r="C549" s="54"/>
      <c r="D549" s="119"/>
      <c r="E549" s="54"/>
      <c r="F549" s="54"/>
      <c r="G549" s="54"/>
      <c r="H549" s="54"/>
      <c r="I549" s="54"/>
      <c r="J549" s="54"/>
      <c r="K549" s="54"/>
      <c r="L549" s="54"/>
      <c r="M549" s="54"/>
      <c r="N549" s="54"/>
      <c r="O549" s="54"/>
      <c r="P549" s="54"/>
      <c r="Q549" s="54"/>
      <c r="R549" s="54"/>
      <c r="S549" s="54"/>
      <c r="T549" s="54"/>
      <c r="U549" s="54"/>
      <c r="V549" s="54"/>
      <c r="W549" s="54"/>
      <c r="X549" s="54"/>
      <c r="Y549" s="54"/>
      <c r="Z549" s="54"/>
    </row>
    <row r="550" spans="1:26" ht="127.5" customHeight="1">
      <c r="A550" s="54"/>
      <c r="B550" s="54"/>
      <c r="C550" s="54"/>
      <c r="D550" s="119"/>
      <c r="E550" s="54"/>
      <c r="F550" s="54"/>
      <c r="G550" s="54"/>
      <c r="H550" s="54"/>
      <c r="I550" s="54"/>
      <c r="J550" s="54"/>
      <c r="K550" s="54"/>
      <c r="L550" s="54"/>
      <c r="M550" s="54"/>
      <c r="N550" s="54"/>
      <c r="O550" s="54"/>
      <c r="P550" s="54"/>
      <c r="Q550" s="54"/>
      <c r="R550" s="54"/>
      <c r="S550" s="54"/>
      <c r="T550" s="54"/>
      <c r="U550" s="54"/>
      <c r="V550" s="54"/>
      <c r="W550" s="54"/>
      <c r="X550" s="54"/>
      <c r="Y550" s="54"/>
      <c r="Z550" s="54"/>
    </row>
    <row r="551" spans="1:26" ht="127.5" customHeight="1">
      <c r="A551" s="54"/>
      <c r="B551" s="54"/>
      <c r="C551" s="54"/>
      <c r="D551" s="119"/>
      <c r="E551" s="54"/>
      <c r="F551" s="54"/>
      <c r="G551" s="54"/>
      <c r="H551" s="54"/>
      <c r="I551" s="54"/>
      <c r="J551" s="54"/>
      <c r="K551" s="54"/>
      <c r="L551" s="54"/>
      <c r="M551" s="54"/>
      <c r="N551" s="54"/>
      <c r="O551" s="54"/>
      <c r="P551" s="54"/>
      <c r="Q551" s="54"/>
      <c r="R551" s="54"/>
      <c r="S551" s="54"/>
      <c r="T551" s="54"/>
      <c r="U551" s="54"/>
      <c r="V551" s="54"/>
      <c r="W551" s="54"/>
      <c r="X551" s="54"/>
      <c r="Y551" s="54"/>
      <c r="Z551" s="54"/>
    </row>
    <row r="552" spans="1:26" ht="127.5" customHeight="1">
      <c r="A552" s="54"/>
      <c r="B552" s="54"/>
      <c r="C552" s="54"/>
      <c r="D552" s="119"/>
      <c r="E552" s="54"/>
      <c r="F552" s="54"/>
      <c r="G552" s="54"/>
      <c r="H552" s="54"/>
      <c r="I552" s="54"/>
      <c r="J552" s="54"/>
      <c r="K552" s="54"/>
      <c r="L552" s="54"/>
      <c r="M552" s="54"/>
      <c r="N552" s="54"/>
      <c r="O552" s="54"/>
      <c r="P552" s="54"/>
      <c r="Q552" s="54"/>
      <c r="R552" s="54"/>
      <c r="S552" s="54"/>
      <c r="T552" s="54"/>
      <c r="U552" s="54"/>
      <c r="V552" s="54"/>
      <c r="W552" s="54"/>
      <c r="X552" s="54"/>
      <c r="Y552" s="54"/>
      <c r="Z552" s="54"/>
    </row>
    <row r="553" spans="1:26" ht="127.5" customHeight="1">
      <c r="A553" s="54"/>
      <c r="B553" s="54"/>
      <c r="C553" s="54"/>
      <c r="D553" s="119"/>
      <c r="E553" s="54"/>
      <c r="F553" s="54"/>
      <c r="G553" s="54"/>
      <c r="H553" s="54"/>
      <c r="I553" s="54"/>
      <c r="J553" s="54"/>
      <c r="K553" s="54"/>
      <c r="L553" s="54"/>
      <c r="M553" s="54"/>
      <c r="N553" s="54"/>
      <c r="O553" s="54"/>
      <c r="P553" s="54"/>
      <c r="Q553" s="54"/>
      <c r="R553" s="54"/>
      <c r="S553" s="54"/>
      <c r="T553" s="54"/>
      <c r="U553" s="54"/>
      <c r="V553" s="54"/>
      <c r="W553" s="54"/>
      <c r="X553" s="54"/>
      <c r="Y553" s="54"/>
      <c r="Z553" s="54"/>
    </row>
    <row r="554" spans="1:26" ht="127.5" customHeight="1">
      <c r="A554" s="54"/>
      <c r="B554" s="54"/>
      <c r="C554" s="54"/>
      <c r="D554" s="119"/>
      <c r="E554" s="54"/>
      <c r="F554" s="54"/>
      <c r="G554" s="54"/>
      <c r="H554" s="54"/>
      <c r="I554" s="54"/>
      <c r="J554" s="54"/>
      <c r="K554" s="54"/>
      <c r="L554" s="54"/>
      <c r="M554" s="54"/>
      <c r="N554" s="54"/>
      <c r="O554" s="54"/>
      <c r="P554" s="54"/>
      <c r="Q554" s="54"/>
      <c r="R554" s="54"/>
      <c r="S554" s="54"/>
      <c r="T554" s="54"/>
      <c r="U554" s="54"/>
      <c r="V554" s="54"/>
      <c r="W554" s="54"/>
      <c r="X554" s="54"/>
      <c r="Y554" s="54"/>
      <c r="Z554" s="54"/>
    </row>
    <row r="555" spans="1:26" ht="127.5" customHeight="1">
      <c r="A555" s="54"/>
      <c r="B555" s="54"/>
      <c r="C555" s="54"/>
      <c r="D555" s="119"/>
      <c r="E555" s="54"/>
      <c r="F555" s="54"/>
      <c r="G555" s="54"/>
      <c r="H555" s="54"/>
      <c r="I555" s="54"/>
      <c r="J555" s="54"/>
      <c r="K555" s="54"/>
      <c r="L555" s="54"/>
      <c r="M555" s="54"/>
      <c r="N555" s="54"/>
      <c r="O555" s="54"/>
      <c r="P555" s="54"/>
      <c r="Q555" s="54"/>
      <c r="R555" s="54"/>
      <c r="S555" s="54"/>
      <c r="T555" s="54"/>
      <c r="U555" s="54"/>
      <c r="V555" s="54"/>
      <c r="W555" s="54"/>
      <c r="X555" s="54"/>
      <c r="Y555" s="54"/>
      <c r="Z555" s="54"/>
    </row>
    <row r="556" spans="1:26" ht="127.5" customHeight="1">
      <c r="A556" s="54"/>
      <c r="B556" s="54"/>
      <c r="C556" s="54"/>
      <c r="D556" s="119"/>
      <c r="E556" s="54"/>
      <c r="F556" s="54"/>
      <c r="G556" s="54"/>
      <c r="H556" s="54"/>
      <c r="I556" s="54"/>
      <c r="J556" s="54"/>
      <c r="K556" s="54"/>
      <c r="L556" s="54"/>
      <c r="M556" s="54"/>
      <c r="N556" s="54"/>
      <c r="O556" s="54"/>
      <c r="P556" s="54"/>
      <c r="Q556" s="54"/>
      <c r="R556" s="54"/>
      <c r="S556" s="54"/>
      <c r="T556" s="54"/>
      <c r="U556" s="54"/>
      <c r="V556" s="54"/>
      <c r="W556" s="54"/>
      <c r="X556" s="54"/>
      <c r="Y556" s="54"/>
      <c r="Z556" s="54"/>
    </row>
    <row r="557" spans="1:26" ht="127.5" customHeight="1">
      <c r="A557" s="54"/>
      <c r="B557" s="54"/>
      <c r="C557" s="54"/>
      <c r="D557" s="119"/>
      <c r="E557" s="54"/>
      <c r="F557" s="54"/>
      <c r="G557" s="54"/>
      <c r="H557" s="54"/>
      <c r="I557" s="54"/>
      <c r="J557" s="54"/>
      <c r="K557" s="54"/>
      <c r="L557" s="54"/>
      <c r="M557" s="54"/>
      <c r="N557" s="54"/>
      <c r="O557" s="54"/>
      <c r="P557" s="54"/>
      <c r="Q557" s="54"/>
      <c r="R557" s="54"/>
      <c r="S557" s="54"/>
      <c r="T557" s="54"/>
      <c r="U557" s="54"/>
      <c r="V557" s="54"/>
      <c r="W557" s="54"/>
      <c r="X557" s="54"/>
      <c r="Y557" s="54"/>
      <c r="Z557" s="54"/>
    </row>
    <row r="558" spans="1:26" ht="127.5" customHeight="1">
      <c r="A558" s="54"/>
      <c r="B558" s="54"/>
      <c r="C558" s="54"/>
      <c r="D558" s="119"/>
      <c r="E558" s="54"/>
      <c r="F558" s="54"/>
      <c r="G558" s="54"/>
      <c r="H558" s="54"/>
      <c r="I558" s="54"/>
      <c r="J558" s="54"/>
      <c r="K558" s="54"/>
      <c r="L558" s="54"/>
      <c r="M558" s="54"/>
      <c r="N558" s="54"/>
      <c r="O558" s="54"/>
      <c r="P558" s="54"/>
      <c r="Q558" s="54"/>
      <c r="R558" s="54"/>
      <c r="S558" s="54"/>
      <c r="T558" s="54"/>
      <c r="U558" s="54"/>
      <c r="V558" s="54"/>
      <c r="W558" s="54"/>
      <c r="X558" s="54"/>
      <c r="Y558" s="54"/>
      <c r="Z558" s="54"/>
    </row>
    <row r="559" spans="1:26" ht="127.5" customHeight="1">
      <c r="A559" s="54"/>
      <c r="B559" s="54"/>
      <c r="C559" s="54"/>
      <c r="D559" s="119"/>
      <c r="E559" s="54"/>
      <c r="F559" s="54"/>
      <c r="G559" s="54"/>
      <c r="H559" s="54"/>
      <c r="I559" s="54"/>
      <c r="J559" s="54"/>
      <c r="K559" s="54"/>
      <c r="L559" s="54"/>
      <c r="M559" s="54"/>
      <c r="N559" s="54"/>
      <c r="O559" s="54"/>
      <c r="P559" s="54"/>
      <c r="Q559" s="54"/>
      <c r="R559" s="54"/>
      <c r="S559" s="54"/>
      <c r="T559" s="54"/>
      <c r="U559" s="54"/>
      <c r="V559" s="54"/>
      <c r="W559" s="54"/>
      <c r="X559" s="54"/>
      <c r="Y559" s="54"/>
      <c r="Z559" s="54"/>
    </row>
    <row r="560" spans="1:26" ht="127.5" customHeight="1">
      <c r="A560" s="54"/>
      <c r="B560" s="54"/>
      <c r="C560" s="54"/>
      <c r="D560" s="119"/>
      <c r="E560" s="54"/>
      <c r="F560" s="54"/>
      <c r="G560" s="54"/>
      <c r="H560" s="54"/>
      <c r="I560" s="54"/>
      <c r="J560" s="54"/>
      <c r="K560" s="54"/>
      <c r="L560" s="54"/>
      <c r="M560" s="54"/>
      <c r="N560" s="54"/>
      <c r="O560" s="54"/>
      <c r="P560" s="54"/>
      <c r="Q560" s="54"/>
      <c r="R560" s="54"/>
      <c r="S560" s="54"/>
      <c r="T560" s="54"/>
      <c r="U560" s="54"/>
      <c r="V560" s="54"/>
      <c r="W560" s="54"/>
      <c r="X560" s="54"/>
      <c r="Y560" s="54"/>
      <c r="Z560" s="54"/>
    </row>
    <row r="561" spans="1:26" ht="127.5" customHeight="1">
      <c r="A561" s="54"/>
      <c r="B561" s="54"/>
      <c r="C561" s="54"/>
      <c r="D561" s="119"/>
      <c r="E561" s="54"/>
      <c r="F561" s="54"/>
      <c r="G561" s="54"/>
      <c r="H561" s="54"/>
      <c r="I561" s="54"/>
      <c r="J561" s="54"/>
      <c r="K561" s="54"/>
      <c r="L561" s="54"/>
      <c r="M561" s="54"/>
      <c r="N561" s="54"/>
      <c r="O561" s="54"/>
      <c r="P561" s="54"/>
      <c r="Q561" s="54"/>
      <c r="R561" s="54"/>
      <c r="S561" s="54"/>
      <c r="T561" s="54"/>
      <c r="U561" s="54"/>
      <c r="V561" s="54"/>
      <c r="W561" s="54"/>
      <c r="X561" s="54"/>
      <c r="Y561" s="54"/>
      <c r="Z561" s="54"/>
    </row>
    <row r="562" spans="1:26" ht="127.5" customHeight="1">
      <c r="A562" s="54"/>
      <c r="B562" s="54"/>
      <c r="C562" s="54"/>
      <c r="D562" s="119"/>
      <c r="E562" s="54"/>
      <c r="F562" s="54"/>
      <c r="G562" s="54"/>
      <c r="H562" s="54"/>
      <c r="I562" s="54"/>
      <c r="J562" s="54"/>
      <c r="K562" s="54"/>
      <c r="L562" s="54"/>
      <c r="M562" s="54"/>
      <c r="N562" s="54"/>
      <c r="O562" s="54"/>
      <c r="P562" s="54"/>
      <c r="Q562" s="54"/>
      <c r="R562" s="54"/>
      <c r="S562" s="54"/>
      <c r="T562" s="54"/>
      <c r="U562" s="54"/>
      <c r="V562" s="54"/>
      <c r="W562" s="54"/>
      <c r="X562" s="54"/>
      <c r="Y562" s="54"/>
      <c r="Z562" s="54"/>
    </row>
    <row r="563" spans="1:26" ht="127.5" customHeight="1">
      <c r="A563" s="54"/>
      <c r="B563" s="54"/>
      <c r="C563" s="54"/>
      <c r="D563" s="119"/>
      <c r="E563" s="54"/>
      <c r="F563" s="54"/>
      <c r="G563" s="54"/>
      <c r="H563" s="54"/>
      <c r="I563" s="54"/>
      <c r="J563" s="54"/>
      <c r="K563" s="54"/>
      <c r="L563" s="54"/>
      <c r="M563" s="54"/>
      <c r="N563" s="54"/>
      <c r="O563" s="54"/>
      <c r="P563" s="54"/>
      <c r="Q563" s="54"/>
      <c r="R563" s="54"/>
      <c r="S563" s="54"/>
      <c r="T563" s="54"/>
      <c r="U563" s="54"/>
      <c r="V563" s="54"/>
      <c r="W563" s="54"/>
      <c r="X563" s="54"/>
      <c r="Y563" s="54"/>
      <c r="Z563" s="54"/>
    </row>
    <row r="564" spans="1:26" ht="127.5" customHeight="1">
      <c r="A564" s="54"/>
      <c r="B564" s="54"/>
      <c r="C564" s="54"/>
      <c r="D564" s="119"/>
      <c r="E564" s="54"/>
      <c r="F564" s="54"/>
      <c r="G564" s="54"/>
      <c r="H564" s="54"/>
      <c r="I564" s="54"/>
      <c r="J564" s="54"/>
      <c r="K564" s="54"/>
      <c r="L564" s="54"/>
      <c r="M564" s="54"/>
      <c r="N564" s="54"/>
      <c r="O564" s="54"/>
      <c r="P564" s="54"/>
      <c r="Q564" s="54"/>
      <c r="R564" s="54"/>
      <c r="S564" s="54"/>
      <c r="T564" s="54"/>
      <c r="U564" s="54"/>
      <c r="V564" s="54"/>
      <c r="W564" s="54"/>
      <c r="X564" s="54"/>
      <c r="Y564" s="54"/>
      <c r="Z564" s="54"/>
    </row>
    <row r="565" spans="1:26" ht="127.5" customHeight="1">
      <c r="A565" s="54"/>
      <c r="B565" s="54"/>
      <c r="C565" s="54"/>
      <c r="D565" s="119"/>
      <c r="E565" s="54"/>
      <c r="F565" s="54"/>
      <c r="G565" s="54"/>
      <c r="H565" s="54"/>
      <c r="I565" s="54"/>
      <c r="J565" s="54"/>
      <c r="K565" s="54"/>
      <c r="L565" s="54"/>
      <c r="M565" s="54"/>
      <c r="N565" s="54"/>
      <c r="O565" s="54"/>
      <c r="P565" s="54"/>
      <c r="Q565" s="54"/>
      <c r="R565" s="54"/>
      <c r="S565" s="54"/>
      <c r="T565" s="54"/>
      <c r="U565" s="54"/>
      <c r="V565" s="54"/>
      <c r="W565" s="54"/>
      <c r="X565" s="54"/>
      <c r="Y565" s="54"/>
      <c r="Z565" s="54"/>
    </row>
    <row r="566" spans="1:26" ht="127.5" customHeight="1">
      <c r="A566" s="54"/>
      <c r="B566" s="54"/>
      <c r="C566" s="54"/>
      <c r="D566" s="119"/>
      <c r="E566" s="54"/>
      <c r="F566" s="54"/>
      <c r="G566" s="54"/>
      <c r="H566" s="54"/>
      <c r="I566" s="54"/>
      <c r="J566" s="54"/>
      <c r="K566" s="54"/>
      <c r="L566" s="54"/>
      <c r="M566" s="54"/>
      <c r="N566" s="54"/>
      <c r="O566" s="54"/>
      <c r="P566" s="54"/>
      <c r="Q566" s="54"/>
      <c r="R566" s="54"/>
      <c r="S566" s="54"/>
      <c r="T566" s="54"/>
      <c r="U566" s="54"/>
      <c r="V566" s="54"/>
      <c r="W566" s="54"/>
      <c r="X566" s="54"/>
      <c r="Y566" s="54"/>
      <c r="Z566" s="54"/>
    </row>
    <row r="567" spans="1:26" ht="127.5" customHeight="1">
      <c r="A567" s="54"/>
      <c r="B567" s="54"/>
      <c r="C567" s="54"/>
      <c r="D567" s="119"/>
      <c r="E567" s="54"/>
      <c r="F567" s="54"/>
      <c r="G567" s="54"/>
      <c r="H567" s="54"/>
      <c r="I567" s="54"/>
      <c r="J567" s="54"/>
      <c r="K567" s="54"/>
      <c r="L567" s="54"/>
      <c r="M567" s="54"/>
      <c r="N567" s="54"/>
      <c r="O567" s="54"/>
      <c r="P567" s="54"/>
      <c r="Q567" s="54"/>
      <c r="R567" s="54"/>
      <c r="S567" s="54"/>
      <c r="T567" s="54"/>
      <c r="U567" s="54"/>
      <c r="V567" s="54"/>
      <c r="W567" s="54"/>
      <c r="X567" s="54"/>
      <c r="Y567" s="54"/>
      <c r="Z567" s="54"/>
    </row>
    <row r="568" spans="1:26" ht="127.5" customHeight="1">
      <c r="A568" s="54"/>
      <c r="B568" s="54"/>
      <c r="C568" s="54"/>
      <c r="D568" s="119"/>
      <c r="E568" s="54"/>
      <c r="F568" s="54"/>
      <c r="G568" s="54"/>
      <c r="H568" s="54"/>
      <c r="I568" s="54"/>
      <c r="J568" s="54"/>
      <c r="K568" s="54"/>
      <c r="L568" s="54"/>
      <c r="M568" s="54"/>
      <c r="N568" s="54"/>
      <c r="O568" s="54"/>
      <c r="P568" s="54"/>
      <c r="Q568" s="54"/>
      <c r="R568" s="54"/>
      <c r="S568" s="54"/>
      <c r="T568" s="54"/>
      <c r="U568" s="54"/>
      <c r="V568" s="54"/>
      <c r="W568" s="54"/>
      <c r="X568" s="54"/>
      <c r="Y568" s="54"/>
      <c r="Z568" s="54"/>
    </row>
    <row r="569" spans="1:26" ht="127.5" customHeight="1">
      <c r="A569" s="54"/>
      <c r="B569" s="54"/>
      <c r="C569" s="54"/>
      <c r="D569" s="119"/>
      <c r="E569" s="54"/>
      <c r="F569" s="54"/>
      <c r="G569" s="54"/>
      <c r="H569" s="54"/>
      <c r="I569" s="54"/>
      <c r="J569" s="54"/>
      <c r="K569" s="54"/>
      <c r="L569" s="54"/>
      <c r="M569" s="54"/>
      <c r="N569" s="54"/>
      <c r="O569" s="54"/>
      <c r="P569" s="54"/>
      <c r="Q569" s="54"/>
      <c r="R569" s="54"/>
      <c r="S569" s="54"/>
      <c r="T569" s="54"/>
      <c r="U569" s="54"/>
      <c r="V569" s="54"/>
      <c r="W569" s="54"/>
      <c r="X569" s="54"/>
      <c r="Y569" s="54"/>
      <c r="Z569" s="54"/>
    </row>
    <row r="570" spans="1:26" ht="127.5" customHeight="1">
      <c r="A570" s="54"/>
      <c r="B570" s="54"/>
      <c r="C570" s="54"/>
      <c r="D570" s="119"/>
      <c r="E570" s="54"/>
      <c r="F570" s="54"/>
      <c r="G570" s="54"/>
      <c r="H570" s="54"/>
      <c r="I570" s="54"/>
      <c r="J570" s="54"/>
      <c r="K570" s="54"/>
      <c r="L570" s="54"/>
      <c r="M570" s="54"/>
      <c r="N570" s="54"/>
      <c r="O570" s="54"/>
      <c r="P570" s="54"/>
      <c r="Q570" s="54"/>
      <c r="R570" s="54"/>
      <c r="S570" s="54"/>
      <c r="T570" s="54"/>
      <c r="U570" s="54"/>
      <c r="V570" s="54"/>
      <c r="W570" s="54"/>
      <c r="X570" s="54"/>
      <c r="Y570" s="54"/>
      <c r="Z570" s="54"/>
    </row>
    <row r="571" spans="1:26" ht="127.5" customHeight="1">
      <c r="A571" s="54"/>
      <c r="B571" s="54"/>
      <c r="C571" s="54"/>
      <c r="D571" s="119"/>
      <c r="E571" s="54"/>
      <c r="F571" s="54"/>
      <c r="G571" s="54"/>
      <c r="H571" s="54"/>
      <c r="I571" s="54"/>
      <c r="J571" s="54"/>
      <c r="K571" s="54"/>
      <c r="L571" s="54"/>
      <c r="M571" s="54"/>
      <c r="N571" s="54"/>
      <c r="O571" s="54"/>
      <c r="P571" s="54"/>
      <c r="Q571" s="54"/>
      <c r="R571" s="54"/>
      <c r="S571" s="54"/>
      <c r="T571" s="54"/>
      <c r="U571" s="54"/>
      <c r="V571" s="54"/>
      <c r="W571" s="54"/>
      <c r="X571" s="54"/>
      <c r="Y571" s="54"/>
      <c r="Z571" s="54"/>
    </row>
    <row r="572" spans="1:26" ht="127.5" customHeight="1">
      <c r="A572" s="54"/>
      <c r="B572" s="54"/>
      <c r="C572" s="54"/>
      <c r="D572" s="119"/>
      <c r="E572" s="54"/>
      <c r="F572" s="54"/>
      <c r="G572" s="54"/>
      <c r="H572" s="54"/>
      <c r="I572" s="54"/>
      <c r="J572" s="54"/>
      <c r="K572" s="54"/>
      <c r="L572" s="54"/>
      <c r="M572" s="54"/>
      <c r="N572" s="54"/>
      <c r="O572" s="54"/>
      <c r="P572" s="54"/>
      <c r="Q572" s="54"/>
      <c r="R572" s="54"/>
      <c r="S572" s="54"/>
      <c r="T572" s="54"/>
      <c r="U572" s="54"/>
      <c r="V572" s="54"/>
      <c r="W572" s="54"/>
      <c r="X572" s="54"/>
      <c r="Y572" s="54"/>
      <c r="Z572" s="54"/>
    </row>
    <row r="573" spans="1:26" ht="127.5" customHeight="1">
      <c r="A573" s="54"/>
      <c r="B573" s="54"/>
      <c r="C573" s="54"/>
      <c r="D573" s="119"/>
      <c r="E573" s="54"/>
      <c r="F573" s="54"/>
      <c r="G573" s="54"/>
      <c r="H573" s="54"/>
      <c r="I573" s="54"/>
      <c r="J573" s="54"/>
      <c r="K573" s="54"/>
      <c r="L573" s="54"/>
      <c r="M573" s="54"/>
      <c r="N573" s="54"/>
      <c r="O573" s="54"/>
      <c r="P573" s="54"/>
      <c r="Q573" s="54"/>
      <c r="R573" s="54"/>
      <c r="S573" s="54"/>
      <c r="T573" s="54"/>
      <c r="U573" s="54"/>
      <c r="V573" s="54"/>
      <c r="W573" s="54"/>
      <c r="X573" s="54"/>
      <c r="Y573" s="54"/>
      <c r="Z573" s="54"/>
    </row>
    <row r="574" spans="1:26" ht="127.5" customHeight="1">
      <c r="A574" s="54"/>
      <c r="B574" s="54"/>
      <c r="C574" s="54"/>
      <c r="D574" s="119"/>
      <c r="E574" s="54"/>
      <c r="F574" s="54"/>
      <c r="G574" s="54"/>
      <c r="H574" s="54"/>
      <c r="I574" s="54"/>
      <c r="J574" s="54"/>
      <c r="K574" s="54"/>
      <c r="L574" s="54"/>
      <c r="M574" s="54"/>
      <c r="N574" s="54"/>
      <c r="O574" s="54"/>
      <c r="P574" s="54"/>
      <c r="Q574" s="54"/>
      <c r="R574" s="54"/>
      <c r="S574" s="54"/>
      <c r="T574" s="54"/>
      <c r="U574" s="54"/>
      <c r="V574" s="54"/>
      <c r="W574" s="54"/>
      <c r="X574" s="54"/>
      <c r="Y574" s="54"/>
      <c r="Z574" s="54"/>
    </row>
    <row r="575" spans="1:26" ht="127.5" customHeight="1">
      <c r="A575" s="54"/>
      <c r="B575" s="54"/>
      <c r="C575" s="54"/>
      <c r="D575" s="119"/>
      <c r="E575" s="54"/>
      <c r="F575" s="54"/>
      <c r="G575" s="54"/>
      <c r="H575" s="54"/>
      <c r="I575" s="54"/>
      <c r="J575" s="54"/>
      <c r="K575" s="54"/>
      <c r="L575" s="54"/>
      <c r="M575" s="54"/>
      <c r="N575" s="54"/>
      <c r="O575" s="54"/>
      <c r="P575" s="54"/>
      <c r="Q575" s="54"/>
      <c r="R575" s="54"/>
      <c r="S575" s="54"/>
      <c r="T575" s="54"/>
      <c r="U575" s="54"/>
      <c r="V575" s="54"/>
      <c r="W575" s="54"/>
      <c r="X575" s="54"/>
      <c r="Y575" s="54"/>
      <c r="Z575" s="54"/>
    </row>
    <row r="576" spans="1:26" ht="127.5" customHeight="1">
      <c r="A576" s="54"/>
      <c r="B576" s="54"/>
      <c r="C576" s="54"/>
      <c r="D576" s="119"/>
      <c r="E576" s="54"/>
      <c r="F576" s="54"/>
      <c r="G576" s="54"/>
      <c r="H576" s="54"/>
      <c r="I576" s="54"/>
      <c r="J576" s="54"/>
      <c r="K576" s="54"/>
      <c r="L576" s="54"/>
      <c r="M576" s="54"/>
      <c r="N576" s="54"/>
      <c r="O576" s="54"/>
      <c r="P576" s="54"/>
      <c r="Q576" s="54"/>
      <c r="R576" s="54"/>
      <c r="S576" s="54"/>
      <c r="T576" s="54"/>
      <c r="U576" s="54"/>
      <c r="V576" s="54"/>
      <c r="W576" s="54"/>
      <c r="X576" s="54"/>
      <c r="Y576" s="54"/>
      <c r="Z576" s="54"/>
    </row>
    <row r="577" spans="1:26" ht="127.5" customHeight="1">
      <c r="A577" s="54"/>
      <c r="B577" s="54"/>
      <c r="C577" s="54"/>
      <c r="D577" s="119"/>
      <c r="E577" s="54"/>
      <c r="F577" s="54"/>
      <c r="G577" s="54"/>
      <c r="H577" s="54"/>
      <c r="I577" s="54"/>
      <c r="J577" s="54"/>
      <c r="K577" s="54"/>
      <c r="L577" s="54"/>
      <c r="M577" s="54"/>
      <c r="N577" s="54"/>
      <c r="O577" s="54"/>
      <c r="P577" s="54"/>
      <c r="Q577" s="54"/>
      <c r="R577" s="54"/>
      <c r="S577" s="54"/>
      <c r="T577" s="54"/>
      <c r="U577" s="54"/>
      <c r="V577" s="54"/>
      <c r="W577" s="54"/>
      <c r="X577" s="54"/>
      <c r="Y577" s="54"/>
      <c r="Z577" s="54"/>
    </row>
    <row r="578" spans="1:26" ht="127.5" customHeight="1">
      <c r="A578" s="54"/>
      <c r="B578" s="54"/>
      <c r="C578" s="54"/>
      <c r="D578" s="119"/>
      <c r="E578" s="54"/>
      <c r="F578" s="54"/>
      <c r="G578" s="54"/>
      <c r="H578" s="54"/>
      <c r="I578" s="54"/>
      <c r="J578" s="54"/>
      <c r="K578" s="54"/>
      <c r="L578" s="54"/>
      <c r="M578" s="54"/>
      <c r="N578" s="54"/>
      <c r="O578" s="54"/>
      <c r="P578" s="54"/>
      <c r="Q578" s="54"/>
      <c r="R578" s="54"/>
      <c r="S578" s="54"/>
      <c r="T578" s="54"/>
      <c r="U578" s="54"/>
      <c r="V578" s="54"/>
      <c r="W578" s="54"/>
      <c r="X578" s="54"/>
      <c r="Y578" s="54"/>
      <c r="Z578" s="54"/>
    </row>
    <row r="579" spans="1:26" ht="127.5" customHeight="1">
      <c r="A579" s="54"/>
      <c r="B579" s="54"/>
      <c r="C579" s="54"/>
      <c r="D579" s="119"/>
      <c r="E579" s="54"/>
      <c r="F579" s="54"/>
      <c r="G579" s="54"/>
      <c r="H579" s="54"/>
      <c r="I579" s="54"/>
      <c r="J579" s="54"/>
      <c r="K579" s="54"/>
      <c r="L579" s="54"/>
      <c r="M579" s="54"/>
      <c r="N579" s="54"/>
      <c r="O579" s="54"/>
      <c r="P579" s="54"/>
      <c r="Q579" s="54"/>
      <c r="R579" s="54"/>
      <c r="S579" s="54"/>
      <c r="T579" s="54"/>
      <c r="U579" s="54"/>
      <c r="V579" s="54"/>
      <c r="W579" s="54"/>
      <c r="X579" s="54"/>
      <c r="Y579" s="54"/>
      <c r="Z579" s="54"/>
    </row>
    <row r="580" spans="1:26" ht="127.5" customHeight="1">
      <c r="A580" s="54"/>
      <c r="B580" s="54"/>
      <c r="C580" s="54"/>
      <c r="D580" s="119"/>
      <c r="E580" s="54"/>
      <c r="F580" s="54"/>
      <c r="G580" s="54"/>
      <c r="H580" s="54"/>
      <c r="I580" s="54"/>
      <c r="J580" s="54"/>
      <c r="K580" s="54"/>
      <c r="L580" s="54"/>
      <c r="M580" s="54"/>
      <c r="N580" s="54"/>
      <c r="O580" s="54"/>
      <c r="P580" s="54"/>
      <c r="Q580" s="54"/>
      <c r="R580" s="54"/>
      <c r="S580" s="54"/>
      <c r="T580" s="54"/>
      <c r="U580" s="54"/>
      <c r="V580" s="54"/>
      <c r="W580" s="54"/>
      <c r="X580" s="54"/>
      <c r="Y580" s="54"/>
      <c r="Z580" s="54"/>
    </row>
    <row r="581" spans="1:26" ht="127.5" customHeight="1">
      <c r="A581" s="54"/>
      <c r="B581" s="54"/>
      <c r="C581" s="54"/>
      <c r="D581" s="119"/>
      <c r="E581" s="54"/>
      <c r="F581" s="54"/>
      <c r="G581" s="54"/>
      <c r="H581" s="54"/>
      <c r="I581" s="54"/>
      <c r="J581" s="54"/>
      <c r="K581" s="54"/>
      <c r="L581" s="54"/>
      <c r="M581" s="54"/>
      <c r="N581" s="54"/>
      <c r="O581" s="54"/>
      <c r="P581" s="54"/>
      <c r="Q581" s="54"/>
      <c r="R581" s="54"/>
      <c r="S581" s="54"/>
      <c r="T581" s="54"/>
      <c r="U581" s="54"/>
      <c r="V581" s="54"/>
      <c r="W581" s="54"/>
      <c r="X581" s="54"/>
      <c r="Y581" s="54"/>
      <c r="Z581" s="54"/>
    </row>
    <row r="582" spans="1:26" ht="127.5" customHeight="1">
      <c r="A582" s="54"/>
      <c r="B582" s="54"/>
      <c r="C582" s="54"/>
      <c r="D582" s="119"/>
      <c r="E582" s="54"/>
      <c r="F582" s="54"/>
      <c r="G582" s="54"/>
      <c r="H582" s="54"/>
      <c r="I582" s="54"/>
      <c r="J582" s="54"/>
      <c r="K582" s="54"/>
      <c r="L582" s="54"/>
      <c r="M582" s="54"/>
      <c r="N582" s="54"/>
      <c r="O582" s="54"/>
      <c r="P582" s="54"/>
      <c r="Q582" s="54"/>
      <c r="R582" s="54"/>
      <c r="S582" s="54"/>
      <c r="T582" s="54"/>
      <c r="U582" s="54"/>
      <c r="V582" s="54"/>
      <c r="W582" s="54"/>
      <c r="X582" s="54"/>
      <c r="Y582" s="54"/>
      <c r="Z582" s="54"/>
    </row>
    <row r="583" spans="1:26" ht="127.5" customHeight="1">
      <c r="A583" s="54"/>
      <c r="B583" s="54"/>
      <c r="C583" s="54"/>
      <c r="D583" s="119"/>
      <c r="E583" s="54"/>
      <c r="F583" s="54"/>
      <c r="G583" s="54"/>
      <c r="H583" s="54"/>
      <c r="I583" s="54"/>
      <c r="J583" s="54"/>
      <c r="K583" s="54"/>
      <c r="L583" s="54"/>
      <c r="M583" s="54"/>
      <c r="N583" s="54"/>
      <c r="O583" s="54"/>
      <c r="P583" s="54"/>
      <c r="Q583" s="54"/>
      <c r="R583" s="54"/>
      <c r="S583" s="54"/>
      <c r="T583" s="54"/>
      <c r="U583" s="54"/>
      <c r="V583" s="54"/>
      <c r="W583" s="54"/>
      <c r="X583" s="54"/>
      <c r="Y583" s="54"/>
      <c r="Z583" s="54"/>
    </row>
    <row r="584" spans="1:26" ht="127.5" customHeight="1">
      <c r="A584" s="54"/>
      <c r="B584" s="54"/>
      <c r="C584" s="54"/>
      <c r="D584" s="119"/>
      <c r="E584" s="54"/>
      <c r="F584" s="54"/>
      <c r="G584" s="54"/>
      <c r="H584" s="54"/>
      <c r="I584" s="54"/>
      <c r="J584" s="54"/>
      <c r="K584" s="54"/>
      <c r="L584" s="54"/>
      <c r="M584" s="54"/>
      <c r="N584" s="54"/>
      <c r="O584" s="54"/>
      <c r="P584" s="54"/>
      <c r="Q584" s="54"/>
      <c r="R584" s="54"/>
      <c r="S584" s="54"/>
      <c r="T584" s="54"/>
      <c r="U584" s="54"/>
      <c r="V584" s="54"/>
      <c r="W584" s="54"/>
      <c r="X584" s="54"/>
      <c r="Y584" s="54"/>
      <c r="Z584" s="54"/>
    </row>
    <row r="585" spans="1:26" ht="127.5" customHeight="1">
      <c r="A585" s="54"/>
      <c r="B585" s="54"/>
      <c r="C585" s="54"/>
      <c r="D585" s="119"/>
      <c r="E585" s="54"/>
      <c r="F585" s="54"/>
      <c r="G585" s="54"/>
      <c r="H585" s="54"/>
      <c r="I585" s="54"/>
      <c r="J585" s="54"/>
      <c r="K585" s="54"/>
      <c r="L585" s="54"/>
      <c r="M585" s="54"/>
      <c r="N585" s="54"/>
      <c r="O585" s="54"/>
      <c r="P585" s="54"/>
      <c r="Q585" s="54"/>
      <c r="R585" s="54"/>
      <c r="S585" s="54"/>
      <c r="T585" s="54"/>
      <c r="U585" s="54"/>
      <c r="V585" s="54"/>
      <c r="W585" s="54"/>
      <c r="X585" s="54"/>
      <c r="Y585" s="54"/>
      <c r="Z585" s="54"/>
    </row>
    <row r="586" spans="1:26" ht="127.5" customHeight="1">
      <c r="A586" s="54"/>
      <c r="B586" s="54"/>
      <c r="C586" s="54"/>
      <c r="D586" s="119"/>
      <c r="E586" s="54"/>
      <c r="F586" s="54"/>
      <c r="G586" s="54"/>
      <c r="H586" s="54"/>
      <c r="I586" s="54"/>
      <c r="J586" s="54"/>
      <c r="K586" s="54"/>
      <c r="L586" s="54"/>
      <c r="M586" s="54"/>
      <c r="N586" s="54"/>
      <c r="O586" s="54"/>
      <c r="P586" s="54"/>
      <c r="Q586" s="54"/>
      <c r="R586" s="54"/>
      <c r="S586" s="54"/>
      <c r="T586" s="54"/>
      <c r="U586" s="54"/>
      <c r="V586" s="54"/>
      <c r="W586" s="54"/>
      <c r="X586" s="54"/>
      <c r="Y586" s="54"/>
      <c r="Z586" s="54"/>
    </row>
    <row r="587" spans="1:26" ht="127.5" customHeight="1">
      <c r="A587" s="54"/>
      <c r="B587" s="54"/>
      <c r="C587" s="54"/>
      <c r="D587" s="119"/>
      <c r="E587" s="54"/>
      <c r="F587" s="54"/>
      <c r="G587" s="54"/>
      <c r="H587" s="54"/>
      <c r="I587" s="54"/>
      <c r="J587" s="54"/>
      <c r="K587" s="54"/>
      <c r="L587" s="54"/>
      <c r="M587" s="54"/>
      <c r="N587" s="54"/>
      <c r="O587" s="54"/>
      <c r="P587" s="54"/>
      <c r="Q587" s="54"/>
      <c r="R587" s="54"/>
      <c r="S587" s="54"/>
      <c r="T587" s="54"/>
      <c r="U587" s="54"/>
      <c r="V587" s="54"/>
      <c r="W587" s="54"/>
      <c r="X587" s="54"/>
      <c r="Y587" s="54"/>
      <c r="Z587" s="54"/>
    </row>
    <row r="588" spans="1:26" ht="127.5" customHeight="1">
      <c r="A588" s="54"/>
      <c r="B588" s="54"/>
      <c r="C588" s="54"/>
      <c r="D588" s="119"/>
      <c r="E588" s="54"/>
      <c r="F588" s="54"/>
      <c r="G588" s="54"/>
      <c r="H588" s="54"/>
      <c r="I588" s="54"/>
      <c r="J588" s="54"/>
      <c r="K588" s="54"/>
      <c r="L588" s="54"/>
      <c r="M588" s="54"/>
      <c r="N588" s="54"/>
      <c r="O588" s="54"/>
      <c r="P588" s="54"/>
      <c r="Q588" s="54"/>
      <c r="R588" s="54"/>
      <c r="S588" s="54"/>
      <c r="T588" s="54"/>
      <c r="U588" s="54"/>
      <c r="V588" s="54"/>
      <c r="W588" s="54"/>
      <c r="X588" s="54"/>
      <c r="Y588" s="54"/>
      <c r="Z588" s="54"/>
    </row>
    <row r="589" spans="1:26" ht="127.5" customHeight="1">
      <c r="A589" s="54"/>
      <c r="B589" s="54"/>
      <c r="C589" s="54"/>
      <c r="D589" s="119"/>
      <c r="E589" s="54"/>
      <c r="F589" s="54"/>
      <c r="G589" s="54"/>
      <c r="H589" s="54"/>
      <c r="I589" s="54"/>
      <c r="J589" s="54"/>
      <c r="K589" s="54"/>
      <c r="L589" s="54"/>
      <c r="M589" s="54"/>
      <c r="N589" s="54"/>
      <c r="O589" s="54"/>
      <c r="P589" s="54"/>
      <c r="Q589" s="54"/>
      <c r="R589" s="54"/>
      <c r="S589" s="54"/>
      <c r="T589" s="54"/>
      <c r="U589" s="54"/>
      <c r="V589" s="54"/>
      <c r="W589" s="54"/>
      <c r="X589" s="54"/>
      <c r="Y589" s="54"/>
      <c r="Z589" s="54"/>
    </row>
    <row r="590" spans="1:26" ht="127.5" customHeight="1">
      <c r="A590" s="54"/>
      <c r="B590" s="54"/>
      <c r="C590" s="54"/>
      <c r="D590" s="119"/>
      <c r="E590" s="54"/>
      <c r="F590" s="54"/>
      <c r="G590" s="54"/>
      <c r="H590" s="54"/>
      <c r="I590" s="54"/>
      <c r="J590" s="54"/>
      <c r="K590" s="54"/>
      <c r="L590" s="54"/>
      <c r="M590" s="54"/>
      <c r="N590" s="54"/>
      <c r="O590" s="54"/>
      <c r="P590" s="54"/>
      <c r="Q590" s="54"/>
      <c r="R590" s="54"/>
      <c r="S590" s="54"/>
      <c r="T590" s="54"/>
      <c r="U590" s="54"/>
      <c r="V590" s="54"/>
      <c r="W590" s="54"/>
      <c r="X590" s="54"/>
      <c r="Y590" s="54"/>
      <c r="Z590" s="54"/>
    </row>
    <row r="591" spans="1:26" ht="127.5" customHeight="1">
      <c r="A591" s="54"/>
      <c r="B591" s="54"/>
      <c r="C591" s="54"/>
      <c r="D591" s="119"/>
      <c r="E591" s="54"/>
      <c r="F591" s="54"/>
      <c r="G591" s="54"/>
      <c r="H591" s="54"/>
      <c r="I591" s="54"/>
      <c r="J591" s="54"/>
      <c r="K591" s="54"/>
      <c r="L591" s="54"/>
      <c r="M591" s="54"/>
      <c r="N591" s="54"/>
      <c r="O591" s="54"/>
      <c r="P591" s="54"/>
      <c r="Q591" s="54"/>
      <c r="R591" s="54"/>
      <c r="S591" s="54"/>
      <c r="T591" s="54"/>
      <c r="U591" s="54"/>
      <c r="V591" s="54"/>
      <c r="W591" s="54"/>
      <c r="X591" s="54"/>
      <c r="Y591" s="54"/>
      <c r="Z591" s="54"/>
    </row>
    <row r="592" spans="1:26" ht="127.5" customHeight="1">
      <c r="A592" s="54"/>
      <c r="B592" s="54"/>
      <c r="C592" s="54"/>
      <c r="D592" s="119"/>
      <c r="E592" s="54"/>
      <c r="F592" s="54"/>
      <c r="G592" s="54"/>
      <c r="H592" s="54"/>
      <c r="I592" s="54"/>
      <c r="J592" s="54"/>
      <c r="K592" s="54"/>
      <c r="L592" s="54"/>
      <c r="M592" s="54"/>
      <c r="N592" s="54"/>
      <c r="O592" s="54"/>
      <c r="P592" s="54"/>
      <c r="Q592" s="54"/>
      <c r="R592" s="54"/>
      <c r="S592" s="54"/>
      <c r="T592" s="54"/>
      <c r="U592" s="54"/>
      <c r="V592" s="54"/>
      <c r="W592" s="54"/>
      <c r="X592" s="54"/>
      <c r="Y592" s="54"/>
      <c r="Z592" s="54"/>
    </row>
    <row r="593" spans="1:26" ht="127.5" customHeight="1">
      <c r="A593" s="54"/>
      <c r="B593" s="54"/>
      <c r="C593" s="54"/>
      <c r="D593" s="119"/>
      <c r="E593" s="54"/>
      <c r="F593" s="54"/>
      <c r="G593" s="54"/>
      <c r="H593" s="54"/>
      <c r="I593" s="54"/>
      <c r="J593" s="54"/>
      <c r="K593" s="54"/>
      <c r="L593" s="54"/>
      <c r="M593" s="54"/>
      <c r="N593" s="54"/>
      <c r="O593" s="54"/>
      <c r="P593" s="54"/>
      <c r="Q593" s="54"/>
      <c r="R593" s="54"/>
      <c r="S593" s="54"/>
      <c r="T593" s="54"/>
      <c r="U593" s="54"/>
      <c r="V593" s="54"/>
      <c r="W593" s="54"/>
      <c r="X593" s="54"/>
      <c r="Y593" s="54"/>
      <c r="Z593" s="54"/>
    </row>
    <row r="594" spans="1:26" ht="127.5" customHeight="1">
      <c r="A594" s="54"/>
      <c r="B594" s="54"/>
      <c r="C594" s="54"/>
      <c r="D594" s="119"/>
      <c r="E594" s="54"/>
      <c r="F594" s="54"/>
      <c r="G594" s="54"/>
      <c r="H594" s="54"/>
      <c r="I594" s="54"/>
      <c r="J594" s="54"/>
      <c r="K594" s="54"/>
      <c r="L594" s="54"/>
      <c r="M594" s="54"/>
      <c r="N594" s="54"/>
      <c r="O594" s="54"/>
      <c r="P594" s="54"/>
      <c r="Q594" s="54"/>
      <c r="R594" s="54"/>
      <c r="S594" s="54"/>
      <c r="T594" s="54"/>
      <c r="U594" s="54"/>
      <c r="V594" s="54"/>
      <c r="W594" s="54"/>
      <c r="X594" s="54"/>
      <c r="Y594" s="54"/>
      <c r="Z594" s="54"/>
    </row>
    <row r="595" spans="1:26" ht="127.5" customHeight="1">
      <c r="A595" s="54"/>
      <c r="B595" s="54"/>
      <c r="C595" s="54"/>
      <c r="D595" s="119"/>
      <c r="E595" s="54"/>
      <c r="F595" s="54"/>
      <c r="G595" s="54"/>
      <c r="H595" s="54"/>
      <c r="I595" s="54"/>
      <c r="J595" s="54"/>
      <c r="K595" s="54"/>
      <c r="L595" s="54"/>
      <c r="M595" s="54"/>
      <c r="N595" s="54"/>
      <c r="O595" s="54"/>
      <c r="P595" s="54"/>
      <c r="Q595" s="54"/>
      <c r="R595" s="54"/>
      <c r="S595" s="54"/>
      <c r="T595" s="54"/>
      <c r="U595" s="54"/>
      <c r="V595" s="54"/>
      <c r="W595" s="54"/>
      <c r="X595" s="54"/>
      <c r="Y595" s="54"/>
      <c r="Z595" s="54"/>
    </row>
    <row r="596" spans="1:26" ht="127.5" customHeight="1">
      <c r="A596" s="54"/>
      <c r="B596" s="54"/>
      <c r="C596" s="54"/>
      <c r="D596" s="119"/>
      <c r="E596" s="54"/>
      <c r="F596" s="54"/>
      <c r="G596" s="54"/>
      <c r="H596" s="54"/>
      <c r="I596" s="54"/>
      <c r="J596" s="54"/>
      <c r="K596" s="54"/>
      <c r="L596" s="54"/>
      <c r="M596" s="54"/>
      <c r="N596" s="54"/>
      <c r="O596" s="54"/>
      <c r="P596" s="54"/>
      <c r="Q596" s="54"/>
      <c r="R596" s="54"/>
      <c r="S596" s="54"/>
      <c r="T596" s="54"/>
      <c r="U596" s="54"/>
      <c r="V596" s="54"/>
      <c r="W596" s="54"/>
      <c r="X596" s="54"/>
      <c r="Y596" s="54"/>
      <c r="Z596" s="54"/>
    </row>
    <row r="597" spans="1:26" ht="127.5" customHeight="1">
      <c r="A597" s="54"/>
      <c r="B597" s="54"/>
      <c r="C597" s="54"/>
      <c r="D597" s="119"/>
      <c r="E597" s="54"/>
      <c r="F597" s="54"/>
      <c r="G597" s="54"/>
      <c r="H597" s="54"/>
      <c r="I597" s="54"/>
      <c r="J597" s="54"/>
      <c r="K597" s="54"/>
      <c r="L597" s="54"/>
      <c r="M597" s="54"/>
      <c r="N597" s="54"/>
      <c r="O597" s="54"/>
      <c r="P597" s="54"/>
      <c r="Q597" s="54"/>
      <c r="R597" s="54"/>
      <c r="S597" s="54"/>
      <c r="T597" s="54"/>
      <c r="U597" s="54"/>
      <c r="V597" s="54"/>
      <c r="W597" s="54"/>
      <c r="X597" s="54"/>
      <c r="Y597" s="54"/>
      <c r="Z597" s="54"/>
    </row>
    <row r="598" spans="1:26" ht="127.5" customHeight="1">
      <c r="A598" s="54"/>
      <c r="B598" s="54"/>
      <c r="C598" s="54"/>
      <c r="D598" s="119"/>
      <c r="E598" s="54"/>
      <c r="F598" s="54"/>
      <c r="G598" s="54"/>
      <c r="H598" s="54"/>
      <c r="I598" s="54"/>
      <c r="J598" s="54"/>
      <c r="K598" s="54"/>
      <c r="L598" s="54"/>
      <c r="M598" s="54"/>
      <c r="N598" s="54"/>
      <c r="O598" s="54"/>
      <c r="P598" s="54"/>
      <c r="Q598" s="54"/>
      <c r="R598" s="54"/>
      <c r="S598" s="54"/>
      <c r="T598" s="54"/>
      <c r="U598" s="54"/>
      <c r="V598" s="54"/>
      <c r="W598" s="54"/>
      <c r="X598" s="54"/>
      <c r="Y598" s="54"/>
      <c r="Z598" s="54"/>
    </row>
    <row r="599" spans="1:26" ht="127.5" customHeight="1">
      <c r="A599" s="54"/>
      <c r="B599" s="54"/>
      <c r="C599" s="54"/>
      <c r="D599" s="119"/>
      <c r="E599" s="54"/>
      <c r="F599" s="54"/>
      <c r="G599" s="54"/>
      <c r="H599" s="54"/>
      <c r="I599" s="54"/>
      <c r="J599" s="54"/>
      <c r="K599" s="54"/>
      <c r="L599" s="54"/>
      <c r="M599" s="54"/>
      <c r="N599" s="54"/>
      <c r="O599" s="54"/>
      <c r="P599" s="54"/>
      <c r="Q599" s="54"/>
      <c r="R599" s="54"/>
      <c r="S599" s="54"/>
      <c r="T599" s="54"/>
      <c r="U599" s="54"/>
      <c r="V599" s="54"/>
      <c r="W599" s="54"/>
      <c r="X599" s="54"/>
      <c r="Y599" s="54"/>
      <c r="Z599" s="54"/>
    </row>
    <row r="600" spans="1:26" ht="127.5" customHeight="1">
      <c r="A600" s="54"/>
      <c r="B600" s="54"/>
      <c r="C600" s="54"/>
      <c r="D600" s="119"/>
      <c r="E600" s="54"/>
      <c r="F600" s="54"/>
      <c r="G600" s="54"/>
      <c r="H600" s="54"/>
      <c r="I600" s="54"/>
      <c r="J600" s="54"/>
      <c r="K600" s="54"/>
      <c r="L600" s="54"/>
      <c r="M600" s="54"/>
      <c r="N600" s="54"/>
      <c r="O600" s="54"/>
      <c r="P600" s="54"/>
      <c r="Q600" s="54"/>
      <c r="R600" s="54"/>
      <c r="S600" s="54"/>
      <c r="T600" s="54"/>
      <c r="U600" s="54"/>
      <c r="V600" s="54"/>
      <c r="W600" s="54"/>
      <c r="X600" s="54"/>
      <c r="Y600" s="54"/>
      <c r="Z600" s="54"/>
    </row>
    <row r="601" spans="1:26" ht="127.5" customHeight="1">
      <c r="A601" s="54"/>
      <c r="B601" s="54"/>
      <c r="C601" s="54"/>
      <c r="D601" s="119"/>
      <c r="E601" s="54"/>
      <c r="F601" s="54"/>
      <c r="G601" s="54"/>
      <c r="H601" s="54"/>
      <c r="I601" s="54"/>
      <c r="J601" s="54"/>
      <c r="K601" s="54"/>
      <c r="L601" s="54"/>
      <c r="M601" s="54"/>
      <c r="N601" s="54"/>
      <c r="O601" s="54"/>
      <c r="P601" s="54"/>
      <c r="Q601" s="54"/>
      <c r="R601" s="54"/>
      <c r="S601" s="54"/>
      <c r="T601" s="54"/>
      <c r="U601" s="54"/>
      <c r="V601" s="54"/>
      <c r="W601" s="54"/>
      <c r="X601" s="54"/>
      <c r="Y601" s="54"/>
      <c r="Z601" s="54"/>
    </row>
    <row r="602" spans="1:26" ht="127.5" customHeight="1">
      <c r="A602" s="54"/>
      <c r="B602" s="54"/>
      <c r="C602" s="54"/>
      <c r="D602" s="119"/>
      <c r="E602" s="54"/>
      <c r="F602" s="54"/>
      <c r="G602" s="54"/>
      <c r="H602" s="54"/>
      <c r="I602" s="54"/>
      <c r="J602" s="54"/>
      <c r="K602" s="54"/>
      <c r="L602" s="54"/>
      <c r="M602" s="54"/>
      <c r="N602" s="54"/>
      <c r="O602" s="54"/>
      <c r="P602" s="54"/>
      <c r="Q602" s="54"/>
      <c r="R602" s="54"/>
      <c r="S602" s="54"/>
      <c r="T602" s="54"/>
      <c r="U602" s="54"/>
      <c r="V602" s="54"/>
      <c r="W602" s="54"/>
      <c r="X602" s="54"/>
      <c r="Y602" s="54"/>
      <c r="Z602" s="54"/>
    </row>
    <row r="603" spans="1:26" ht="127.5" customHeight="1">
      <c r="A603" s="54"/>
      <c r="B603" s="54"/>
      <c r="C603" s="54"/>
      <c r="D603" s="119"/>
      <c r="E603" s="54"/>
      <c r="F603" s="54"/>
      <c r="G603" s="54"/>
      <c r="H603" s="54"/>
      <c r="I603" s="54"/>
      <c r="J603" s="54"/>
      <c r="K603" s="54"/>
      <c r="L603" s="54"/>
      <c r="M603" s="54"/>
      <c r="N603" s="54"/>
      <c r="O603" s="54"/>
      <c r="P603" s="54"/>
      <c r="Q603" s="54"/>
      <c r="R603" s="54"/>
      <c r="S603" s="54"/>
      <c r="T603" s="54"/>
      <c r="U603" s="54"/>
      <c r="V603" s="54"/>
      <c r="W603" s="54"/>
      <c r="X603" s="54"/>
      <c r="Y603" s="54"/>
      <c r="Z603" s="54"/>
    </row>
    <row r="604" spans="1:26" ht="127.5" customHeight="1">
      <c r="A604" s="54"/>
      <c r="B604" s="54"/>
      <c r="C604" s="54"/>
      <c r="D604" s="119"/>
      <c r="E604" s="54"/>
      <c r="F604" s="54"/>
      <c r="G604" s="54"/>
      <c r="H604" s="54"/>
      <c r="I604" s="54"/>
      <c r="J604" s="54"/>
      <c r="K604" s="54"/>
      <c r="L604" s="54"/>
      <c r="M604" s="54"/>
      <c r="N604" s="54"/>
      <c r="O604" s="54"/>
      <c r="P604" s="54"/>
      <c r="Q604" s="54"/>
      <c r="R604" s="54"/>
      <c r="S604" s="54"/>
      <c r="T604" s="54"/>
      <c r="U604" s="54"/>
      <c r="V604" s="54"/>
      <c r="W604" s="54"/>
      <c r="X604" s="54"/>
      <c r="Y604" s="54"/>
      <c r="Z604" s="54"/>
    </row>
    <row r="605" spans="1:26" ht="127.5" customHeight="1">
      <c r="A605" s="54"/>
      <c r="B605" s="54"/>
      <c r="C605" s="54"/>
      <c r="D605" s="119"/>
      <c r="E605" s="54"/>
      <c r="F605" s="54"/>
      <c r="G605" s="54"/>
      <c r="H605" s="54"/>
      <c r="I605" s="54"/>
      <c r="J605" s="54"/>
      <c r="K605" s="54"/>
      <c r="L605" s="54"/>
      <c r="M605" s="54"/>
      <c r="N605" s="54"/>
      <c r="O605" s="54"/>
      <c r="P605" s="54"/>
      <c r="Q605" s="54"/>
      <c r="R605" s="54"/>
      <c r="S605" s="54"/>
      <c r="T605" s="54"/>
      <c r="U605" s="54"/>
      <c r="V605" s="54"/>
      <c r="W605" s="54"/>
      <c r="X605" s="54"/>
      <c r="Y605" s="54"/>
      <c r="Z605" s="54"/>
    </row>
    <row r="606" spans="1:26" ht="127.5" customHeight="1">
      <c r="A606" s="54"/>
      <c r="B606" s="54"/>
      <c r="C606" s="54"/>
      <c r="D606" s="119"/>
      <c r="E606" s="54"/>
      <c r="F606" s="54"/>
      <c r="G606" s="54"/>
      <c r="H606" s="54"/>
      <c r="I606" s="54"/>
      <c r="J606" s="54"/>
      <c r="K606" s="54"/>
      <c r="L606" s="54"/>
      <c r="M606" s="54"/>
      <c r="N606" s="54"/>
      <c r="O606" s="54"/>
      <c r="P606" s="54"/>
      <c r="Q606" s="54"/>
      <c r="R606" s="54"/>
      <c r="S606" s="54"/>
      <c r="T606" s="54"/>
      <c r="U606" s="54"/>
      <c r="V606" s="54"/>
      <c r="W606" s="54"/>
      <c r="X606" s="54"/>
      <c r="Y606" s="54"/>
      <c r="Z606" s="54"/>
    </row>
    <row r="607" spans="1:26" ht="127.5" customHeight="1">
      <c r="A607" s="54"/>
      <c r="B607" s="54"/>
      <c r="C607" s="54"/>
      <c r="D607" s="119"/>
      <c r="E607" s="54"/>
      <c r="F607" s="54"/>
      <c r="G607" s="54"/>
      <c r="H607" s="54"/>
      <c r="I607" s="54"/>
      <c r="J607" s="54"/>
      <c r="K607" s="54"/>
      <c r="L607" s="54"/>
      <c r="M607" s="54"/>
      <c r="N607" s="54"/>
      <c r="O607" s="54"/>
      <c r="P607" s="54"/>
      <c r="Q607" s="54"/>
      <c r="R607" s="54"/>
      <c r="S607" s="54"/>
      <c r="T607" s="54"/>
      <c r="U607" s="54"/>
      <c r="V607" s="54"/>
      <c r="W607" s="54"/>
      <c r="X607" s="54"/>
      <c r="Y607" s="54"/>
      <c r="Z607" s="54"/>
    </row>
    <row r="608" spans="1:26" ht="127.5" customHeight="1">
      <c r="A608" s="54"/>
      <c r="B608" s="54"/>
      <c r="C608" s="54"/>
      <c r="D608" s="119"/>
      <c r="E608" s="54"/>
      <c r="F608" s="54"/>
      <c r="G608" s="54"/>
      <c r="H608" s="54"/>
      <c r="I608" s="54"/>
      <c r="J608" s="54"/>
      <c r="K608" s="54"/>
      <c r="L608" s="54"/>
      <c r="M608" s="54"/>
      <c r="N608" s="54"/>
      <c r="O608" s="54"/>
      <c r="P608" s="54"/>
      <c r="Q608" s="54"/>
      <c r="R608" s="54"/>
      <c r="S608" s="54"/>
      <c r="T608" s="54"/>
      <c r="U608" s="54"/>
      <c r="V608" s="54"/>
      <c r="W608" s="54"/>
      <c r="X608" s="54"/>
      <c r="Y608" s="54"/>
      <c r="Z608" s="54"/>
    </row>
    <row r="609" spans="1:26" ht="127.5" customHeight="1">
      <c r="A609" s="54"/>
      <c r="B609" s="54"/>
      <c r="C609" s="54"/>
      <c r="D609" s="119"/>
      <c r="E609" s="54"/>
      <c r="F609" s="54"/>
      <c r="G609" s="54"/>
      <c r="H609" s="54"/>
      <c r="I609" s="54"/>
      <c r="J609" s="54"/>
      <c r="K609" s="54"/>
      <c r="L609" s="54"/>
      <c r="M609" s="54"/>
      <c r="N609" s="54"/>
      <c r="O609" s="54"/>
      <c r="P609" s="54"/>
      <c r="Q609" s="54"/>
      <c r="R609" s="54"/>
      <c r="S609" s="54"/>
      <c r="T609" s="54"/>
      <c r="U609" s="54"/>
      <c r="V609" s="54"/>
      <c r="W609" s="54"/>
      <c r="X609" s="54"/>
      <c r="Y609" s="54"/>
      <c r="Z609" s="54"/>
    </row>
    <row r="610" spans="1:26" ht="127.5" customHeight="1">
      <c r="A610" s="54"/>
      <c r="B610" s="54"/>
      <c r="C610" s="54"/>
      <c r="D610" s="119"/>
      <c r="E610" s="54"/>
      <c r="F610" s="54"/>
      <c r="G610" s="54"/>
      <c r="H610" s="54"/>
      <c r="I610" s="54"/>
      <c r="J610" s="54"/>
      <c r="K610" s="54"/>
      <c r="L610" s="54"/>
      <c r="M610" s="54"/>
      <c r="N610" s="54"/>
      <c r="O610" s="54"/>
      <c r="P610" s="54"/>
      <c r="Q610" s="54"/>
      <c r="R610" s="54"/>
      <c r="S610" s="54"/>
      <c r="T610" s="54"/>
      <c r="U610" s="54"/>
      <c r="V610" s="54"/>
      <c r="W610" s="54"/>
      <c r="X610" s="54"/>
      <c r="Y610" s="54"/>
      <c r="Z610" s="54"/>
    </row>
    <row r="611" spans="1:26" ht="127.5" customHeight="1">
      <c r="A611" s="54"/>
      <c r="B611" s="54"/>
      <c r="C611" s="54"/>
      <c r="D611" s="119"/>
      <c r="E611" s="54"/>
      <c r="F611" s="54"/>
      <c r="G611" s="54"/>
      <c r="H611" s="54"/>
      <c r="I611" s="54"/>
      <c r="J611" s="54"/>
      <c r="K611" s="54"/>
      <c r="L611" s="54"/>
      <c r="M611" s="54"/>
      <c r="N611" s="54"/>
      <c r="O611" s="54"/>
      <c r="P611" s="54"/>
      <c r="Q611" s="54"/>
      <c r="R611" s="54"/>
      <c r="S611" s="54"/>
      <c r="T611" s="54"/>
      <c r="U611" s="54"/>
      <c r="V611" s="54"/>
      <c r="W611" s="54"/>
      <c r="X611" s="54"/>
      <c r="Y611" s="54"/>
      <c r="Z611" s="54"/>
    </row>
    <row r="612" spans="1:26" ht="127.5" customHeight="1">
      <c r="A612" s="54"/>
      <c r="B612" s="54"/>
      <c r="C612" s="54"/>
      <c r="D612" s="119"/>
      <c r="E612" s="54"/>
      <c r="F612" s="54"/>
      <c r="G612" s="54"/>
      <c r="H612" s="54"/>
      <c r="I612" s="54"/>
      <c r="J612" s="54"/>
      <c r="K612" s="54"/>
      <c r="L612" s="54"/>
      <c r="M612" s="54"/>
      <c r="N612" s="54"/>
      <c r="O612" s="54"/>
      <c r="P612" s="54"/>
      <c r="Q612" s="54"/>
      <c r="R612" s="54"/>
      <c r="S612" s="54"/>
      <c r="T612" s="54"/>
      <c r="U612" s="54"/>
      <c r="V612" s="54"/>
      <c r="W612" s="54"/>
      <c r="X612" s="54"/>
      <c r="Y612" s="54"/>
      <c r="Z612" s="54"/>
    </row>
    <row r="613" spans="1:26" ht="127.5" customHeight="1">
      <c r="A613" s="54"/>
      <c r="B613" s="54"/>
      <c r="C613" s="54"/>
      <c r="D613" s="119"/>
      <c r="E613" s="54"/>
      <c r="F613" s="54"/>
      <c r="G613" s="54"/>
      <c r="H613" s="54"/>
      <c r="I613" s="54"/>
      <c r="J613" s="54"/>
      <c r="K613" s="54"/>
      <c r="L613" s="54"/>
      <c r="M613" s="54"/>
      <c r="N613" s="54"/>
      <c r="O613" s="54"/>
      <c r="P613" s="54"/>
      <c r="Q613" s="54"/>
      <c r="R613" s="54"/>
      <c r="S613" s="54"/>
      <c r="T613" s="54"/>
      <c r="U613" s="54"/>
      <c r="V613" s="54"/>
      <c r="W613" s="54"/>
      <c r="X613" s="54"/>
      <c r="Y613" s="54"/>
      <c r="Z613" s="54"/>
    </row>
    <row r="614" spans="1:26" ht="127.5" customHeight="1">
      <c r="A614" s="54"/>
      <c r="B614" s="54"/>
      <c r="C614" s="54"/>
      <c r="D614" s="119"/>
      <c r="E614" s="54"/>
      <c r="F614" s="54"/>
      <c r="G614" s="54"/>
      <c r="H614" s="54"/>
      <c r="I614" s="54"/>
      <c r="J614" s="54"/>
      <c r="K614" s="54"/>
      <c r="L614" s="54"/>
      <c r="M614" s="54"/>
      <c r="N614" s="54"/>
      <c r="O614" s="54"/>
      <c r="P614" s="54"/>
      <c r="Q614" s="54"/>
      <c r="R614" s="54"/>
      <c r="S614" s="54"/>
      <c r="T614" s="54"/>
      <c r="U614" s="54"/>
      <c r="V614" s="54"/>
      <c r="W614" s="54"/>
      <c r="X614" s="54"/>
      <c r="Y614" s="54"/>
      <c r="Z614" s="54"/>
    </row>
    <row r="615" spans="1:26" ht="127.5" customHeight="1">
      <c r="A615" s="54"/>
      <c r="B615" s="54"/>
      <c r="C615" s="54"/>
      <c r="D615" s="119"/>
      <c r="E615" s="54"/>
      <c r="F615" s="54"/>
      <c r="G615" s="54"/>
      <c r="H615" s="54"/>
      <c r="I615" s="54"/>
      <c r="J615" s="54"/>
      <c r="K615" s="54"/>
      <c r="L615" s="54"/>
      <c r="M615" s="54"/>
      <c r="N615" s="54"/>
      <c r="O615" s="54"/>
      <c r="P615" s="54"/>
      <c r="Q615" s="54"/>
      <c r="R615" s="54"/>
      <c r="S615" s="54"/>
      <c r="T615" s="54"/>
      <c r="U615" s="54"/>
      <c r="V615" s="54"/>
      <c r="W615" s="54"/>
      <c r="X615" s="54"/>
      <c r="Y615" s="54"/>
      <c r="Z615" s="54"/>
    </row>
    <row r="616" spans="1:26" ht="127.5" customHeight="1">
      <c r="A616" s="54"/>
      <c r="B616" s="54"/>
      <c r="C616" s="54"/>
      <c r="D616" s="119"/>
      <c r="E616" s="54"/>
      <c r="F616" s="54"/>
      <c r="G616" s="54"/>
      <c r="H616" s="54"/>
      <c r="I616" s="54"/>
      <c r="J616" s="54"/>
      <c r="K616" s="54"/>
      <c r="L616" s="54"/>
      <c r="M616" s="54"/>
      <c r="N616" s="54"/>
      <c r="O616" s="54"/>
      <c r="P616" s="54"/>
      <c r="Q616" s="54"/>
      <c r="R616" s="54"/>
      <c r="S616" s="54"/>
      <c r="T616" s="54"/>
      <c r="U616" s="54"/>
      <c r="V616" s="54"/>
      <c r="W616" s="54"/>
      <c r="X616" s="54"/>
      <c r="Y616" s="54"/>
      <c r="Z616" s="54"/>
    </row>
    <row r="617" spans="1:26" ht="127.5" customHeight="1">
      <c r="A617" s="54"/>
      <c r="B617" s="54"/>
      <c r="C617" s="54"/>
      <c r="D617" s="119"/>
      <c r="E617" s="54"/>
      <c r="F617" s="54"/>
      <c r="G617" s="54"/>
      <c r="H617" s="54"/>
      <c r="I617" s="54"/>
      <c r="J617" s="54"/>
      <c r="K617" s="54"/>
      <c r="L617" s="54"/>
      <c r="M617" s="54"/>
      <c r="N617" s="54"/>
      <c r="O617" s="54"/>
      <c r="P617" s="54"/>
      <c r="Q617" s="54"/>
      <c r="R617" s="54"/>
      <c r="S617" s="54"/>
      <c r="T617" s="54"/>
      <c r="U617" s="54"/>
      <c r="V617" s="54"/>
      <c r="W617" s="54"/>
      <c r="X617" s="54"/>
      <c r="Y617" s="54"/>
      <c r="Z617" s="54"/>
    </row>
    <row r="618" spans="1:26" ht="127.5" customHeight="1">
      <c r="A618" s="54"/>
      <c r="B618" s="54"/>
      <c r="C618" s="54"/>
      <c r="D618" s="119"/>
      <c r="E618" s="54"/>
      <c r="F618" s="54"/>
      <c r="G618" s="54"/>
      <c r="H618" s="54"/>
      <c r="I618" s="54"/>
      <c r="J618" s="54"/>
      <c r="K618" s="54"/>
      <c r="L618" s="54"/>
      <c r="M618" s="54"/>
      <c r="N618" s="54"/>
      <c r="O618" s="54"/>
      <c r="P618" s="54"/>
      <c r="Q618" s="54"/>
      <c r="R618" s="54"/>
      <c r="S618" s="54"/>
      <c r="T618" s="54"/>
      <c r="U618" s="54"/>
      <c r="V618" s="54"/>
      <c r="W618" s="54"/>
      <c r="X618" s="54"/>
      <c r="Y618" s="54"/>
      <c r="Z618" s="54"/>
    </row>
    <row r="619" spans="1:26" ht="127.5" customHeight="1">
      <c r="A619" s="54"/>
      <c r="B619" s="54"/>
      <c r="C619" s="54"/>
      <c r="D619" s="119"/>
      <c r="E619" s="54"/>
      <c r="F619" s="54"/>
      <c r="G619" s="54"/>
      <c r="H619" s="54"/>
      <c r="I619" s="54"/>
      <c r="J619" s="54"/>
      <c r="K619" s="54"/>
      <c r="L619" s="54"/>
      <c r="M619" s="54"/>
      <c r="N619" s="54"/>
      <c r="O619" s="54"/>
      <c r="P619" s="54"/>
      <c r="Q619" s="54"/>
      <c r="R619" s="54"/>
      <c r="S619" s="54"/>
      <c r="T619" s="54"/>
      <c r="U619" s="54"/>
      <c r="V619" s="54"/>
      <c r="W619" s="54"/>
      <c r="X619" s="54"/>
      <c r="Y619" s="54"/>
      <c r="Z619" s="54"/>
    </row>
    <row r="620" spans="1:26" ht="127.5" customHeight="1">
      <c r="A620" s="54"/>
      <c r="B620" s="54"/>
      <c r="C620" s="54"/>
      <c r="D620" s="119"/>
      <c r="E620" s="54"/>
      <c r="F620" s="54"/>
      <c r="G620" s="54"/>
      <c r="H620" s="54"/>
      <c r="I620" s="54"/>
      <c r="J620" s="54"/>
      <c r="K620" s="54"/>
      <c r="L620" s="54"/>
      <c r="M620" s="54"/>
      <c r="N620" s="54"/>
      <c r="O620" s="54"/>
      <c r="P620" s="54"/>
      <c r="Q620" s="54"/>
      <c r="R620" s="54"/>
      <c r="S620" s="54"/>
      <c r="T620" s="54"/>
      <c r="U620" s="54"/>
      <c r="V620" s="54"/>
      <c r="W620" s="54"/>
      <c r="X620" s="54"/>
      <c r="Y620" s="54"/>
      <c r="Z620" s="54"/>
    </row>
    <row r="621" spans="1:26" ht="127.5" customHeight="1">
      <c r="A621" s="54"/>
      <c r="B621" s="54"/>
      <c r="C621" s="54"/>
      <c r="D621" s="119"/>
      <c r="E621" s="54"/>
      <c r="F621" s="54"/>
      <c r="G621" s="54"/>
      <c r="H621" s="54"/>
      <c r="I621" s="54"/>
      <c r="J621" s="54"/>
      <c r="K621" s="54"/>
      <c r="L621" s="54"/>
      <c r="M621" s="54"/>
      <c r="N621" s="54"/>
      <c r="O621" s="54"/>
      <c r="P621" s="54"/>
      <c r="Q621" s="54"/>
      <c r="R621" s="54"/>
      <c r="S621" s="54"/>
      <c r="T621" s="54"/>
      <c r="U621" s="54"/>
      <c r="V621" s="54"/>
      <c r="W621" s="54"/>
      <c r="X621" s="54"/>
      <c r="Y621" s="54"/>
      <c r="Z621" s="54"/>
    </row>
    <row r="622" spans="1:26" ht="127.5" customHeight="1">
      <c r="A622" s="54"/>
      <c r="B622" s="54"/>
      <c r="C622" s="54"/>
      <c r="D622" s="119"/>
      <c r="E622" s="54"/>
      <c r="F622" s="54"/>
      <c r="G622" s="54"/>
      <c r="H622" s="54"/>
      <c r="I622" s="54"/>
      <c r="J622" s="54"/>
      <c r="K622" s="54"/>
      <c r="L622" s="54"/>
      <c r="M622" s="54"/>
      <c r="N622" s="54"/>
      <c r="O622" s="54"/>
      <c r="P622" s="54"/>
      <c r="Q622" s="54"/>
      <c r="R622" s="54"/>
      <c r="S622" s="54"/>
      <c r="T622" s="54"/>
      <c r="U622" s="54"/>
      <c r="V622" s="54"/>
      <c r="W622" s="54"/>
      <c r="X622" s="54"/>
      <c r="Y622" s="54"/>
      <c r="Z622" s="54"/>
    </row>
    <row r="623" spans="1:26" ht="127.5" customHeight="1">
      <c r="A623" s="54"/>
      <c r="B623" s="54"/>
      <c r="C623" s="54"/>
      <c r="D623" s="119"/>
      <c r="E623" s="54"/>
      <c r="F623" s="54"/>
      <c r="G623" s="54"/>
      <c r="H623" s="54"/>
      <c r="I623" s="54"/>
      <c r="J623" s="54"/>
      <c r="K623" s="54"/>
      <c r="L623" s="54"/>
      <c r="M623" s="54"/>
      <c r="N623" s="54"/>
      <c r="O623" s="54"/>
      <c r="P623" s="54"/>
      <c r="Q623" s="54"/>
      <c r="R623" s="54"/>
      <c r="S623" s="54"/>
      <c r="T623" s="54"/>
      <c r="U623" s="54"/>
      <c r="V623" s="54"/>
      <c r="W623" s="54"/>
      <c r="X623" s="54"/>
      <c r="Y623" s="54"/>
      <c r="Z623" s="54"/>
    </row>
    <row r="624" spans="1:26" ht="127.5" customHeight="1">
      <c r="A624" s="54"/>
      <c r="B624" s="54"/>
      <c r="C624" s="54"/>
      <c r="D624" s="119"/>
      <c r="E624" s="54"/>
      <c r="F624" s="54"/>
      <c r="G624" s="54"/>
      <c r="H624" s="54"/>
      <c r="I624" s="54"/>
      <c r="J624" s="54"/>
      <c r="K624" s="54"/>
      <c r="L624" s="54"/>
      <c r="M624" s="54"/>
      <c r="N624" s="54"/>
      <c r="O624" s="54"/>
      <c r="P624" s="54"/>
      <c r="Q624" s="54"/>
      <c r="R624" s="54"/>
      <c r="S624" s="54"/>
      <c r="T624" s="54"/>
      <c r="U624" s="54"/>
      <c r="V624" s="54"/>
      <c r="W624" s="54"/>
      <c r="X624" s="54"/>
      <c r="Y624" s="54"/>
      <c r="Z624" s="54"/>
    </row>
    <row r="625" spans="1:26" ht="127.5" customHeight="1">
      <c r="A625" s="54"/>
      <c r="B625" s="54"/>
      <c r="C625" s="54"/>
      <c r="D625" s="119"/>
      <c r="E625" s="54"/>
      <c r="F625" s="54"/>
      <c r="G625" s="54"/>
      <c r="H625" s="54"/>
      <c r="I625" s="54"/>
      <c r="J625" s="54"/>
      <c r="K625" s="54"/>
      <c r="L625" s="54"/>
      <c r="M625" s="54"/>
      <c r="N625" s="54"/>
      <c r="O625" s="54"/>
      <c r="P625" s="54"/>
      <c r="Q625" s="54"/>
      <c r="R625" s="54"/>
      <c r="S625" s="54"/>
      <c r="T625" s="54"/>
      <c r="U625" s="54"/>
      <c r="V625" s="54"/>
      <c r="W625" s="54"/>
      <c r="X625" s="54"/>
      <c r="Y625" s="54"/>
      <c r="Z625" s="54"/>
    </row>
    <row r="626" spans="1:26" ht="127.5" customHeight="1">
      <c r="A626" s="54"/>
      <c r="B626" s="54"/>
      <c r="C626" s="54"/>
      <c r="D626" s="119"/>
      <c r="E626" s="54"/>
      <c r="F626" s="54"/>
      <c r="G626" s="54"/>
      <c r="H626" s="54"/>
      <c r="I626" s="54"/>
      <c r="J626" s="54"/>
      <c r="K626" s="54"/>
      <c r="L626" s="54"/>
      <c r="M626" s="54"/>
      <c r="N626" s="54"/>
      <c r="O626" s="54"/>
      <c r="P626" s="54"/>
      <c r="Q626" s="54"/>
      <c r="R626" s="54"/>
      <c r="S626" s="54"/>
      <c r="T626" s="54"/>
      <c r="U626" s="54"/>
      <c r="V626" s="54"/>
      <c r="W626" s="54"/>
      <c r="X626" s="54"/>
      <c r="Y626" s="54"/>
      <c r="Z626" s="54"/>
    </row>
    <row r="627" spans="1:26" ht="127.5" customHeight="1">
      <c r="A627" s="54"/>
      <c r="B627" s="54"/>
      <c r="C627" s="54"/>
      <c r="D627" s="119"/>
      <c r="E627" s="54"/>
      <c r="F627" s="54"/>
      <c r="G627" s="54"/>
      <c r="H627" s="54"/>
      <c r="I627" s="54"/>
      <c r="J627" s="54"/>
      <c r="K627" s="54"/>
      <c r="L627" s="54"/>
      <c r="M627" s="54"/>
      <c r="N627" s="54"/>
      <c r="O627" s="54"/>
      <c r="P627" s="54"/>
      <c r="Q627" s="54"/>
      <c r="R627" s="54"/>
      <c r="S627" s="54"/>
      <c r="T627" s="54"/>
      <c r="U627" s="54"/>
      <c r="V627" s="54"/>
      <c r="W627" s="54"/>
      <c r="X627" s="54"/>
      <c r="Y627" s="54"/>
      <c r="Z627" s="54"/>
    </row>
    <row r="628" spans="1:26" ht="127.5" customHeight="1">
      <c r="A628" s="54"/>
      <c r="B628" s="54"/>
      <c r="C628" s="54"/>
      <c r="D628" s="119"/>
      <c r="E628" s="54"/>
      <c r="F628" s="54"/>
      <c r="G628" s="54"/>
      <c r="H628" s="54"/>
      <c r="I628" s="54"/>
      <c r="J628" s="54"/>
      <c r="K628" s="54"/>
      <c r="L628" s="54"/>
      <c r="M628" s="54"/>
      <c r="N628" s="54"/>
      <c r="O628" s="54"/>
      <c r="P628" s="54"/>
      <c r="Q628" s="54"/>
      <c r="R628" s="54"/>
      <c r="S628" s="54"/>
      <c r="T628" s="54"/>
      <c r="U628" s="54"/>
      <c r="V628" s="54"/>
      <c r="W628" s="54"/>
      <c r="X628" s="54"/>
      <c r="Y628" s="54"/>
      <c r="Z628" s="54"/>
    </row>
    <row r="629" spans="1:26" ht="127.5" customHeight="1">
      <c r="A629" s="54"/>
      <c r="B629" s="54"/>
      <c r="C629" s="54"/>
      <c r="D629" s="119"/>
      <c r="E629" s="54"/>
      <c r="F629" s="54"/>
      <c r="G629" s="54"/>
      <c r="H629" s="54"/>
      <c r="I629" s="54"/>
      <c r="J629" s="54"/>
      <c r="K629" s="54"/>
      <c r="L629" s="54"/>
      <c r="M629" s="54"/>
      <c r="N629" s="54"/>
      <c r="O629" s="54"/>
      <c r="P629" s="54"/>
      <c r="Q629" s="54"/>
      <c r="R629" s="54"/>
      <c r="S629" s="54"/>
      <c r="T629" s="54"/>
      <c r="U629" s="54"/>
      <c r="V629" s="54"/>
      <c r="W629" s="54"/>
      <c r="X629" s="54"/>
      <c r="Y629" s="54"/>
      <c r="Z629" s="54"/>
    </row>
    <row r="630" spans="1:26" ht="127.5" customHeight="1">
      <c r="A630" s="54"/>
      <c r="B630" s="54"/>
      <c r="C630" s="54"/>
      <c r="D630" s="119"/>
      <c r="E630" s="54"/>
      <c r="F630" s="54"/>
      <c r="G630" s="54"/>
      <c r="H630" s="54"/>
      <c r="I630" s="54"/>
      <c r="J630" s="54"/>
      <c r="K630" s="54"/>
      <c r="L630" s="54"/>
      <c r="M630" s="54"/>
      <c r="N630" s="54"/>
      <c r="O630" s="54"/>
      <c r="P630" s="54"/>
      <c r="Q630" s="54"/>
      <c r="R630" s="54"/>
      <c r="S630" s="54"/>
      <c r="T630" s="54"/>
      <c r="U630" s="54"/>
      <c r="V630" s="54"/>
      <c r="W630" s="54"/>
      <c r="X630" s="54"/>
      <c r="Y630" s="54"/>
      <c r="Z630" s="54"/>
    </row>
    <row r="631" spans="1:26" ht="127.5" customHeight="1">
      <c r="A631" s="54"/>
      <c r="B631" s="54"/>
      <c r="C631" s="54"/>
      <c r="D631" s="119"/>
      <c r="E631" s="54"/>
      <c r="F631" s="54"/>
      <c r="G631" s="54"/>
      <c r="H631" s="54"/>
      <c r="I631" s="54"/>
      <c r="J631" s="54"/>
      <c r="K631" s="54"/>
      <c r="L631" s="54"/>
      <c r="M631" s="54"/>
      <c r="N631" s="54"/>
      <c r="O631" s="54"/>
      <c r="P631" s="54"/>
      <c r="Q631" s="54"/>
      <c r="R631" s="54"/>
      <c r="S631" s="54"/>
      <c r="T631" s="54"/>
      <c r="U631" s="54"/>
      <c r="V631" s="54"/>
      <c r="W631" s="54"/>
      <c r="X631" s="54"/>
      <c r="Y631" s="54"/>
      <c r="Z631" s="54"/>
    </row>
    <row r="632" spans="1:26" ht="127.5" customHeight="1">
      <c r="A632" s="54"/>
      <c r="B632" s="54"/>
      <c r="C632" s="54"/>
      <c r="D632" s="119"/>
      <c r="E632" s="54"/>
      <c r="F632" s="54"/>
      <c r="G632" s="54"/>
      <c r="H632" s="54"/>
      <c r="I632" s="54"/>
      <c r="J632" s="54"/>
      <c r="K632" s="54"/>
      <c r="L632" s="54"/>
      <c r="M632" s="54"/>
      <c r="N632" s="54"/>
      <c r="O632" s="54"/>
      <c r="P632" s="54"/>
      <c r="Q632" s="54"/>
      <c r="R632" s="54"/>
      <c r="S632" s="54"/>
      <c r="T632" s="54"/>
      <c r="U632" s="54"/>
      <c r="V632" s="54"/>
      <c r="W632" s="54"/>
      <c r="X632" s="54"/>
      <c r="Y632" s="54"/>
      <c r="Z632" s="54"/>
    </row>
    <row r="633" spans="1:26" ht="127.5" customHeight="1">
      <c r="A633" s="54"/>
      <c r="B633" s="54"/>
      <c r="C633" s="54"/>
      <c r="D633" s="119"/>
      <c r="E633" s="54"/>
      <c r="F633" s="54"/>
      <c r="G633" s="54"/>
      <c r="H633" s="54"/>
      <c r="I633" s="54"/>
      <c r="J633" s="54"/>
      <c r="K633" s="54"/>
      <c r="L633" s="54"/>
      <c r="M633" s="54"/>
      <c r="N633" s="54"/>
      <c r="O633" s="54"/>
      <c r="P633" s="54"/>
      <c r="Q633" s="54"/>
      <c r="R633" s="54"/>
      <c r="S633" s="54"/>
      <c r="T633" s="54"/>
      <c r="U633" s="54"/>
      <c r="V633" s="54"/>
      <c r="W633" s="54"/>
      <c r="X633" s="54"/>
      <c r="Y633" s="54"/>
      <c r="Z633" s="54"/>
    </row>
    <row r="634" spans="1:26" ht="127.5" customHeight="1">
      <c r="A634" s="54"/>
      <c r="B634" s="54"/>
      <c r="C634" s="54"/>
      <c r="D634" s="119"/>
      <c r="E634" s="54"/>
      <c r="F634" s="54"/>
      <c r="G634" s="54"/>
      <c r="H634" s="54"/>
      <c r="I634" s="54"/>
      <c r="J634" s="54"/>
      <c r="K634" s="54"/>
      <c r="L634" s="54"/>
      <c r="M634" s="54"/>
      <c r="N634" s="54"/>
      <c r="O634" s="54"/>
      <c r="P634" s="54"/>
      <c r="Q634" s="54"/>
      <c r="R634" s="54"/>
      <c r="S634" s="54"/>
      <c r="T634" s="54"/>
      <c r="U634" s="54"/>
      <c r="V634" s="54"/>
      <c r="W634" s="54"/>
      <c r="X634" s="54"/>
      <c r="Y634" s="54"/>
      <c r="Z634" s="54"/>
    </row>
    <row r="635" spans="1:26" ht="127.5" customHeight="1">
      <c r="A635" s="54"/>
      <c r="B635" s="54"/>
      <c r="C635" s="54"/>
      <c r="D635" s="119"/>
      <c r="E635" s="54"/>
      <c r="F635" s="54"/>
      <c r="G635" s="54"/>
      <c r="H635" s="54"/>
      <c r="I635" s="54"/>
      <c r="J635" s="54"/>
      <c r="K635" s="54"/>
      <c r="L635" s="54"/>
      <c r="M635" s="54"/>
      <c r="N635" s="54"/>
      <c r="O635" s="54"/>
      <c r="P635" s="54"/>
      <c r="Q635" s="54"/>
      <c r="R635" s="54"/>
      <c r="S635" s="54"/>
      <c r="T635" s="54"/>
      <c r="U635" s="54"/>
      <c r="V635" s="54"/>
      <c r="W635" s="54"/>
      <c r="X635" s="54"/>
      <c r="Y635" s="54"/>
      <c r="Z635" s="54"/>
    </row>
    <row r="636" spans="1:26" ht="127.5" customHeight="1">
      <c r="A636" s="54"/>
      <c r="B636" s="54"/>
      <c r="C636" s="54"/>
      <c r="D636" s="119"/>
      <c r="E636" s="54"/>
      <c r="F636" s="54"/>
      <c r="G636" s="54"/>
      <c r="H636" s="54"/>
      <c r="I636" s="54"/>
      <c r="J636" s="54"/>
      <c r="K636" s="54"/>
      <c r="L636" s="54"/>
      <c r="M636" s="54"/>
      <c r="N636" s="54"/>
      <c r="O636" s="54"/>
      <c r="P636" s="54"/>
      <c r="Q636" s="54"/>
      <c r="R636" s="54"/>
      <c r="S636" s="54"/>
      <c r="T636" s="54"/>
      <c r="U636" s="54"/>
      <c r="V636" s="54"/>
      <c r="W636" s="54"/>
      <c r="X636" s="54"/>
      <c r="Y636" s="54"/>
      <c r="Z636" s="54"/>
    </row>
    <row r="637" spans="1:26" ht="127.5" customHeight="1">
      <c r="A637" s="54"/>
      <c r="B637" s="54"/>
      <c r="C637" s="54"/>
      <c r="D637" s="119"/>
      <c r="E637" s="54"/>
      <c r="F637" s="54"/>
      <c r="G637" s="54"/>
      <c r="H637" s="54"/>
      <c r="I637" s="54"/>
      <c r="J637" s="54"/>
      <c r="K637" s="54"/>
      <c r="L637" s="54"/>
      <c r="M637" s="54"/>
      <c r="N637" s="54"/>
      <c r="O637" s="54"/>
      <c r="P637" s="54"/>
      <c r="Q637" s="54"/>
      <c r="R637" s="54"/>
      <c r="S637" s="54"/>
      <c r="T637" s="54"/>
      <c r="U637" s="54"/>
      <c r="V637" s="54"/>
      <c r="W637" s="54"/>
      <c r="X637" s="54"/>
      <c r="Y637" s="54"/>
      <c r="Z637" s="54"/>
    </row>
    <row r="638" spans="1:26" ht="127.5" customHeight="1">
      <c r="A638" s="54"/>
      <c r="B638" s="54"/>
      <c r="C638" s="54"/>
      <c r="D638" s="119"/>
      <c r="E638" s="54"/>
      <c r="F638" s="54"/>
      <c r="G638" s="54"/>
      <c r="H638" s="54"/>
      <c r="I638" s="54"/>
      <c r="J638" s="54"/>
      <c r="K638" s="54"/>
      <c r="L638" s="54"/>
      <c r="M638" s="54"/>
      <c r="N638" s="54"/>
      <c r="O638" s="54"/>
      <c r="P638" s="54"/>
      <c r="Q638" s="54"/>
      <c r="R638" s="54"/>
      <c r="S638" s="54"/>
      <c r="T638" s="54"/>
      <c r="U638" s="54"/>
      <c r="V638" s="54"/>
      <c r="W638" s="54"/>
      <c r="X638" s="54"/>
      <c r="Y638" s="54"/>
      <c r="Z638" s="54"/>
    </row>
    <row r="639" spans="1:26" ht="127.5" customHeight="1">
      <c r="A639" s="54"/>
      <c r="B639" s="54"/>
      <c r="C639" s="54"/>
      <c r="D639" s="119"/>
      <c r="E639" s="54"/>
      <c r="F639" s="54"/>
      <c r="G639" s="54"/>
      <c r="H639" s="54"/>
      <c r="I639" s="54"/>
      <c r="J639" s="54"/>
      <c r="K639" s="54"/>
      <c r="L639" s="54"/>
      <c r="M639" s="54"/>
      <c r="N639" s="54"/>
      <c r="O639" s="54"/>
      <c r="P639" s="54"/>
      <c r="Q639" s="54"/>
      <c r="R639" s="54"/>
      <c r="S639" s="54"/>
      <c r="T639" s="54"/>
      <c r="U639" s="54"/>
      <c r="V639" s="54"/>
      <c r="W639" s="54"/>
      <c r="X639" s="54"/>
      <c r="Y639" s="54"/>
      <c r="Z639" s="54"/>
    </row>
    <row r="640" spans="1:26" ht="127.5" customHeight="1">
      <c r="A640" s="54"/>
      <c r="B640" s="54"/>
      <c r="C640" s="54"/>
      <c r="D640" s="119"/>
      <c r="E640" s="54"/>
      <c r="F640" s="54"/>
      <c r="G640" s="54"/>
      <c r="H640" s="54"/>
      <c r="I640" s="54"/>
      <c r="J640" s="54"/>
      <c r="K640" s="54"/>
      <c r="L640" s="54"/>
      <c r="M640" s="54"/>
      <c r="N640" s="54"/>
      <c r="O640" s="54"/>
      <c r="P640" s="54"/>
      <c r="Q640" s="54"/>
      <c r="R640" s="54"/>
      <c r="S640" s="54"/>
      <c r="T640" s="54"/>
      <c r="U640" s="54"/>
      <c r="V640" s="54"/>
      <c r="W640" s="54"/>
      <c r="X640" s="54"/>
      <c r="Y640" s="54"/>
      <c r="Z640" s="54"/>
    </row>
    <row r="641" spans="1:26" ht="127.5" customHeight="1">
      <c r="A641" s="54"/>
      <c r="B641" s="54"/>
      <c r="C641" s="54"/>
      <c r="D641" s="119"/>
      <c r="E641" s="54"/>
      <c r="F641" s="54"/>
      <c r="G641" s="54"/>
      <c r="H641" s="54"/>
      <c r="I641" s="54"/>
      <c r="J641" s="54"/>
      <c r="K641" s="54"/>
      <c r="L641" s="54"/>
      <c r="M641" s="54"/>
      <c r="N641" s="54"/>
      <c r="O641" s="54"/>
      <c r="P641" s="54"/>
      <c r="Q641" s="54"/>
      <c r="R641" s="54"/>
      <c r="S641" s="54"/>
      <c r="T641" s="54"/>
      <c r="U641" s="54"/>
      <c r="V641" s="54"/>
      <c r="W641" s="54"/>
      <c r="X641" s="54"/>
      <c r="Y641" s="54"/>
      <c r="Z641" s="54"/>
    </row>
    <row r="642" spans="1:26" ht="127.5" customHeight="1">
      <c r="A642" s="54"/>
      <c r="B642" s="54"/>
      <c r="C642" s="54"/>
      <c r="D642" s="119"/>
      <c r="E642" s="54"/>
      <c r="F642" s="54"/>
      <c r="G642" s="54"/>
      <c r="H642" s="54"/>
      <c r="I642" s="54"/>
      <c r="J642" s="54"/>
      <c r="K642" s="54"/>
      <c r="L642" s="54"/>
      <c r="M642" s="54"/>
      <c r="N642" s="54"/>
      <c r="O642" s="54"/>
      <c r="P642" s="54"/>
      <c r="Q642" s="54"/>
      <c r="R642" s="54"/>
      <c r="S642" s="54"/>
      <c r="T642" s="54"/>
      <c r="U642" s="54"/>
      <c r="V642" s="54"/>
      <c r="W642" s="54"/>
      <c r="X642" s="54"/>
      <c r="Y642" s="54"/>
      <c r="Z642" s="54"/>
    </row>
    <row r="643" spans="1:26" ht="127.5" customHeight="1">
      <c r="A643" s="54"/>
      <c r="B643" s="54"/>
      <c r="C643" s="54"/>
      <c r="D643" s="119"/>
      <c r="E643" s="54"/>
      <c r="F643" s="54"/>
      <c r="G643" s="54"/>
      <c r="H643" s="54"/>
      <c r="I643" s="54"/>
      <c r="J643" s="54"/>
      <c r="K643" s="54"/>
      <c r="L643" s="54"/>
      <c r="M643" s="54"/>
      <c r="N643" s="54"/>
      <c r="O643" s="54"/>
      <c r="P643" s="54"/>
      <c r="Q643" s="54"/>
      <c r="R643" s="54"/>
      <c r="S643" s="54"/>
      <c r="T643" s="54"/>
      <c r="U643" s="54"/>
      <c r="V643" s="54"/>
      <c r="W643" s="54"/>
      <c r="X643" s="54"/>
      <c r="Y643" s="54"/>
      <c r="Z643" s="54"/>
    </row>
    <row r="644" spans="1:26" ht="127.5" customHeight="1">
      <c r="A644" s="54"/>
      <c r="B644" s="54"/>
      <c r="C644" s="54"/>
      <c r="D644" s="119"/>
      <c r="E644" s="54"/>
      <c r="F644" s="54"/>
      <c r="G644" s="54"/>
      <c r="H644" s="54"/>
      <c r="I644" s="54"/>
      <c r="J644" s="54"/>
      <c r="K644" s="54"/>
      <c r="L644" s="54"/>
      <c r="M644" s="54"/>
      <c r="N644" s="54"/>
      <c r="O644" s="54"/>
      <c r="P644" s="54"/>
      <c r="Q644" s="54"/>
      <c r="R644" s="54"/>
      <c r="S644" s="54"/>
      <c r="T644" s="54"/>
      <c r="U644" s="54"/>
      <c r="V644" s="54"/>
      <c r="W644" s="54"/>
      <c r="X644" s="54"/>
      <c r="Y644" s="54"/>
      <c r="Z644" s="54"/>
    </row>
    <row r="645" spans="1:26" ht="127.5" customHeight="1">
      <c r="A645" s="54"/>
      <c r="B645" s="54"/>
      <c r="C645" s="54"/>
      <c r="D645" s="119"/>
      <c r="E645" s="54"/>
      <c r="F645" s="54"/>
      <c r="G645" s="54"/>
      <c r="H645" s="54"/>
      <c r="I645" s="54"/>
      <c r="J645" s="54"/>
      <c r="K645" s="54"/>
      <c r="L645" s="54"/>
      <c r="M645" s="54"/>
      <c r="N645" s="54"/>
      <c r="O645" s="54"/>
      <c r="P645" s="54"/>
      <c r="Q645" s="54"/>
      <c r="R645" s="54"/>
      <c r="S645" s="54"/>
      <c r="T645" s="54"/>
      <c r="U645" s="54"/>
      <c r="V645" s="54"/>
      <c r="W645" s="54"/>
      <c r="X645" s="54"/>
      <c r="Y645" s="54"/>
      <c r="Z645" s="54"/>
    </row>
    <row r="646" spans="1:26" ht="127.5" customHeight="1">
      <c r="A646" s="54"/>
      <c r="B646" s="54"/>
      <c r="C646" s="54"/>
      <c r="D646" s="119"/>
      <c r="E646" s="54"/>
      <c r="F646" s="54"/>
      <c r="G646" s="54"/>
      <c r="H646" s="54"/>
      <c r="I646" s="54"/>
      <c r="J646" s="54"/>
      <c r="K646" s="54"/>
      <c r="L646" s="54"/>
      <c r="M646" s="54"/>
      <c r="N646" s="54"/>
      <c r="O646" s="54"/>
      <c r="P646" s="54"/>
      <c r="Q646" s="54"/>
      <c r="R646" s="54"/>
      <c r="S646" s="54"/>
      <c r="T646" s="54"/>
      <c r="U646" s="54"/>
      <c r="V646" s="54"/>
      <c r="W646" s="54"/>
      <c r="X646" s="54"/>
      <c r="Y646" s="54"/>
      <c r="Z646" s="54"/>
    </row>
    <row r="647" spans="1:26" ht="127.5" customHeight="1">
      <c r="A647" s="54"/>
      <c r="B647" s="54"/>
      <c r="C647" s="54"/>
      <c r="D647" s="119"/>
      <c r="E647" s="54"/>
      <c r="F647" s="54"/>
      <c r="G647" s="54"/>
      <c r="H647" s="54"/>
      <c r="I647" s="54"/>
      <c r="J647" s="54"/>
      <c r="K647" s="54"/>
      <c r="L647" s="54"/>
      <c r="M647" s="54"/>
      <c r="N647" s="54"/>
      <c r="O647" s="54"/>
      <c r="P647" s="54"/>
      <c r="Q647" s="54"/>
      <c r="R647" s="54"/>
      <c r="S647" s="54"/>
      <c r="T647" s="54"/>
      <c r="U647" s="54"/>
      <c r="V647" s="54"/>
      <c r="W647" s="54"/>
      <c r="X647" s="54"/>
      <c r="Y647" s="54"/>
      <c r="Z647" s="54"/>
    </row>
    <row r="648" spans="1:26" ht="127.5" customHeight="1">
      <c r="A648" s="54"/>
      <c r="B648" s="54"/>
      <c r="C648" s="54"/>
      <c r="D648" s="119"/>
      <c r="E648" s="54"/>
      <c r="F648" s="54"/>
      <c r="G648" s="54"/>
      <c r="H648" s="54"/>
      <c r="I648" s="54"/>
      <c r="J648" s="54"/>
      <c r="K648" s="54"/>
      <c r="L648" s="54"/>
      <c r="M648" s="54"/>
      <c r="N648" s="54"/>
      <c r="O648" s="54"/>
      <c r="P648" s="54"/>
      <c r="Q648" s="54"/>
      <c r="R648" s="54"/>
      <c r="S648" s="54"/>
      <c r="T648" s="54"/>
      <c r="U648" s="54"/>
      <c r="V648" s="54"/>
      <c r="W648" s="54"/>
      <c r="X648" s="54"/>
      <c r="Y648" s="54"/>
      <c r="Z648" s="54"/>
    </row>
    <row r="649" spans="1:26" ht="127.5" customHeight="1">
      <c r="A649" s="54"/>
      <c r="B649" s="54"/>
      <c r="C649" s="54"/>
      <c r="D649" s="119"/>
      <c r="E649" s="54"/>
      <c r="F649" s="54"/>
      <c r="G649" s="54"/>
      <c r="H649" s="54"/>
      <c r="I649" s="54"/>
      <c r="J649" s="54"/>
      <c r="K649" s="54"/>
      <c r="L649" s="54"/>
      <c r="M649" s="54"/>
      <c r="N649" s="54"/>
      <c r="O649" s="54"/>
      <c r="P649" s="54"/>
      <c r="Q649" s="54"/>
      <c r="R649" s="54"/>
      <c r="S649" s="54"/>
      <c r="T649" s="54"/>
      <c r="U649" s="54"/>
      <c r="V649" s="54"/>
      <c r="W649" s="54"/>
      <c r="X649" s="54"/>
      <c r="Y649" s="54"/>
      <c r="Z649" s="54"/>
    </row>
    <row r="650" spans="1:26" ht="127.5" customHeight="1">
      <c r="A650" s="54"/>
      <c r="B650" s="54"/>
      <c r="C650" s="54"/>
      <c r="D650" s="119"/>
      <c r="E650" s="54"/>
      <c r="F650" s="54"/>
      <c r="G650" s="54"/>
      <c r="H650" s="54"/>
      <c r="I650" s="54"/>
      <c r="J650" s="54"/>
      <c r="K650" s="54"/>
      <c r="L650" s="54"/>
      <c r="M650" s="54"/>
      <c r="N650" s="54"/>
      <c r="O650" s="54"/>
      <c r="P650" s="54"/>
      <c r="Q650" s="54"/>
      <c r="R650" s="54"/>
      <c r="S650" s="54"/>
      <c r="T650" s="54"/>
      <c r="U650" s="54"/>
      <c r="V650" s="54"/>
      <c r="W650" s="54"/>
      <c r="X650" s="54"/>
      <c r="Y650" s="54"/>
      <c r="Z650" s="54"/>
    </row>
    <row r="651" spans="1:26" ht="127.5" customHeight="1">
      <c r="A651" s="54"/>
      <c r="B651" s="54"/>
      <c r="C651" s="54"/>
      <c r="D651" s="119"/>
      <c r="E651" s="54"/>
      <c r="F651" s="54"/>
      <c r="G651" s="54"/>
      <c r="H651" s="54"/>
      <c r="I651" s="54"/>
      <c r="J651" s="54"/>
      <c r="K651" s="54"/>
      <c r="L651" s="54"/>
      <c r="M651" s="54"/>
      <c r="N651" s="54"/>
      <c r="O651" s="54"/>
      <c r="P651" s="54"/>
      <c r="Q651" s="54"/>
      <c r="R651" s="54"/>
      <c r="S651" s="54"/>
      <c r="T651" s="54"/>
      <c r="U651" s="54"/>
      <c r="V651" s="54"/>
      <c r="W651" s="54"/>
      <c r="X651" s="54"/>
      <c r="Y651" s="54"/>
      <c r="Z651" s="54"/>
    </row>
    <row r="652" spans="1:26" ht="127.5" customHeight="1">
      <c r="A652" s="54"/>
      <c r="B652" s="54"/>
      <c r="C652" s="54"/>
      <c r="D652" s="119"/>
      <c r="E652" s="54"/>
      <c r="F652" s="54"/>
      <c r="G652" s="54"/>
      <c r="H652" s="54"/>
      <c r="I652" s="54"/>
      <c r="J652" s="54"/>
      <c r="K652" s="54"/>
      <c r="L652" s="54"/>
      <c r="M652" s="54"/>
      <c r="N652" s="54"/>
      <c r="O652" s="54"/>
      <c r="P652" s="54"/>
      <c r="Q652" s="54"/>
      <c r="R652" s="54"/>
      <c r="S652" s="54"/>
      <c r="T652" s="54"/>
      <c r="U652" s="54"/>
      <c r="V652" s="54"/>
      <c r="W652" s="54"/>
      <c r="X652" s="54"/>
      <c r="Y652" s="54"/>
      <c r="Z652" s="54"/>
    </row>
    <row r="653" spans="1:26" ht="127.5" customHeight="1">
      <c r="A653" s="54"/>
      <c r="B653" s="54"/>
      <c r="C653" s="54"/>
      <c r="D653" s="119"/>
      <c r="E653" s="54"/>
      <c r="F653" s="54"/>
      <c r="G653" s="54"/>
      <c r="H653" s="54"/>
      <c r="I653" s="54"/>
      <c r="J653" s="54"/>
      <c r="K653" s="54"/>
      <c r="L653" s="54"/>
      <c r="M653" s="54"/>
      <c r="N653" s="54"/>
      <c r="O653" s="54"/>
      <c r="P653" s="54"/>
      <c r="Q653" s="54"/>
      <c r="R653" s="54"/>
      <c r="S653" s="54"/>
      <c r="T653" s="54"/>
      <c r="U653" s="54"/>
      <c r="V653" s="54"/>
      <c r="W653" s="54"/>
      <c r="X653" s="54"/>
      <c r="Y653" s="54"/>
      <c r="Z653" s="54"/>
    </row>
    <row r="654" spans="1:26" ht="127.5" customHeight="1">
      <c r="A654" s="54"/>
      <c r="B654" s="54"/>
      <c r="C654" s="54"/>
      <c r="D654" s="119"/>
      <c r="E654" s="54"/>
      <c r="F654" s="54"/>
      <c r="G654" s="54"/>
      <c r="H654" s="54"/>
      <c r="I654" s="54"/>
      <c r="J654" s="54"/>
      <c r="K654" s="54"/>
      <c r="L654" s="54"/>
      <c r="M654" s="54"/>
      <c r="N654" s="54"/>
      <c r="O654" s="54"/>
      <c r="P654" s="54"/>
      <c r="Q654" s="54"/>
      <c r="R654" s="54"/>
      <c r="S654" s="54"/>
      <c r="T654" s="54"/>
      <c r="U654" s="54"/>
      <c r="V654" s="54"/>
      <c r="W654" s="54"/>
      <c r="X654" s="54"/>
      <c r="Y654" s="54"/>
      <c r="Z654" s="54"/>
    </row>
    <row r="655" spans="1:26" ht="127.5" customHeight="1">
      <c r="A655" s="54"/>
      <c r="B655" s="54"/>
      <c r="C655" s="54"/>
      <c r="D655" s="119"/>
      <c r="E655" s="54"/>
      <c r="F655" s="54"/>
      <c r="G655" s="54"/>
      <c r="H655" s="54"/>
      <c r="I655" s="54"/>
      <c r="J655" s="54"/>
      <c r="K655" s="54"/>
      <c r="L655" s="54"/>
      <c r="M655" s="54"/>
      <c r="N655" s="54"/>
      <c r="O655" s="54"/>
      <c r="P655" s="54"/>
      <c r="Q655" s="54"/>
      <c r="R655" s="54"/>
      <c r="S655" s="54"/>
      <c r="T655" s="54"/>
      <c r="U655" s="54"/>
      <c r="V655" s="54"/>
      <c r="W655" s="54"/>
      <c r="X655" s="54"/>
      <c r="Y655" s="54"/>
      <c r="Z655" s="54"/>
    </row>
    <row r="656" spans="1:26" ht="127.5" customHeight="1">
      <c r="A656" s="54"/>
      <c r="B656" s="54"/>
      <c r="C656" s="54"/>
      <c r="D656" s="119"/>
      <c r="E656" s="54"/>
      <c r="F656" s="54"/>
      <c r="G656" s="54"/>
      <c r="H656" s="54"/>
      <c r="I656" s="54"/>
      <c r="J656" s="54"/>
      <c r="K656" s="54"/>
      <c r="L656" s="54"/>
      <c r="M656" s="54"/>
      <c r="N656" s="54"/>
      <c r="O656" s="54"/>
      <c r="P656" s="54"/>
      <c r="Q656" s="54"/>
      <c r="R656" s="54"/>
      <c r="S656" s="54"/>
      <c r="T656" s="54"/>
      <c r="U656" s="54"/>
      <c r="V656" s="54"/>
      <c r="W656" s="54"/>
      <c r="X656" s="54"/>
      <c r="Y656" s="54"/>
      <c r="Z656" s="54"/>
    </row>
    <row r="657" spans="1:26" ht="127.5" customHeight="1">
      <c r="A657" s="54"/>
      <c r="B657" s="54"/>
      <c r="C657" s="54"/>
      <c r="D657" s="119"/>
      <c r="E657" s="54"/>
      <c r="F657" s="54"/>
      <c r="G657" s="54"/>
      <c r="H657" s="54"/>
      <c r="I657" s="54"/>
      <c r="J657" s="54"/>
      <c r="K657" s="54"/>
      <c r="L657" s="54"/>
      <c r="M657" s="54"/>
      <c r="N657" s="54"/>
      <c r="O657" s="54"/>
      <c r="P657" s="54"/>
      <c r="Q657" s="54"/>
      <c r="R657" s="54"/>
      <c r="S657" s="54"/>
      <c r="T657" s="54"/>
      <c r="U657" s="54"/>
      <c r="V657" s="54"/>
      <c r="W657" s="54"/>
      <c r="X657" s="54"/>
      <c r="Y657" s="54"/>
      <c r="Z657" s="54"/>
    </row>
    <row r="658" spans="1:26" ht="127.5" customHeight="1">
      <c r="A658" s="54"/>
      <c r="B658" s="54"/>
      <c r="C658" s="54"/>
      <c r="D658" s="119"/>
      <c r="E658" s="54"/>
      <c r="F658" s="54"/>
      <c r="G658" s="54"/>
      <c r="H658" s="54"/>
      <c r="I658" s="54"/>
      <c r="J658" s="54"/>
      <c r="K658" s="54"/>
      <c r="L658" s="54"/>
      <c r="M658" s="54"/>
      <c r="N658" s="54"/>
      <c r="O658" s="54"/>
      <c r="P658" s="54"/>
      <c r="Q658" s="54"/>
      <c r="R658" s="54"/>
      <c r="S658" s="54"/>
      <c r="T658" s="54"/>
      <c r="U658" s="54"/>
      <c r="V658" s="54"/>
      <c r="W658" s="54"/>
      <c r="X658" s="54"/>
      <c r="Y658" s="54"/>
      <c r="Z658" s="54"/>
    </row>
    <row r="659" spans="1:26" ht="127.5" customHeight="1">
      <c r="A659" s="54"/>
      <c r="B659" s="54"/>
      <c r="C659" s="54"/>
      <c r="D659" s="119"/>
      <c r="E659" s="54"/>
      <c r="F659" s="54"/>
      <c r="G659" s="54"/>
      <c r="H659" s="54"/>
      <c r="I659" s="54"/>
      <c r="J659" s="54"/>
      <c r="K659" s="54"/>
      <c r="L659" s="54"/>
      <c r="M659" s="54"/>
      <c r="N659" s="54"/>
      <c r="O659" s="54"/>
      <c r="P659" s="54"/>
      <c r="Q659" s="54"/>
      <c r="R659" s="54"/>
      <c r="S659" s="54"/>
      <c r="T659" s="54"/>
      <c r="U659" s="54"/>
      <c r="V659" s="54"/>
      <c r="W659" s="54"/>
      <c r="X659" s="54"/>
      <c r="Y659" s="54"/>
      <c r="Z659" s="54"/>
    </row>
    <row r="660" spans="1:26" ht="127.5" customHeight="1">
      <c r="A660" s="54"/>
      <c r="B660" s="54"/>
      <c r="C660" s="54"/>
      <c r="D660" s="119"/>
      <c r="E660" s="54"/>
      <c r="F660" s="54"/>
      <c r="G660" s="54"/>
      <c r="H660" s="54"/>
      <c r="I660" s="54"/>
      <c r="J660" s="54"/>
      <c r="K660" s="54"/>
      <c r="L660" s="54"/>
      <c r="M660" s="54"/>
      <c r="N660" s="54"/>
      <c r="O660" s="54"/>
      <c r="P660" s="54"/>
      <c r="Q660" s="54"/>
      <c r="R660" s="54"/>
      <c r="S660" s="54"/>
      <c r="T660" s="54"/>
      <c r="U660" s="54"/>
      <c r="V660" s="54"/>
      <c r="W660" s="54"/>
      <c r="X660" s="54"/>
      <c r="Y660" s="54"/>
      <c r="Z660" s="54"/>
    </row>
    <row r="661" spans="1:26" ht="127.5" customHeight="1">
      <c r="A661" s="54"/>
      <c r="B661" s="54"/>
      <c r="C661" s="54"/>
      <c r="D661" s="119"/>
      <c r="E661" s="54"/>
      <c r="F661" s="54"/>
      <c r="G661" s="54"/>
      <c r="H661" s="54"/>
      <c r="I661" s="54"/>
      <c r="J661" s="54"/>
      <c r="K661" s="54"/>
      <c r="L661" s="54"/>
      <c r="M661" s="54"/>
      <c r="N661" s="54"/>
      <c r="O661" s="54"/>
      <c r="P661" s="54"/>
      <c r="Q661" s="54"/>
      <c r="R661" s="54"/>
      <c r="S661" s="54"/>
      <c r="T661" s="54"/>
      <c r="U661" s="54"/>
      <c r="V661" s="54"/>
      <c r="W661" s="54"/>
      <c r="X661" s="54"/>
      <c r="Y661" s="54"/>
      <c r="Z661" s="54"/>
    </row>
    <row r="662" spans="1:26" ht="127.5" customHeight="1">
      <c r="A662" s="54"/>
      <c r="B662" s="54"/>
      <c r="C662" s="54"/>
      <c r="D662" s="119"/>
      <c r="E662" s="54"/>
      <c r="F662" s="54"/>
      <c r="G662" s="54"/>
      <c r="H662" s="54"/>
      <c r="I662" s="54"/>
      <c r="J662" s="54"/>
      <c r="K662" s="54"/>
      <c r="L662" s="54"/>
      <c r="M662" s="54"/>
      <c r="N662" s="54"/>
      <c r="O662" s="54"/>
      <c r="P662" s="54"/>
      <c r="Q662" s="54"/>
      <c r="R662" s="54"/>
      <c r="S662" s="54"/>
      <c r="T662" s="54"/>
      <c r="U662" s="54"/>
      <c r="V662" s="54"/>
      <c r="W662" s="54"/>
      <c r="X662" s="54"/>
      <c r="Y662" s="54"/>
      <c r="Z662" s="54"/>
    </row>
    <row r="663" spans="1:26" ht="127.5" customHeight="1">
      <c r="A663" s="54"/>
      <c r="B663" s="54"/>
      <c r="C663" s="54"/>
      <c r="D663" s="119"/>
      <c r="E663" s="54"/>
      <c r="F663" s="54"/>
      <c r="G663" s="54"/>
      <c r="H663" s="54"/>
      <c r="I663" s="54"/>
      <c r="J663" s="54"/>
      <c r="K663" s="54"/>
      <c r="L663" s="54"/>
      <c r="M663" s="54"/>
      <c r="N663" s="54"/>
      <c r="O663" s="54"/>
      <c r="P663" s="54"/>
      <c r="Q663" s="54"/>
      <c r="R663" s="54"/>
      <c r="S663" s="54"/>
      <c r="T663" s="54"/>
      <c r="U663" s="54"/>
      <c r="V663" s="54"/>
      <c r="W663" s="54"/>
      <c r="X663" s="54"/>
      <c r="Y663" s="54"/>
      <c r="Z663" s="54"/>
    </row>
    <row r="664" spans="1:26" ht="127.5" customHeight="1">
      <c r="A664" s="54"/>
      <c r="B664" s="54"/>
      <c r="C664" s="54"/>
      <c r="D664" s="119"/>
      <c r="E664" s="54"/>
      <c r="F664" s="54"/>
      <c r="G664" s="54"/>
      <c r="H664" s="54"/>
      <c r="I664" s="54"/>
      <c r="J664" s="54"/>
      <c r="K664" s="54"/>
      <c r="L664" s="54"/>
      <c r="M664" s="54"/>
      <c r="N664" s="54"/>
      <c r="O664" s="54"/>
      <c r="P664" s="54"/>
      <c r="Q664" s="54"/>
      <c r="R664" s="54"/>
      <c r="S664" s="54"/>
      <c r="T664" s="54"/>
      <c r="U664" s="54"/>
      <c r="V664" s="54"/>
      <c r="W664" s="54"/>
      <c r="X664" s="54"/>
      <c r="Y664" s="54"/>
      <c r="Z664" s="54"/>
    </row>
    <row r="665" spans="1:26" ht="127.5" customHeight="1">
      <c r="A665" s="54"/>
      <c r="B665" s="54"/>
      <c r="C665" s="54"/>
      <c r="D665" s="119"/>
      <c r="E665" s="54"/>
      <c r="F665" s="54"/>
      <c r="G665" s="54"/>
      <c r="H665" s="54"/>
      <c r="I665" s="54"/>
      <c r="J665" s="54"/>
      <c r="K665" s="54"/>
      <c r="L665" s="54"/>
      <c r="M665" s="54"/>
      <c r="N665" s="54"/>
      <c r="O665" s="54"/>
      <c r="P665" s="54"/>
      <c r="Q665" s="54"/>
      <c r="R665" s="54"/>
      <c r="S665" s="54"/>
      <c r="T665" s="54"/>
      <c r="U665" s="54"/>
      <c r="V665" s="54"/>
      <c r="W665" s="54"/>
      <c r="X665" s="54"/>
      <c r="Y665" s="54"/>
      <c r="Z665" s="54"/>
    </row>
    <row r="666" spans="1:26" ht="127.5" customHeight="1">
      <c r="A666" s="54"/>
      <c r="B666" s="54"/>
      <c r="C666" s="54"/>
      <c r="D666" s="119"/>
      <c r="E666" s="54"/>
      <c r="F666" s="54"/>
      <c r="G666" s="54"/>
      <c r="H666" s="54"/>
      <c r="I666" s="54"/>
      <c r="J666" s="54"/>
      <c r="K666" s="54"/>
      <c r="L666" s="54"/>
      <c r="M666" s="54"/>
      <c r="N666" s="54"/>
      <c r="O666" s="54"/>
      <c r="P666" s="54"/>
      <c r="Q666" s="54"/>
      <c r="R666" s="54"/>
      <c r="S666" s="54"/>
      <c r="T666" s="54"/>
      <c r="U666" s="54"/>
      <c r="V666" s="54"/>
      <c r="W666" s="54"/>
      <c r="X666" s="54"/>
      <c r="Y666" s="54"/>
      <c r="Z666" s="54"/>
    </row>
    <row r="667" spans="1:26" ht="127.5" customHeight="1">
      <c r="A667" s="54"/>
      <c r="B667" s="54"/>
      <c r="C667" s="54"/>
      <c r="D667" s="119"/>
      <c r="E667" s="54"/>
      <c r="F667" s="54"/>
      <c r="G667" s="54"/>
      <c r="H667" s="54"/>
      <c r="I667" s="54"/>
      <c r="J667" s="54"/>
      <c r="K667" s="54"/>
      <c r="L667" s="54"/>
      <c r="M667" s="54"/>
      <c r="N667" s="54"/>
      <c r="O667" s="54"/>
      <c r="P667" s="54"/>
      <c r="Q667" s="54"/>
      <c r="R667" s="54"/>
      <c r="S667" s="54"/>
      <c r="T667" s="54"/>
      <c r="U667" s="54"/>
      <c r="V667" s="54"/>
      <c r="W667" s="54"/>
      <c r="X667" s="54"/>
      <c r="Y667" s="54"/>
      <c r="Z667" s="54"/>
    </row>
    <row r="668" spans="1:26" ht="15.75" customHeight="1">
      <c r="A668" s="54"/>
      <c r="B668" s="54"/>
      <c r="C668" s="54"/>
      <c r="D668" s="119"/>
      <c r="E668" s="54"/>
      <c r="F668" s="54"/>
      <c r="G668" s="54"/>
      <c r="H668" s="54"/>
      <c r="I668" s="54"/>
      <c r="J668" s="54"/>
      <c r="K668" s="54"/>
      <c r="L668" s="54"/>
      <c r="M668" s="54"/>
      <c r="N668" s="54"/>
      <c r="O668" s="54"/>
      <c r="P668" s="54"/>
      <c r="Q668" s="54"/>
      <c r="R668" s="54"/>
      <c r="S668" s="54"/>
      <c r="T668" s="54"/>
      <c r="U668" s="54"/>
      <c r="V668" s="54"/>
      <c r="W668" s="54"/>
      <c r="X668" s="54"/>
      <c r="Y668" s="54"/>
      <c r="Z668" s="54"/>
    </row>
    <row r="669" spans="1:26" ht="15.75" customHeight="1">
      <c r="A669" s="54"/>
      <c r="B669" s="54"/>
      <c r="C669" s="54"/>
      <c r="D669" s="119"/>
      <c r="E669" s="54"/>
      <c r="F669" s="54"/>
      <c r="G669" s="54"/>
      <c r="H669" s="54"/>
      <c r="I669" s="54"/>
      <c r="J669" s="54"/>
      <c r="K669" s="54"/>
      <c r="L669" s="54"/>
      <c r="M669" s="54"/>
      <c r="N669" s="54"/>
      <c r="O669" s="54"/>
      <c r="P669" s="54"/>
      <c r="Q669" s="54"/>
      <c r="R669" s="54"/>
      <c r="S669" s="54"/>
      <c r="T669" s="54"/>
      <c r="U669" s="54"/>
      <c r="V669" s="54"/>
      <c r="W669" s="54"/>
      <c r="X669" s="54"/>
      <c r="Y669" s="54"/>
      <c r="Z669" s="54"/>
    </row>
    <row r="670" spans="1:26" ht="15.75" customHeight="1">
      <c r="A670" s="54"/>
      <c r="B670" s="54"/>
      <c r="C670" s="54"/>
      <c r="D670" s="119"/>
      <c r="E670" s="54"/>
      <c r="F670" s="54"/>
      <c r="G670" s="54"/>
      <c r="H670" s="54"/>
      <c r="I670" s="54"/>
      <c r="J670" s="54"/>
      <c r="K670" s="54"/>
      <c r="L670" s="54"/>
      <c r="M670" s="54"/>
      <c r="N670" s="54"/>
      <c r="O670" s="54"/>
      <c r="P670" s="54"/>
      <c r="Q670" s="54"/>
      <c r="R670" s="54"/>
      <c r="S670" s="54"/>
      <c r="T670" s="54"/>
      <c r="U670" s="54"/>
      <c r="V670" s="54"/>
      <c r="W670" s="54"/>
      <c r="X670" s="54"/>
      <c r="Y670" s="54"/>
      <c r="Z670" s="54"/>
    </row>
    <row r="671" spans="1:26" ht="15.75" customHeight="1">
      <c r="A671" s="54"/>
      <c r="B671" s="54"/>
      <c r="C671" s="54"/>
      <c r="D671" s="119"/>
      <c r="E671" s="54"/>
      <c r="F671" s="54"/>
      <c r="G671" s="54"/>
      <c r="H671" s="54"/>
      <c r="I671" s="54"/>
      <c r="J671" s="54"/>
      <c r="K671" s="54"/>
      <c r="L671" s="54"/>
      <c r="M671" s="54"/>
      <c r="N671" s="54"/>
      <c r="O671" s="54"/>
      <c r="P671" s="54"/>
      <c r="Q671" s="54"/>
      <c r="R671" s="54"/>
      <c r="S671" s="54"/>
      <c r="T671" s="54"/>
      <c r="U671" s="54"/>
      <c r="V671" s="54"/>
      <c r="W671" s="54"/>
      <c r="X671" s="54"/>
      <c r="Y671" s="54"/>
      <c r="Z671" s="54"/>
    </row>
    <row r="672" spans="1:26" ht="15.75" customHeight="1">
      <c r="A672" s="54"/>
      <c r="B672" s="54"/>
      <c r="C672" s="54"/>
      <c r="D672" s="119"/>
      <c r="E672" s="54"/>
      <c r="F672" s="54"/>
      <c r="G672" s="54"/>
      <c r="H672" s="54"/>
      <c r="I672" s="54"/>
      <c r="J672" s="54"/>
      <c r="K672" s="54"/>
      <c r="L672" s="54"/>
      <c r="M672" s="54"/>
      <c r="N672" s="54"/>
      <c r="O672" s="54"/>
      <c r="P672" s="54"/>
      <c r="Q672" s="54"/>
      <c r="R672" s="54"/>
      <c r="S672" s="54"/>
      <c r="T672" s="54"/>
      <c r="U672" s="54"/>
      <c r="V672" s="54"/>
      <c r="W672" s="54"/>
      <c r="X672" s="54"/>
      <c r="Y672" s="54"/>
      <c r="Z672" s="54"/>
    </row>
    <row r="673" spans="1:26" ht="15.75" customHeight="1">
      <c r="A673" s="54"/>
      <c r="B673" s="54"/>
      <c r="C673" s="54"/>
      <c r="D673" s="119"/>
      <c r="E673" s="54"/>
      <c r="F673" s="54"/>
      <c r="G673" s="54"/>
      <c r="H673" s="54"/>
      <c r="I673" s="54"/>
      <c r="J673" s="54"/>
      <c r="K673" s="54"/>
      <c r="L673" s="54"/>
      <c r="M673" s="54"/>
      <c r="N673" s="54"/>
      <c r="O673" s="54"/>
      <c r="P673" s="54"/>
      <c r="Q673" s="54"/>
      <c r="R673" s="54"/>
      <c r="S673" s="54"/>
      <c r="T673" s="54"/>
      <c r="U673" s="54"/>
      <c r="V673" s="54"/>
      <c r="W673" s="54"/>
      <c r="X673" s="54"/>
      <c r="Y673" s="54"/>
      <c r="Z673" s="54"/>
    </row>
    <row r="674" spans="1:26" ht="15.75" customHeight="1">
      <c r="A674" s="54"/>
      <c r="B674" s="54"/>
      <c r="C674" s="54"/>
      <c r="D674" s="119"/>
      <c r="E674" s="54"/>
      <c r="F674" s="54"/>
      <c r="G674" s="54"/>
      <c r="H674" s="54"/>
      <c r="I674" s="54"/>
      <c r="J674" s="54"/>
      <c r="K674" s="54"/>
      <c r="L674" s="54"/>
      <c r="M674" s="54"/>
      <c r="N674" s="54"/>
      <c r="O674" s="54"/>
      <c r="P674" s="54"/>
      <c r="Q674" s="54"/>
      <c r="R674" s="54"/>
      <c r="S674" s="54"/>
      <c r="T674" s="54"/>
      <c r="U674" s="54"/>
      <c r="V674" s="54"/>
      <c r="W674" s="54"/>
      <c r="X674" s="54"/>
      <c r="Y674" s="54"/>
      <c r="Z674" s="54"/>
    </row>
    <row r="675" spans="1:26" ht="15.75" customHeight="1">
      <c r="A675" s="54"/>
      <c r="B675" s="54"/>
      <c r="C675" s="54"/>
      <c r="D675" s="119"/>
      <c r="E675" s="54"/>
      <c r="F675" s="54"/>
      <c r="G675" s="54"/>
      <c r="H675" s="54"/>
      <c r="I675" s="54"/>
      <c r="J675" s="54"/>
      <c r="K675" s="54"/>
      <c r="L675" s="54"/>
      <c r="M675" s="54"/>
      <c r="N675" s="54"/>
      <c r="O675" s="54"/>
      <c r="P675" s="54"/>
      <c r="Q675" s="54"/>
      <c r="R675" s="54"/>
      <c r="S675" s="54"/>
      <c r="T675" s="54"/>
      <c r="U675" s="54"/>
      <c r="V675" s="54"/>
      <c r="W675" s="54"/>
      <c r="X675" s="54"/>
      <c r="Y675" s="54"/>
      <c r="Z675" s="54"/>
    </row>
    <row r="676" spans="1:26" ht="15.75" customHeight="1">
      <c r="A676" s="54"/>
      <c r="B676" s="54"/>
      <c r="C676" s="54"/>
      <c r="D676" s="119"/>
      <c r="E676" s="54"/>
      <c r="F676" s="54"/>
      <c r="G676" s="54"/>
      <c r="H676" s="54"/>
      <c r="I676" s="54"/>
      <c r="J676" s="54"/>
      <c r="K676" s="54"/>
      <c r="L676" s="54"/>
      <c r="M676" s="54"/>
      <c r="N676" s="54"/>
      <c r="O676" s="54"/>
      <c r="P676" s="54"/>
      <c r="Q676" s="54"/>
      <c r="R676" s="54"/>
      <c r="S676" s="54"/>
      <c r="T676" s="54"/>
      <c r="U676" s="54"/>
      <c r="V676" s="54"/>
      <c r="W676" s="54"/>
      <c r="X676" s="54"/>
      <c r="Y676" s="54"/>
      <c r="Z676" s="54"/>
    </row>
    <row r="677" spans="1:26" ht="15.75" customHeight="1">
      <c r="A677" s="54"/>
      <c r="B677" s="54"/>
      <c r="C677" s="54"/>
      <c r="D677" s="119"/>
      <c r="E677" s="54"/>
      <c r="F677" s="54"/>
      <c r="G677" s="54"/>
      <c r="H677" s="54"/>
      <c r="I677" s="54"/>
      <c r="J677" s="54"/>
      <c r="K677" s="54"/>
      <c r="L677" s="54"/>
      <c r="M677" s="54"/>
      <c r="N677" s="54"/>
      <c r="O677" s="54"/>
      <c r="P677" s="54"/>
      <c r="Q677" s="54"/>
      <c r="R677" s="54"/>
      <c r="S677" s="54"/>
      <c r="T677" s="54"/>
      <c r="U677" s="54"/>
      <c r="V677" s="54"/>
      <c r="W677" s="54"/>
      <c r="X677" s="54"/>
      <c r="Y677" s="54"/>
      <c r="Z677" s="54"/>
    </row>
    <row r="678" spans="1:26" ht="15.75" customHeight="1">
      <c r="A678" s="54"/>
      <c r="B678" s="54"/>
      <c r="C678" s="54"/>
      <c r="D678" s="119"/>
      <c r="E678" s="54"/>
      <c r="F678" s="54"/>
      <c r="G678" s="54"/>
      <c r="H678" s="54"/>
      <c r="I678" s="54"/>
      <c r="J678" s="54"/>
      <c r="K678" s="54"/>
      <c r="L678" s="54"/>
      <c r="M678" s="54"/>
      <c r="N678" s="54"/>
      <c r="O678" s="54"/>
      <c r="P678" s="54"/>
      <c r="Q678" s="54"/>
      <c r="R678" s="54"/>
      <c r="S678" s="54"/>
      <c r="T678" s="54"/>
      <c r="U678" s="54"/>
      <c r="V678" s="54"/>
      <c r="W678" s="54"/>
      <c r="X678" s="54"/>
      <c r="Y678" s="54"/>
      <c r="Z678" s="54"/>
    </row>
    <row r="679" spans="1:26" ht="15.75" customHeight="1">
      <c r="A679" s="54"/>
      <c r="B679" s="54"/>
      <c r="C679" s="54"/>
      <c r="D679" s="119"/>
      <c r="E679" s="54"/>
      <c r="F679" s="54"/>
      <c r="G679" s="54"/>
      <c r="H679" s="54"/>
      <c r="I679" s="54"/>
      <c r="J679" s="54"/>
      <c r="K679" s="54"/>
      <c r="L679" s="54"/>
      <c r="M679" s="54"/>
      <c r="N679" s="54"/>
      <c r="O679" s="54"/>
      <c r="P679" s="54"/>
      <c r="Q679" s="54"/>
      <c r="R679" s="54"/>
      <c r="S679" s="54"/>
      <c r="T679" s="54"/>
      <c r="U679" s="54"/>
      <c r="V679" s="54"/>
      <c r="W679" s="54"/>
      <c r="X679" s="54"/>
      <c r="Y679" s="54"/>
      <c r="Z679" s="54"/>
    </row>
    <row r="680" spans="1:26" ht="15.75" customHeight="1">
      <c r="A680" s="54"/>
      <c r="B680" s="54"/>
      <c r="C680" s="54"/>
      <c r="D680" s="119"/>
      <c r="E680" s="54"/>
      <c r="F680" s="54"/>
      <c r="G680" s="54"/>
      <c r="H680" s="54"/>
      <c r="I680" s="54"/>
      <c r="J680" s="54"/>
      <c r="K680" s="54"/>
      <c r="L680" s="54"/>
      <c r="M680" s="54"/>
      <c r="N680" s="54"/>
      <c r="O680" s="54"/>
      <c r="P680" s="54"/>
      <c r="Q680" s="54"/>
      <c r="R680" s="54"/>
      <c r="S680" s="54"/>
      <c r="T680" s="54"/>
      <c r="U680" s="54"/>
      <c r="V680" s="54"/>
      <c r="W680" s="54"/>
      <c r="X680" s="54"/>
      <c r="Y680" s="54"/>
      <c r="Z680" s="54"/>
    </row>
    <row r="681" spans="1:26" ht="15.75" customHeight="1">
      <c r="A681" s="54"/>
      <c r="B681" s="54"/>
      <c r="C681" s="54"/>
      <c r="D681" s="119"/>
      <c r="E681" s="54"/>
      <c r="F681" s="54"/>
      <c r="G681" s="54"/>
      <c r="H681" s="54"/>
      <c r="I681" s="54"/>
      <c r="J681" s="54"/>
      <c r="K681" s="54"/>
      <c r="L681" s="54"/>
      <c r="M681" s="54"/>
      <c r="N681" s="54"/>
      <c r="O681" s="54"/>
      <c r="P681" s="54"/>
      <c r="Q681" s="54"/>
      <c r="R681" s="54"/>
      <c r="S681" s="54"/>
      <c r="T681" s="54"/>
      <c r="U681" s="54"/>
      <c r="V681" s="54"/>
      <c r="W681" s="54"/>
      <c r="X681" s="54"/>
      <c r="Y681" s="54"/>
      <c r="Z681" s="54"/>
    </row>
    <row r="682" spans="1:26" ht="15.75" customHeight="1">
      <c r="A682" s="54"/>
      <c r="B682" s="54"/>
      <c r="C682" s="54"/>
      <c r="D682" s="119"/>
      <c r="E682" s="54"/>
      <c r="F682" s="54"/>
      <c r="G682" s="54"/>
      <c r="H682" s="54"/>
      <c r="I682" s="54"/>
      <c r="J682" s="54"/>
      <c r="K682" s="54"/>
      <c r="L682" s="54"/>
      <c r="M682" s="54"/>
      <c r="N682" s="54"/>
      <c r="O682" s="54"/>
      <c r="P682" s="54"/>
      <c r="Q682" s="54"/>
      <c r="R682" s="54"/>
      <c r="S682" s="54"/>
      <c r="T682" s="54"/>
      <c r="U682" s="54"/>
      <c r="V682" s="54"/>
      <c r="W682" s="54"/>
      <c r="X682" s="54"/>
      <c r="Y682" s="54"/>
      <c r="Z682" s="54"/>
    </row>
    <row r="683" spans="1:26" ht="15.75" customHeight="1">
      <c r="A683" s="54"/>
      <c r="B683" s="54"/>
      <c r="C683" s="54"/>
      <c r="D683" s="119"/>
      <c r="E683" s="54"/>
      <c r="F683" s="54"/>
      <c r="G683" s="54"/>
      <c r="H683" s="54"/>
      <c r="I683" s="54"/>
      <c r="J683" s="54"/>
      <c r="K683" s="54"/>
      <c r="L683" s="54"/>
      <c r="M683" s="54"/>
      <c r="N683" s="54"/>
      <c r="O683" s="54"/>
      <c r="P683" s="54"/>
      <c r="Q683" s="54"/>
      <c r="R683" s="54"/>
      <c r="S683" s="54"/>
      <c r="T683" s="54"/>
      <c r="U683" s="54"/>
      <c r="V683" s="54"/>
      <c r="W683" s="54"/>
      <c r="X683" s="54"/>
      <c r="Y683" s="54"/>
      <c r="Z683" s="54"/>
    </row>
    <row r="684" spans="1:26" ht="15.75" customHeight="1">
      <c r="A684" s="54"/>
      <c r="B684" s="54"/>
      <c r="C684" s="54"/>
      <c r="D684" s="119"/>
      <c r="E684" s="54"/>
      <c r="F684" s="54"/>
      <c r="G684" s="54"/>
      <c r="H684" s="54"/>
      <c r="I684" s="54"/>
      <c r="J684" s="54"/>
      <c r="K684" s="54"/>
      <c r="L684" s="54"/>
      <c r="M684" s="54"/>
      <c r="N684" s="54"/>
      <c r="O684" s="54"/>
      <c r="P684" s="54"/>
      <c r="Q684" s="54"/>
      <c r="R684" s="54"/>
      <c r="S684" s="54"/>
      <c r="T684" s="54"/>
      <c r="U684" s="54"/>
      <c r="V684" s="54"/>
      <c r="W684" s="54"/>
      <c r="X684" s="54"/>
      <c r="Y684" s="54"/>
      <c r="Z684" s="54"/>
    </row>
    <row r="685" spans="1:26" ht="15.75" customHeight="1">
      <c r="A685" s="54"/>
      <c r="B685" s="54"/>
      <c r="C685" s="54"/>
      <c r="D685" s="119"/>
      <c r="E685" s="54"/>
      <c r="F685" s="54"/>
      <c r="G685" s="54"/>
      <c r="H685" s="54"/>
      <c r="I685" s="54"/>
      <c r="J685" s="54"/>
      <c r="K685" s="54"/>
      <c r="L685" s="54"/>
      <c r="M685" s="54"/>
      <c r="N685" s="54"/>
      <c r="O685" s="54"/>
      <c r="P685" s="54"/>
      <c r="Q685" s="54"/>
      <c r="R685" s="54"/>
      <c r="S685" s="54"/>
      <c r="T685" s="54"/>
      <c r="U685" s="54"/>
      <c r="V685" s="54"/>
      <c r="W685" s="54"/>
      <c r="X685" s="54"/>
      <c r="Y685" s="54"/>
      <c r="Z685" s="54"/>
    </row>
    <row r="686" spans="1:26" ht="15.75" customHeight="1">
      <c r="A686" s="54"/>
      <c r="B686" s="54"/>
      <c r="C686" s="54"/>
      <c r="D686" s="119"/>
      <c r="E686" s="54"/>
      <c r="F686" s="54"/>
      <c r="G686" s="54"/>
      <c r="H686" s="54"/>
      <c r="I686" s="54"/>
      <c r="J686" s="54"/>
      <c r="K686" s="54"/>
      <c r="L686" s="54"/>
      <c r="M686" s="54"/>
      <c r="N686" s="54"/>
      <c r="O686" s="54"/>
      <c r="P686" s="54"/>
      <c r="Q686" s="54"/>
      <c r="R686" s="54"/>
      <c r="S686" s="54"/>
      <c r="T686" s="54"/>
      <c r="U686" s="54"/>
      <c r="V686" s="54"/>
      <c r="W686" s="54"/>
      <c r="X686" s="54"/>
      <c r="Y686" s="54"/>
      <c r="Z686" s="54"/>
    </row>
    <row r="687" spans="1:26" ht="15.75" customHeight="1">
      <c r="A687" s="54"/>
      <c r="B687" s="54"/>
      <c r="C687" s="54"/>
      <c r="D687" s="119"/>
      <c r="E687" s="54"/>
      <c r="F687" s="54"/>
      <c r="G687" s="54"/>
      <c r="H687" s="54"/>
      <c r="I687" s="54"/>
      <c r="J687" s="54"/>
      <c r="K687" s="54"/>
      <c r="L687" s="54"/>
      <c r="M687" s="54"/>
      <c r="N687" s="54"/>
      <c r="O687" s="54"/>
      <c r="P687" s="54"/>
      <c r="Q687" s="54"/>
      <c r="R687" s="54"/>
      <c r="S687" s="54"/>
      <c r="T687" s="54"/>
      <c r="U687" s="54"/>
      <c r="V687" s="54"/>
      <c r="W687" s="54"/>
      <c r="X687" s="54"/>
      <c r="Y687" s="54"/>
      <c r="Z687" s="54"/>
    </row>
    <row r="688" spans="1:26" ht="15.75" customHeight="1">
      <c r="A688" s="54"/>
      <c r="B688" s="54"/>
      <c r="C688" s="54"/>
      <c r="D688" s="119"/>
      <c r="E688" s="54"/>
      <c r="F688" s="54"/>
      <c r="G688" s="54"/>
      <c r="H688" s="54"/>
      <c r="I688" s="54"/>
      <c r="J688" s="54"/>
      <c r="K688" s="54"/>
      <c r="L688" s="54"/>
      <c r="M688" s="54"/>
      <c r="N688" s="54"/>
      <c r="O688" s="54"/>
      <c r="P688" s="54"/>
      <c r="Q688" s="54"/>
      <c r="R688" s="54"/>
      <c r="S688" s="54"/>
      <c r="T688" s="54"/>
      <c r="U688" s="54"/>
      <c r="V688" s="54"/>
      <c r="W688" s="54"/>
      <c r="X688" s="54"/>
      <c r="Y688" s="54"/>
      <c r="Z688" s="54"/>
    </row>
    <row r="689" spans="1:26" ht="15.75" customHeight="1">
      <c r="A689" s="54"/>
      <c r="B689" s="54"/>
      <c r="C689" s="54"/>
      <c r="D689" s="119"/>
      <c r="E689" s="54"/>
      <c r="F689" s="54"/>
      <c r="G689" s="54"/>
      <c r="H689" s="54"/>
      <c r="I689" s="54"/>
      <c r="J689" s="54"/>
      <c r="K689" s="54"/>
      <c r="L689" s="54"/>
      <c r="M689" s="54"/>
      <c r="N689" s="54"/>
      <c r="O689" s="54"/>
      <c r="P689" s="54"/>
      <c r="Q689" s="54"/>
      <c r="R689" s="54"/>
      <c r="S689" s="54"/>
      <c r="T689" s="54"/>
      <c r="U689" s="54"/>
      <c r="V689" s="54"/>
      <c r="W689" s="54"/>
      <c r="X689" s="54"/>
      <c r="Y689" s="54"/>
      <c r="Z689" s="54"/>
    </row>
    <row r="690" spans="1:26" ht="15.75" customHeight="1">
      <c r="A690" s="54"/>
      <c r="B690" s="54"/>
      <c r="C690" s="54"/>
      <c r="D690" s="119"/>
      <c r="E690" s="54"/>
      <c r="F690" s="54"/>
      <c r="G690" s="54"/>
      <c r="H690" s="54"/>
      <c r="I690" s="54"/>
      <c r="J690" s="54"/>
      <c r="K690" s="54"/>
      <c r="L690" s="54"/>
      <c r="M690" s="54"/>
      <c r="N690" s="54"/>
      <c r="O690" s="54"/>
      <c r="P690" s="54"/>
      <c r="Q690" s="54"/>
      <c r="R690" s="54"/>
      <c r="S690" s="54"/>
      <c r="T690" s="54"/>
      <c r="U690" s="54"/>
      <c r="V690" s="54"/>
      <c r="W690" s="54"/>
      <c r="X690" s="54"/>
      <c r="Y690" s="54"/>
      <c r="Z690" s="54"/>
    </row>
    <row r="691" spans="1:26" ht="15.75" customHeight="1">
      <c r="A691" s="54"/>
      <c r="B691" s="54"/>
      <c r="C691" s="54"/>
      <c r="D691" s="119"/>
      <c r="E691" s="54"/>
      <c r="F691" s="54"/>
      <c r="G691" s="54"/>
      <c r="H691" s="54"/>
      <c r="I691" s="54"/>
      <c r="J691" s="54"/>
      <c r="K691" s="54"/>
      <c r="L691" s="54"/>
      <c r="M691" s="54"/>
      <c r="N691" s="54"/>
      <c r="O691" s="54"/>
      <c r="P691" s="54"/>
      <c r="Q691" s="54"/>
      <c r="R691" s="54"/>
      <c r="S691" s="54"/>
      <c r="T691" s="54"/>
      <c r="U691" s="54"/>
      <c r="V691" s="54"/>
      <c r="W691" s="54"/>
      <c r="X691" s="54"/>
      <c r="Y691" s="54"/>
      <c r="Z691" s="54"/>
    </row>
    <row r="692" spans="1:26" ht="15.75" customHeight="1">
      <c r="A692" s="54"/>
      <c r="B692" s="54"/>
      <c r="C692" s="54"/>
      <c r="D692" s="119"/>
      <c r="E692" s="54"/>
      <c r="F692" s="54"/>
      <c r="G692" s="54"/>
      <c r="H692" s="54"/>
      <c r="I692" s="54"/>
      <c r="J692" s="54"/>
      <c r="K692" s="54"/>
      <c r="L692" s="54"/>
      <c r="M692" s="54"/>
      <c r="N692" s="54"/>
      <c r="O692" s="54"/>
      <c r="P692" s="54"/>
      <c r="Q692" s="54"/>
      <c r="R692" s="54"/>
      <c r="S692" s="54"/>
      <c r="T692" s="54"/>
      <c r="U692" s="54"/>
      <c r="V692" s="54"/>
      <c r="W692" s="54"/>
      <c r="X692" s="54"/>
      <c r="Y692" s="54"/>
      <c r="Z692" s="54"/>
    </row>
    <row r="693" spans="1:26" ht="15.75" customHeight="1">
      <c r="A693" s="54"/>
      <c r="B693" s="54"/>
      <c r="C693" s="54"/>
      <c r="D693" s="119"/>
      <c r="E693" s="54"/>
      <c r="F693" s="54"/>
      <c r="G693" s="54"/>
      <c r="H693" s="54"/>
      <c r="I693" s="54"/>
      <c r="J693" s="54"/>
      <c r="K693" s="54"/>
      <c r="L693" s="54"/>
      <c r="M693" s="54"/>
      <c r="N693" s="54"/>
      <c r="O693" s="54"/>
      <c r="P693" s="54"/>
      <c r="Q693" s="54"/>
      <c r="R693" s="54"/>
      <c r="S693" s="54"/>
      <c r="T693" s="54"/>
      <c r="U693" s="54"/>
      <c r="V693" s="54"/>
      <c r="W693" s="54"/>
      <c r="X693" s="54"/>
      <c r="Y693" s="54"/>
      <c r="Z693" s="54"/>
    </row>
    <row r="694" spans="1:26" ht="15.75" customHeight="1">
      <c r="A694" s="54"/>
      <c r="B694" s="54"/>
      <c r="C694" s="54"/>
      <c r="D694" s="119"/>
      <c r="E694" s="54"/>
      <c r="F694" s="54"/>
      <c r="G694" s="54"/>
      <c r="H694" s="54"/>
      <c r="I694" s="54"/>
      <c r="J694" s="54"/>
      <c r="K694" s="54"/>
      <c r="L694" s="54"/>
      <c r="M694" s="54"/>
      <c r="N694" s="54"/>
      <c r="O694" s="54"/>
      <c r="P694" s="54"/>
      <c r="Q694" s="54"/>
      <c r="R694" s="54"/>
      <c r="S694" s="54"/>
      <c r="T694" s="54"/>
      <c r="U694" s="54"/>
      <c r="V694" s="54"/>
      <c r="W694" s="54"/>
      <c r="X694" s="54"/>
      <c r="Y694" s="54"/>
      <c r="Z694" s="54"/>
    </row>
    <row r="695" spans="1:26" ht="15.75" customHeight="1">
      <c r="A695" s="54"/>
      <c r="B695" s="54"/>
      <c r="C695" s="54"/>
      <c r="D695" s="119"/>
      <c r="E695" s="54"/>
      <c r="F695" s="54"/>
      <c r="G695" s="54"/>
      <c r="H695" s="54"/>
      <c r="I695" s="54"/>
      <c r="J695" s="54"/>
      <c r="K695" s="54"/>
      <c r="L695" s="54"/>
      <c r="M695" s="54"/>
      <c r="N695" s="54"/>
      <c r="O695" s="54"/>
      <c r="P695" s="54"/>
      <c r="Q695" s="54"/>
      <c r="R695" s="54"/>
      <c r="S695" s="54"/>
      <c r="T695" s="54"/>
      <c r="U695" s="54"/>
      <c r="V695" s="54"/>
      <c r="W695" s="54"/>
      <c r="X695" s="54"/>
      <c r="Y695" s="54"/>
      <c r="Z695" s="54"/>
    </row>
    <row r="696" spans="1:26" ht="15.75" customHeight="1">
      <c r="A696" s="54"/>
      <c r="B696" s="54"/>
      <c r="C696" s="54"/>
      <c r="D696" s="119"/>
      <c r="E696" s="54"/>
      <c r="F696" s="54"/>
      <c r="G696" s="54"/>
      <c r="H696" s="54"/>
      <c r="I696" s="54"/>
      <c r="J696" s="54"/>
      <c r="K696" s="54"/>
      <c r="L696" s="54"/>
      <c r="M696" s="54"/>
      <c r="N696" s="54"/>
      <c r="O696" s="54"/>
      <c r="P696" s="54"/>
      <c r="Q696" s="54"/>
      <c r="R696" s="54"/>
      <c r="S696" s="54"/>
      <c r="T696" s="54"/>
      <c r="U696" s="54"/>
      <c r="V696" s="54"/>
      <c r="W696" s="54"/>
      <c r="X696" s="54"/>
      <c r="Y696" s="54"/>
      <c r="Z696" s="54"/>
    </row>
    <row r="697" spans="1:26" ht="15.75" customHeight="1">
      <c r="A697" s="54"/>
      <c r="B697" s="54"/>
      <c r="C697" s="54"/>
      <c r="D697" s="119"/>
      <c r="E697" s="54"/>
      <c r="F697" s="54"/>
      <c r="G697" s="54"/>
      <c r="H697" s="54"/>
      <c r="I697" s="54"/>
      <c r="J697" s="54"/>
      <c r="K697" s="54"/>
      <c r="L697" s="54"/>
      <c r="M697" s="54"/>
      <c r="N697" s="54"/>
      <c r="O697" s="54"/>
      <c r="P697" s="54"/>
      <c r="Q697" s="54"/>
      <c r="R697" s="54"/>
      <c r="S697" s="54"/>
      <c r="T697" s="54"/>
      <c r="U697" s="54"/>
      <c r="V697" s="54"/>
      <c r="W697" s="54"/>
      <c r="X697" s="54"/>
      <c r="Y697" s="54"/>
      <c r="Z697" s="54"/>
    </row>
    <row r="698" spans="1:26" ht="15.75" customHeight="1">
      <c r="A698" s="54"/>
      <c r="B698" s="54"/>
      <c r="C698" s="54"/>
      <c r="D698" s="119"/>
      <c r="E698" s="54"/>
      <c r="F698" s="54"/>
      <c r="G698" s="54"/>
      <c r="H698" s="54"/>
      <c r="I698" s="54"/>
      <c r="J698" s="54"/>
      <c r="K698" s="54"/>
      <c r="L698" s="54"/>
      <c r="M698" s="54"/>
      <c r="N698" s="54"/>
      <c r="O698" s="54"/>
      <c r="P698" s="54"/>
      <c r="Q698" s="54"/>
      <c r="R698" s="54"/>
      <c r="S698" s="54"/>
      <c r="T698" s="54"/>
      <c r="U698" s="54"/>
      <c r="V698" s="54"/>
      <c r="W698" s="54"/>
      <c r="X698" s="54"/>
      <c r="Y698" s="54"/>
      <c r="Z698" s="54"/>
    </row>
    <row r="699" spans="1:26" ht="15.75" customHeight="1">
      <c r="A699" s="54"/>
      <c r="B699" s="54"/>
      <c r="C699" s="54"/>
      <c r="D699" s="119"/>
      <c r="E699" s="54"/>
      <c r="F699" s="54"/>
      <c r="G699" s="54"/>
      <c r="H699" s="54"/>
      <c r="I699" s="54"/>
      <c r="J699" s="54"/>
      <c r="K699" s="54"/>
      <c r="L699" s="54"/>
      <c r="M699" s="54"/>
      <c r="N699" s="54"/>
      <c r="O699" s="54"/>
      <c r="P699" s="54"/>
      <c r="Q699" s="54"/>
      <c r="R699" s="54"/>
      <c r="S699" s="54"/>
      <c r="T699" s="54"/>
      <c r="U699" s="54"/>
      <c r="V699" s="54"/>
      <c r="W699" s="54"/>
      <c r="X699" s="54"/>
      <c r="Y699" s="54"/>
      <c r="Z699" s="54"/>
    </row>
    <row r="700" spans="1:26" ht="15.75" customHeight="1">
      <c r="A700" s="54"/>
      <c r="B700" s="54"/>
      <c r="C700" s="54"/>
      <c r="D700" s="119"/>
      <c r="E700" s="54"/>
      <c r="F700" s="54"/>
      <c r="G700" s="54"/>
      <c r="H700" s="54"/>
      <c r="I700" s="54"/>
      <c r="J700" s="54"/>
      <c r="K700" s="54"/>
      <c r="L700" s="54"/>
      <c r="M700" s="54"/>
      <c r="N700" s="54"/>
      <c r="O700" s="54"/>
      <c r="P700" s="54"/>
      <c r="Q700" s="54"/>
      <c r="R700" s="54"/>
      <c r="S700" s="54"/>
      <c r="T700" s="54"/>
      <c r="U700" s="54"/>
      <c r="V700" s="54"/>
      <c r="W700" s="54"/>
      <c r="X700" s="54"/>
      <c r="Y700" s="54"/>
      <c r="Z700" s="54"/>
    </row>
    <row r="701" spans="1:26" ht="15.75" customHeight="1">
      <c r="A701" s="54"/>
      <c r="B701" s="54"/>
      <c r="C701" s="54"/>
      <c r="D701" s="119"/>
      <c r="E701" s="54"/>
      <c r="F701" s="54"/>
      <c r="G701" s="54"/>
      <c r="H701" s="54"/>
      <c r="I701" s="54"/>
      <c r="J701" s="54"/>
      <c r="K701" s="54"/>
      <c r="L701" s="54"/>
      <c r="M701" s="54"/>
      <c r="N701" s="54"/>
      <c r="O701" s="54"/>
      <c r="P701" s="54"/>
      <c r="Q701" s="54"/>
      <c r="R701" s="54"/>
      <c r="S701" s="54"/>
      <c r="T701" s="54"/>
      <c r="U701" s="54"/>
      <c r="V701" s="54"/>
      <c r="W701" s="54"/>
      <c r="X701" s="54"/>
      <c r="Y701" s="54"/>
      <c r="Z701" s="54"/>
    </row>
    <row r="702" spans="1:26" ht="15.75" customHeight="1">
      <c r="A702" s="54"/>
      <c r="B702" s="54"/>
      <c r="C702" s="54"/>
      <c r="D702" s="119"/>
      <c r="E702" s="54"/>
      <c r="F702" s="54"/>
      <c r="G702" s="54"/>
      <c r="H702" s="54"/>
      <c r="I702" s="54"/>
      <c r="J702" s="54"/>
      <c r="K702" s="54"/>
      <c r="L702" s="54"/>
      <c r="M702" s="54"/>
      <c r="N702" s="54"/>
      <c r="O702" s="54"/>
      <c r="P702" s="54"/>
      <c r="Q702" s="54"/>
      <c r="R702" s="54"/>
      <c r="S702" s="54"/>
      <c r="T702" s="54"/>
      <c r="U702" s="54"/>
      <c r="V702" s="54"/>
      <c r="W702" s="54"/>
      <c r="X702" s="54"/>
      <c r="Y702" s="54"/>
      <c r="Z702" s="54"/>
    </row>
    <row r="703" spans="1:26" ht="15.75" customHeight="1">
      <c r="A703" s="54"/>
      <c r="B703" s="54"/>
      <c r="C703" s="54"/>
      <c r="D703" s="119"/>
      <c r="E703" s="54"/>
      <c r="F703" s="54"/>
      <c r="G703" s="54"/>
      <c r="H703" s="54"/>
      <c r="I703" s="54"/>
      <c r="J703" s="54"/>
      <c r="K703" s="54"/>
      <c r="L703" s="54"/>
      <c r="M703" s="54"/>
      <c r="N703" s="54"/>
      <c r="O703" s="54"/>
      <c r="P703" s="54"/>
      <c r="Q703" s="54"/>
      <c r="R703" s="54"/>
      <c r="S703" s="54"/>
      <c r="T703" s="54"/>
      <c r="U703" s="54"/>
      <c r="V703" s="54"/>
      <c r="W703" s="54"/>
      <c r="X703" s="54"/>
      <c r="Y703" s="54"/>
      <c r="Z703" s="54"/>
    </row>
    <row r="704" spans="1:26" ht="15.75" customHeight="1">
      <c r="A704" s="54"/>
      <c r="B704" s="54"/>
      <c r="C704" s="54"/>
      <c r="D704" s="119"/>
      <c r="E704" s="54"/>
      <c r="F704" s="54"/>
      <c r="G704" s="54"/>
      <c r="H704" s="54"/>
      <c r="I704" s="54"/>
      <c r="J704" s="54"/>
      <c r="K704" s="54"/>
      <c r="L704" s="54"/>
      <c r="M704" s="54"/>
      <c r="N704" s="54"/>
      <c r="O704" s="54"/>
      <c r="P704" s="54"/>
      <c r="Q704" s="54"/>
      <c r="R704" s="54"/>
      <c r="S704" s="54"/>
      <c r="T704" s="54"/>
      <c r="U704" s="54"/>
      <c r="V704" s="54"/>
      <c r="W704" s="54"/>
      <c r="X704" s="54"/>
      <c r="Y704" s="54"/>
      <c r="Z704" s="54"/>
    </row>
    <row r="705" spans="1:26" ht="15.75" customHeight="1">
      <c r="A705" s="54"/>
      <c r="B705" s="54"/>
      <c r="C705" s="54"/>
      <c r="D705" s="119"/>
      <c r="E705" s="54"/>
      <c r="F705" s="54"/>
      <c r="G705" s="54"/>
      <c r="H705" s="54"/>
      <c r="I705" s="54"/>
      <c r="J705" s="54"/>
      <c r="K705" s="54"/>
      <c r="L705" s="54"/>
      <c r="M705" s="54"/>
      <c r="N705" s="54"/>
      <c r="O705" s="54"/>
      <c r="P705" s="54"/>
      <c r="Q705" s="54"/>
      <c r="R705" s="54"/>
      <c r="S705" s="54"/>
      <c r="T705" s="54"/>
      <c r="U705" s="54"/>
      <c r="V705" s="54"/>
      <c r="W705" s="54"/>
      <c r="X705" s="54"/>
      <c r="Y705" s="54"/>
      <c r="Z705" s="54"/>
    </row>
    <row r="706" spans="1:26" ht="15.75" customHeight="1">
      <c r="A706" s="54"/>
      <c r="B706" s="54"/>
      <c r="C706" s="54"/>
      <c r="D706" s="119"/>
      <c r="E706" s="54"/>
      <c r="F706" s="54"/>
      <c r="G706" s="54"/>
      <c r="H706" s="54"/>
      <c r="I706" s="54"/>
      <c r="J706" s="54"/>
      <c r="K706" s="54"/>
      <c r="L706" s="54"/>
      <c r="M706" s="54"/>
      <c r="N706" s="54"/>
      <c r="O706" s="54"/>
      <c r="P706" s="54"/>
      <c r="Q706" s="54"/>
      <c r="R706" s="54"/>
      <c r="S706" s="54"/>
      <c r="T706" s="54"/>
      <c r="U706" s="54"/>
      <c r="V706" s="54"/>
      <c r="W706" s="54"/>
      <c r="X706" s="54"/>
      <c r="Y706" s="54"/>
      <c r="Z706" s="54"/>
    </row>
    <row r="707" spans="1:26" ht="15.75" customHeight="1">
      <c r="A707" s="54"/>
      <c r="B707" s="54"/>
      <c r="C707" s="54"/>
      <c r="D707" s="119"/>
      <c r="E707" s="54"/>
      <c r="F707" s="54"/>
      <c r="G707" s="54"/>
      <c r="H707" s="54"/>
      <c r="I707" s="54"/>
      <c r="J707" s="54"/>
      <c r="K707" s="54"/>
      <c r="L707" s="54"/>
      <c r="M707" s="54"/>
      <c r="N707" s="54"/>
      <c r="O707" s="54"/>
      <c r="P707" s="54"/>
      <c r="Q707" s="54"/>
      <c r="R707" s="54"/>
      <c r="S707" s="54"/>
      <c r="T707" s="54"/>
      <c r="U707" s="54"/>
      <c r="V707" s="54"/>
      <c r="W707" s="54"/>
      <c r="X707" s="54"/>
      <c r="Y707" s="54"/>
      <c r="Z707" s="54"/>
    </row>
    <row r="708" spans="1:26" ht="15.75" customHeight="1">
      <c r="A708" s="54"/>
      <c r="B708" s="54"/>
      <c r="C708" s="54"/>
      <c r="D708" s="119"/>
      <c r="E708" s="54"/>
      <c r="F708" s="54"/>
      <c r="G708" s="54"/>
      <c r="H708" s="54"/>
      <c r="I708" s="54"/>
      <c r="J708" s="54"/>
      <c r="K708" s="54"/>
      <c r="L708" s="54"/>
      <c r="M708" s="54"/>
      <c r="N708" s="54"/>
      <c r="O708" s="54"/>
      <c r="P708" s="54"/>
      <c r="Q708" s="54"/>
      <c r="R708" s="54"/>
      <c r="S708" s="54"/>
      <c r="T708" s="54"/>
      <c r="U708" s="54"/>
      <c r="V708" s="54"/>
      <c r="W708" s="54"/>
      <c r="X708" s="54"/>
      <c r="Y708" s="54"/>
      <c r="Z708" s="54"/>
    </row>
    <row r="709" spans="1:26" ht="15.75" customHeight="1">
      <c r="A709" s="54"/>
      <c r="B709" s="54"/>
      <c r="C709" s="54"/>
      <c r="D709" s="119"/>
      <c r="E709" s="54"/>
      <c r="F709" s="54"/>
      <c r="G709" s="54"/>
      <c r="H709" s="54"/>
      <c r="I709" s="54"/>
      <c r="J709" s="54"/>
      <c r="K709" s="54"/>
      <c r="L709" s="54"/>
      <c r="M709" s="54"/>
      <c r="N709" s="54"/>
      <c r="O709" s="54"/>
      <c r="P709" s="54"/>
      <c r="Q709" s="54"/>
      <c r="R709" s="54"/>
      <c r="S709" s="54"/>
      <c r="T709" s="54"/>
      <c r="U709" s="54"/>
      <c r="V709" s="54"/>
      <c r="W709" s="54"/>
      <c r="X709" s="54"/>
      <c r="Y709" s="54"/>
      <c r="Z709" s="54"/>
    </row>
    <row r="710" spans="1:26" ht="15.75" customHeight="1">
      <c r="A710" s="54"/>
      <c r="B710" s="54"/>
      <c r="C710" s="54"/>
      <c r="D710" s="119"/>
      <c r="E710" s="54"/>
      <c r="F710" s="54"/>
      <c r="G710" s="54"/>
      <c r="H710" s="54"/>
      <c r="I710" s="54"/>
      <c r="J710" s="54"/>
      <c r="K710" s="54"/>
      <c r="L710" s="54"/>
      <c r="M710" s="54"/>
      <c r="N710" s="54"/>
      <c r="O710" s="54"/>
      <c r="P710" s="54"/>
      <c r="Q710" s="54"/>
      <c r="R710" s="54"/>
      <c r="S710" s="54"/>
      <c r="T710" s="54"/>
      <c r="U710" s="54"/>
      <c r="V710" s="54"/>
      <c r="W710" s="54"/>
      <c r="X710" s="54"/>
      <c r="Y710" s="54"/>
      <c r="Z710" s="54"/>
    </row>
    <row r="711" spans="1:26" ht="15.75" customHeight="1">
      <c r="A711" s="54"/>
      <c r="B711" s="54"/>
      <c r="C711" s="54"/>
      <c r="D711" s="119"/>
      <c r="E711" s="54"/>
      <c r="F711" s="54"/>
      <c r="G711" s="54"/>
      <c r="H711" s="54"/>
      <c r="I711" s="54"/>
      <c r="J711" s="54"/>
      <c r="K711" s="54"/>
      <c r="L711" s="54"/>
      <c r="M711" s="54"/>
      <c r="N711" s="54"/>
      <c r="O711" s="54"/>
      <c r="P711" s="54"/>
      <c r="Q711" s="54"/>
      <c r="R711" s="54"/>
      <c r="S711" s="54"/>
      <c r="T711" s="54"/>
      <c r="U711" s="54"/>
      <c r="V711" s="54"/>
      <c r="W711" s="54"/>
      <c r="X711" s="54"/>
      <c r="Y711" s="54"/>
      <c r="Z711" s="54"/>
    </row>
    <row r="712" spans="1:26" ht="15.75" customHeight="1">
      <c r="A712" s="54"/>
      <c r="B712" s="54"/>
      <c r="C712" s="54"/>
      <c r="D712" s="119"/>
      <c r="E712" s="54"/>
      <c r="F712" s="54"/>
      <c r="G712" s="54"/>
      <c r="H712" s="54"/>
      <c r="I712" s="54"/>
      <c r="J712" s="54"/>
      <c r="K712" s="54"/>
      <c r="L712" s="54"/>
      <c r="M712" s="54"/>
      <c r="N712" s="54"/>
      <c r="O712" s="54"/>
      <c r="P712" s="54"/>
      <c r="Q712" s="54"/>
      <c r="R712" s="54"/>
      <c r="S712" s="54"/>
      <c r="T712" s="54"/>
      <c r="U712" s="54"/>
      <c r="V712" s="54"/>
      <c r="W712" s="54"/>
      <c r="X712" s="54"/>
      <c r="Y712" s="54"/>
      <c r="Z712" s="54"/>
    </row>
    <row r="713" spans="1:26" ht="15.75" customHeight="1">
      <c r="A713" s="54"/>
      <c r="B713" s="54"/>
      <c r="C713" s="54"/>
      <c r="D713" s="119"/>
      <c r="E713" s="54"/>
      <c r="F713" s="54"/>
      <c r="G713" s="54"/>
      <c r="H713" s="54"/>
      <c r="I713" s="54"/>
      <c r="J713" s="54"/>
      <c r="K713" s="54"/>
      <c r="L713" s="54"/>
      <c r="M713" s="54"/>
      <c r="N713" s="54"/>
      <c r="O713" s="54"/>
      <c r="P713" s="54"/>
      <c r="Q713" s="54"/>
      <c r="R713" s="54"/>
      <c r="S713" s="54"/>
      <c r="T713" s="54"/>
      <c r="U713" s="54"/>
      <c r="V713" s="54"/>
      <c r="W713" s="54"/>
      <c r="X713" s="54"/>
      <c r="Y713" s="54"/>
      <c r="Z713" s="54"/>
    </row>
    <row r="714" spans="1:26" ht="15.75" customHeight="1">
      <c r="A714" s="54"/>
      <c r="B714" s="54"/>
      <c r="C714" s="54"/>
      <c r="D714" s="119"/>
      <c r="E714" s="54"/>
      <c r="F714" s="54"/>
      <c r="G714" s="54"/>
      <c r="H714" s="54"/>
      <c r="I714" s="54"/>
      <c r="J714" s="54"/>
      <c r="K714" s="54"/>
      <c r="L714" s="54"/>
      <c r="M714" s="54"/>
      <c r="N714" s="54"/>
      <c r="O714" s="54"/>
      <c r="P714" s="54"/>
      <c r="Q714" s="54"/>
      <c r="R714" s="54"/>
      <c r="S714" s="54"/>
      <c r="T714" s="54"/>
      <c r="U714" s="54"/>
      <c r="V714" s="54"/>
      <c r="W714" s="54"/>
      <c r="X714" s="54"/>
      <c r="Y714" s="54"/>
      <c r="Z714" s="54"/>
    </row>
    <row r="715" spans="1:26" ht="15.75" customHeight="1">
      <c r="A715" s="54"/>
      <c r="B715" s="54"/>
      <c r="C715" s="54"/>
      <c r="D715" s="119"/>
      <c r="E715" s="54"/>
      <c r="F715" s="54"/>
      <c r="G715" s="54"/>
      <c r="H715" s="54"/>
      <c r="I715" s="54"/>
      <c r="J715" s="54"/>
      <c r="K715" s="54"/>
      <c r="L715" s="54"/>
      <c r="M715" s="54"/>
      <c r="N715" s="54"/>
      <c r="O715" s="54"/>
      <c r="P715" s="54"/>
      <c r="Q715" s="54"/>
      <c r="R715" s="54"/>
      <c r="S715" s="54"/>
      <c r="T715" s="54"/>
      <c r="U715" s="54"/>
      <c r="V715" s="54"/>
      <c r="W715" s="54"/>
      <c r="X715" s="54"/>
      <c r="Y715" s="54"/>
      <c r="Z715" s="54"/>
    </row>
    <row r="716" spans="1:26" ht="15.75" customHeight="1">
      <c r="A716" s="54"/>
      <c r="B716" s="54"/>
      <c r="C716" s="54"/>
      <c r="D716" s="119"/>
      <c r="E716" s="54"/>
      <c r="F716" s="54"/>
      <c r="G716" s="54"/>
      <c r="H716" s="54"/>
      <c r="I716" s="54"/>
      <c r="J716" s="54"/>
      <c r="K716" s="54"/>
      <c r="L716" s="54"/>
      <c r="M716" s="54"/>
      <c r="N716" s="54"/>
      <c r="O716" s="54"/>
      <c r="P716" s="54"/>
      <c r="Q716" s="54"/>
      <c r="R716" s="54"/>
      <c r="S716" s="54"/>
      <c r="T716" s="54"/>
      <c r="U716" s="54"/>
      <c r="V716" s="54"/>
      <c r="W716" s="54"/>
      <c r="X716" s="54"/>
      <c r="Y716" s="54"/>
      <c r="Z716" s="54"/>
    </row>
    <row r="717" spans="1:26" ht="15.75" customHeight="1">
      <c r="A717" s="54"/>
      <c r="B717" s="54"/>
      <c r="C717" s="54"/>
      <c r="D717" s="119"/>
      <c r="E717" s="54"/>
      <c r="F717" s="54"/>
      <c r="G717" s="54"/>
      <c r="H717" s="54"/>
      <c r="I717" s="54"/>
      <c r="J717" s="54"/>
      <c r="K717" s="54"/>
      <c r="L717" s="54"/>
      <c r="M717" s="54"/>
      <c r="N717" s="54"/>
      <c r="O717" s="54"/>
      <c r="P717" s="54"/>
      <c r="Q717" s="54"/>
      <c r="R717" s="54"/>
      <c r="S717" s="54"/>
      <c r="T717" s="54"/>
      <c r="U717" s="54"/>
      <c r="V717" s="54"/>
      <c r="W717" s="54"/>
      <c r="X717" s="54"/>
      <c r="Y717" s="54"/>
      <c r="Z717" s="54"/>
    </row>
    <row r="718" spans="1:26" ht="15.75" customHeight="1">
      <c r="A718" s="54"/>
      <c r="B718" s="54"/>
      <c r="C718" s="54"/>
      <c r="D718" s="119"/>
      <c r="E718" s="54"/>
      <c r="F718" s="54"/>
      <c r="G718" s="54"/>
      <c r="H718" s="54"/>
      <c r="I718" s="54"/>
      <c r="J718" s="54"/>
      <c r="K718" s="54"/>
      <c r="L718" s="54"/>
      <c r="M718" s="54"/>
      <c r="N718" s="54"/>
      <c r="O718" s="54"/>
      <c r="P718" s="54"/>
      <c r="Q718" s="54"/>
      <c r="R718" s="54"/>
      <c r="S718" s="54"/>
      <c r="T718" s="54"/>
      <c r="U718" s="54"/>
      <c r="V718" s="54"/>
      <c r="W718" s="54"/>
      <c r="X718" s="54"/>
      <c r="Y718" s="54"/>
      <c r="Z718" s="54"/>
    </row>
    <row r="719" spans="1:26" ht="15.75" customHeight="1">
      <c r="A719" s="54"/>
      <c r="B719" s="54"/>
      <c r="C719" s="54"/>
      <c r="D719" s="119"/>
      <c r="E719" s="54"/>
      <c r="F719" s="54"/>
      <c r="G719" s="54"/>
      <c r="H719" s="54"/>
      <c r="I719" s="54"/>
      <c r="J719" s="54"/>
      <c r="K719" s="54"/>
      <c r="L719" s="54"/>
      <c r="M719" s="54"/>
      <c r="N719" s="54"/>
      <c r="O719" s="54"/>
      <c r="P719" s="54"/>
      <c r="Q719" s="54"/>
      <c r="R719" s="54"/>
      <c r="S719" s="54"/>
      <c r="T719" s="54"/>
      <c r="U719" s="54"/>
      <c r="V719" s="54"/>
      <c r="W719" s="54"/>
      <c r="X719" s="54"/>
      <c r="Y719" s="54"/>
      <c r="Z719" s="54"/>
    </row>
    <row r="720" spans="1:26" ht="15.75" customHeight="1">
      <c r="A720" s="54"/>
      <c r="B720" s="54"/>
      <c r="C720" s="54"/>
      <c r="D720" s="119"/>
      <c r="E720" s="54"/>
      <c r="F720" s="54"/>
      <c r="G720" s="54"/>
      <c r="H720" s="54"/>
      <c r="I720" s="54"/>
      <c r="J720" s="54"/>
      <c r="K720" s="54"/>
      <c r="L720" s="54"/>
      <c r="M720" s="54"/>
      <c r="N720" s="54"/>
      <c r="O720" s="54"/>
      <c r="P720" s="54"/>
      <c r="Q720" s="54"/>
      <c r="R720" s="54"/>
      <c r="S720" s="54"/>
      <c r="T720" s="54"/>
      <c r="U720" s="54"/>
      <c r="V720" s="54"/>
      <c r="W720" s="54"/>
      <c r="X720" s="54"/>
      <c r="Y720" s="54"/>
      <c r="Z720" s="54"/>
    </row>
    <row r="721" spans="1:26" ht="15.75" customHeight="1">
      <c r="A721" s="54"/>
      <c r="B721" s="54"/>
      <c r="C721" s="54"/>
      <c r="D721" s="119"/>
      <c r="E721" s="54"/>
      <c r="F721" s="54"/>
      <c r="G721" s="54"/>
      <c r="H721" s="54"/>
      <c r="I721" s="54"/>
      <c r="J721" s="54"/>
      <c r="K721" s="54"/>
      <c r="L721" s="54"/>
      <c r="M721" s="54"/>
      <c r="N721" s="54"/>
      <c r="O721" s="54"/>
      <c r="P721" s="54"/>
      <c r="Q721" s="54"/>
      <c r="R721" s="54"/>
      <c r="S721" s="54"/>
      <c r="T721" s="54"/>
      <c r="U721" s="54"/>
      <c r="V721" s="54"/>
      <c r="W721" s="54"/>
      <c r="X721" s="54"/>
      <c r="Y721" s="54"/>
      <c r="Z721" s="54"/>
    </row>
    <row r="722" spans="1:26" ht="15.75" customHeight="1">
      <c r="A722" s="54"/>
      <c r="B722" s="54"/>
      <c r="C722" s="54"/>
      <c r="D722" s="119"/>
      <c r="E722" s="54"/>
      <c r="F722" s="54"/>
      <c r="G722" s="54"/>
      <c r="H722" s="54"/>
      <c r="I722" s="54"/>
      <c r="J722" s="54"/>
      <c r="K722" s="54"/>
      <c r="L722" s="54"/>
      <c r="M722" s="54"/>
      <c r="N722" s="54"/>
      <c r="O722" s="54"/>
      <c r="P722" s="54"/>
      <c r="Q722" s="54"/>
      <c r="R722" s="54"/>
      <c r="S722" s="54"/>
      <c r="T722" s="54"/>
      <c r="U722" s="54"/>
      <c r="V722" s="54"/>
      <c r="W722" s="54"/>
      <c r="X722" s="54"/>
      <c r="Y722" s="54"/>
      <c r="Z722" s="54"/>
    </row>
    <row r="723" spans="1:26" ht="15.75" customHeight="1">
      <c r="A723" s="54"/>
      <c r="B723" s="54"/>
      <c r="C723" s="54"/>
      <c r="D723" s="119"/>
      <c r="E723" s="54"/>
      <c r="F723" s="54"/>
      <c r="G723" s="54"/>
      <c r="H723" s="54"/>
      <c r="I723" s="54"/>
      <c r="J723" s="54"/>
      <c r="K723" s="54"/>
      <c r="L723" s="54"/>
      <c r="M723" s="54"/>
      <c r="N723" s="54"/>
      <c r="O723" s="54"/>
      <c r="P723" s="54"/>
      <c r="Q723" s="54"/>
      <c r="R723" s="54"/>
      <c r="S723" s="54"/>
      <c r="T723" s="54"/>
      <c r="U723" s="54"/>
      <c r="V723" s="54"/>
      <c r="W723" s="54"/>
      <c r="X723" s="54"/>
      <c r="Y723" s="54"/>
      <c r="Z723" s="54"/>
    </row>
    <row r="724" spans="1:26" ht="15.75" customHeight="1">
      <c r="A724" s="54"/>
      <c r="B724" s="54"/>
      <c r="C724" s="54"/>
      <c r="D724" s="119"/>
      <c r="E724" s="54"/>
      <c r="F724" s="54"/>
      <c r="G724" s="54"/>
      <c r="H724" s="54"/>
      <c r="I724" s="54"/>
      <c r="J724" s="54"/>
      <c r="K724" s="54"/>
      <c r="L724" s="54"/>
      <c r="M724" s="54"/>
      <c r="N724" s="54"/>
      <c r="O724" s="54"/>
      <c r="P724" s="54"/>
      <c r="Q724" s="54"/>
      <c r="R724" s="54"/>
      <c r="S724" s="54"/>
      <c r="T724" s="54"/>
      <c r="U724" s="54"/>
      <c r="V724" s="54"/>
      <c r="W724" s="54"/>
      <c r="X724" s="54"/>
      <c r="Y724" s="54"/>
      <c r="Z724" s="54"/>
    </row>
    <row r="725" spans="1:26" ht="15.75" customHeight="1">
      <c r="A725" s="54"/>
      <c r="B725" s="54"/>
      <c r="C725" s="54"/>
      <c r="D725" s="119"/>
      <c r="E725" s="54"/>
      <c r="F725" s="54"/>
      <c r="G725" s="54"/>
      <c r="H725" s="54"/>
      <c r="I725" s="54"/>
      <c r="J725" s="54"/>
      <c r="K725" s="54"/>
      <c r="L725" s="54"/>
      <c r="M725" s="54"/>
      <c r="N725" s="54"/>
      <c r="O725" s="54"/>
      <c r="P725" s="54"/>
      <c r="Q725" s="54"/>
      <c r="R725" s="54"/>
      <c r="S725" s="54"/>
      <c r="T725" s="54"/>
      <c r="U725" s="54"/>
      <c r="V725" s="54"/>
      <c r="W725" s="54"/>
      <c r="X725" s="54"/>
      <c r="Y725" s="54"/>
      <c r="Z725" s="54"/>
    </row>
    <row r="726" spans="1:26" ht="15.75" customHeight="1">
      <c r="A726" s="54"/>
      <c r="B726" s="54"/>
      <c r="C726" s="54"/>
      <c r="D726" s="119"/>
      <c r="E726" s="54"/>
      <c r="F726" s="54"/>
      <c r="G726" s="54"/>
      <c r="H726" s="54"/>
      <c r="I726" s="54"/>
      <c r="J726" s="54"/>
      <c r="K726" s="54"/>
      <c r="L726" s="54"/>
      <c r="M726" s="54"/>
      <c r="N726" s="54"/>
      <c r="O726" s="54"/>
      <c r="P726" s="54"/>
      <c r="Q726" s="54"/>
      <c r="R726" s="54"/>
      <c r="S726" s="54"/>
      <c r="T726" s="54"/>
      <c r="U726" s="54"/>
      <c r="V726" s="54"/>
      <c r="W726" s="54"/>
      <c r="X726" s="54"/>
      <c r="Y726" s="54"/>
      <c r="Z726" s="54"/>
    </row>
    <row r="727" spans="1:26" ht="15.75" customHeight="1">
      <c r="A727" s="54"/>
      <c r="B727" s="54"/>
      <c r="C727" s="54"/>
      <c r="D727" s="119"/>
      <c r="E727" s="54"/>
      <c r="F727" s="54"/>
      <c r="G727" s="54"/>
      <c r="H727" s="54"/>
      <c r="I727" s="54"/>
      <c r="J727" s="54"/>
      <c r="K727" s="54"/>
      <c r="L727" s="54"/>
      <c r="M727" s="54"/>
      <c r="N727" s="54"/>
      <c r="O727" s="54"/>
      <c r="P727" s="54"/>
      <c r="Q727" s="54"/>
      <c r="R727" s="54"/>
      <c r="S727" s="54"/>
      <c r="T727" s="54"/>
      <c r="U727" s="54"/>
      <c r="V727" s="54"/>
      <c r="W727" s="54"/>
      <c r="X727" s="54"/>
      <c r="Y727" s="54"/>
      <c r="Z727" s="54"/>
    </row>
    <row r="728" spans="1:26" ht="15.75" customHeight="1">
      <c r="A728" s="54"/>
      <c r="B728" s="54"/>
      <c r="C728" s="54"/>
      <c r="D728" s="119"/>
      <c r="E728" s="54"/>
      <c r="F728" s="54"/>
      <c r="G728" s="54"/>
      <c r="H728" s="54"/>
      <c r="I728" s="54"/>
      <c r="J728" s="54"/>
      <c r="K728" s="54"/>
      <c r="L728" s="54"/>
      <c r="M728" s="54"/>
      <c r="N728" s="54"/>
      <c r="O728" s="54"/>
      <c r="P728" s="54"/>
      <c r="Q728" s="54"/>
      <c r="R728" s="54"/>
      <c r="S728" s="54"/>
      <c r="T728" s="54"/>
      <c r="U728" s="54"/>
      <c r="V728" s="54"/>
      <c r="W728" s="54"/>
      <c r="X728" s="54"/>
      <c r="Y728" s="54"/>
      <c r="Z728" s="54"/>
    </row>
    <row r="729" spans="1:26" ht="15.75" customHeight="1">
      <c r="A729" s="54"/>
      <c r="B729" s="54"/>
      <c r="C729" s="54"/>
      <c r="D729" s="119"/>
      <c r="E729" s="54"/>
      <c r="F729" s="54"/>
      <c r="G729" s="54"/>
      <c r="H729" s="54"/>
      <c r="I729" s="54"/>
      <c r="J729" s="54"/>
      <c r="K729" s="54"/>
      <c r="L729" s="54"/>
      <c r="M729" s="54"/>
      <c r="N729" s="54"/>
      <c r="O729" s="54"/>
      <c r="P729" s="54"/>
      <c r="Q729" s="54"/>
      <c r="R729" s="54"/>
      <c r="S729" s="54"/>
      <c r="T729" s="54"/>
      <c r="U729" s="54"/>
      <c r="V729" s="54"/>
      <c r="W729" s="54"/>
      <c r="X729" s="54"/>
      <c r="Y729" s="54"/>
      <c r="Z729" s="54"/>
    </row>
    <row r="730" spans="1:26" ht="15.75" customHeight="1">
      <c r="A730" s="54"/>
      <c r="B730" s="54"/>
      <c r="C730" s="54"/>
      <c r="D730" s="119"/>
      <c r="E730" s="54"/>
      <c r="F730" s="54"/>
      <c r="G730" s="54"/>
      <c r="H730" s="54"/>
      <c r="I730" s="54"/>
      <c r="J730" s="54"/>
      <c r="K730" s="54"/>
      <c r="L730" s="54"/>
      <c r="M730" s="54"/>
      <c r="N730" s="54"/>
      <c r="O730" s="54"/>
      <c r="P730" s="54"/>
      <c r="Q730" s="54"/>
      <c r="R730" s="54"/>
      <c r="S730" s="54"/>
      <c r="T730" s="54"/>
      <c r="U730" s="54"/>
      <c r="V730" s="54"/>
      <c r="W730" s="54"/>
      <c r="X730" s="54"/>
      <c r="Y730" s="54"/>
      <c r="Z730" s="54"/>
    </row>
    <row r="731" spans="1:26" ht="15.75" customHeight="1">
      <c r="A731" s="54"/>
      <c r="B731" s="54"/>
      <c r="C731" s="54"/>
      <c r="D731" s="119"/>
      <c r="E731" s="54"/>
      <c r="F731" s="54"/>
      <c r="G731" s="54"/>
      <c r="H731" s="54"/>
      <c r="I731" s="54"/>
      <c r="J731" s="54"/>
      <c r="K731" s="54"/>
      <c r="L731" s="54"/>
      <c r="M731" s="54"/>
      <c r="N731" s="54"/>
      <c r="O731" s="54"/>
      <c r="P731" s="54"/>
      <c r="Q731" s="54"/>
      <c r="R731" s="54"/>
      <c r="S731" s="54"/>
      <c r="T731" s="54"/>
      <c r="U731" s="54"/>
      <c r="V731" s="54"/>
      <c r="W731" s="54"/>
      <c r="X731" s="54"/>
      <c r="Y731" s="54"/>
      <c r="Z731" s="54"/>
    </row>
    <row r="732" spans="1:26" ht="15.75" customHeight="1">
      <c r="A732" s="54"/>
      <c r="B732" s="54"/>
      <c r="C732" s="54"/>
      <c r="D732" s="119"/>
      <c r="E732" s="54"/>
      <c r="F732" s="54"/>
      <c r="G732" s="54"/>
      <c r="H732" s="54"/>
      <c r="I732" s="54"/>
      <c r="J732" s="54"/>
      <c r="K732" s="54"/>
      <c r="L732" s="54"/>
      <c r="M732" s="54"/>
      <c r="N732" s="54"/>
      <c r="O732" s="54"/>
      <c r="P732" s="54"/>
      <c r="Q732" s="54"/>
      <c r="R732" s="54"/>
      <c r="S732" s="54"/>
      <c r="T732" s="54"/>
      <c r="U732" s="54"/>
      <c r="V732" s="54"/>
      <c r="W732" s="54"/>
      <c r="X732" s="54"/>
      <c r="Y732" s="54"/>
      <c r="Z732" s="54"/>
    </row>
    <row r="733" spans="1:26" ht="15.75" customHeight="1">
      <c r="A733" s="54"/>
      <c r="B733" s="54"/>
      <c r="C733" s="54"/>
      <c r="D733" s="119"/>
      <c r="E733" s="54"/>
      <c r="F733" s="54"/>
      <c r="G733" s="54"/>
      <c r="H733" s="54"/>
      <c r="I733" s="54"/>
      <c r="J733" s="54"/>
      <c r="K733" s="54"/>
      <c r="L733" s="54"/>
      <c r="M733" s="54"/>
      <c r="N733" s="54"/>
      <c r="O733" s="54"/>
      <c r="P733" s="54"/>
      <c r="Q733" s="54"/>
      <c r="R733" s="54"/>
      <c r="S733" s="54"/>
      <c r="T733" s="54"/>
      <c r="U733" s="54"/>
      <c r="V733" s="54"/>
      <c r="W733" s="54"/>
      <c r="X733" s="54"/>
      <c r="Y733" s="54"/>
      <c r="Z733" s="54"/>
    </row>
    <row r="734" spans="1:26" ht="15.75" customHeight="1">
      <c r="A734" s="54"/>
      <c r="B734" s="54"/>
      <c r="C734" s="54"/>
      <c r="D734" s="119"/>
      <c r="E734" s="54"/>
      <c r="F734" s="54"/>
      <c r="G734" s="54"/>
      <c r="H734" s="54"/>
      <c r="I734" s="54"/>
      <c r="J734" s="54"/>
      <c r="K734" s="54"/>
      <c r="L734" s="54"/>
      <c r="M734" s="54"/>
      <c r="N734" s="54"/>
      <c r="O734" s="54"/>
      <c r="P734" s="54"/>
      <c r="Q734" s="54"/>
      <c r="R734" s="54"/>
      <c r="S734" s="54"/>
      <c r="T734" s="54"/>
      <c r="U734" s="54"/>
      <c r="V734" s="54"/>
      <c r="W734" s="54"/>
      <c r="X734" s="54"/>
      <c r="Y734" s="54"/>
      <c r="Z734" s="54"/>
    </row>
    <row r="735" spans="1:26" ht="15.75" customHeight="1">
      <c r="A735" s="54"/>
      <c r="B735" s="54"/>
      <c r="C735" s="54"/>
      <c r="D735" s="119"/>
      <c r="E735" s="54"/>
      <c r="F735" s="54"/>
      <c r="G735" s="54"/>
      <c r="H735" s="54"/>
      <c r="I735" s="54"/>
      <c r="J735" s="54"/>
      <c r="K735" s="54"/>
      <c r="L735" s="54"/>
      <c r="M735" s="54"/>
      <c r="N735" s="54"/>
      <c r="O735" s="54"/>
      <c r="P735" s="54"/>
      <c r="Q735" s="54"/>
      <c r="R735" s="54"/>
      <c r="S735" s="54"/>
      <c r="T735" s="54"/>
      <c r="U735" s="54"/>
      <c r="V735" s="54"/>
      <c r="W735" s="54"/>
      <c r="X735" s="54"/>
      <c r="Y735" s="54"/>
      <c r="Z735" s="54"/>
    </row>
    <row r="736" spans="1:26" ht="15.75" customHeight="1">
      <c r="A736" s="54"/>
      <c r="B736" s="54"/>
      <c r="C736" s="54"/>
      <c r="D736" s="119"/>
      <c r="E736" s="54"/>
      <c r="F736" s="54"/>
      <c r="G736" s="54"/>
      <c r="H736" s="54"/>
      <c r="I736" s="54"/>
      <c r="J736" s="54"/>
      <c r="K736" s="54"/>
      <c r="L736" s="54"/>
      <c r="M736" s="54"/>
      <c r="N736" s="54"/>
      <c r="O736" s="54"/>
      <c r="P736" s="54"/>
      <c r="Q736" s="54"/>
      <c r="R736" s="54"/>
      <c r="S736" s="54"/>
      <c r="T736" s="54"/>
      <c r="U736" s="54"/>
      <c r="V736" s="54"/>
      <c r="W736" s="54"/>
      <c r="X736" s="54"/>
      <c r="Y736" s="54"/>
      <c r="Z736" s="54"/>
    </row>
    <row r="737" spans="1:26" ht="15.75" customHeight="1">
      <c r="A737" s="54"/>
      <c r="B737" s="54"/>
      <c r="C737" s="54"/>
      <c r="D737" s="119"/>
      <c r="E737" s="54"/>
      <c r="F737" s="54"/>
      <c r="G737" s="54"/>
      <c r="H737" s="54"/>
      <c r="I737" s="54"/>
      <c r="J737" s="54"/>
      <c r="K737" s="54"/>
      <c r="L737" s="54"/>
      <c r="M737" s="54"/>
      <c r="N737" s="54"/>
      <c r="O737" s="54"/>
      <c r="P737" s="54"/>
      <c r="Q737" s="54"/>
      <c r="R737" s="54"/>
      <c r="S737" s="54"/>
      <c r="T737" s="54"/>
      <c r="U737" s="54"/>
      <c r="V737" s="54"/>
      <c r="W737" s="54"/>
      <c r="X737" s="54"/>
      <c r="Y737" s="54"/>
      <c r="Z737" s="54"/>
    </row>
    <row r="738" spans="1:26" ht="15.75" customHeight="1">
      <c r="A738" s="54"/>
      <c r="B738" s="54"/>
      <c r="C738" s="54"/>
      <c r="D738" s="119"/>
      <c r="E738" s="54"/>
      <c r="F738" s="54"/>
      <c r="G738" s="54"/>
      <c r="H738" s="54"/>
      <c r="I738" s="54"/>
      <c r="J738" s="54"/>
      <c r="K738" s="54"/>
      <c r="L738" s="54"/>
      <c r="M738" s="54"/>
      <c r="N738" s="54"/>
      <c r="O738" s="54"/>
      <c r="P738" s="54"/>
      <c r="Q738" s="54"/>
      <c r="R738" s="54"/>
      <c r="S738" s="54"/>
      <c r="T738" s="54"/>
      <c r="U738" s="54"/>
      <c r="V738" s="54"/>
      <c r="W738" s="54"/>
      <c r="X738" s="54"/>
      <c r="Y738" s="54"/>
      <c r="Z738" s="54"/>
    </row>
    <row r="739" spans="1:26" ht="15.75" customHeight="1">
      <c r="A739" s="54"/>
      <c r="B739" s="54"/>
      <c r="C739" s="54"/>
      <c r="D739" s="119"/>
      <c r="E739" s="54"/>
      <c r="F739" s="54"/>
      <c r="G739" s="54"/>
      <c r="H739" s="54"/>
      <c r="I739" s="54"/>
      <c r="J739" s="54"/>
      <c r="K739" s="54"/>
      <c r="L739" s="54"/>
      <c r="M739" s="54"/>
      <c r="N739" s="54"/>
      <c r="O739" s="54"/>
      <c r="P739" s="54"/>
      <c r="Q739" s="54"/>
      <c r="R739" s="54"/>
      <c r="S739" s="54"/>
      <c r="T739" s="54"/>
      <c r="U739" s="54"/>
      <c r="V739" s="54"/>
      <c r="W739" s="54"/>
      <c r="X739" s="54"/>
      <c r="Y739" s="54"/>
      <c r="Z739" s="54"/>
    </row>
    <row r="740" spans="1:26" ht="15.75" customHeight="1">
      <c r="A740" s="54"/>
      <c r="B740" s="54"/>
      <c r="C740" s="54"/>
      <c r="D740" s="119"/>
      <c r="E740" s="54"/>
      <c r="F740" s="54"/>
      <c r="G740" s="54"/>
      <c r="H740" s="54"/>
      <c r="I740" s="54"/>
      <c r="J740" s="54"/>
      <c r="K740" s="54"/>
      <c r="L740" s="54"/>
      <c r="M740" s="54"/>
      <c r="N740" s="54"/>
      <c r="O740" s="54"/>
      <c r="P740" s="54"/>
      <c r="Q740" s="54"/>
      <c r="R740" s="54"/>
      <c r="S740" s="54"/>
      <c r="T740" s="54"/>
      <c r="U740" s="54"/>
      <c r="V740" s="54"/>
      <c r="W740" s="54"/>
      <c r="X740" s="54"/>
      <c r="Y740" s="54"/>
      <c r="Z740" s="54"/>
    </row>
    <row r="741" spans="1:26" ht="15.75" customHeight="1">
      <c r="A741" s="54"/>
      <c r="B741" s="54"/>
      <c r="C741" s="54"/>
      <c r="D741" s="119"/>
      <c r="E741" s="54"/>
      <c r="F741" s="54"/>
      <c r="G741" s="54"/>
      <c r="H741" s="54"/>
      <c r="I741" s="54"/>
      <c r="J741" s="54"/>
      <c r="K741" s="54"/>
      <c r="L741" s="54"/>
      <c r="M741" s="54"/>
      <c r="N741" s="54"/>
      <c r="O741" s="54"/>
      <c r="P741" s="54"/>
      <c r="Q741" s="54"/>
      <c r="R741" s="54"/>
      <c r="S741" s="54"/>
      <c r="T741" s="54"/>
      <c r="U741" s="54"/>
      <c r="V741" s="54"/>
      <c r="W741" s="54"/>
      <c r="X741" s="54"/>
      <c r="Y741" s="54"/>
      <c r="Z741" s="54"/>
    </row>
    <row r="742" spans="1:26" ht="15.75" customHeight="1"/>
    <row r="743" spans="1:26" ht="15.75" customHeight="1"/>
    <row r="744" spans="1:26" ht="15.75" customHeight="1"/>
    <row r="745" spans="1:26" ht="15.75" customHeight="1"/>
    <row r="746" spans="1:26" ht="15.75" customHeight="1"/>
    <row r="747" spans="1:26" ht="15.75" customHeight="1"/>
    <row r="748" spans="1:26" ht="15.75" customHeight="1"/>
    <row r="749" spans="1:26" ht="15.75" customHeight="1"/>
    <row r="750" spans="1:26" ht="15.75" customHeight="1"/>
    <row r="751" spans="1:26" ht="15.75" customHeight="1"/>
    <row r="752" spans="1:26"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248">
    <mergeCell ref="A434:D434"/>
    <mergeCell ref="A436:D436"/>
    <mergeCell ref="A438:D438"/>
    <mergeCell ref="A440:D440"/>
    <mergeCell ref="A442:D442"/>
    <mergeCell ref="A444:D444"/>
    <mergeCell ref="A446:B446"/>
    <mergeCell ref="A423:B423"/>
    <mergeCell ref="A425:D425"/>
    <mergeCell ref="A426:D426"/>
    <mergeCell ref="A427:D427"/>
    <mergeCell ref="A428:D428"/>
    <mergeCell ref="A429:D429"/>
    <mergeCell ref="A430:D430"/>
    <mergeCell ref="A431:D431"/>
    <mergeCell ref="A432:D432"/>
    <mergeCell ref="A407:D407"/>
    <mergeCell ref="A408:D408"/>
    <mergeCell ref="A409:D409"/>
    <mergeCell ref="A411:D411"/>
    <mergeCell ref="A413:D413"/>
    <mergeCell ref="A415:D415"/>
    <mergeCell ref="A417:D417"/>
    <mergeCell ref="A419:D419"/>
    <mergeCell ref="A421:D421"/>
    <mergeCell ref="A394:D394"/>
    <mergeCell ref="A396:D396"/>
    <mergeCell ref="A398:D398"/>
    <mergeCell ref="A400:B400"/>
    <mergeCell ref="A402:D402"/>
    <mergeCell ref="A403:D403"/>
    <mergeCell ref="A404:D404"/>
    <mergeCell ref="A405:D405"/>
    <mergeCell ref="A406:D406"/>
    <mergeCell ref="A539:C539"/>
    <mergeCell ref="A540:C540"/>
    <mergeCell ref="A541:C541"/>
    <mergeCell ref="A530:D530"/>
    <mergeCell ref="A531:D531"/>
    <mergeCell ref="A532:D532"/>
    <mergeCell ref="A533:D533"/>
    <mergeCell ref="A534:D534"/>
    <mergeCell ref="A537:D537"/>
    <mergeCell ref="A538:C538"/>
    <mergeCell ref="A496:D496"/>
    <mergeCell ref="A497:D497"/>
    <mergeCell ref="A498:D498"/>
    <mergeCell ref="A501:D501"/>
    <mergeCell ref="A503:D503"/>
    <mergeCell ref="A505:D505"/>
    <mergeCell ref="A507:D507"/>
    <mergeCell ref="A509:D509"/>
    <mergeCell ref="A529:D529"/>
    <mergeCell ref="A486:B486"/>
    <mergeCell ref="A487:B487"/>
    <mergeCell ref="A488:B488"/>
    <mergeCell ref="A490:B490"/>
    <mergeCell ref="A491:B491"/>
    <mergeCell ref="A492:B492"/>
    <mergeCell ref="A493:D493"/>
    <mergeCell ref="A494:D494"/>
    <mergeCell ref="A495:D495"/>
    <mergeCell ref="A473:B473"/>
    <mergeCell ref="A474:B474"/>
    <mergeCell ref="A475:B475"/>
    <mergeCell ref="A476:B476"/>
    <mergeCell ref="A479:B479"/>
    <mergeCell ref="A480:B480"/>
    <mergeCell ref="A481:B481"/>
    <mergeCell ref="A482:B482"/>
    <mergeCell ref="A483:B483"/>
    <mergeCell ref="A456:D456"/>
    <mergeCell ref="A459:D459"/>
    <mergeCell ref="A461:D461"/>
    <mergeCell ref="A463:D463"/>
    <mergeCell ref="A465:D465"/>
    <mergeCell ref="A468:B468"/>
    <mergeCell ref="A470:B470"/>
    <mergeCell ref="A471:B471"/>
    <mergeCell ref="A472:B472"/>
    <mergeCell ref="A365:D365"/>
    <mergeCell ref="A367:D367"/>
    <mergeCell ref="A369:D369"/>
    <mergeCell ref="A449:B449"/>
    <mergeCell ref="A451:D451"/>
    <mergeCell ref="A452:D452"/>
    <mergeCell ref="A453:D453"/>
    <mergeCell ref="A454:D454"/>
    <mergeCell ref="A455:D455"/>
    <mergeCell ref="A371:D371"/>
    <mergeCell ref="A373:D373"/>
    <mergeCell ref="A375:D375"/>
    <mergeCell ref="A377:B377"/>
    <mergeCell ref="A379:D379"/>
    <mergeCell ref="A380:D380"/>
    <mergeCell ref="A381:D381"/>
    <mergeCell ref="A382:D382"/>
    <mergeCell ref="A383:D383"/>
    <mergeCell ref="A384:D384"/>
    <mergeCell ref="A385:D385"/>
    <mergeCell ref="A386:D386"/>
    <mergeCell ref="A388:D388"/>
    <mergeCell ref="A390:D390"/>
    <mergeCell ref="A392:D392"/>
    <mergeCell ref="A337:D337"/>
    <mergeCell ref="A356:D356"/>
    <mergeCell ref="A357:D357"/>
    <mergeCell ref="A358:D358"/>
    <mergeCell ref="A359:D359"/>
    <mergeCell ref="A360:D360"/>
    <mergeCell ref="A361:D361"/>
    <mergeCell ref="A362:D362"/>
    <mergeCell ref="A363:D363"/>
    <mergeCell ref="A322:D322"/>
    <mergeCell ref="A323:D323"/>
    <mergeCell ref="A324:D324"/>
    <mergeCell ref="A325:D325"/>
    <mergeCell ref="A327:D327"/>
    <mergeCell ref="A329:D329"/>
    <mergeCell ref="A331:D331"/>
    <mergeCell ref="A333:D333"/>
    <mergeCell ref="A335:D335"/>
    <mergeCell ref="A292:D292"/>
    <mergeCell ref="A294:D294"/>
    <mergeCell ref="A296:D296"/>
    <mergeCell ref="A298:D298"/>
    <mergeCell ref="A300:D300"/>
    <mergeCell ref="A318:D318"/>
    <mergeCell ref="A319:D319"/>
    <mergeCell ref="A320:D320"/>
    <mergeCell ref="A321:D321"/>
    <mergeCell ref="A281:D281"/>
    <mergeCell ref="A282:D282"/>
    <mergeCell ref="A283:D283"/>
    <mergeCell ref="A284:D284"/>
    <mergeCell ref="A285:D285"/>
    <mergeCell ref="A286:D286"/>
    <mergeCell ref="A287:D287"/>
    <mergeCell ref="A288:D288"/>
    <mergeCell ref="A290:D290"/>
    <mergeCell ref="A263:D263"/>
    <mergeCell ref="A265:D265"/>
    <mergeCell ref="A267:D267"/>
    <mergeCell ref="A269:D269"/>
    <mergeCell ref="A271:D271"/>
    <mergeCell ref="A273:B273"/>
    <mergeCell ref="A274:B274"/>
    <mergeCell ref="A275:B275"/>
    <mergeCell ref="A276:B276"/>
    <mergeCell ref="A252:D252"/>
    <mergeCell ref="A253:D253"/>
    <mergeCell ref="A254:D254"/>
    <mergeCell ref="A255:D255"/>
    <mergeCell ref="A256:D256"/>
    <mergeCell ref="A257:D257"/>
    <mergeCell ref="A258:D258"/>
    <mergeCell ref="A259:D259"/>
    <mergeCell ref="A261:D261"/>
    <mergeCell ref="A219:D219"/>
    <mergeCell ref="A220:D220"/>
    <mergeCell ref="A221:D221"/>
    <mergeCell ref="A222:D222"/>
    <mergeCell ref="A224:D224"/>
    <mergeCell ref="A226:D226"/>
    <mergeCell ref="A228:D228"/>
    <mergeCell ref="A230:D230"/>
    <mergeCell ref="A232:D232"/>
    <mergeCell ref="A191:D191"/>
    <mergeCell ref="A192:D192"/>
    <mergeCell ref="A193:D193"/>
    <mergeCell ref="A194:D194"/>
    <mergeCell ref="A196:D196"/>
    <mergeCell ref="A215:D215"/>
    <mergeCell ref="A216:D216"/>
    <mergeCell ref="A217:D217"/>
    <mergeCell ref="A218:D218"/>
    <mergeCell ref="A177:D177"/>
    <mergeCell ref="A178:D178"/>
    <mergeCell ref="A179:D179"/>
    <mergeCell ref="A180:D180"/>
    <mergeCell ref="A181:D181"/>
    <mergeCell ref="A183:D183"/>
    <mergeCell ref="A185:D185"/>
    <mergeCell ref="A187:D187"/>
    <mergeCell ref="A189:D189"/>
    <mergeCell ref="A141:D141"/>
    <mergeCell ref="A143:D143"/>
    <mergeCell ref="A144:D144"/>
    <mergeCell ref="A145:D145"/>
    <mergeCell ref="A146:D146"/>
    <mergeCell ref="A148:D148"/>
    <mergeCell ref="A174:D174"/>
    <mergeCell ref="A175:D175"/>
    <mergeCell ref="A176:D176"/>
    <mergeCell ref="A128:D128"/>
    <mergeCell ref="A129:D129"/>
    <mergeCell ref="A130:D130"/>
    <mergeCell ref="A131:D131"/>
    <mergeCell ref="A132:D132"/>
    <mergeCell ref="A133:D133"/>
    <mergeCell ref="A135:D135"/>
    <mergeCell ref="A137:D137"/>
    <mergeCell ref="A139:D139"/>
    <mergeCell ref="A91:D91"/>
    <mergeCell ref="A93:D93"/>
    <mergeCell ref="A95:D95"/>
    <mergeCell ref="A96:D96"/>
    <mergeCell ref="A97:D97"/>
    <mergeCell ref="A98:D98"/>
    <mergeCell ref="A100:D100"/>
    <mergeCell ref="A126:D126"/>
    <mergeCell ref="A127:D127"/>
    <mergeCell ref="A79:D79"/>
    <mergeCell ref="A80:D80"/>
    <mergeCell ref="A81:D81"/>
    <mergeCell ref="A82:D82"/>
    <mergeCell ref="A83:D83"/>
    <mergeCell ref="A84:D84"/>
    <mergeCell ref="A85:D85"/>
    <mergeCell ref="A87:D87"/>
    <mergeCell ref="A89:D89"/>
    <mergeCell ref="A44:D44"/>
    <mergeCell ref="A45:D45"/>
    <mergeCell ref="A46:D46"/>
    <mergeCell ref="A48:D48"/>
    <mergeCell ref="A50:D50"/>
    <mergeCell ref="A52:D52"/>
    <mergeCell ref="A54:D54"/>
    <mergeCell ref="A56:D56"/>
    <mergeCell ref="A78:D78"/>
    <mergeCell ref="A12:D12"/>
    <mergeCell ref="A14:D14"/>
    <mergeCell ref="A16:D16"/>
    <mergeCell ref="A18:D18"/>
    <mergeCell ref="A39:D39"/>
    <mergeCell ref="A40:D40"/>
    <mergeCell ref="A41:D41"/>
    <mergeCell ref="A42:D42"/>
    <mergeCell ref="A43:D43"/>
    <mergeCell ref="A1:D1"/>
    <mergeCell ref="A2:D2"/>
    <mergeCell ref="A3:D3"/>
    <mergeCell ref="A4:D4"/>
    <mergeCell ref="A5:D5"/>
    <mergeCell ref="A6:D6"/>
    <mergeCell ref="A7:D7"/>
    <mergeCell ref="A8:D8"/>
    <mergeCell ref="A10:D10"/>
  </mergeCells>
  <pageMargins left="0.7" right="0.7" top="0.75" bottom="0.75" header="0" footer="0"/>
  <pageSetup orientation="portrait"/>
  <rowBreaks count="13" manualBreakCount="13">
    <brk id="450" man="1"/>
    <brk id="355" man="1"/>
    <brk id="38" man="1"/>
    <brk id="424" man="1"/>
    <brk id="492" man="1"/>
    <brk id="77" man="1"/>
    <brk id="528" man="1"/>
    <brk id="401" man="1"/>
    <brk id="280" man="1"/>
    <brk id="378" man="1"/>
    <brk id="251" man="1"/>
    <brk id="317" man="1"/>
    <brk id="12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7"/>
  <sheetViews>
    <sheetView workbookViewId="0">
      <pane ySplit="4" topLeftCell="A5" activePane="bottomLeft" state="frozen"/>
      <selection pane="bottomLeft" activeCell="B6" sqref="B6"/>
    </sheetView>
  </sheetViews>
  <sheetFormatPr defaultColWidth="12.5703125" defaultRowHeight="15" customHeight="1"/>
  <cols>
    <col min="1" max="1" width="6.140625" customWidth="1"/>
    <col min="2" max="2" width="42.42578125" customWidth="1"/>
    <col min="3" max="3" width="70.42578125" customWidth="1"/>
    <col min="4" max="4" width="63.140625" customWidth="1"/>
    <col min="5" max="11" width="14.85546875" customWidth="1"/>
    <col min="12" max="26" width="12.42578125" customWidth="1"/>
  </cols>
  <sheetData>
    <row r="1" spans="1:26" ht="12" customHeight="1">
      <c r="A1" s="53"/>
      <c r="B1" s="53"/>
      <c r="C1" s="53"/>
      <c r="D1" s="3"/>
      <c r="E1" s="313"/>
      <c r="F1" s="3"/>
      <c r="G1" s="3"/>
      <c r="H1" s="3"/>
      <c r="I1" s="3"/>
      <c r="J1" s="3"/>
      <c r="K1" s="3"/>
      <c r="L1" s="3"/>
      <c r="M1" s="3"/>
      <c r="N1" s="3"/>
      <c r="O1" s="3"/>
      <c r="P1" s="3"/>
      <c r="Q1" s="3"/>
      <c r="R1" s="3"/>
      <c r="S1" s="3"/>
      <c r="T1" s="3"/>
      <c r="U1" s="3"/>
      <c r="V1" s="3"/>
      <c r="W1" s="3"/>
      <c r="X1" s="3"/>
      <c r="Y1" s="3"/>
      <c r="Z1" s="3"/>
    </row>
    <row r="2" spans="1:26" ht="12" customHeight="1">
      <c r="A2" s="314" t="s">
        <v>242</v>
      </c>
      <c r="B2" s="53"/>
      <c r="C2" s="53"/>
      <c r="D2" s="3"/>
      <c r="E2" s="3"/>
      <c r="F2" s="3"/>
      <c r="G2" s="3"/>
      <c r="H2" s="3"/>
      <c r="I2" s="3"/>
      <c r="J2" s="3"/>
      <c r="K2" s="3"/>
      <c r="L2" s="3"/>
      <c r="M2" s="3"/>
      <c r="N2" s="3"/>
      <c r="O2" s="3"/>
      <c r="P2" s="3"/>
      <c r="Q2" s="3"/>
      <c r="R2" s="3"/>
      <c r="S2" s="3"/>
      <c r="T2" s="3"/>
      <c r="U2" s="3"/>
      <c r="V2" s="3"/>
      <c r="W2" s="3"/>
      <c r="X2" s="3"/>
      <c r="Y2" s="3"/>
      <c r="Z2" s="3"/>
    </row>
    <row r="3" spans="1:26" ht="12" customHeight="1">
      <c r="A3" s="53"/>
      <c r="B3" s="53"/>
      <c r="C3" s="53"/>
      <c r="D3" s="3"/>
      <c r="E3" s="315">
        <v>4</v>
      </c>
      <c r="F3" s="315">
        <v>5</v>
      </c>
      <c r="G3" s="315">
        <v>6</v>
      </c>
      <c r="H3" s="315">
        <v>7</v>
      </c>
      <c r="I3" s="315">
        <v>8</v>
      </c>
      <c r="J3" s="315">
        <v>9</v>
      </c>
      <c r="K3" s="3"/>
      <c r="L3" s="3"/>
      <c r="M3" s="3"/>
      <c r="N3" s="3"/>
      <c r="O3" s="3"/>
      <c r="P3" s="3"/>
      <c r="Q3" s="3"/>
      <c r="R3" s="3"/>
      <c r="S3" s="3"/>
      <c r="T3" s="3"/>
      <c r="U3" s="3"/>
      <c r="V3" s="3"/>
      <c r="W3" s="3"/>
      <c r="X3" s="3"/>
      <c r="Y3" s="3"/>
      <c r="Z3" s="3"/>
    </row>
    <row r="4" spans="1:26" ht="12" customHeight="1">
      <c r="A4" s="53"/>
      <c r="B4" s="53"/>
      <c r="C4" s="53"/>
      <c r="D4" s="3"/>
      <c r="E4" s="316" t="s">
        <v>243</v>
      </c>
      <c r="F4" s="317" t="s">
        <v>2</v>
      </c>
      <c r="G4" s="317" t="s">
        <v>3</v>
      </c>
      <c r="H4" s="317" t="s">
        <v>4</v>
      </c>
      <c r="I4" s="317" t="s">
        <v>5</v>
      </c>
      <c r="J4" s="317" t="s">
        <v>6</v>
      </c>
      <c r="K4" s="3"/>
      <c r="L4" s="3"/>
      <c r="M4" s="3"/>
      <c r="N4" s="3"/>
      <c r="O4" s="3"/>
      <c r="P4" s="3"/>
      <c r="Q4" s="3"/>
      <c r="R4" s="3"/>
      <c r="S4" s="3"/>
      <c r="T4" s="3"/>
      <c r="U4" s="3"/>
      <c r="V4" s="3"/>
      <c r="W4" s="3"/>
      <c r="X4" s="3"/>
      <c r="Y4" s="3"/>
      <c r="Z4" s="3"/>
    </row>
    <row r="5" spans="1:26" ht="12" customHeight="1">
      <c r="A5" s="318" t="s">
        <v>10</v>
      </c>
      <c r="B5" s="319"/>
      <c r="C5" s="319"/>
      <c r="D5" s="319"/>
      <c r="E5" s="320"/>
      <c r="F5" s="321"/>
      <c r="G5" s="321"/>
      <c r="H5" s="319"/>
      <c r="I5" s="319"/>
      <c r="J5" s="319"/>
      <c r="K5" s="322"/>
      <c r="L5" s="322"/>
      <c r="M5" s="322"/>
      <c r="N5" s="322"/>
      <c r="O5" s="322"/>
      <c r="P5" s="322"/>
      <c r="Q5" s="322"/>
      <c r="R5" s="322"/>
      <c r="S5" s="322"/>
      <c r="T5" s="322"/>
      <c r="U5" s="322"/>
      <c r="V5" s="322"/>
      <c r="W5" s="322"/>
      <c r="X5" s="322"/>
      <c r="Y5" s="322"/>
      <c r="Z5" s="322"/>
    </row>
    <row r="6" spans="1:26" ht="12" customHeight="1">
      <c r="A6" s="314"/>
      <c r="B6" s="53"/>
      <c r="C6" s="53"/>
      <c r="D6" s="53"/>
      <c r="E6" s="323"/>
      <c r="F6" s="324"/>
      <c r="G6" s="324"/>
      <c r="H6" s="53"/>
      <c r="I6" s="53"/>
      <c r="J6" s="53"/>
      <c r="K6" s="3"/>
      <c r="L6" s="3"/>
      <c r="M6" s="3"/>
      <c r="N6" s="3"/>
      <c r="O6" s="3"/>
      <c r="P6" s="3"/>
      <c r="Q6" s="3"/>
      <c r="R6" s="3"/>
      <c r="S6" s="3"/>
      <c r="T6" s="3"/>
      <c r="U6" s="3"/>
      <c r="V6" s="3"/>
      <c r="W6" s="3"/>
      <c r="X6" s="3"/>
      <c r="Y6" s="3"/>
      <c r="Z6" s="3"/>
    </row>
    <row r="7" spans="1:26" ht="15.75">
      <c r="A7" s="53"/>
      <c r="B7" s="314" t="s">
        <v>244</v>
      </c>
      <c r="C7" s="325" t="s">
        <v>245</v>
      </c>
      <c r="D7" s="53"/>
      <c r="E7" s="326" t="s">
        <v>243</v>
      </c>
      <c r="F7" s="327" t="str">
        <f t="shared" ref="F7:J7" si="0">F4</f>
        <v>2026F</v>
      </c>
      <c r="G7" s="327" t="str">
        <f t="shared" si="0"/>
        <v>2027F</v>
      </c>
      <c r="H7" s="327" t="str">
        <f t="shared" si="0"/>
        <v>2028F</v>
      </c>
      <c r="I7" s="327" t="str">
        <f t="shared" si="0"/>
        <v>2029F</v>
      </c>
      <c r="J7" s="327" t="str">
        <f t="shared" si="0"/>
        <v>2030F</v>
      </c>
      <c r="K7" s="3"/>
      <c r="L7" s="3"/>
      <c r="M7" s="3"/>
      <c r="N7" s="3"/>
      <c r="O7" s="3"/>
      <c r="P7" s="3"/>
      <c r="Q7" s="3"/>
      <c r="R7" s="3"/>
      <c r="S7" s="3"/>
      <c r="T7" s="3"/>
      <c r="U7" s="3"/>
      <c r="V7" s="3"/>
      <c r="W7" s="3"/>
      <c r="X7" s="3"/>
      <c r="Y7" s="3"/>
      <c r="Z7" s="3"/>
    </row>
    <row r="8" spans="1:26" ht="12" customHeight="1">
      <c r="A8" s="53"/>
      <c r="B8" s="328" t="str">
        <f t="shared" ref="B8:B18" si="1">D8&amp;"."&amp;C8</f>
        <v>Residential.Monthly Service Charge</v>
      </c>
      <c r="C8" s="328" t="s">
        <v>246</v>
      </c>
      <c r="D8" s="314" t="s">
        <v>247</v>
      </c>
      <c r="E8" s="329">
        <v>34.26</v>
      </c>
      <c r="F8" s="330">
        <v>39.200000000000003</v>
      </c>
      <c r="G8" s="330">
        <v>41.1</v>
      </c>
      <c r="H8" s="330">
        <v>43.93</v>
      </c>
      <c r="I8" s="330">
        <v>45.42</v>
      </c>
      <c r="J8" s="330">
        <v>46.78</v>
      </c>
      <c r="K8" s="3"/>
      <c r="L8" s="3"/>
      <c r="M8" s="3"/>
      <c r="N8" s="3"/>
      <c r="O8" s="3"/>
      <c r="P8" s="3"/>
      <c r="Q8" s="3"/>
      <c r="R8" s="3"/>
      <c r="S8" s="3"/>
      <c r="T8" s="3"/>
      <c r="U8" s="3"/>
      <c r="V8" s="3"/>
      <c r="W8" s="3"/>
      <c r="X8" s="3"/>
      <c r="Y8" s="3"/>
      <c r="Z8" s="3"/>
    </row>
    <row r="9" spans="1:26" ht="12" customHeight="1">
      <c r="A9" s="53"/>
      <c r="B9" s="328" t="str">
        <f t="shared" si="1"/>
        <v>General Service &lt; 50 kW.Monthly Service Charge</v>
      </c>
      <c r="C9" s="328" t="s">
        <v>246</v>
      </c>
      <c r="D9" s="314" t="s">
        <v>248</v>
      </c>
      <c r="E9" s="329">
        <v>23.53</v>
      </c>
      <c r="F9" s="330">
        <v>26.16</v>
      </c>
      <c r="G9" s="330">
        <v>27.42</v>
      </c>
      <c r="H9" s="330">
        <v>29.3</v>
      </c>
      <c r="I9" s="330">
        <v>29.77</v>
      </c>
      <c r="J9" s="330">
        <v>30.21</v>
      </c>
      <c r="K9" s="3"/>
      <c r="L9" s="3"/>
      <c r="M9" s="3"/>
      <c r="N9" s="3"/>
      <c r="O9" s="3"/>
      <c r="P9" s="3"/>
      <c r="Q9" s="3"/>
      <c r="R9" s="3"/>
      <c r="S9" s="3"/>
      <c r="T9" s="3"/>
      <c r="U9" s="3"/>
      <c r="V9" s="3"/>
      <c r="W9" s="3"/>
      <c r="X9" s="3"/>
      <c r="Y9" s="3"/>
      <c r="Z9" s="3"/>
    </row>
    <row r="10" spans="1:26" ht="12" customHeight="1">
      <c r="A10" s="53"/>
      <c r="B10" s="328" t="str">
        <f t="shared" si="1"/>
        <v>General Service 50 to 1,499 KW.Monthly Service Charge</v>
      </c>
      <c r="C10" s="328" t="s">
        <v>246</v>
      </c>
      <c r="D10" s="314" t="s">
        <v>249</v>
      </c>
      <c r="E10" s="329">
        <v>200</v>
      </c>
      <c r="F10" s="330">
        <v>200</v>
      </c>
      <c r="G10" s="330">
        <v>200</v>
      </c>
      <c r="H10" s="330">
        <v>200</v>
      </c>
      <c r="I10" s="330">
        <v>200</v>
      </c>
      <c r="J10" s="330">
        <v>200</v>
      </c>
      <c r="K10" s="3"/>
      <c r="L10" s="3"/>
      <c r="M10" s="3"/>
      <c r="N10" s="3"/>
      <c r="O10" s="3"/>
      <c r="P10" s="3"/>
      <c r="Q10" s="3"/>
      <c r="R10" s="3"/>
      <c r="S10" s="3"/>
      <c r="T10" s="3"/>
      <c r="U10" s="3"/>
      <c r="V10" s="3"/>
      <c r="W10" s="3"/>
      <c r="X10" s="3"/>
      <c r="Y10" s="3"/>
      <c r="Z10" s="3"/>
    </row>
    <row r="11" spans="1:26" ht="12" customHeight="1">
      <c r="A11" s="53"/>
      <c r="B11" s="328" t="str">
        <f t="shared" si="1"/>
        <v>General Service 1,500 to 4,999 KW.Monthly Service Charge</v>
      </c>
      <c r="C11" s="328" t="s">
        <v>246</v>
      </c>
      <c r="D11" s="314" t="s">
        <v>250</v>
      </c>
      <c r="E11" s="329">
        <v>4126.75</v>
      </c>
      <c r="F11" s="330">
        <v>4126.75</v>
      </c>
      <c r="G11" s="330">
        <v>4126.75</v>
      </c>
      <c r="H11" s="330">
        <v>4126.75</v>
      </c>
      <c r="I11" s="330">
        <v>4126.75</v>
      </c>
      <c r="J11" s="330">
        <v>4126.75</v>
      </c>
      <c r="K11" s="331"/>
      <c r="L11" s="3"/>
      <c r="M11" s="3"/>
      <c r="N11" s="3"/>
      <c r="O11" s="3"/>
      <c r="P11" s="3"/>
      <c r="Q11" s="3"/>
      <c r="R11" s="3"/>
      <c r="S11" s="3"/>
      <c r="T11" s="3"/>
      <c r="U11" s="3"/>
      <c r="V11" s="3"/>
      <c r="W11" s="3"/>
      <c r="X11" s="3"/>
      <c r="Y11" s="3"/>
      <c r="Z11" s="3"/>
    </row>
    <row r="12" spans="1:26" ht="12" customHeight="1">
      <c r="A12" s="53"/>
      <c r="B12" s="328" t="str">
        <f t="shared" si="1"/>
        <v>Large User.Monthly Service Charge</v>
      </c>
      <c r="C12" s="328" t="s">
        <v>246</v>
      </c>
      <c r="D12" s="314" t="s">
        <v>251</v>
      </c>
      <c r="E12" s="329">
        <v>14946.93</v>
      </c>
      <c r="F12" s="330">
        <v>14946.93</v>
      </c>
      <c r="G12" s="330">
        <v>14946.93</v>
      </c>
      <c r="H12" s="330">
        <v>14946.93</v>
      </c>
      <c r="I12" s="330">
        <v>14946.93</v>
      </c>
      <c r="J12" s="330">
        <v>14946.93</v>
      </c>
      <c r="K12" s="331"/>
      <c r="L12" s="3"/>
      <c r="M12" s="3"/>
      <c r="N12" s="3"/>
      <c r="O12" s="3"/>
      <c r="P12" s="3"/>
      <c r="Q12" s="3"/>
      <c r="R12" s="3"/>
      <c r="S12" s="3"/>
      <c r="T12" s="3"/>
      <c r="U12" s="3"/>
      <c r="V12" s="3"/>
      <c r="W12" s="3"/>
      <c r="X12" s="3"/>
      <c r="Y12" s="3"/>
      <c r="Z12" s="3"/>
    </row>
    <row r="13" spans="1:26" ht="12" customHeight="1">
      <c r="A13" s="53"/>
      <c r="B13" s="328" t="str">
        <f t="shared" si="1"/>
        <v>Street Light.Monthly Service Charge</v>
      </c>
      <c r="C13" s="328" t="s">
        <v>246</v>
      </c>
      <c r="D13" s="314" t="s">
        <v>252</v>
      </c>
      <c r="E13" s="329">
        <v>1.1200000000000001</v>
      </c>
      <c r="F13" s="330">
        <v>1.19</v>
      </c>
      <c r="G13" s="330">
        <v>1.1599999999999999</v>
      </c>
      <c r="H13" s="330">
        <v>1.21</v>
      </c>
      <c r="I13" s="330">
        <v>1.2</v>
      </c>
      <c r="J13" s="330">
        <v>1.21</v>
      </c>
      <c r="K13" s="3"/>
      <c r="L13" s="3"/>
      <c r="M13" s="3"/>
      <c r="N13" s="3"/>
      <c r="O13" s="3"/>
      <c r="P13" s="3"/>
      <c r="Q13" s="3"/>
      <c r="R13" s="3"/>
      <c r="S13" s="3"/>
      <c r="T13" s="3"/>
      <c r="U13" s="3"/>
      <c r="V13" s="3"/>
      <c r="W13" s="3"/>
      <c r="X13" s="3"/>
      <c r="Y13" s="3"/>
      <c r="Z13" s="3"/>
    </row>
    <row r="14" spans="1:26" ht="12" customHeight="1">
      <c r="A14" s="53"/>
      <c r="B14" s="328" t="str">
        <f t="shared" si="1"/>
        <v>Sentinel Lights.Monthly Service Charge</v>
      </c>
      <c r="C14" s="328" t="s">
        <v>246</v>
      </c>
      <c r="D14" s="314" t="s">
        <v>253</v>
      </c>
      <c r="E14" s="329">
        <v>7.02</v>
      </c>
      <c r="F14" s="330">
        <v>8.02</v>
      </c>
      <c r="G14" s="330">
        <v>8.41</v>
      </c>
      <c r="H14" s="330">
        <v>8.99</v>
      </c>
      <c r="I14" s="330">
        <v>9.2899999999999991</v>
      </c>
      <c r="J14" s="330">
        <v>9.57</v>
      </c>
      <c r="K14" s="3"/>
      <c r="L14" s="3"/>
      <c r="M14" s="3"/>
      <c r="N14" s="3"/>
      <c r="O14" s="3"/>
      <c r="P14" s="3"/>
      <c r="Q14" s="3"/>
      <c r="R14" s="3"/>
      <c r="S14" s="3"/>
      <c r="T14" s="3"/>
      <c r="U14" s="3"/>
      <c r="V14" s="3"/>
      <c r="W14" s="3"/>
      <c r="X14" s="3"/>
      <c r="Y14" s="3"/>
      <c r="Z14" s="3"/>
    </row>
    <row r="15" spans="1:26" ht="12" customHeight="1">
      <c r="A15" s="53"/>
      <c r="B15" s="328" t="str">
        <f t="shared" si="1"/>
        <v>Unmetered Scattered Load.Monthly Service Charge</v>
      </c>
      <c r="C15" s="328" t="s">
        <v>246</v>
      </c>
      <c r="D15" s="314" t="s">
        <v>254</v>
      </c>
      <c r="E15" s="329">
        <v>7.09</v>
      </c>
      <c r="F15" s="330">
        <v>8.0399999999999991</v>
      </c>
      <c r="G15" s="330">
        <v>8.39</v>
      </c>
      <c r="H15" s="330">
        <v>8.9700000000000006</v>
      </c>
      <c r="I15" s="330">
        <v>9.24</v>
      </c>
      <c r="J15" s="330">
        <v>9.3699999999999992</v>
      </c>
      <c r="K15" s="3"/>
      <c r="L15" s="3"/>
      <c r="M15" s="3"/>
      <c r="N15" s="3"/>
      <c r="O15" s="3"/>
      <c r="P15" s="3"/>
      <c r="Q15" s="3"/>
      <c r="R15" s="3"/>
      <c r="S15" s="3"/>
      <c r="T15" s="3"/>
      <c r="U15" s="3"/>
      <c r="V15" s="3"/>
      <c r="W15" s="3"/>
      <c r="X15" s="3"/>
      <c r="Y15" s="3"/>
      <c r="Z15" s="3"/>
    </row>
    <row r="16" spans="1:26" ht="12" customHeight="1">
      <c r="A16" s="53"/>
      <c r="B16" s="328" t="str">
        <f t="shared" si="1"/>
        <v>Standby Power General Service 50 to 1,499 KW.Monthly Service Charge</v>
      </c>
      <c r="C16" s="328" t="s">
        <v>246</v>
      </c>
      <c r="D16" s="314" t="s">
        <v>255</v>
      </c>
      <c r="E16" s="329">
        <v>186.89</v>
      </c>
      <c r="F16" s="330">
        <v>186.89</v>
      </c>
      <c r="G16" s="330">
        <v>186.89</v>
      </c>
      <c r="H16" s="330">
        <v>186.89</v>
      </c>
      <c r="I16" s="330">
        <v>186.89</v>
      </c>
      <c r="J16" s="330">
        <v>186.89</v>
      </c>
      <c r="K16" s="3"/>
      <c r="L16" s="3"/>
      <c r="M16" s="3"/>
      <c r="N16" s="3"/>
      <c r="O16" s="3"/>
      <c r="P16" s="3"/>
      <c r="Q16" s="3"/>
      <c r="R16" s="3"/>
      <c r="S16" s="3"/>
      <c r="T16" s="3"/>
      <c r="U16" s="3"/>
      <c r="V16" s="3"/>
      <c r="W16" s="3"/>
      <c r="X16" s="3"/>
      <c r="Y16" s="3"/>
      <c r="Z16" s="3"/>
    </row>
    <row r="17" spans="1:26" ht="12" customHeight="1">
      <c r="A17" s="53"/>
      <c r="B17" s="328" t="str">
        <f t="shared" si="1"/>
        <v>Standby Power General Service 1,500 to 4,999 KW.Monthly Service Charge</v>
      </c>
      <c r="C17" s="328" t="s">
        <v>246</v>
      </c>
      <c r="D17" s="314" t="s">
        <v>256</v>
      </c>
      <c r="E17" s="329">
        <v>186.89</v>
      </c>
      <c r="F17" s="330">
        <v>186.89</v>
      </c>
      <c r="G17" s="330">
        <v>186.89</v>
      </c>
      <c r="H17" s="330">
        <v>186.89</v>
      </c>
      <c r="I17" s="330">
        <v>186.89</v>
      </c>
      <c r="J17" s="330">
        <v>186.89</v>
      </c>
      <c r="K17" s="3"/>
      <c r="L17" s="3"/>
      <c r="M17" s="3"/>
      <c r="N17" s="3"/>
      <c r="O17" s="3"/>
      <c r="P17" s="3"/>
      <c r="Q17" s="3"/>
      <c r="R17" s="3"/>
      <c r="S17" s="3"/>
      <c r="T17" s="3"/>
      <c r="U17" s="3"/>
      <c r="V17" s="3"/>
      <c r="W17" s="3"/>
      <c r="X17" s="3"/>
      <c r="Y17" s="3"/>
      <c r="Z17" s="3"/>
    </row>
    <row r="18" spans="1:26" ht="12" customHeight="1">
      <c r="A18" s="53"/>
      <c r="B18" s="328" t="str">
        <f t="shared" si="1"/>
        <v>Standby Power Large Use.Monthly Service Charge</v>
      </c>
      <c r="C18" s="328" t="s">
        <v>246</v>
      </c>
      <c r="D18" s="314" t="s">
        <v>257</v>
      </c>
      <c r="E18" s="329">
        <v>186.89</v>
      </c>
      <c r="F18" s="330">
        <v>186.89</v>
      </c>
      <c r="G18" s="330">
        <v>186.89</v>
      </c>
      <c r="H18" s="330">
        <v>186.89</v>
      </c>
      <c r="I18" s="330">
        <v>186.89</v>
      </c>
      <c r="J18" s="330">
        <v>186.89</v>
      </c>
      <c r="K18" s="3"/>
      <c r="L18" s="3"/>
      <c r="M18" s="3"/>
      <c r="N18" s="3"/>
      <c r="O18" s="3"/>
      <c r="P18" s="3"/>
      <c r="Q18" s="3"/>
      <c r="R18" s="3"/>
      <c r="S18" s="3"/>
      <c r="T18" s="3"/>
      <c r="U18" s="3"/>
      <c r="V18" s="3"/>
      <c r="W18" s="3"/>
      <c r="X18" s="3"/>
      <c r="Y18" s="3"/>
      <c r="Z18" s="3"/>
    </row>
    <row r="19" spans="1:26" ht="12" customHeight="1">
      <c r="A19" s="53"/>
      <c r="B19" s="53"/>
      <c r="C19" s="53"/>
      <c r="D19" s="3"/>
      <c r="E19" s="3"/>
      <c r="F19" s="314"/>
      <c r="G19" s="314"/>
      <c r="H19" s="314"/>
      <c r="I19" s="314"/>
      <c r="J19" s="314"/>
      <c r="K19" s="3"/>
      <c r="L19" s="3"/>
      <c r="M19" s="3"/>
      <c r="N19" s="3"/>
      <c r="O19" s="3"/>
      <c r="P19" s="3"/>
      <c r="Q19" s="3"/>
      <c r="R19" s="3"/>
      <c r="S19" s="3"/>
      <c r="T19" s="3"/>
      <c r="U19" s="3"/>
      <c r="V19" s="3"/>
      <c r="W19" s="3"/>
      <c r="X19" s="3"/>
      <c r="Y19" s="3"/>
      <c r="Z19" s="3"/>
    </row>
    <row r="20" spans="1:26" ht="15.75">
      <c r="A20" s="53"/>
      <c r="B20" s="314"/>
      <c r="C20" s="325" t="s">
        <v>258</v>
      </c>
      <c r="D20" s="53"/>
      <c r="E20" s="326" t="s">
        <v>243</v>
      </c>
      <c r="F20" s="327" t="str">
        <f t="shared" ref="F20:J20" si="2">F$4</f>
        <v>2026F</v>
      </c>
      <c r="G20" s="327" t="str">
        <f t="shared" si="2"/>
        <v>2027F</v>
      </c>
      <c r="H20" s="327" t="str">
        <f t="shared" si="2"/>
        <v>2028F</v>
      </c>
      <c r="I20" s="327" t="str">
        <f t="shared" si="2"/>
        <v>2029F</v>
      </c>
      <c r="J20" s="327" t="str">
        <f t="shared" si="2"/>
        <v>2030F</v>
      </c>
      <c r="K20" s="3"/>
      <c r="L20" s="3"/>
      <c r="M20" s="3"/>
      <c r="N20" s="3"/>
      <c r="O20" s="3"/>
      <c r="P20" s="3"/>
      <c r="Q20" s="3"/>
      <c r="R20" s="3"/>
      <c r="S20" s="3"/>
      <c r="T20" s="3"/>
      <c r="U20" s="3"/>
      <c r="V20" s="3"/>
      <c r="W20" s="3"/>
      <c r="X20" s="3"/>
      <c r="Y20" s="3"/>
      <c r="Z20" s="3"/>
    </row>
    <row r="21" spans="1:26" ht="12" customHeight="1">
      <c r="A21" s="53" t="s">
        <v>48</v>
      </c>
      <c r="B21" s="328" t="str">
        <f t="shared" ref="B21:B31" si="3">D21&amp;"."&amp;C21</f>
        <v>Residential.Distribution Volumetric Rate</v>
      </c>
      <c r="C21" s="328" t="s">
        <v>62</v>
      </c>
      <c r="D21" s="314" t="s">
        <v>247</v>
      </c>
      <c r="E21" s="3">
        <v>0</v>
      </c>
      <c r="F21" s="314">
        <v>0</v>
      </c>
      <c r="G21" s="314">
        <v>0</v>
      </c>
      <c r="H21" s="314">
        <v>0</v>
      </c>
      <c r="I21" s="314">
        <v>0</v>
      </c>
      <c r="J21" s="314">
        <v>0</v>
      </c>
      <c r="K21" s="3"/>
      <c r="L21" s="3"/>
      <c r="M21" s="3"/>
      <c r="N21" s="3"/>
      <c r="O21" s="3"/>
      <c r="P21" s="3"/>
      <c r="Q21" s="3"/>
      <c r="R21" s="3"/>
      <c r="S21" s="3"/>
      <c r="T21" s="3"/>
      <c r="U21" s="3"/>
      <c r="V21" s="3"/>
      <c r="W21" s="3"/>
      <c r="X21" s="3"/>
      <c r="Y21" s="3"/>
      <c r="Z21" s="3"/>
    </row>
    <row r="22" spans="1:26" ht="12" customHeight="1">
      <c r="A22" s="53" t="s">
        <v>48</v>
      </c>
      <c r="B22" s="328" t="str">
        <f t="shared" si="3"/>
        <v>General Service &lt; 50 kW.Distribution Volumetric Rate</v>
      </c>
      <c r="C22" s="328" t="s">
        <v>62</v>
      </c>
      <c r="D22" s="314" t="s">
        <v>248</v>
      </c>
      <c r="E22" s="313">
        <v>3.0499999999999999E-2</v>
      </c>
      <c r="F22" s="332">
        <v>3.39E-2</v>
      </c>
      <c r="G22" s="332">
        <v>3.5499999999999997E-2</v>
      </c>
      <c r="H22" s="332">
        <v>3.7900000000000003E-2</v>
      </c>
      <c r="I22" s="332">
        <v>3.85E-2</v>
      </c>
      <c r="J22" s="332">
        <v>3.9100000000000003E-2</v>
      </c>
      <c r="K22" s="3"/>
      <c r="L22" s="3"/>
      <c r="M22" s="3"/>
      <c r="N22" s="3"/>
      <c r="O22" s="3"/>
      <c r="P22" s="3"/>
      <c r="Q22" s="3"/>
      <c r="R22" s="3"/>
      <c r="S22" s="3"/>
      <c r="T22" s="3"/>
      <c r="U22" s="3"/>
      <c r="V22" s="3"/>
      <c r="W22" s="3"/>
      <c r="X22" s="3"/>
      <c r="Y22" s="3"/>
      <c r="Z22" s="3"/>
    </row>
    <row r="23" spans="1:26" ht="12" customHeight="1">
      <c r="A23" s="53" t="s">
        <v>69</v>
      </c>
      <c r="B23" s="328" t="str">
        <f t="shared" si="3"/>
        <v>General Service 50 to 1,499 KW.Distribution Volumetric Rate</v>
      </c>
      <c r="C23" s="328" t="s">
        <v>62</v>
      </c>
      <c r="D23" s="314" t="s">
        <v>249</v>
      </c>
      <c r="E23" s="313">
        <v>6.5552999999999999</v>
      </c>
      <c r="F23" s="332">
        <v>7.6543000000000001</v>
      </c>
      <c r="G23" s="332">
        <v>8.0783000000000005</v>
      </c>
      <c r="H23" s="332">
        <v>8.7073</v>
      </c>
      <c r="I23" s="332">
        <v>9.0386000000000006</v>
      </c>
      <c r="J23" s="332">
        <v>9.3415999999999997</v>
      </c>
      <c r="K23" s="3"/>
      <c r="L23" s="3"/>
      <c r="M23" s="3"/>
      <c r="N23" s="3"/>
      <c r="O23" s="3"/>
      <c r="P23" s="3"/>
      <c r="Q23" s="3"/>
      <c r="R23" s="3"/>
      <c r="S23" s="3"/>
      <c r="T23" s="3"/>
      <c r="U23" s="3"/>
      <c r="V23" s="3"/>
      <c r="W23" s="3"/>
      <c r="X23" s="3"/>
      <c r="Y23" s="3"/>
      <c r="Z23" s="3"/>
    </row>
    <row r="24" spans="1:26" ht="12" customHeight="1">
      <c r="A24" s="53" t="s">
        <v>69</v>
      </c>
      <c r="B24" s="328" t="str">
        <f t="shared" si="3"/>
        <v>General Service 1,500 to 4,999 KW.Distribution Volumetric Rate</v>
      </c>
      <c r="C24" s="328" t="s">
        <v>62</v>
      </c>
      <c r="D24" s="314" t="s">
        <v>250</v>
      </c>
      <c r="E24" s="313">
        <v>6.0796000000000001</v>
      </c>
      <c r="F24" s="332">
        <v>7.2919999999999998</v>
      </c>
      <c r="G24" s="332">
        <v>7.7595000000000001</v>
      </c>
      <c r="H24" s="332">
        <v>8.4582999999999995</v>
      </c>
      <c r="I24" s="332">
        <v>8.8265999999999991</v>
      </c>
      <c r="J24" s="332">
        <v>9.1635000000000009</v>
      </c>
      <c r="K24" s="3"/>
      <c r="L24" s="3"/>
      <c r="M24" s="3"/>
      <c r="N24" s="3"/>
      <c r="O24" s="3"/>
      <c r="P24" s="3"/>
      <c r="Q24" s="3"/>
      <c r="R24" s="3"/>
      <c r="S24" s="3"/>
      <c r="T24" s="3"/>
      <c r="U24" s="3"/>
      <c r="V24" s="3"/>
      <c r="W24" s="3"/>
      <c r="X24" s="3"/>
      <c r="Y24" s="3"/>
      <c r="Z24" s="3"/>
    </row>
    <row r="25" spans="1:26" ht="12" customHeight="1">
      <c r="A25" s="53" t="s">
        <v>69</v>
      </c>
      <c r="B25" s="328" t="str">
        <f t="shared" si="3"/>
        <v>Large User.Distribution Volumetric Rate</v>
      </c>
      <c r="C25" s="328" t="s">
        <v>62</v>
      </c>
      <c r="D25" s="314" t="s">
        <v>251</v>
      </c>
      <c r="E25" s="313">
        <v>6.0316000000000001</v>
      </c>
      <c r="F25" s="332">
        <v>7.9119000000000002</v>
      </c>
      <c r="G25" s="332">
        <v>8.4278999999999993</v>
      </c>
      <c r="H25" s="332">
        <v>9.1717999999999993</v>
      </c>
      <c r="I25" s="332">
        <v>10.085699999999999</v>
      </c>
      <c r="J25" s="332">
        <v>10.8666</v>
      </c>
      <c r="K25" s="3"/>
      <c r="L25" s="3"/>
      <c r="M25" s="3"/>
      <c r="N25" s="3"/>
      <c r="O25" s="3"/>
      <c r="P25" s="3"/>
      <c r="Q25" s="3"/>
      <c r="R25" s="3"/>
      <c r="S25" s="3"/>
      <c r="T25" s="3"/>
      <c r="U25" s="3"/>
      <c r="V25" s="3"/>
      <c r="W25" s="3"/>
      <c r="X25" s="3"/>
      <c r="Y25" s="3"/>
      <c r="Z25" s="3"/>
    </row>
    <row r="26" spans="1:26" ht="12" customHeight="1">
      <c r="A26" s="53" t="s">
        <v>69</v>
      </c>
      <c r="B26" s="328" t="str">
        <f t="shared" si="3"/>
        <v>Street Light.Distribution Volumetric Rate</v>
      </c>
      <c r="C26" s="328" t="s">
        <v>62</v>
      </c>
      <c r="D26" s="314" t="s">
        <v>252</v>
      </c>
      <c r="E26" s="313">
        <v>7.8163999999999998</v>
      </c>
      <c r="F26" s="332">
        <v>8.3054000000000006</v>
      </c>
      <c r="G26" s="332">
        <v>8.0134000000000007</v>
      </c>
      <c r="H26" s="332">
        <v>8.4370999999999992</v>
      </c>
      <c r="I26" s="332">
        <v>8.3188999999999993</v>
      </c>
      <c r="J26" s="332">
        <v>8.4146999999999998</v>
      </c>
      <c r="K26" s="3"/>
      <c r="L26" s="3"/>
      <c r="M26" s="3"/>
      <c r="N26" s="3"/>
      <c r="O26" s="3"/>
      <c r="P26" s="3"/>
      <c r="Q26" s="3"/>
      <c r="R26" s="3"/>
      <c r="S26" s="3"/>
      <c r="T26" s="3"/>
      <c r="U26" s="3"/>
      <c r="V26" s="3"/>
      <c r="W26" s="3"/>
      <c r="X26" s="3"/>
      <c r="Y26" s="3"/>
      <c r="Z26" s="3"/>
    </row>
    <row r="27" spans="1:26" ht="12" customHeight="1">
      <c r="A27" s="53" t="s">
        <v>69</v>
      </c>
      <c r="B27" s="328" t="str">
        <f t="shared" si="3"/>
        <v>Sentinel Lights.Distribution Volumetric Rate</v>
      </c>
      <c r="C27" s="328" t="s">
        <v>62</v>
      </c>
      <c r="D27" s="314" t="s">
        <v>253</v>
      </c>
      <c r="E27" s="313">
        <v>32.929699999999997</v>
      </c>
      <c r="F27" s="332">
        <v>37.632599999999996</v>
      </c>
      <c r="G27" s="332">
        <v>39.431100000000001</v>
      </c>
      <c r="H27" s="332">
        <v>42.134099999999997</v>
      </c>
      <c r="I27" s="332">
        <v>43.587699999999998</v>
      </c>
      <c r="J27" s="332">
        <v>44.893500000000003</v>
      </c>
      <c r="K27" s="3"/>
      <c r="L27" s="3"/>
      <c r="M27" s="3"/>
      <c r="N27" s="3"/>
      <c r="O27" s="3"/>
      <c r="P27" s="3"/>
      <c r="Q27" s="3"/>
      <c r="R27" s="3"/>
      <c r="S27" s="3"/>
      <c r="T27" s="3"/>
      <c r="U27" s="3"/>
      <c r="V27" s="3"/>
      <c r="W27" s="3"/>
      <c r="X27" s="3"/>
      <c r="Y27" s="3"/>
      <c r="Z27" s="3"/>
    </row>
    <row r="28" spans="1:26" ht="12" customHeight="1">
      <c r="A28" s="53" t="s">
        <v>48</v>
      </c>
      <c r="B28" s="328" t="str">
        <f t="shared" si="3"/>
        <v>Unmetered Scattered Load.Distribution Volumetric Rate</v>
      </c>
      <c r="C28" s="328" t="s">
        <v>62</v>
      </c>
      <c r="D28" s="314" t="s">
        <v>254</v>
      </c>
      <c r="E28" s="313">
        <v>3.3799999999999997E-2</v>
      </c>
      <c r="F28" s="332">
        <v>3.8300000000000001E-2</v>
      </c>
      <c r="G28" s="332">
        <v>0.04</v>
      </c>
      <c r="H28" s="332">
        <v>4.2700000000000002E-2</v>
      </c>
      <c r="I28" s="332">
        <v>4.3999999999999997E-2</v>
      </c>
      <c r="J28" s="332">
        <v>4.4699999999999997E-2</v>
      </c>
      <c r="K28" s="3"/>
      <c r="L28" s="3"/>
      <c r="M28" s="3"/>
      <c r="N28" s="3"/>
      <c r="O28" s="3"/>
      <c r="P28" s="3"/>
      <c r="Q28" s="3"/>
      <c r="R28" s="3"/>
      <c r="S28" s="3"/>
      <c r="T28" s="3"/>
      <c r="U28" s="3"/>
      <c r="V28" s="3"/>
      <c r="W28" s="3"/>
      <c r="X28" s="3"/>
      <c r="Y28" s="3"/>
      <c r="Z28" s="3"/>
    </row>
    <row r="29" spans="1:26" ht="12" customHeight="1">
      <c r="A29" s="53" t="s">
        <v>69</v>
      </c>
      <c r="B29" s="328" t="str">
        <f t="shared" si="3"/>
        <v>Standby Power General Service 50 to 1,499 KW.Distribution Volumetric Rate</v>
      </c>
      <c r="C29" s="328" t="s">
        <v>62</v>
      </c>
      <c r="D29" s="314" t="s">
        <v>255</v>
      </c>
      <c r="E29" s="313">
        <v>2.4940000000000002</v>
      </c>
      <c r="F29" s="332">
        <v>3.8271999999999999</v>
      </c>
      <c r="G29" s="332">
        <v>4.0392000000000001</v>
      </c>
      <c r="H29" s="332">
        <v>4.3536999999999999</v>
      </c>
      <c r="I29" s="332">
        <v>4.5193000000000003</v>
      </c>
      <c r="J29" s="332">
        <v>4.6707999999999998</v>
      </c>
      <c r="K29" s="3"/>
      <c r="L29" s="3"/>
      <c r="M29" s="3"/>
      <c r="N29" s="3"/>
      <c r="O29" s="3"/>
      <c r="P29" s="3"/>
      <c r="Q29" s="3"/>
      <c r="R29" s="3"/>
      <c r="S29" s="3"/>
      <c r="T29" s="3"/>
      <c r="U29" s="3"/>
      <c r="V29" s="3"/>
      <c r="W29" s="3"/>
      <c r="X29" s="3"/>
      <c r="Y29" s="3"/>
      <c r="Z29" s="3"/>
    </row>
    <row r="30" spans="1:26" ht="12" customHeight="1">
      <c r="A30" s="53" t="s">
        <v>69</v>
      </c>
      <c r="B30" s="328" t="str">
        <f t="shared" si="3"/>
        <v>Standby Power General Service 1,500 to 4,999 KW.Distribution Volumetric Rate</v>
      </c>
      <c r="C30" s="328" t="s">
        <v>62</v>
      </c>
      <c r="D30" s="314" t="s">
        <v>256</v>
      </c>
      <c r="E30" s="313">
        <v>2.2877000000000001</v>
      </c>
      <c r="F30" s="332">
        <v>3.6459999999999999</v>
      </c>
      <c r="G30" s="332">
        <v>3.8797999999999999</v>
      </c>
      <c r="H30" s="332">
        <v>4.2291999999999996</v>
      </c>
      <c r="I30" s="332">
        <v>4.4132999999999996</v>
      </c>
      <c r="J30" s="332">
        <v>4.5818000000000003</v>
      </c>
      <c r="K30" s="3"/>
      <c r="L30" s="3"/>
      <c r="M30" s="3"/>
      <c r="N30" s="3"/>
      <c r="O30" s="3"/>
      <c r="P30" s="3"/>
      <c r="Q30" s="3"/>
      <c r="R30" s="3"/>
      <c r="S30" s="3"/>
      <c r="T30" s="3"/>
      <c r="U30" s="3"/>
      <c r="V30" s="3"/>
      <c r="W30" s="3"/>
      <c r="X30" s="3"/>
      <c r="Y30" s="3"/>
      <c r="Z30" s="3"/>
    </row>
    <row r="31" spans="1:26" ht="12" customHeight="1">
      <c r="A31" s="53" t="s">
        <v>69</v>
      </c>
      <c r="B31" s="328" t="str">
        <f t="shared" si="3"/>
        <v>Standby Power Large Use.Distribution Volumetric Rate</v>
      </c>
      <c r="C31" s="328" t="s">
        <v>62</v>
      </c>
      <c r="D31" s="314" t="s">
        <v>257</v>
      </c>
      <c r="E31" s="313">
        <v>2.5388000000000002</v>
      </c>
      <c r="F31" s="332">
        <v>3.956</v>
      </c>
      <c r="G31" s="332">
        <v>4.2140000000000004</v>
      </c>
      <c r="H31" s="332">
        <v>4.5858999999999996</v>
      </c>
      <c r="I31" s="332">
        <v>5.0429000000000004</v>
      </c>
      <c r="J31" s="332">
        <v>5.4333</v>
      </c>
      <c r="K31" s="3"/>
      <c r="L31" s="3"/>
      <c r="M31" s="3"/>
      <c r="N31" s="3"/>
      <c r="O31" s="3"/>
      <c r="P31" s="3"/>
      <c r="Q31" s="3"/>
      <c r="R31" s="3"/>
      <c r="S31" s="3"/>
      <c r="T31" s="3"/>
      <c r="U31" s="3"/>
      <c r="V31" s="3"/>
      <c r="W31" s="3"/>
      <c r="X31" s="3"/>
      <c r="Y31" s="3"/>
      <c r="Z31" s="3"/>
    </row>
    <row r="32" spans="1:26" ht="12" customHeight="1">
      <c r="A32" s="53"/>
      <c r="B32" s="53"/>
      <c r="C32" s="53"/>
      <c r="D32" s="3"/>
      <c r="E32" s="3"/>
      <c r="F32" s="333"/>
      <c r="G32" s="3"/>
      <c r="H32" s="3"/>
      <c r="I32" s="3"/>
      <c r="J32" s="3"/>
      <c r="K32" s="3"/>
      <c r="L32" s="3"/>
      <c r="M32" s="3"/>
      <c r="N32" s="3"/>
      <c r="O32" s="3"/>
      <c r="P32" s="3"/>
      <c r="Q32" s="3"/>
      <c r="R32" s="3"/>
      <c r="S32" s="3"/>
      <c r="T32" s="3"/>
      <c r="U32" s="3"/>
      <c r="V32" s="3"/>
      <c r="W32" s="3"/>
      <c r="X32" s="3"/>
      <c r="Y32" s="3"/>
      <c r="Z32" s="3"/>
    </row>
    <row r="33" spans="1:26" ht="12" customHeight="1">
      <c r="A33" s="318" t="s">
        <v>259</v>
      </c>
      <c r="B33" s="319"/>
      <c r="C33" s="319"/>
      <c r="D33" s="319"/>
      <c r="E33" s="320"/>
      <c r="F33" s="321"/>
      <c r="G33" s="321"/>
      <c r="H33" s="319"/>
      <c r="I33" s="319"/>
      <c r="J33" s="319"/>
      <c r="K33" s="322"/>
      <c r="L33" s="322"/>
      <c r="M33" s="322"/>
      <c r="N33" s="322"/>
      <c r="O33" s="322"/>
      <c r="P33" s="322"/>
      <c r="Q33" s="322"/>
      <c r="R33" s="322"/>
      <c r="S33" s="322"/>
      <c r="T33" s="322"/>
      <c r="U33" s="322"/>
      <c r="V33" s="322"/>
      <c r="W33" s="322"/>
      <c r="X33" s="322"/>
      <c r="Y33" s="322"/>
      <c r="Z33" s="322"/>
    </row>
    <row r="34" spans="1:26" ht="12" customHeight="1">
      <c r="A34" s="314"/>
      <c r="B34" s="53"/>
      <c r="C34" s="53"/>
      <c r="D34" s="53"/>
      <c r="E34" s="323"/>
      <c r="F34" s="324"/>
      <c r="G34" s="324"/>
      <c r="H34" s="53"/>
      <c r="I34" s="53"/>
      <c r="J34" s="53"/>
      <c r="K34" s="3"/>
      <c r="L34" s="3"/>
      <c r="M34" s="3"/>
      <c r="N34" s="3"/>
      <c r="O34" s="3"/>
      <c r="P34" s="3"/>
      <c r="Q34" s="3"/>
      <c r="R34" s="3"/>
      <c r="S34" s="3"/>
      <c r="T34" s="3"/>
      <c r="U34" s="3"/>
      <c r="V34" s="3"/>
      <c r="W34" s="3"/>
      <c r="X34" s="3"/>
      <c r="Y34" s="3"/>
      <c r="Z34" s="3"/>
    </row>
    <row r="35" spans="1:26" ht="15.75">
      <c r="A35" s="53"/>
      <c r="B35" s="314"/>
      <c r="C35" s="325" t="s">
        <v>260</v>
      </c>
      <c r="D35" s="3"/>
      <c r="E35" s="3"/>
      <c r="F35" s="3"/>
      <c r="G35" s="3"/>
      <c r="H35" s="334"/>
      <c r="I35" s="3"/>
      <c r="J35" s="3"/>
      <c r="K35" s="3"/>
      <c r="L35" s="3"/>
      <c r="M35" s="3"/>
      <c r="N35" s="3"/>
      <c r="O35" s="3"/>
      <c r="P35" s="3"/>
      <c r="Q35" s="3"/>
      <c r="R35" s="3"/>
      <c r="S35" s="3"/>
      <c r="T35" s="3"/>
      <c r="U35" s="3"/>
      <c r="V35" s="3"/>
      <c r="W35" s="3"/>
      <c r="X35" s="3"/>
      <c r="Y35" s="3"/>
      <c r="Z35" s="3"/>
    </row>
    <row r="36" spans="1:26" ht="12" customHeight="1">
      <c r="A36" s="53"/>
      <c r="B36" s="53"/>
      <c r="C36" s="325" t="s">
        <v>261</v>
      </c>
      <c r="D36" s="3"/>
      <c r="E36" s="326" t="s">
        <v>243</v>
      </c>
      <c r="F36" s="327" t="str">
        <f t="shared" ref="F36:J36" si="4">F$4</f>
        <v>2026F</v>
      </c>
      <c r="G36" s="327" t="str">
        <f t="shared" si="4"/>
        <v>2027F</v>
      </c>
      <c r="H36" s="327" t="str">
        <f t="shared" si="4"/>
        <v>2028F</v>
      </c>
      <c r="I36" s="327" t="str">
        <f t="shared" si="4"/>
        <v>2029F</v>
      </c>
      <c r="J36" s="327" t="str">
        <f t="shared" si="4"/>
        <v>2030F</v>
      </c>
      <c r="K36" s="3"/>
      <c r="L36" s="3"/>
      <c r="M36" s="3"/>
      <c r="N36" s="3"/>
      <c r="O36" s="3"/>
      <c r="P36" s="3"/>
      <c r="Q36" s="3"/>
      <c r="R36" s="3"/>
      <c r="S36" s="3"/>
      <c r="T36" s="3"/>
      <c r="U36" s="3"/>
      <c r="V36" s="3"/>
      <c r="W36" s="3"/>
      <c r="X36" s="3"/>
      <c r="Y36" s="3"/>
      <c r="Z36" s="3"/>
    </row>
    <row r="37" spans="1:26" ht="12" customHeight="1">
      <c r="A37" s="53" t="s">
        <v>48</v>
      </c>
      <c r="B37" s="328" t="str">
        <f t="shared" ref="B37:B47" si="5">D37&amp;"."&amp;C37</f>
        <v>Residential.DVA Disposition Rate Rider Group 1 -2025</v>
      </c>
      <c r="C37" s="328" t="s">
        <v>262</v>
      </c>
      <c r="D37" s="314" t="s">
        <v>247</v>
      </c>
      <c r="E37" s="313">
        <v>-2.0000000000000001E-4</v>
      </c>
      <c r="F37" s="332">
        <v>-1E-3</v>
      </c>
      <c r="G37" s="182">
        <v>0</v>
      </c>
      <c r="H37" s="182">
        <v>0</v>
      </c>
      <c r="I37" s="182">
        <v>0</v>
      </c>
      <c r="J37" s="182">
        <v>0</v>
      </c>
      <c r="K37" s="3"/>
      <c r="L37" s="3"/>
      <c r="M37" s="3"/>
      <c r="N37" s="3"/>
      <c r="O37" s="3"/>
      <c r="P37" s="3"/>
      <c r="Q37" s="3"/>
      <c r="R37" s="3"/>
      <c r="S37" s="3"/>
      <c r="T37" s="3"/>
      <c r="U37" s="3"/>
      <c r="V37" s="3"/>
      <c r="W37" s="3"/>
      <c r="X37" s="3"/>
      <c r="Y37" s="3"/>
      <c r="Z37" s="3"/>
    </row>
    <row r="38" spans="1:26" ht="12" customHeight="1">
      <c r="A38" s="53" t="s">
        <v>48</v>
      </c>
      <c r="B38" s="328" t="str">
        <f t="shared" si="5"/>
        <v>General Service &lt; 50 kW.DVA Disposition Rate Rider Group 1 -2025</v>
      </c>
      <c r="C38" s="328" t="s">
        <v>262</v>
      </c>
      <c r="D38" s="314" t="s">
        <v>248</v>
      </c>
      <c r="E38" s="313">
        <v>0</v>
      </c>
      <c r="F38" s="332">
        <v>-8.9999999999999998E-4</v>
      </c>
      <c r="G38" s="182">
        <v>0</v>
      </c>
      <c r="H38" s="182">
        <v>0</v>
      </c>
      <c r="I38" s="182">
        <v>0</v>
      </c>
      <c r="J38" s="182">
        <v>0</v>
      </c>
      <c r="K38" s="3"/>
      <c r="L38" s="3"/>
      <c r="M38" s="3"/>
      <c r="N38" s="3"/>
      <c r="O38" s="3"/>
      <c r="P38" s="3"/>
      <c r="Q38" s="3"/>
      <c r="R38" s="3"/>
      <c r="S38" s="3"/>
      <c r="T38" s="3"/>
      <c r="U38" s="3"/>
      <c r="V38" s="3"/>
      <c r="W38" s="3"/>
      <c r="X38" s="3"/>
      <c r="Y38" s="3"/>
      <c r="Z38" s="3"/>
    </row>
    <row r="39" spans="1:26" ht="12" customHeight="1">
      <c r="A39" s="53" t="s">
        <v>69</v>
      </c>
      <c r="B39" s="328" t="str">
        <f t="shared" si="5"/>
        <v>General Service 50 to 1,499 KW.DVA Disposition Rate Rider Group 1 -2025</v>
      </c>
      <c r="C39" s="328" t="s">
        <v>262</v>
      </c>
      <c r="D39" s="314" t="s">
        <v>249</v>
      </c>
      <c r="E39" s="313">
        <v>0.35310000000000002</v>
      </c>
      <c r="F39" s="332">
        <v>1.2999999999999999E-2</v>
      </c>
      <c r="G39" s="182">
        <v>0</v>
      </c>
      <c r="H39" s="182">
        <v>0</v>
      </c>
      <c r="I39" s="182">
        <v>0</v>
      </c>
      <c r="J39" s="182">
        <v>0</v>
      </c>
      <c r="K39" s="3"/>
      <c r="L39" s="3"/>
      <c r="M39" s="3"/>
      <c r="N39" s="3"/>
      <c r="O39" s="3"/>
      <c r="P39" s="3"/>
      <c r="Q39" s="3"/>
      <c r="R39" s="3"/>
      <c r="S39" s="3"/>
      <c r="T39" s="3"/>
      <c r="U39" s="3"/>
      <c r="V39" s="3"/>
      <c r="W39" s="3"/>
      <c r="X39" s="3"/>
      <c r="Y39" s="3"/>
      <c r="Z39" s="3"/>
    </row>
    <row r="40" spans="1:26" ht="12" customHeight="1">
      <c r="A40" s="53" t="s">
        <v>69</v>
      </c>
      <c r="B40" s="328" t="str">
        <f t="shared" si="5"/>
        <v>General Service 1,500 to 4,999 KW.DVA Disposition Rate Rider Group 1 -2025</v>
      </c>
      <c r="C40" s="328" t="s">
        <v>262</v>
      </c>
      <c r="D40" s="314" t="s">
        <v>250</v>
      </c>
      <c r="E40" s="313">
        <v>5.3600000000000002E-2</v>
      </c>
      <c r="F40" s="332">
        <v>-0.373</v>
      </c>
      <c r="G40" s="182">
        <v>0</v>
      </c>
      <c r="H40" s="182">
        <v>0</v>
      </c>
      <c r="I40" s="182">
        <v>0</v>
      </c>
      <c r="J40" s="182">
        <v>0</v>
      </c>
      <c r="K40" s="3"/>
      <c r="L40" s="3"/>
      <c r="M40" s="3"/>
      <c r="N40" s="3"/>
      <c r="O40" s="3"/>
      <c r="P40" s="3"/>
      <c r="Q40" s="3"/>
      <c r="R40" s="3"/>
      <c r="S40" s="3"/>
      <c r="T40" s="3"/>
      <c r="U40" s="3"/>
      <c r="V40" s="3"/>
      <c r="W40" s="3"/>
      <c r="X40" s="3"/>
      <c r="Y40" s="3"/>
      <c r="Z40" s="3"/>
    </row>
    <row r="41" spans="1:26" ht="12" customHeight="1">
      <c r="A41" s="53" t="s">
        <v>69</v>
      </c>
      <c r="B41" s="328" t="str">
        <f t="shared" si="5"/>
        <v>Large User.DVA Disposition Rate Rider Group 1 -2025</v>
      </c>
      <c r="C41" s="328" t="s">
        <v>262</v>
      </c>
      <c r="D41" s="314" t="s">
        <v>251</v>
      </c>
      <c r="E41" s="313">
        <v>6.3399999999999998E-2</v>
      </c>
      <c r="F41" s="332">
        <v>-0.4773</v>
      </c>
      <c r="G41" s="182">
        <v>0</v>
      </c>
      <c r="H41" s="182">
        <v>0</v>
      </c>
      <c r="I41" s="182">
        <v>0</v>
      </c>
      <c r="J41" s="182">
        <v>0</v>
      </c>
      <c r="K41" s="3"/>
      <c r="L41" s="3"/>
      <c r="M41" s="3"/>
      <c r="N41" s="3"/>
      <c r="O41" s="3"/>
      <c r="P41" s="3"/>
      <c r="Q41" s="3"/>
      <c r="R41" s="3"/>
      <c r="S41" s="3"/>
      <c r="T41" s="3"/>
      <c r="U41" s="3"/>
      <c r="V41" s="3"/>
      <c r="W41" s="3"/>
      <c r="X41" s="3"/>
      <c r="Y41" s="3"/>
      <c r="Z41" s="3"/>
    </row>
    <row r="42" spans="1:26" ht="12" customHeight="1">
      <c r="A42" s="53" t="s">
        <v>69</v>
      </c>
      <c r="B42" s="328" t="str">
        <f t="shared" si="5"/>
        <v>Street Light.DVA Disposition Rate Rider Group 1 -2025</v>
      </c>
      <c r="C42" s="328" t="s">
        <v>262</v>
      </c>
      <c r="D42" s="314" t="s">
        <v>252</v>
      </c>
      <c r="E42" s="313">
        <v>4.1000000000000002E-2</v>
      </c>
      <c r="F42" s="332">
        <v>-0.3805</v>
      </c>
      <c r="G42" s="182">
        <v>0</v>
      </c>
      <c r="H42" s="182">
        <v>0</v>
      </c>
      <c r="I42" s="182">
        <v>0</v>
      </c>
      <c r="J42" s="182">
        <v>0</v>
      </c>
      <c r="K42" s="3"/>
      <c r="L42" s="3"/>
      <c r="M42" s="3"/>
      <c r="N42" s="3"/>
      <c r="O42" s="3"/>
      <c r="P42" s="3"/>
      <c r="Q42" s="3"/>
      <c r="R42" s="3"/>
      <c r="S42" s="3"/>
      <c r="T42" s="3"/>
      <c r="U42" s="3"/>
      <c r="V42" s="3"/>
      <c r="W42" s="3"/>
      <c r="X42" s="3"/>
      <c r="Y42" s="3"/>
      <c r="Z42" s="3"/>
    </row>
    <row r="43" spans="1:26" ht="12" customHeight="1">
      <c r="A43" s="53" t="s">
        <v>69</v>
      </c>
      <c r="B43" s="328" t="str">
        <f t="shared" si="5"/>
        <v>Sentinel Lights.DVA Disposition Rate Rider Group 1 -2025</v>
      </c>
      <c r="C43" s="328" t="s">
        <v>262</v>
      </c>
      <c r="D43" s="314" t="s">
        <v>253</v>
      </c>
      <c r="E43" s="313">
        <v>4.1399999999999999E-2</v>
      </c>
      <c r="F43" s="332">
        <v>-0.2661</v>
      </c>
      <c r="G43" s="182">
        <v>0</v>
      </c>
      <c r="H43" s="182">
        <v>0</v>
      </c>
      <c r="I43" s="182">
        <v>0</v>
      </c>
      <c r="J43" s="182">
        <v>0</v>
      </c>
      <c r="K43" s="3"/>
      <c r="L43" s="3"/>
      <c r="M43" s="3"/>
      <c r="N43" s="3"/>
      <c r="O43" s="3"/>
      <c r="P43" s="3"/>
      <c r="Q43" s="3"/>
      <c r="R43" s="3"/>
      <c r="S43" s="3"/>
      <c r="T43" s="3"/>
      <c r="U43" s="3"/>
      <c r="V43" s="3"/>
      <c r="W43" s="3"/>
      <c r="X43" s="3"/>
      <c r="Y43" s="3"/>
      <c r="Z43" s="3"/>
    </row>
    <row r="44" spans="1:26" ht="12" customHeight="1">
      <c r="A44" s="53" t="s">
        <v>48</v>
      </c>
      <c r="B44" s="328" t="str">
        <f t="shared" si="5"/>
        <v>Unmetered Scattered Load.DVA Disposition Rate Rider Group 1 -2025</v>
      </c>
      <c r="C44" s="328" t="s">
        <v>262</v>
      </c>
      <c r="D44" s="314" t="s">
        <v>254</v>
      </c>
      <c r="E44" s="313">
        <v>1E-4</v>
      </c>
      <c r="F44" s="332">
        <v>-8.0000000000000004E-4</v>
      </c>
      <c r="G44" s="182">
        <v>0</v>
      </c>
      <c r="H44" s="182">
        <v>0</v>
      </c>
      <c r="I44" s="182">
        <v>0</v>
      </c>
      <c r="J44" s="182">
        <v>0</v>
      </c>
      <c r="K44" s="3"/>
      <c r="L44" s="3"/>
      <c r="M44" s="3"/>
      <c r="N44" s="3"/>
      <c r="O44" s="3"/>
      <c r="P44" s="3"/>
      <c r="Q44" s="3"/>
      <c r="R44" s="3"/>
      <c r="S44" s="3"/>
      <c r="T44" s="3"/>
      <c r="U44" s="3"/>
      <c r="V44" s="3"/>
      <c r="W44" s="3"/>
      <c r="X44" s="3"/>
      <c r="Y44" s="3"/>
      <c r="Z44" s="3"/>
    </row>
    <row r="45" spans="1:26" ht="12" customHeight="1">
      <c r="A45" s="53" t="s">
        <v>69</v>
      </c>
      <c r="B45" s="328" t="str">
        <f t="shared" si="5"/>
        <v>Standby Power General Service 50 to 1,499 KW.DVA Disposition Rate Rider Group 1 -2025</v>
      </c>
      <c r="C45" s="328" t="s">
        <v>262</v>
      </c>
      <c r="D45" s="314" t="s">
        <v>255</v>
      </c>
      <c r="E45" s="3"/>
      <c r="F45" s="335"/>
      <c r="G45" s="3"/>
      <c r="H45" s="3"/>
      <c r="I45" s="3"/>
      <c r="J45" s="3"/>
      <c r="K45" s="3"/>
      <c r="L45" s="3"/>
      <c r="M45" s="3"/>
      <c r="N45" s="3"/>
      <c r="O45" s="3"/>
      <c r="P45" s="3"/>
      <c r="Q45" s="3"/>
      <c r="R45" s="3"/>
      <c r="S45" s="3"/>
      <c r="T45" s="3"/>
      <c r="U45" s="3"/>
      <c r="V45" s="3"/>
      <c r="W45" s="3"/>
      <c r="X45" s="3"/>
      <c r="Y45" s="3"/>
      <c r="Z45" s="3"/>
    </row>
    <row r="46" spans="1:26" ht="12" customHeight="1">
      <c r="A46" s="53" t="s">
        <v>69</v>
      </c>
      <c r="B46" s="328" t="str">
        <f t="shared" si="5"/>
        <v>Standby Power General Service 1,500 to 4,999 KW.DVA Disposition Rate Rider Group 1 -2025</v>
      </c>
      <c r="C46" s="328" t="s">
        <v>262</v>
      </c>
      <c r="D46" s="314" t="s">
        <v>256</v>
      </c>
      <c r="E46" s="3"/>
      <c r="F46" s="335"/>
      <c r="G46" s="3"/>
      <c r="H46" s="336"/>
      <c r="I46" s="3"/>
      <c r="J46" s="3"/>
      <c r="K46" s="3"/>
      <c r="L46" s="3"/>
      <c r="M46" s="3"/>
      <c r="N46" s="3"/>
      <c r="O46" s="3"/>
      <c r="P46" s="3"/>
      <c r="Q46" s="3"/>
      <c r="R46" s="3"/>
      <c r="S46" s="3"/>
      <c r="T46" s="3"/>
      <c r="U46" s="3"/>
      <c r="V46" s="3"/>
      <c r="W46" s="3"/>
      <c r="X46" s="3"/>
      <c r="Y46" s="3"/>
      <c r="Z46" s="3"/>
    </row>
    <row r="47" spans="1:26" ht="12" customHeight="1">
      <c r="A47" s="53" t="s">
        <v>69</v>
      </c>
      <c r="B47" s="328" t="str">
        <f t="shared" si="5"/>
        <v>Standby Power Large Use.DVA Disposition Rate Rider Group 1 -2025</v>
      </c>
      <c r="C47" s="328" t="s">
        <v>262</v>
      </c>
      <c r="D47" s="314" t="s">
        <v>257</v>
      </c>
      <c r="E47" s="3"/>
      <c r="F47" s="335"/>
      <c r="G47" s="3"/>
      <c r="H47" s="336"/>
      <c r="I47" s="3"/>
      <c r="J47" s="3"/>
      <c r="K47" s="3"/>
      <c r="L47" s="3"/>
      <c r="M47" s="3"/>
      <c r="N47" s="3"/>
      <c r="O47" s="3"/>
      <c r="P47" s="3"/>
      <c r="Q47" s="3"/>
      <c r="R47" s="3"/>
      <c r="S47" s="3"/>
      <c r="T47" s="3"/>
      <c r="U47" s="3"/>
      <c r="V47" s="3"/>
      <c r="W47" s="3"/>
      <c r="X47" s="3"/>
      <c r="Y47" s="3"/>
      <c r="Z47" s="3"/>
    </row>
    <row r="48" spans="1:26" ht="12" customHeight="1">
      <c r="A48" s="3"/>
      <c r="B48" s="314"/>
      <c r="C48" s="3"/>
      <c r="D48" s="3"/>
      <c r="E48" s="3"/>
      <c r="F48" s="3"/>
      <c r="G48" s="3"/>
      <c r="H48" s="3"/>
      <c r="I48" s="337"/>
      <c r="J48" s="3"/>
      <c r="K48" s="3"/>
      <c r="L48" s="3"/>
      <c r="M48" s="3"/>
      <c r="N48" s="3"/>
      <c r="O48" s="3"/>
      <c r="P48" s="3"/>
      <c r="Q48" s="3"/>
      <c r="R48" s="3"/>
      <c r="S48" s="3"/>
      <c r="T48" s="3"/>
      <c r="U48" s="3"/>
      <c r="V48" s="3"/>
      <c r="W48" s="3"/>
      <c r="X48" s="3"/>
      <c r="Y48" s="3"/>
      <c r="Z48" s="3"/>
    </row>
    <row r="49" spans="1:26" ht="15.75" hidden="1">
      <c r="A49" s="3"/>
      <c r="B49" s="314"/>
      <c r="C49" s="325" t="s">
        <v>263</v>
      </c>
      <c r="D49" s="3"/>
      <c r="E49" s="3"/>
      <c r="F49" s="3"/>
      <c r="G49" s="3"/>
      <c r="H49" s="3"/>
      <c r="I49" s="3"/>
      <c r="J49" s="3"/>
      <c r="K49" s="3"/>
      <c r="L49" s="3"/>
      <c r="M49" s="3"/>
      <c r="N49" s="3"/>
      <c r="O49" s="3"/>
      <c r="P49" s="3"/>
      <c r="Q49" s="3"/>
      <c r="R49" s="3"/>
      <c r="S49" s="3"/>
      <c r="T49" s="3"/>
      <c r="U49" s="3"/>
      <c r="V49" s="3"/>
      <c r="W49" s="3"/>
      <c r="X49" s="3"/>
      <c r="Y49" s="3"/>
      <c r="Z49" s="3"/>
    </row>
    <row r="50" spans="1:26" ht="15.75" hidden="1">
      <c r="A50" s="3"/>
      <c r="B50" s="53"/>
      <c r="C50" s="325" t="s">
        <v>261</v>
      </c>
      <c r="D50" s="3"/>
      <c r="E50" s="326" t="s">
        <v>243</v>
      </c>
      <c r="F50" s="327" t="str">
        <f t="shared" ref="F50:J50" si="6">F$4</f>
        <v>2026F</v>
      </c>
      <c r="G50" s="327" t="str">
        <f t="shared" si="6"/>
        <v>2027F</v>
      </c>
      <c r="H50" s="327" t="str">
        <f t="shared" si="6"/>
        <v>2028F</v>
      </c>
      <c r="I50" s="327" t="str">
        <f t="shared" si="6"/>
        <v>2029F</v>
      </c>
      <c r="J50" s="327" t="str">
        <f t="shared" si="6"/>
        <v>2030F</v>
      </c>
      <c r="K50" s="3"/>
      <c r="L50" s="3"/>
      <c r="M50" s="3"/>
      <c r="N50" s="3"/>
      <c r="O50" s="3"/>
      <c r="P50" s="3"/>
      <c r="Q50" s="3"/>
      <c r="R50" s="3"/>
      <c r="S50" s="3"/>
      <c r="T50" s="3"/>
      <c r="U50" s="3"/>
      <c r="V50" s="3"/>
      <c r="W50" s="3"/>
      <c r="X50" s="3"/>
      <c r="Y50" s="3"/>
      <c r="Z50" s="3"/>
    </row>
    <row r="51" spans="1:26" ht="12" hidden="1" customHeight="1">
      <c r="A51" s="53" t="s">
        <v>48</v>
      </c>
      <c r="B51" s="328" t="str">
        <f t="shared" ref="B51:B60" si="7">D51&amp;"."&amp;C51</f>
        <v>Residential.DVA Disposition Rate Rider Group 1 - 2024</v>
      </c>
      <c r="C51" s="328" t="s">
        <v>264</v>
      </c>
      <c r="D51" s="314" t="s">
        <v>247</v>
      </c>
      <c r="E51" s="313"/>
      <c r="F51" s="182">
        <v>0</v>
      </c>
      <c r="G51" s="182">
        <v>0</v>
      </c>
      <c r="H51" s="182">
        <v>0</v>
      </c>
      <c r="I51" s="182">
        <v>0</v>
      </c>
      <c r="J51" s="182">
        <v>0</v>
      </c>
      <c r="K51" s="3"/>
      <c r="L51" s="3"/>
      <c r="M51" s="3"/>
      <c r="N51" s="3"/>
      <c r="O51" s="3"/>
      <c r="P51" s="3"/>
      <c r="Q51" s="3"/>
      <c r="R51" s="3"/>
      <c r="S51" s="3"/>
      <c r="T51" s="3"/>
      <c r="U51" s="3"/>
      <c r="V51" s="3"/>
      <c r="W51" s="3"/>
      <c r="X51" s="3"/>
      <c r="Y51" s="3"/>
      <c r="Z51" s="3"/>
    </row>
    <row r="52" spans="1:26" ht="12" hidden="1" customHeight="1">
      <c r="A52" s="53" t="s">
        <v>48</v>
      </c>
      <c r="B52" s="328" t="str">
        <f t="shared" si="7"/>
        <v>General Service &lt; 50 kW.DVA Disposition Rate Rider Group 1 - 2024</v>
      </c>
      <c r="C52" s="328" t="s">
        <v>264</v>
      </c>
      <c r="D52" s="314" t="s">
        <v>248</v>
      </c>
      <c r="E52" s="313"/>
      <c r="F52" s="182">
        <v>0</v>
      </c>
      <c r="G52" s="182">
        <v>0</v>
      </c>
      <c r="H52" s="182">
        <v>0</v>
      </c>
      <c r="I52" s="182">
        <v>0</v>
      </c>
      <c r="J52" s="182">
        <v>0</v>
      </c>
      <c r="K52" s="3"/>
      <c r="L52" s="3"/>
      <c r="M52" s="3"/>
      <c r="N52" s="3"/>
      <c r="O52" s="3"/>
      <c r="P52" s="3"/>
      <c r="Q52" s="3"/>
      <c r="R52" s="3"/>
      <c r="S52" s="3"/>
      <c r="T52" s="3"/>
      <c r="U52" s="3"/>
      <c r="V52" s="3"/>
      <c r="W52" s="3"/>
      <c r="X52" s="3"/>
      <c r="Y52" s="3"/>
      <c r="Z52" s="3"/>
    </row>
    <row r="53" spans="1:26" ht="12" hidden="1" customHeight="1">
      <c r="A53" s="53" t="s">
        <v>69</v>
      </c>
      <c r="B53" s="328" t="str">
        <f t="shared" si="7"/>
        <v>General Service 50 to 1,499 KW.DVA Disposition Rate Rider Group 1 - 2024</v>
      </c>
      <c r="C53" s="328" t="s">
        <v>264</v>
      </c>
      <c r="D53" s="314" t="s">
        <v>249</v>
      </c>
      <c r="E53" s="313"/>
      <c r="F53" s="182">
        <v>0</v>
      </c>
      <c r="G53" s="182">
        <v>0</v>
      </c>
      <c r="H53" s="182">
        <v>0</v>
      </c>
      <c r="I53" s="182">
        <v>0</v>
      </c>
      <c r="J53" s="182">
        <v>0</v>
      </c>
      <c r="K53" s="3"/>
      <c r="L53" s="3"/>
      <c r="M53" s="3"/>
      <c r="N53" s="3"/>
      <c r="O53" s="3"/>
      <c r="P53" s="3"/>
      <c r="Q53" s="3"/>
      <c r="R53" s="3"/>
      <c r="S53" s="3"/>
      <c r="T53" s="3"/>
      <c r="U53" s="3"/>
      <c r="V53" s="3"/>
      <c r="W53" s="3"/>
      <c r="X53" s="3"/>
      <c r="Y53" s="3"/>
      <c r="Z53" s="3"/>
    </row>
    <row r="54" spans="1:26" ht="12" hidden="1" customHeight="1">
      <c r="A54" s="53" t="s">
        <v>69</v>
      </c>
      <c r="B54" s="328" t="str">
        <f t="shared" si="7"/>
        <v>General Service 1,500 to 4,999 KW.DVA Disposition Rate Rider Group 1 - 2024</v>
      </c>
      <c r="C54" s="328" t="s">
        <v>264</v>
      </c>
      <c r="D54" s="314" t="s">
        <v>250</v>
      </c>
      <c r="E54" s="313"/>
      <c r="F54" s="182">
        <v>0</v>
      </c>
      <c r="G54" s="182">
        <v>0</v>
      </c>
      <c r="H54" s="182">
        <v>0</v>
      </c>
      <c r="I54" s="182">
        <v>0</v>
      </c>
      <c r="J54" s="182">
        <v>0</v>
      </c>
      <c r="K54" s="3"/>
      <c r="L54" s="3"/>
      <c r="M54" s="3"/>
      <c r="N54" s="3"/>
      <c r="O54" s="3"/>
      <c r="P54" s="3"/>
      <c r="Q54" s="3"/>
      <c r="R54" s="3"/>
      <c r="S54" s="3"/>
      <c r="T54" s="3"/>
      <c r="U54" s="3"/>
      <c r="V54" s="3"/>
      <c r="W54" s="3"/>
      <c r="X54" s="3"/>
      <c r="Y54" s="3"/>
      <c r="Z54" s="3"/>
    </row>
    <row r="55" spans="1:26" ht="12" hidden="1" customHeight="1">
      <c r="A55" s="53" t="s">
        <v>69</v>
      </c>
      <c r="B55" s="328" t="str">
        <f t="shared" si="7"/>
        <v>Large User.DVA Disposition Rate Rider Group 1 - 2024</v>
      </c>
      <c r="C55" s="328" t="s">
        <v>264</v>
      </c>
      <c r="D55" s="314" t="s">
        <v>251</v>
      </c>
      <c r="E55" s="313"/>
      <c r="F55" s="182">
        <v>0</v>
      </c>
      <c r="G55" s="182">
        <v>0</v>
      </c>
      <c r="H55" s="182">
        <v>0</v>
      </c>
      <c r="I55" s="182">
        <v>0</v>
      </c>
      <c r="J55" s="182">
        <v>0</v>
      </c>
      <c r="K55" s="3"/>
      <c r="L55" s="3"/>
      <c r="M55" s="3"/>
      <c r="N55" s="3"/>
      <c r="O55" s="3"/>
      <c r="P55" s="3"/>
      <c r="Q55" s="3"/>
      <c r="R55" s="3"/>
      <c r="S55" s="3"/>
      <c r="T55" s="3"/>
      <c r="U55" s="3"/>
      <c r="V55" s="3"/>
      <c r="W55" s="3"/>
      <c r="X55" s="3"/>
      <c r="Y55" s="3"/>
      <c r="Z55" s="3"/>
    </row>
    <row r="56" spans="1:26" ht="12" hidden="1" customHeight="1">
      <c r="A56" s="53" t="s">
        <v>69</v>
      </c>
      <c r="B56" s="328" t="str">
        <f t="shared" si="7"/>
        <v>Street Light.DVA Disposition Rate Rider Group 1 - 2024</v>
      </c>
      <c r="C56" s="328" t="s">
        <v>264</v>
      </c>
      <c r="D56" s="314" t="s">
        <v>252</v>
      </c>
      <c r="E56" s="313"/>
      <c r="F56" s="182">
        <v>0</v>
      </c>
      <c r="G56" s="182">
        <v>0</v>
      </c>
      <c r="H56" s="182">
        <v>0</v>
      </c>
      <c r="I56" s="182">
        <v>0</v>
      </c>
      <c r="J56" s="182">
        <v>0</v>
      </c>
      <c r="K56" s="3"/>
      <c r="L56" s="3"/>
      <c r="M56" s="3"/>
      <c r="N56" s="3"/>
      <c r="O56" s="3"/>
      <c r="P56" s="3"/>
      <c r="Q56" s="3"/>
      <c r="R56" s="3"/>
      <c r="S56" s="3"/>
      <c r="T56" s="3"/>
      <c r="U56" s="3"/>
      <c r="V56" s="3"/>
      <c r="W56" s="3"/>
      <c r="X56" s="3"/>
      <c r="Y56" s="3"/>
      <c r="Z56" s="3"/>
    </row>
    <row r="57" spans="1:26" ht="12" hidden="1" customHeight="1">
      <c r="A57" s="53" t="s">
        <v>69</v>
      </c>
      <c r="B57" s="328" t="str">
        <f t="shared" si="7"/>
        <v>Sentinel Lights.DVA Disposition Rate Rider Group 1 - 2024</v>
      </c>
      <c r="C57" s="328" t="s">
        <v>264</v>
      </c>
      <c r="D57" s="314" t="s">
        <v>253</v>
      </c>
      <c r="E57" s="313"/>
      <c r="F57" s="182">
        <v>0</v>
      </c>
      <c r="G57" s="182">
        <v>0</v>
      </c>
      <c r="H57" s="182">
        <v>0</v>
      </c>
      <c r="I57" s="182">
        <v>0</v>
      </c>
      <c r="J57" s="182">
        <v>0</v>
      </c>
      <c r="K57" s="3"/>
      <c r="L57" s="3"/>
      <c r="M57" s="3"/>
      <c r="N57" s="3"/>
      <c r="O57" s="3"/>
      <c r="P57" s="3"/>
      <c r="Q57" s="3"/>
      <c r="R57" s="3"/>
      <c r="S57" s="3"/>
      <c r="T57" s="3"/>
      <c r="U57" s="3"/>
      <c r="V57" s="3"/>
      <c r="W57" s="3"/>
      <c r="X57" s="3"/>
      <c r="Y57" s="3"/>
      <c r="Z57" s="3"/>
    </row>
    <row r="58" spans="1:26" ht="12" hidden="1" customHeight="1">
      <c r="A58" s="53" t="s">
        <v>48</v>
      </c>
      <c r="B58" s="328" t="str">
        <f t="shared" si="7"/>
        <v>Unmetered Scattered Load.DVA Disposition Rate Rider Group 1 - 2024</v>
      </c>
      <c r="C58" s="328" t="s">
        <v>264</v>
      </c>
      <c r="D58" s="314" t="s">
        <v>254</v>
      </c>
      <c r="E58" s="313"/>
      <c r="F58" s="182">
        <v>0</v>
      </c>
      <c r="G58" s="182">
        <v>0</v>
      </c>
      <c r="H58" s="182">
        <v>0</v>
      </c>
      <c r="I58" s="182">
        <v>0</v>
      </c>
      <c r="J58" s="182">
        <v>0</v>
      </c>
      <c r="K58" s="3"/>
      <c r="L58" s="3"/>
      <c r="M58" s="3"/>
      <c r="N58" s="3"/>
      <c r="O58" s="3"/>
      <c r="P58" s="3"/>
      <c r="Q58" s="3"/>
      <c r="R58" s="3"/>
      <c r="S58" s="3"/>
      <c r="T58" s="3"/>
      <c r="U58" s="3"/>
      <c r="V58" s="3"/>
      <c r="W58" s="3"/>
      <c r="X58" s="3"/>
      <c r="Y58" s="3"/>
      <c r="Z58" s="3"/>
    </row>
    <row r="59" spans="1:26" ht="12" hidden="1" customHeight="1">
      <c r="A59" s="53" t="s">
        <v>69</v>
      </c>
      <c r="B59" s="328" t="str">
        <f t="shared" si="7"/>
        <v>Standby Power General Service 50 to 1,499 KW.DVA Disposition Rate Rider Group 1 - 2024</v>
      </c>
      <c r="C59" s="328" t="s">
        <v>264</v>
      </c>
      <c r="D59" s="314" t="s">
        <v>255</v>
      </c>
      <c r="E59" s="3"/>
      <c r="F59" s="182"/>
      <c r="G59" s="3"/>
      <c r="H59" s="3"/>
      <c r="I59" s="3"/>
      <c r="J59" s="3"/>
      <c r="K59" s="3"/>
      <c r="L59" s="3"/>
      <c r="M59" s="3"/>
      <c r="N59" s="3"/>
      <c r="O59" s="3"/>
      <c r="P59" s="3"/>
      <c r="Q59" s="3"/>
      <c r="R59" s="3"/>
      <c r="S59" s="3"/>
      <c r="T59" s="3"/>
      <c r="U59" s="3"/>
      <c r="V59" s="3"/>
      <c r="W59" s="3"/>
      <c r="X59" s="3"/>
      <c r="Y59" s="3"/>
      <c r="Z59" s="3"/>
    </row>
    <row r="60" spans="1:26" ht="12" hidden="1" customHeight="1">
      <c r="A60" s="53" t="s">
        <v>69</v>
      </c>
      <c r="B60" s="328" t="str">
        <f t="shared" si="7"/>
        <v>Standby Power General Service 1,500 to 4,999 KW.DVA Disposition Rate Rider Group 1 - 2024</v>
      </c>
      <c r="C60" s="328" t="s">
        <v>264</v>
      </c>
      <c r="D60" s="314" t="s">
        <v>256</v>
      </c>
      <c r="E60" s="3"/>
      <c r="F60" s="335"/>
      <c r="G60" s="3"/>
      <c r="H60" s="336"/>
      <c r="I60" s="3"/>
      <c r="J60" s="3"/>
      <c r="K60" s="3"/>
      <c r="L60" s="3"/>
      <c r="M60" s="3"/>
      <c r="N60" s="3"/>
      <c r="O60" s="3"/>
      <c r="P60" s="3"/>
      <c r="Q60" s="3"/>
      <c r="R60" s="3"/>
      <c r="S60" s="3"/>
      <c r="T60" s="3"/>
      <c r="U60" s="3"/>
      <c r="V60" s="3"/>
      <c r="W60" s="3"/>
      <c r="X60" s="3"/>
      <c r="Y60" s="3"/>
      <c r="Z60" s="3"/>
    </row>
    <row r="61" spans="1:26" ht="12" hidden="1" customHeight="1">
      <c r="A61" s="53" t="s">
        <v>69</v>
      </c>
      <c r="B61" s="328" t="s">
        <v>265</v>
      </c>
      <c r="C61" s="328" t="s">
        <v>264</v>
      </c>
      <c r="D61" s="314" t="s">
        <v>257</v>
      </c>
      <c r="E61" s="3"/>
      <c r="F61" s="335"/>
      <c r="G61" s="3"/>
      <c r="H61" s="336"/>
      <c r="I61" s="3"/>
      <c r="J61" s="3"/>
      <c r="K61" s="3"/>
      <c r="L61" s="3"/>
      <c r="M61" s="3"/>
      <c r="N61" s="3"/>
      <c r="O61" s="3"/>
      <c r="P61" s="3"/>
      <c r="Q61" s="3"/>
      <c r="R61" s="3"/>
      <c r="S61" s="3"/>
      <c r="T61" s="3"/>
      <c r="U61" s="3"/>
      <c r="V61" s="3"/>
      <c r="W61" s="3"/>
      <c r="X61" s="3"/>
      <c r="Y61" s="3"/>
      <c r="Z61" s="3"/>
    </row>
    <row r="62" spans="1:26" ht="12" customHeight="1">
      <c r="A62" s="53"/>
      <c r="B62" s="314"/>
      <c r="C62" s="3"/>
      <c r="D62" s="314"/>
      <c r="E62" s="3"/>
      <c r="F62" s="3"/>
      <c r="G62" s="314"/>
      <c r="H62" s="314"/>
      <c r="I62" s="314"/>
      <c r="J62" s="314"/>
      <c r="K62" s="3"/>
      <c r="L62" s="3"/>
      <c r="M62" s="3"/>
      <c r="N62" s="3"/>
      <c r="O62" s="3"/>
      <c r="P62" s="3"/>
      <c r="Q62" s="3"/>
      <c r="R62" s="3"/>
      <c r="S62" s="3"/>
      <c r="T62" s="3"/>
      <c r="U62" s="3"/>
      <c r="V62" s="3"/>
      <c r="W62" s="3"/>
      <c r="X62" s="3"/>
      <c r="Y62" s="3"/>
      <c r="Z62" s="3"/>
    </row>
    <row r="63" spans="1:26" ht="15.75">
      <c r="A63" s="338"/>
      <c r="B63" s="328"/>
      <c r="C63" s="325" t="s">
        <v>266</v>
      </c>
      <c r="D63" s="314"/>
      <c r="E63" s="326" t="s">
        <v>243</v>
      </c>
      <c r="F63" s="327" t="str">
        <f t="shared" ref="F63:J63" si="8">F$4</f>
        <v>2026F</v>
      </c>
      <c r="G63" s="327" t="str">
        <f t="shared" si="8"/>
        <v>2027F</v>
      </c>
      <c r="H63" s="327" t="str">
        <f t="shared" si="8"/>
        <v>2028F</v>
      </c>
      <c r="I63" s="327" t="str">
        <f t="shared" si="8"/>
        <v>2029F</v>
      </c>
      <c r="J63" s="327" t="str">
        <f t="shared" si="8"/>
        <v>2030F</v>
      </c>
      <c r="K63" s="3"/>
      <c r="L63" s="3"/>
      <c r="M63" s="3"/>
      <c r="N63" s="3"/>
      <c r="O63" s="3"/>
      <c r="P63" s="3"/>
      <c r="Q63" s="3"/>
      <c r="R63" s="3"/>
      <c r="S63" s="3"/>
      <c r="T63" s="3"/>
      <c r="U63" s="3"/>
      <c r="V63" s="3"/>
      <c r="W63" s="3"/>
      <c r="X63" s="3"/>
      <c r="Y63" s="3"/>
      <c r="Z63" s="3"/>
    </row>
    <row r="64" spans="1:26" ht="12" customHeight="1">
      <c r="A64" s="53" t="s">
        <v>267</v>
      </c>
      <c r="B64" s="328" t="str">
        <f t="shared" ref="B64:B71" si="9">D64&amp;"."&amp;C64</f>
        <v>Residential.Deferral/Variance Account Disposition Rate Rider Group 2</v>
      </c>
      <c r="C64" s="328" t="s">
        <v>265</v>
      </c>
      <c r="D64" s="314" t="s">
        <v>247</v>
      </c>
      <c r="E64" s="313">
        <v>0</v>
      </c>
      <c r="F64" s="339">
        <v>-1.19</v>
      </c>
      <c r="G64" s="182">
        <v>0</v>
      </c>
      <c r="H64" s="182">
        <v>0</v>
      </c>
      <c r="I64" s="182">
        <v>0</v>
      </c>
      <c r="J64" s="182">
        <v>0</v>
      </c>
      <c r="K64" s="3"/>
      <c r="L64" s="3"/>
      <c r="M64" s="3"/>
      <c r="N64" s="3"/>
      <c r="O64" s="3"/>
      <c r="P64" s="3"/>
      <c r="Q64" s="3"/>
      <c r="R64" s="3"/>
      <c r="S64" s="3"/>
      <c r="T64" s="3"/>
      <c r="U64" s="3"/>
      <c r="V64" s="3"/>
      <c r="W64" s="3"/>
      <c r="X64" s="3"/>
      <c r="Y64" s="3"/>
      <c r="Z64" s="3"/>
    </row>
    <row r="65" spans="1:26" ht="12" customHeight="1">
      <c r="A65" s="53" t="s">
        <v>48</v>
      </c>
      <c r="B65" s="328" t="str">
        <f t="shared" si="9"/>
        <v>General Service &lt; 50 kW.Deferral/Variance Account Disposition Rate Rider Group 2</v>
      </c>
      <c r="C65" s="328" t="s">
        <v>265</v>
      </c>
      <c r="D65" s="314" t="s">
        <v>248</v>
      </c>
      <c r="E65" s="313">
        <v>0</v>
      </c>
      <c r="F65" s="339">
        <v>-1.4E-3</v>
      </c>
      <c r="G65" s="182">
        <v>0</v>
      </c>
      <c r="H65" s="182">
        <v>0</v>
      </c>
      <c r="I65" s="182">
        <v>0</v>
      </c>
      <c r="J65" s="182">
        <v>0</v>
      </c>
      <c r="K65" s="3"/>
      <c r="L65" s="3"/>
      <c r="M65" s="3"/>
      <c r="N65" s="3"/>
      <c r="O65" s="3"/>
      <c r="P65" s="3"/>
      <c r="Q65" s="3"/>
      <c r="R65" s="3"/>
      <c r="S65" s="3"/>
      <c r="T65" s="3"/>
      <c r="U65" s="3"/>
      <c r="V65" s="3"/>
      <c r="W65" s="3"/>
      <c r="X65" s="3"/>
      <c r="Y65" s="3"/>
      <c r="Z65" s="3"/>
    </row>
    <row r="66" spans="1:26" ht="12" customHeight="1">
      <c r="A66" s="53" t="s">
        <v>69</v>
      </c>
      <c r="B66" s="328" t="str">
        <f t="shared" si="9"/>
        <v>General Service 50 to 1,499 KW.Deferral/Variance Account Disposition Rate Rider Group 2</v>
      </c>
      <c r="C66" s="328" t="s">
        <v>265</v>
      </c>
      <c r="D66" s="314" t="s">
        <v>249</v>
      </c>
      <c r="E66" s="313">
        <v>0</v>
      </c>
      <c r="F66" s="339">
        <v>-0.26340000000000002</v>
      </c>
      <c r="G66" s="182">
        <v>0</v>
      </c>
      <c r="H66" s="182">
        <v>0</v>
      </c>
      <c r="I66" s="182">
        <v>0</v>
      </c>
      <c r="J66" s="182">
        <v>0</v>
      </c>
      <c r="K66" s="3"/>
      <c r="L66" s="3"/>
      <c r="M66" s="3"/>
      <c r="N66" s="3"/>
      <c r="O66" s="3"/>
      <c r="P66" s="3"/>
      <c r="Q66" s="3"/>
      <c r="R66" s="3"/>
      <c r="S66" s="3"/>
      <c r="T66" s="3"/>
      <c r="U66" s="3"/>
      <c r="V66" s="3"/>
      <c r="W66" s="3"/>
      <c r="X66" s="3"/>
      <c r="Y66" s="3"/>
      <c r="Z66" s="3"/>
    </row>
    <row r="67" spans="1:26" ht="12" customHeight="1">
      <c r="A67" s="53" t="s">
        <v>69</v>
      </c>
      <c r="B67" s="328" t="str">
        <f t="shared" si="9"/>
        <v>General Service 1,500 to 4,999 KW.Deferral/Variance Account Disposition Rate Rider Group 2</v>
      </c>
      <c r="C67" s="328" t="s">
        <v>265</v>
      </c>
      <c r="D67" s="314" t="s">
        <v>250</v>
      </c>
      <c r="E67" s="313">
        <v>0</v>
      </c>
      <c r="F67" s="339">
        <v>-0.28470000000000001</v>
      </c>
      <c r="G67" s="182">
        <v>0</v>
      </c>
      <c r="H67" s="182">
        <v>0</v>
      </c>
      <c r="I67" s="182">
        <v>0</v>
      </c>
      <c r="J67" s="182">
        <v>0</v>
      </c>
      <c r="K67" s="3"/>
      <c r="L67" s="3"/>
      <c r="M67" s="3"/>
      <c r="N67" s="3"/>
      <c r="O67" s="3"/>
      <c r="P67" s="3"/>
      <c r="Q67" s="3"/>
      <c r="R67" s="3"/>
      <c r="S67" s="3"/>
      <c r="T67" s="3"/>
      <c r="U67" s="3"/>
      <c r="V67" s="3"/>
      <c r="W67" s="3"/>
      <c r="X67" s="3"/>
      <c r="Y67" s="3"/>
      <c r="Z67" s="3"/>
    </row>
    <row r="68" spans="1:26" ht="12" customHeight="1">
      <c r="A68" s="53" t="s">
        <v>69</v>
      </c>
      <c r="B68" s="328" t="str">
        <f t="shared" si="9"/>
        <v>Large User.Deferral/Variance Account Disposition Rate Rider Group 2</v>
      </c>
      <c r="C68" s="328" t="s">
        <v>265</v>
      </c>
      <c r="D68" s="314" t="s">
        <v>251</v>
      </c>
      <c r="E68" s="313">
        <v>0</v>
      </c>
      <c r="F68" s="339">
        <v>-0.30330000000000001</v>
      </c>
      <c r="G68" s="182">
        <v>0</v>
      </c>
      <c r="H68" s="182">
        <v>0</v>
      </c>
      <c r="I68" s="182">
        <v>0</v>
      </c>
      <c r="J68" s="182">
        <v>0</v>
      </c>
      <c r="K68" s="3"/>
      <c r="L68" s="3"/>
      <c r="M68" s="3"/>
      <c r="N68" s="3"/>
      <c r="O68" s="3"/>
      <c r="P68" s="3"/>
      <c r="Q68" s="3"/>
      <c r="R68" s="3"/>
      <c r="S68" s="3"/>
      <c r="T68" s="3"/>
      <c r="U68" s="3"/>
      <c r="V68" s="3"/>
      <c r="W68" s="3"/>
      <c r="X68" s="3"/>
      <c r="Y68" s="3"/>
      <c r="Z68" s="3"/>
    </row>
    <row r="69" spans="1:26" ht="12" customHeight="1">
      <c r="A69" s="53" t="s">
        <v>69</v>
      </c>
      <c r="B69" s="328" t="str">
        <f t="shared" si="9"/>
        <v>Street Light.Deferral/Variance Account Disposition Rate Rider Group 2</v>
      </c>
      <c r="C69" s="328" t="s">
        <v>265</v>
      </c>
      <c r="D69" s="314" t="s">
        <v>252</v>
      </c>
      <c r="E69" s="313">
        <v>0</v>
      </c>
      <c r="F69" s="339">
        <v>-0.71650000000000003</v>
      </c>
      <c r="G69" s="182">
        <v>0</v>
      </c>
      <c r="H69" s="182">
        <v>0</v>
      </c>
      <c r="I69" s="182">
        <v>0</v>
      </c>
      <c r="J69" s="182">
        <v>0</v>
      </c>
      <c r="K69" s="3"/>
      <c r="L69" s="3"/>
      <c r="M69" s="3"/>
      <c r="N69" s="3"/>
      <c r="O69" s="3"/>
      <c r="P69" s="3"/>
      <c r="Q69" s="3"/>
      <c r="R69" s="3"/>
      <c r="S69" s="3"/>
      <c r="T69" s="3"/>
      <c r="U69" s="3"/>
      <c r="V69" s="3"/>
      <c r="W69" s="3"/>
      <c r="X69" s="3"/>
      <c r="Y69" s="3"/>
      <c r="Z69" s="3"/>
    </row>
    <row r="70" spans="1:26" ht="12" customHeight="1">
      <c r="A70" s="53" t="s">
        <v>69</v>
      </c>
      <c r="B70" s="328" t="str">
        <f t="shared" si="9"/>
        <v>Sentinel Lights.Deferral/Variance Account Disposition Rate Rider Group 2</v>
      </c>
      <c r="C70" s="328" t="s">
        <v>265</v>
      </c>
      <c r="D70" s="314" t="s">
        <v>253</v>
      </c>
      <c r="E70" s="313">
        <v>0</v>
      </c>
      <c r="F70" s="339">
        <v>-2.2843</v>
      </c>
      <c r="G70" s="182">
        <v>0</v>
      </c>
      <c r="H70" s="182">
        <v>0</v>
      </c>
      <c r="I70" s="182">
        <v>0</v>
      </c>
      <c r="J70" s="182">
        <v>0</v>
      </c>
      <c r="K70" s="3"/>
      <c r="L70" s="3"/>
      <c r="M70" s="3"/>
      <c r="N70" s="3"/>
      <c r="O70" s="3"/>
      <c r="P70" s="3"/>
      <c r="Q70" s="3"/>
      <c r="R70" s="3"/>
      <c r="S70" s="3"/>
      <c r="T70" s="3"/>
      <c r="U70" s="3"/>
      <c r="V70" s="3"/>
      <c r="W70" s="3"/>
      <c r="X70" s="3"/>
      <c r="Y70" s="3"/>
      <c r="Z70" s="3"/>
    </row>
    <row r="71" spans="1:26" ht="12" customHeight="1">
      <c r="A71" s="53" t="s">
        <v>48</v>
      </c>
      <c r="B71" s="328" t="str">
        <f t="shared" si="9"/>
        <v>Unmetered Scattered Load.Deferral/Variance Account Disposition Rate Rider Group 2</v>
      </c>
      <c r="C71" s="328" t="s">
        <v>265</v>
      </c>
      <c r="D71" s="314" t="s">
        <v>254</v>
      </c>
      <c r="E71" s="313">
        <v>0</v>
      </c>
      <c r="F71" s="339">
        <v>-2E-3</v>
      </c>
      <c r="G71" s="182">
        <v>0</v>
      </c>
      <c r="H71" s="182">
        <v>0</v>
      </c>
      <c r="I71" s="182">
        <v>0</v>
      </c>
      <c r="J71" s="182">
        <v>0</v>
      </c>
      <c r="K71" s="3"/>
      <c r="L71" s="3"/>
      <c r="M71" s="3"/>
      <c r="N71" s="3"/>
      <c r="O71" s="3"/>
      <c r="P71" s="3"/>
      <c r="Q71" s="3"/>
      <c r="R71" s="3"/>
      <c r="S71" s="3"/>
      <c r="T71" s="3"/>
      <c r="U71" s="3"/>
      <c r="V71" s="3"/>
      <c r="W71" s="3"/>
      <c r="X71" s="3"/>
      <c r="Y71" s="3"/>
      <c r="Z71" s="3"/>
    </row>
    <row r="72" spans="1:26" ht="12" customHeight="1">
      <c r="A72" s="53" t="s">
        <v>69</v>
      </c>
      <c r="B72" s="328"/>
      <c r="C72" s="328"/>
      <c r="D72" s="314" t="s">
        <v>255</v>
      </c>
      <c r="E72" s="313"/>
      <c r="F72" s="340"/>
      <c r="G72" s="340"/>
      <c r="H72" s="182"/>
      <c r="I72" s="182"/>
      <c r="J72" s="182"/>
      <c r="K72" s="3"/>
      <c r="L72" s="3"/>
      <c r="M72" s="3"/>
      <c r="N72" s="3"/>
      <c r="O72" s="3"/>
      <c r="P72" s="3"/>
      <c r="Q72" s="3"/>
      <c r="R72" s="3"/>
      <c r="S72" s="3"/>
      <c r="T72" s="3"/>
      <c r="U72" s="3"/>
      <c r="V72" s="3"/>
      <c r="W72" s="3"/>
      <c r="X72" s="3"/>
      <c r="Y72" s="3"/>
      <c r="Z72" s="3"/>
    </row>
    <row r="73" spans="1:26" ht="12" customHeight="1">
      <c r="A73" s="53" t="s">
        <v>69</v>
      </c>
      <c r="B73" s="328"/>
      <c r="C73" s="328"/>
      <c r="D73" s="314" t="s">
        <v>256</v>
      </c>
      <c r="E73" s="313"/>
      <c r="F73" s="340"/>
      <c r="G73" s="340"/>
      <c r="H73" s="182"/>
      <c r="I73" s="182"/>
      <c r="J73" s="182"/>
      <c r="K73" s="3"/>
      <c r="L73" s="3"/>
      <c r="M73" s="3"/>
      <c r="N73" s="3"/>
      <c r="O73" s="3"/>
      <c r="P73" s="3"/>
      <c r="Q73" s="3"/>
      <c r="R73" s="3"/>
      <c r="S73" s="3"/>
      <c r="T73" s="3"/>
      <c r="U73" s="3"/>
      <c r="V73" s="3"/>
      <c r="W73" s="3"/>
      <c r="X73" s="3"/>
      <c r="Y73" s="3"/>
      <c r="Z73" s="3"/>
    </row>
    <row r="74" spans="1:26" ht="12" customHeight="1">
      <c r="A74" s="53" t="s">
        <v>69</v>
      </c>
      <c r="B74" s="328"/>
      <c r="C74" s="53"/>
      <c r="D74" s="314" t="s">
        <v>257</v>
      </c>
      <c r="E74" s="313"/>
      <c r="F74" s="340"/>
      <c r="G74" s="340"/>
      <c r="H74" s="182"/>
      <c r="I74" s="182"/>
      <c r="J74" s="182"/>
      <c r="K74" s="3"/>
      <c r="L74" s="3"/>
      <c r="M74" s="3"/>
      <c r="N74" s="3"/>
      <c r="O74" s="3"/>
      <c r="P74" s="3"/>
      <c r="Q74" s="3"/>
      <c r="R74" s="3"/>
      <c r="S74" s="3"/>
      <c r="T74" s="3"/>
      <c r="U74" s="3"/>
      <c r="V74" s="3"/>
      <c r="W74" s="3"/>
      <c r="X74" s="3"/>
      <c r="Y74" s="3"/>
      <c r="Z74" s="3"/>
    </row>
    <row r="75" spans="1:26" ht="12" customHeight="1">
      <c r="A75" s="3"/>
      <c r="B75" s="314"/>
      <c r="C75" s="3"/>
      <c r="D75" s="314"/>
      <c r="E75" s="3"/>
      <c r="F75" s="341"/>
      <c r="G75" s="3"/>
      <c r="H75" s="53"/>
      <c r="I75" s="53"/>
      <c r="J75" s="3"/>
      <c r="K75" s="3"/>
      <c r="L75" s="3"/>
      <c r="M75" s="3"/>
      <c r="N75" s="3"/>
      <c r="O75" s="3"/>
      <c r="P75" s="3"/>
      <c r="Q75" s="3"/>
      <c r="R75" s="3"/>
      <c r="S75" s="3"/>
      <c r="T75" s="3"/>
      <c r="U75" s="3"/>
      <c r="V75" s="3"/>
      <c r="W75" s="3"/>
      <c r="X75" s="3"/>
      <c r="Y75" s="3"/>
      <c r="Z75" s="3"/>
    </row>
    <row r="76" spans="1:26" ht="15.75">
      <c r="A76" s="53"/>
      <c r="B76" s="328"/>
      <c r="C76" s="325" t="s">
        <v>268</v>
      </c>
      <c r="D76" s="314"/>
      <c r="E76" s="3"/>
      <c r="F76" s="341"/>
      <c r="G76" s="3"/>
      <c r="H76" s="53"/>
      <c r="I76" s="53"/>
      <c r="J76" s="3"/>
      <c r="K76" s="3"/>
      <c r="L76" s="3"/>
      <c r="M76" s="3"/>
      <c r="N76" s="3"/>
      <c r="O76" s="3"/>
      <c r="P76" s="3"/>
      <c r="Q76" s="3"/>
      <c r="R76" s="3"/>
      <c r="S76" s="3"/>
      <c r="T76" s="3"/>
      <c r="U76" s="3"/>
      <c r="V76" s="3"/>
      <c r="W76" s="3"/>
      <c r="X76" s="3"/>
      <c r="Y76" s="3"/>
      <c r="Z76" s="3"/>
    </row>
    <row r="77" spans="1:26" ht="12" customHeight="1">
      <c r="A77" s="53" t="s">
        <v>48</v>
      </c>
      <c r="B77" s="328" t="str">
        <f t="shared" ref="B77:B86" si="10">D77&amp;"."&amp;C77</f>
        <v>Residential.LRAM Rate Rider</v>
      </c>
      <c r="C77" s="328" t="s">
        <v>269</v>
      </c>
      <c r="D77" s="314" t="s">
        <v>247</v>
      </c>
      <c r="E77" s="313">
        <v>0.25</v>
      </c>
      <c r="F77" s="182">
        <v>0</v>
      </c>
      <c r="G77" s="182">
        <v>0</v>
      </c>
      <c r="H77" s="182">
        <v>0</v>
      </c>
      <c r="I77" s="182">
        <v>0</v>
      </c>
      <c r="J77" s="182">
        <v>0</v>
      </c>
      <c r="K77" s="3"/>
      <c r="L77" s="3"/>
      <c r="M77" s="3"/>
      <c r="N77" s="3"/>
      <c r="O77" s="3"/>
      <c r="P77" s="3"/>
      <c r="Q77" s="3"/>
      <c r="R77" s="3"/>
      <c r="S77" s="3"/>
      <c r="T77" s="3"/>
      <c r="U77" s="3"/>
      <c r="V77" s="3"/>
      <c r="W77" s="3"/>
      <c r="X77" s="3"/>
      <c r="Y77" s="3"/>
      <c r="Z77" s="3"/>
    </row>
    <row r="78" spans="1:26" ht="12" customHeight="1">
      <c r="A78" s="53" t="s">
        <v>69</v>
      </c>
      <c r="B78" s="328" t="str">
        <f t="shared" si="10"/>
        <v>General Service &lt; 50 kW.LRAM Rate Rider</v>
      </c>
      <c r="C78" s="328" t="s">
        <v>269</v>
      </c>
      <c r="D78" s="314" t="s">
        <v>248</v>
      </c>
      <c r="E78" s="313">
        <v>6.9999999999999999E-4</v>
      </c>
      <c r="F78" s="182">
        <v>0</v>
      </c>
      <c r="G78" s="182">
        <v>0</v>
      </c>
      <c r="H78" s="182">
        <v>0</v>
      </c>
      <c r="I78" s="182">
        <v>0</v>
      </c>
      <c r="J78" s="182">
        <v>0</v>
      </c>
      <c r="K78" s="3"/>
      <c r="L78" s="3"/>
      <c r="M78" s="3"/>
      <c r="N78" s="3"/>
      <c r="O78" s="3"/>
      <c r="P78" s="3"/>
      <c r="Q78" s="3"/>
      <c r="R78" s="3"/>
      <c r="S78" s="3"/>
      <c r="T78" s="3"/>
      <c r="U78" s="3"/>
      <c r="V78" s="3"/>
      <c r="W78" s="3"/>
      <c r="X78" s="3"/>
      <c r="Y78" s="3"/>
      <c r="Z78" s="3"/>
    </row>
    <row r="79" spans="1:26" ht="12" customHeight="1">
      <c r="A79" s="53" t="s">
        <v>69</v>
      </c>
      <c r="B79" s="328" t="str">
        <f t="shared" si="10"/>
        <v>General Service 50 to 1,499 KW.LRAM Rate Rider</v>
      </c>
      <c r="C79" s="328" t="s">
        <v>269</v>
      </c>
      <c r="D79" s="314" t="s">
        <v>249</v>
      </c>
      <c r="E79" s="313">
        <v>-0.2477</v>
      </c>
      <c r="F79" s="182">
        <v>0</v>
      </c>
      <c r="G79" s="182">
        <v>0</v>
      </c>
      <c r="H79" s="182">
        <v>0</v>
      </c>
      <c r="I79" s="182">
        <v>0</v>
      </c>
      <c r="J79" s="182">
        <v>0</v>
      </c>
      <c r="K79" s="3"/>
      <c r="L79" s="3"/>
      <c r="M79" s="3"/>
      <c r="N79" s="3"/>
      <c r="O79" s="3"/>
      <c r="P79" s="3"/>
      <c r="Q79" s="3"/>
      <c r="R79" s="3"/>
      <c r="S79" s="3"/>
      <c r="T79" s="3"/>
      <c r="U79" s="3"/>
      <c r="V79" s="3"/>
      <c r="W79" s="3"/>
      <c r="X79" s="3"/>
      <c r="Y79" s="3"/>
      <c r="Z79" s="3"/>
    </row>
    <row r="80" spans="1:26" ht="12" customHeight="1">
      <c r="A80" s="53" t="s">
        <v>69</v>
      </c>
      <c r="B80" s="328" t="str">
        <f t="shared" si="10"/>
        <v>General Service 1,500 to 4,999 KW.LRAM Rate Rider</v>
      </c>
      <c r="C80" s="328" t="s">
        <v>269</v>
      </c>
      <c r="D80" s="314" t="s">
        <v>250</v>
      </c>
      <c r="E80" s="313">
        <v>0.2021</v>
      </c>
      <c r="F80" s="182">
        <v>0</v>
      </c>
      <c r="G80" s="182">
        <v>0</v>
      </c>
      <c r="H80" s="182">
        <v>0</v>
      </c>
      <c r="I80" s="182">
        <v>0</v>
      </c>
      <c r="J80" s="182">
        <v>0</v>
      </c>
      <c r="K80" s="3"/>
      <c r="L80" s="3"/>
      <c r="M80" s="3"/>
      <c r="N80" s="3"/>
      <c r="O80" s="3"/>
      <c r="P80" s="3"/>
      <c r="Q80" s="3"/>
      <c r="R80" s="3"/>
      <c r="S80" s="3"/>
      <c r="T80" s="3"/>
      <c r="U80" s="3"/>
      <c r="V80" s="3"/>
      <c r="W80" s="3"/>
      <c r="X80" s="3"/>
      <c r="Y80" s="3"/>
      <c r="Z80" s="3"/>
    </row>
    <row r="81" spans="1:26" ht="12" customHeight="1">
      <c r="A81" s="53" t="s">
        <v>69</v>
      </c>
      <c r="B81" s="328" t="str">
        <f t="shared" si="10"/>
        <v>Large User.LRAM Rate Rider</v>
      </c>
      <c r="C81" s="328" t="s">
        <v>269</v>
      </c>
      <c r="D81" s="314" t="s">
        <v>251</v>
      </c>
      <c r="E81" s="313">
        <v>0.2011</v>
      </c>
      <c r="F81" s="182">
        <v>0</v>
      </c>
      <c r="G81" s="182">
        <v>0</v>
      </c>
      <c r="H81" s="182">
        <v>0</v>
      </c>
      <c r="I81" s="182">
        <v>0</v>
      </c>
      <c r="J81" s="182">
        <v>0</v>
      </c>
      <c r="K81" s="3"/>
      <c r="L81" s="3"/>
      <c r="M81" s="3"/>
      <c r="N81" s="3"/>
      <c r="O81" s="3"/>
      <c r="P81" s="3"/>
      <c r="Q81" s="3"/>
      <c r="R81" s="3"/>
      <c r="S81" s="3"/>
      <c r="T81" s="3"/>
      <c r="U81" s="3"/>
      <c r="V81" s="3"/>
      <c r="W81" s="3"/>
      <c r="X81" s="3"/>
      <c r="Y81" s="3"/>
      <c r="Z81" s="3"/>
    </row>
    <row r="82" spans="1:26" ht="12" customHeight="1">
      <c r="A82" s="53" t="s">
        <v>69</v>
      </c>
      <c r="B82" s="328" t="str">
        <f t="shared" si="10"/>
        <v>Street Light.LRAM Rate Rider</v>
      </c>
      <c r="C82" s="328" t="s">
        <v>269</v>
      </c>
      <c r="D82" s="314" t="s">
        <v>252</v>
      </c>
      <c r="E82" s="313">
        <v>4.8925000000000001</v>
      </c>
      <c r="F82" s="339">
        <v>4.8925000000000001</v>
      </c>
      <c r="G82" s="182">
        <v>0</v>
      </c>
      <c r="H82" s="182">
        <v>0</v>
      </c>
      <c r="I82" s="182">
        <v>0</v>
      </c>
      <c r="J82" s="182">
        <v>0</v>
      </c>
      <c r="K82" s="3"/>
      <c r="L82" s="3"/>
      <c r="M82" s="3"/>
      <c r="N82" s="3"/>
      <c r="O82" s="3"/>
      <c r="P82" s="3"/>
      <c r="Q82" s="3"/>
      <c r="R82" s="3"/>
      <c r="S82" s="3"/>
      <c r="T82" s="3"/>
      <c r="U82" s="3"/>
      <c r="V82" s="3"/>
      <c r="W82" s="3"/>
      <c r="X82" s="3"/>
      <c r="Y82" s="3"/>
      <c r="Z82" s="3"/>
    </row>
    <row r="83" spans="1:26" ht="12" customHeight="1">
      <c r="A83" s="53" t="s">
        <v>48</v>
      </c>
      <c r="B83" s="328" t="str">
        <f t="shared" si="10"/>
        <v>Sentinel Lights.LRAM Rate Rider</v>
      </c>
      <c r="C83" s="328" t="s">
        <v>269</v>
      </c>
      <c r="D83" s="314" t="s">
        <v>253</v>
      </c>
      <c r="E83" s="313">
        <v>0</v>
      </c>
      <c r="F83" s="182">
        <v>0</v>
      </c>
      <c r="G83" s="182">
        <v>0</v>
      </c>
      <c r="H83" s="182">
        <v>0</v>
      </c>
      <c r="I83" s="182">
        <v>0</v>
      </c>
      <c r="J83" s="182">
        <v>0</v>
      </c>
      <c r="K83" s="3"/>
      <c r="L83" s="3"/>
      <c r="M83" s="3"/>
      <c r="N83" s="3"/>
      <c r="O83" s="3"/>
      <c r="P83" s="3"/>
      <c r="Q83" s="3"/>
      <c r="R83" s="3"/>
      <c r="S83" s="3"/>
      <c r="T83" s="3"/>
      <c r="U83" s="3"/>
      <c r="V83" s="3"/>
      <c r="W83" s="3"/>
      <c r="X83" s="3"/>
      <c r="Y83" s="3"/>
      <c r="Z83" s="3"/>
    </row>
    <row r="84" spans="1:26" ht="12" customHeight="1">
      <c r="A84" s="53" t="s">
        <v>69</v>
      </c>
      <c r="B84" s="328" t="str">
        <f t="shared" si="10"/>
        <v>Unmetered Scattered Load.LRAM Rate Rider</v>
      </c>
      <c r="C84" s="328" t="s">
        <v>269</v>
      </c>
      <c r="D84" s="314" t="s">
        <v>254</v>
      </c>
      <c r="E84" s="313">
        <v>0</v>
      </c>
      <c r="F84" s="182">
        <v>0</v>
      </c>
      <c r="G84" s="182">
        <v>0</v>
      </c>
      <c r="H84" s="182">
        <v>0</v>
      </c>
      <c r="I84" s="182">
        <v>0</v>
      </c>
      <c r="J84" s="182">
        <v>0</v>
      </c>
      <c r="K84" s="3"/>
      <c r="L84" s="3"/>
      <c r="M84" s="3"/>
      <c r="N84" s="3"/>
      <c r="O84" s="3"/>
      <c r="P84" s="3"/>
      <c r="Q84" s="3"/>
      <c r="R84" s="3"/>
      <c r="S84" s="3"/>
      <c r="T84" s="3"/>
      <c r="U84" s="3"/>
      <c r="V84" s="3"/>
      <c r="W84" s="3"/>
      <c r="X84" s="3"/>
      <c r="Y84" s="3"/>
      <c r="Z84" s="3"/>
    </row>
    <row r="85" spans="1:26" ht="12" customHeight="1">
      <c r="A85" s="53" t="s">
        <v>69</v>
      </c>
      <c r="B85" s="328" t="str">
        <f t="shared" si="10"/>
        <v>Standby Power General Service 50 to 1,499 KW.</v>
      </c>
      <c r="C85" s="328"/>
      <c r="D85" s="314" t="s">
        <v>255</v>
      </c>
      <c r="E85" s="313"/>
      <c r="F85" s="342"/>
      <c r="G85" s="3"/>
      <c r="H85" s="3"/>
      <c r="I85" s="3"/>
      <c r="J85" s="3"/>
      <c r="K85" s="3"/>
      <c r="L85" s="3"/>
      <c r="M85" s="3"/>
      <c r="N85" s="3"/>
      <c r="O85" s="3"/>
      <c r="P85" s="3"/>
      <c r="Q85" s="3"/>
      <c r="R85" s="3"/>
      <c r="S85" s="3"/>
      <c r="T85" s="3"/>
      <c r="U85" s="3"/>
      <c r="V85" s="3"/>
      <c r="W85" s="3"/>
      <c r="X85" s="3"/>
      <c r="Y85" s="3"/>
      <c r="Z85" s="3"/>
    </row>
    <row r="86" spans="1:26" ht="12" customHeight="1">
      <c r="A86" s="53" t="s">
        <v>69</v>
      </c>
      <c r="B86" s="328" t="str">
        <f t="shared" si="10"/>
        <v>Standby Power General Service 1,500 to 4,999 KW.</v>
      </c>
      <c r="C86" s="328"/>
      <c r="D86" s="314" t="s">
        <v>256</v>
      </c>
      <c r="E86" s="313"/>
      <c r="F86" s="342"/>
      <c r="G86" s="3"/>
      <c r="H86" s="3"/>
      <c r="I86" s="3"/>
      <c r="J86" s="3"/>
      <c r="K86" s="3"/>
      <c r="L86" s="3"/>
      <c r="M86" s="3"/>
      <c r="N86" s="3"/>
      <c r="O86" s="3"/>
      <c r="P86" s="3"/>
      <c r="Q86" s="3"/>
      <c r="R86" s="3"/>
      <c r="S86" s="3"/>
      <c r="T86" s="3"/>
      <c r="U86" s="3"/>
      <c r="V86" s="3"/>
      <c r="W86" s="3"/>
      <c r="X86" s="3"/>
      <c r="Y86" s="3"/>
      <c r="Z86" s="3"/>
    </row>
    <row r="87" spans="1:26" ht="12" customHeight="1">
      <c r="A87" s="3"/>
      <c r="B87" s="314"/>
      <c r="C87" s="328"/>
      <c r="D87" s="314" t="s">
        <v>257</v>
      </c>
      <c r="E87" s="313"/>
      <c r="F87" s="342"/>
      <c r="G87" s="3"/>
      <c r="H87" s="3"/>
      <c r="I87" s="3"/>
      <c r="J87" s="3"/>
      <c r="K87" s="3"/>
      <c r="L87" s="3"/>
      <c r="M87" s="3"/>
      <c r="N87" s="3"/>
      <c r="O87" s="3"/>
      <c r="P87" s="3"/>
      <c r="Q87" s="3"/>
      <c r="R87" s="3"/>
      <c r="S87" s="3"/>
      <c r="T87" s="3"/>
      <c r="U87" s="3"/>
      <c r="V87" s="3"/>
      <c r="W87" s="3"/>
      <c r="X87" s="3"/>
      <c r="Y87" s="3"/>
      <c r="Z87" s="3"/>
    </row>
    <row r="88" spans="1:26" ht="12" customHeight="1">
      <c r="A88" s="3"/>
      <c r="B88" s="314"/>
      <c r="C88" s="3"/>
      <c r="D88" s="314"/>
      <c r="E88" s="3"/>
      <c r="F88" s="341"/>
      <c r="G88" s="3"/>
      <c r="H88" s="53"/>
      <c r="I88" s="53"/>
      <c r="J88" s="3"/>
      <c r="K88" s="3"/>
      <c r="L88" s="3"/>
      <c r="M88" s="3"/>
      <c r="N88" s="3"/>
      <c r="O88" s="3"/>
      <c r="P88" s="3"/>
      <c r="Q88" s="3"/>
      <c r="R88" s="3"/>
      <c r="S88" s="3"/>
      <c r="T88" s="3"/>
      <c r="U88" s="3"/>
      <c r="V88" s="3"/>
      <c r="W88" s="3"/>
      <c r="X88" s="3"/>
      <c r="Y88" s="3"/>
      <c r="Z88" s="3"/>
    </row>
    <row r="89" spans="1:26" ht="15.75">
      <c r="A89" s="3"/>
      <c r="B89" s="314"/>
      <c r="C89" s="343" t="s">
        <v>270</v>
      </c>
      <c r="D89" s="3"/>
      <c r="E89" s="326" t="s">
        <v>243</v>
      </c>
      <c r="F89" s="327" t="str">
        <f t="shared" ref="F89:J89" si="11">F$4</f>
        <v>2026F</v>
      </c>
      <c r="G89" s="327" t="str">
        <f t="shared" si="11"/>
        <v>2027F</v>
      </c>
      <c r="H89" s="327" t="str">
        <f t="shared" si="11"/>
        <v>2028F</v>
      </c>
      <c r="I89" s="327" t="str">
        <f t="shared" si="11"/>
        <v>2029F</v>
      </c>
      <c r="J89" s="327" t="str">
        <f t="shared" si="11"/>
        <v>2030F</v>
      </c>
      <c r="K89" s="3"/>
      <c r="L89" s="3"/>
      <c r="M89" s="3"/>
      <c r="N89" s="3"/>
      <c r="O89" s="3"/>
      <c r="P89" s="3"/>
      <c r="Q89" s="3"/>
      <c r="R89" s="3"/>
      <c r="S89" s="3"/>
      <c r="T89" s="3"/>
      <c r="U89" s="3"/>
      <c r="V89" s="3"/>
      <c r="W89" s="3"/>
      <c r="X89" s="3"/>
      <c r="Y89" s="3"/>
      <c r="Z89" s="3"/>
    </row>
    <row r="90" spans="1:26" ht="12" customHeight="1">
      <c r="A90" s="53" t="s">
        <v>267</v>
      </c>
      <c r="B90" s="328" t="str">
        <f t="shared" ref="B90:B100" si="12">D90&amp;"."&amp;C90&amp;"2"</f>
        <v>Residential.LRAM Rate Rider2</v>
      </c>
      <c r="C90" s="328" t="s">
        <v>269</v>
      </c>
      <c r="D90" s="314" t="s">
        <v>247</v>
      </c>
      <c r="E90" s="182">
        <v>0</v>
      </c>
      <c r="F90" s="182">
        <v>0</v>
      </c>
      <c r="G90" s="182">
        <v>0</v>
      </c>
      <c r="H90" s="182">
        <v>0</v>
      </c>
      <c r="I90" s="182">
        <v>0</v>
      </c>
      <c r="J90" s="182">
        <v>0</v>
      </c>
      <c r="K90" s="3"/>
      <c r="L90" s="3"/>
      <c r="M90" s="3"/>
      <c r="N90" s="3"/>
      <c r="O90" s="3"/>
      <c r="P90" s="3"/>
      <c r="Q90" s="3"/>
      <c r="R90" s="3"/>
      <c r="S90" s="3"/>
      <c r="T90" s="3"/>
      <c r="U90" s="3"/>
      <c r="V90" s="3"/>
      <c r="W90" s="3"/>
      <c r="X90" s="3"/>
      <c r="Y90" s="3"/>
      <c r="Z90" s="3"/>
    </row>
    <row r="91" spans="1:26" ht="12" customHeight="1">
      <c r="A91" s="53" t="s">
        <v>48</v>
      </c>
      <c r="B91" s="328" t="str">
        <f t="shared" si="12"/>
        <v>General Service &lt; 50 kW.LRAM Rate Rider2</v>
      </c>
      <c r="C91" s="328" t="s">
        <v>269</v>
      </c>
      <c r="D91" s="314" t="s">
        <v>248</v>
      </c>
      <c r="E91" s="182">
        <v>0</v>
      </c>
      <c r="F91" s="182">
        <v>5.9999999999999995E-4</v>
      </c>
      <c r="G91" s="182">
        <v>0</v>
      </c>
      <c r="H91" s="182">
        <v>0</v>
      </c>
      <c r="I91" s="182">
        <v>0</v>
      </c>
      <c r="J91" s="182">
        <v>0</v>
      </c>
      <c r="K91" s="3"/>
      <c r="L91" s="3"/>
      <c r="M91" s="3"/>
      <c r="N91" s="3"/>
      <c r="O91" s="3"/>
      <c r="P91" s="3"/>
      <c r="Q91" s="3"/>
      <c r="R91" s="3"/>
      <c r="S91" s="3"/>
      <c r="T91" s="3"/>
      <c r="U91" s="3"/>
      <c r="V91" s="3"/>
      <c r="W91" s="3"/>
      <c r="X91" s="3"/>
      <c r="Y91" s="3"/>
      <c r="Z91" s="3"/>
    </row>
    <row r="92" spans="1:26" ht="12" customHeight="1">
      <c r="A92" s="53" t="s">
        <v>69</v>
      </c>
      <c r="B92" s="328" t="str">
        <f t="shared" si="12"/>
        <v>General Service 50 to 1,499 KW.LRAM Rate Rider2</v>
      </c>
      <c r="C92" s="328" t="s">
        <v>269</v>
      </c>
      <c r="D92" s="314" t="s">
        <v>249</v>
      </c>
      <c r="E92" s="182">
        <v>0</v>
      </c>
      <c r="F92" s="182">
        <v>0</v>
      </c>
      <c r="G92" s="332">
        <v>2.9499999999999998E-2</v>
      </c>
      <c r="H92" s="182">
        <v>0</v>
      </c>
      <c r="I92" s="182">
        <v>0</v>
      </c>
      <c r="J92" s="182">
        <v>0</v>
      </c>
      <c r="K92" s="3"/>
      <c r="L92" s="3"/>
      <c r="M92" s="3"/>
      <c r="N92" s="3"/>
      <c r="O92" s="3"/>
      <c r="P92" s="3"/>
      <c r="Q92" s="3"/>
      <c r="R92" s="3"/>
      <c r="S92" s="3"/>
      <c r="T92" s="3"/>
      <c r="U92" s="3"/>
      <c r="V92" s="3"/>
      <c r="W92" s="3"/>
      <c r="X92" s="3"/>
      <c r="Y92" s="3"/>
      <c r="Z92" s="3"/>
    </row>
    <row r="93" spans="1:26" ht="12" customHeight="1">
      <c r="A93" s="53" t="s">
        <v>69</v>
      </c>
      <c r="B93" s="328" t="str">
        <f t="shared" si="12"/>
        <v>General Service 1,500 to 4,999 KW.LRAM Rate Rider2</v>
      </c>
      <c r="C93" s="328" t="s">
        <v>269</v>
      </c>
      <c r="D93" s="314" t="s">
        <v>250</v>
      </c>
      <c r="E93" s="182">
        <v>0</v>
      </c>
      <c r="F93" s="344">
        <v>-0.63370000000000004</v>
      </c>
      <c r="G93" s="182">
        <v>0</v>
      </c>
      <c r="H93" s="182">
        <v>0</v>
      </c>
      <c r="I93" s="182">
        <v>0</v>
      </c>
      <c r="J93" s="182">
        <v>0</v>
      </c>
      <c r="K93" s="3"/>
      <c r="L93" s="3"/>
      <c r="M93" s="3"/>
      <c r="N93" s="3"/>
      <c r="O93" s="3"/>
      <c r="P93" s="3"/>
      <c r="Q93" s="3"/>
      <c r="R93" s="3"/>
      <c r="S93" s="3"/>
      <c r="T93" s="3"/>
      <c r="U93" s="3"/>
      <c r="V93" s="3"/>
      <c r="W93" s="3"/>
      <c r="X93" s="3"/>
      <c r="Y93" s="3"/>
      <c r="Z93" s="3"/>
    </row>
    <row r="94" spans="1:26" ht="12" customHeight="1">
      <c r="A94" s="53" t="s">
        <v>69</v>
      </c>
      <c r="B94" s="328" t="str">
        <f t="shared" si="12"/>
        <v>Large User.LRAM Rate Rider2</v>
      </c>
      <c r="C94" s="328" t="s">
        <v>269</v>
      </c>
      <c r="D94" s="314" t="s">
        <v>251</v>
      </c>
      <c r="E94" s="182">
        <v>0</v>
      </c>
      <c r="F94" s="344">
        <v>-0.88629999999999998</v>
      </c>
      <c r="G94" s="182">
        <v>0</v>
      </c>
      <c r="H94" s="182">
        <v>0</v>
      </c>
      <c r="I94" s="182">
        <v>0</v>
      </c>
      <c r="J94" s="182">
        <v>0</v>
      </c>
      <c r="K94" s="3"/>
      <c r="L94" s="3"/>
      <c r="M94" s="3"/>
      <c r="N94" s="3"/>
      <c r="O94" s="3"/>
      <c r="P94" s="3"/>
      <c r="Q94" s="3"/>
      <c r="R94" s="3"/>
      <c r="S94" s="3"/>
      <c r="T94" s="3"/>
      <c r="U94" s="3"/>
      <c r="V94" s="3"/>
      <c r="W94" s="3"/>
      <c r="X94" s="3"/>
      <c r="Y94" s="3"/>
      <c r="Z94" s="3"/>
    </row>
    <row r="95" spans="1:26" ht="12" customHeight="1">
      <c r="A95" s="53" t="s">
        <v>69</v>
      </c>
      <c r="B95" s="328" t="str">
        <f t="shared" si="12"/>
        <v>Street Light.LRAM Rate Rider2</v>
      </c>
      <c r="C95" s="328" t="s">
        <v>269</v>
      </c>
      <c r="D95" s="314" t="s">
        <v>252</v>
      </c>
      <c r="E95" s="182">
        <v>0</v>
      </c>
      <c r="F95" s="344">
        <v>-1.0437000000000001</v>
      </c>
      <c r="G95" s="182">
        <v>0</v>
      </c>
      <c r="H95" s="182">
        <v>0</v>
      </c>
      <c r="I95" s="182">
        <v>0</v>
      </c>
      <c r="J95" s="182">
        <v>0</v>
      </c>
      <c r="K95" s="3"/>
      <c r="L95" s="3"/>
      <c r="M95" s="3"/>
      <c r="N95" s="3"/>
      <c r="O95" s="3"/>
      <c r="P95" s="3"/>
      <c r="Q95" s="3"/>
      <c r="R95" s="3"/>
      <c r="S95" s="3"/>
      <c r="T95" s="3"/>
      <c r="U95" s="3"/>
      <c r="V95" s="3"/>
      <c r="W95" s="3"/>
      <c r="X95" s="3"/>
      <c r="Y95" s="3"/>
      <c r="Z95" s="3"/>
    </row>
    <row r="96" spans="1:26" ht="12" customHeight="1">
      <c r="A96" s="53" t="s">
        <v>69</v>
      </c>
      <c r="B96" s="328" t="str">
        <f t="shared" si="12"/>
        <v>Sentinel Lights.LRAM Rate Rider2</v>
      </c>
      <c r="C96" s="328" t="s">
        <v>269</v>
      </c>
      <c r="D96" s="314" t="s">
        <v>253</v>
      </c>
      <c r="E96" s="182">
        <v>0</v>
      </c>
      <c r="F96" s="182">
        <v>0</v>
      </c>
      <c r="G96" s="182">
        <v>0</v>
      </c>
      <c r="H96" s="182">
        <v>0</v>
      </c>
      <c r="I96" s="182">
        <v>0</v>
      </c>
      <c r="J96" s="182">
        <v>0</v>
      </c>
      <c r="K96" s="3"/>
      <c r="L96" s="3"/>
      <c r="M96" s="3"/>
      <c r="N96" s="3"/>
      <c r="O96" s="3"/>
      <c r="P96" s="3"/>
      <c r="Q96" s="3"/>
      <c r="R96" s="3"/>
      <c r="S96" s="3"/>
      <c r="T96" s="3"/>
      <c r="U96" s="3"/>
      <c r="V96" s="3"/>
      <c r="W96" s="3"/>
      <c r="X96" s="3"/>
      <c r="Y96" s="3"/>
      <c r="Z96" s="3"/>
    </row>
    <row r="97" spans="1:26" ht="12" customHeight="1">
      <c r="A97" s="53" t="s">
        <v>48</v>
      </c>
      <c r="B97" s="328" t="str">
        <f t="shared" si="12"/>
        <v>Unmetered Scattered Load.LRAM Rate Rider2</v>
      </c>
      <c r="C97" s="328" t="s">
        <v>269</v>
      </c>
      <c r="D97" s="314" t="s">
        <v>254</v>
      </c>
      <c r="E97" s="182">
        <v>0</v>
      </c>
      <c r="F97" s="344">
        <v>-8.9999999999999998E-4</v>
      </c>
      <c r="G97" s="182">
        <v>0</v>
      </c>
      <c r="H97" s="182">
        <v>0</v>
      </c>
      <c r="I97" s="182">
        <v>0</v>
      </c>
      <c r="J97" s="182">
        <v>0</v>
      </c>
      <c r="K97" s="3"/>
      <c r="L97" s="3"/>
      <c r="M97" s="3"/>
      <c r="N97" s="3"/>
      <c r="O97" s="3"/>
      <c r="P97" s="3"/>
      <c r="Q97" s="3"/>
      <c r="R97" s="3"/>
      <c r="S97" s="3"/>
      <c r="T97" s="3"/>
      <c r="U97" s="3"/>
      <c r="V97" s="3"/>
      <c r="W97" s="3"/>
      <c r="X97" s="3"/>
      <c r="Y97" s="3"/>
      <c r="Z97" s="3"/>
    </row>
    <row r="98" spans="1:26" ht="12" customHeight="1">
      <c r="A98" s="53" t="s">
        <v>69</v>
      </c>
      <c r="B98" s="328" t="str">
        <f t="shared" si="12"/>
        <v>Standby Power General Service 50 to 1,499 KW.2</v>
      </c>
      <c r="C98" s="328"/>
      <c r="D98" s="314" t="s">
        <v>255</v>
      </c>
      <c r="E98" s="313"/>
      <c r="F98" s="342"/>
      <c r="G98" s="3"/>
      <c r="H98" s="3"/>
      <c r="I98" s="3"/>
      <c r="J98" s="3"/>
      <c r="K98" s="3"/>
      <c r="L98" s="3"/>
      <c r="M98" s="3"/>
      <c r="N98" s="3"/>
      <c r="O98" s="3"/>
      <c r="P98" s="3"/>
      <c r="Q98" s="3"/>
      <c r="R98" s="3"/>
      <c r="S98" s="3"/>
      <c r="T98" s="3"/>
      <c r="U98" s="3"/>
      <c r="V98" s="3"/>
      <c r="W98" s="3"/>
      <c r="X98" s="3"/>
      <c r="Y98" s="3"/>
      <c r="Z98" s="3"/>
    </row>
    <row r="99" spans="1:26" ht="12" customHeight="1">
      <c r="A99" s="53" t="s">
        <v>69</v>
      </c>
      <c r="B99" s="328" t="str">
        <f t="shared" si="12"/>
        <v>Standby Power General Service 1,500 to 4,999 KW.2</v>
      </c>
      <c r="C99" s="328"/>
      <c r="D99" s="314" t="s">
        <v>256</v>
      </c>
      <c r="E99" s="313"/>
      <c r="F99" s="342"/>
      <c r="G99" s="3"/>
      <c r="H99" s="3"/>
      <c r="I99" s="3"/>
      <c r="J99" s="3"/>
      <c r="K99" s="3"/>
      <c r="L99" s="3"/>
      <c r="M99" s="3"/>
      <c r="N99" s="3"/>
      <c r="O99" s="3"/>
      <c r="P99" s="3"/>
      <c r="Q99" s="3"/>
      <c r="R99" s="3"/>
      <c r="S99" s="3"/>
      <c r="T99" s="3"/>
      <c r="U99" s="3"/>
      <c r="V99" s="3"/>
      <c r="W99" s="3"/>
      <c r="X99" s="3"/>
      <c r="Y99" s="3"/>
      <c r="Z99" s="3"/>
    </row>
    <row r="100" spans="1:26" ht="12" customHeight="1">
      <c r="A100" s="53" t="s">
        <v>69</v>
      </c>
      <c r="B100" s="328" t="str">
        <f t="shared" si="12"/>
        <v>Standby Power Large Use.2</v>
      </c>
      <c r="C100" s="328"/>
      <c r="D100" s="314" t="s">
        <v>257</v>
      </c>
      <c r="E100" s="313"/>
      <c r="F100" s="342"/>
      <c r="G100" s="3"/>
      <c r="H100" s="3"/>
      <c r="I100" s="3"/>
      <c r="J100" s="3"/>
      <c r="K100" s="3"/>
      <c r="L100" s="3"/>
      <c r="M100" s="3"/>
      <c r="N100" s="3"/>
      <c r="O100" s="3"/>
      <c r="P100" s="3"/>
      <c r="Q100" s="3"/>
      <c r="R100" s="3"/>
      <c r="S100" s="3"/>
      <c r="T100" s="3"/>
      <c r="U100" s="3"/>
      <c r="V100" s="3"/>
      <c r="W100" s="3"/>
      <c r="X100" s="3"/>
      <c r="Y100" s="3"/>
      <c r="Z100" s="3"/>
    </row>
    <row r="101" spans="1:26" ht="12" customHeight="1">
      <c r="A101" s="3"/>
      <c r="B101" s="314"/>
      <c r="C101" s="3"/>
      <c r="D101" s="314"/>
      <c r="E101" s="345"/>
      <c r="F101" s="314"/>
      <c r="G101" s="3"/>
      <c r="H101" s="346"/>
      <c r="I101" s="346"/>
      <c r="J101" s="3"/>
      <c r="K101" s="3"/>
      <c r="L101" s="3"/>
      <c r="M101" s="3"/>
      <c r="N101" s="3"/>
      <c r="O101" s="3"/>
      <c r="P101" s="3"/>
      <c r="Q101" s="3"/>
      <c r="R101" s="3"/>
      <c r="S101" s="3"/>
      <c r="T101" s="3"/>
      <c r="U101" s="3"/>
      <c r="V101" s="3"/>
      <c r="W101" s="3"/>
      <c r="X101" s="3"/>
      <c r="Y101" s="3"/>
      <c r="Z101" s="3"/>
    </row>
    <row r="102" spans="1:26" ht="15.75">
      <c r="A102" s="3"/>
      <c r="B102" s="314"/>
      <c r="C102" s="325" t="s">
        <v>271</v>
      </c>
      <c r="D102" s="3"/>
      <c r="E102" s="326" t="s">
        <v>243</v>
      </c>
      <c r="F102" s="327" t="str">
        <f t="shared" ref="F102:J102" si="13">F$4</f>
        <v>2026F</v>
      </c>
      <c r="G102" s="327" t="str">
        <f t="shared" si="13"/>
        <v>2027F</v>
      </c>
      <c r="H102" s="327" t="str">
        <f t="shared" si="13"/>
        <v>2028F</v>
      </c>
      <c r="I102" s="327" t="str">
        <f t="shared" si="13"/>
        <v>2029F</v>
      </c>
      <c r="J102" s="327" t="str">
        <f t="shared" si="13"/>
        <v>2030F</v>
      </c>
      <c r="K102" s="3"/>
      <c r="L102" s="3"/>
      <c r="M102" s="3"/>
      <c r="N102" s="3"/>
      <c r="O102" s="3"/>
      <c r="P102" s="3"/>
      <c r="Q102" s="3"/>
      <c r="R102" s="3"/>
      <c r="S102" s="3"/>
      <c r="T102" s="3"/>
      <c r="U102" s="3"/>
      <c r="V102" s="3"/>
      <c r="W102" s="3"/>
      <c r="X102" s="3"/>
      <c r="Y102" s="3"/>
      <c r="Z102" s="3"/>
    </row>
    <row r="103" spans="1:26" ht="12" customHeight="1">
      <c r="A103" s="53" t="s">
        <v>48</v>
      </c>
      <c r="B103" s="328" t="str">
        <f t="shared" ref="B103:B113" si="14">D103&amp;"."&amp;C103</f>
        <v>Residential.CBR Class B Rate Riders</v>
      </c>
      <c r="C103" s="328" t="s">
        <v>272</v>
      </c>
      <c r="D103" s="314" t="s">
        <v>247</v>
      </c>
      <c r="E103" s="313">
        <v>2.0000000000000001E-4</v>
      </c>
      <c r="F103" s="332">
        <v>6.9999999999999999E-4</v>
      </c>
      <c r="G103" s="182">
        <v>0</v>
      </c>
      <c r="H103" s="182">
        <v>0</v>
      </c>
      <c r="I103" s="182">
        <v>0</v>
      </c>
      <c r="J103" s="182">
        <v>0</v>
      </c>
      <c r="K103" s="3"/>
      <c r="L103" s="3"/>
      <c r="M103" s="3"/>
      <c r="N103" s="3"/>
      <c r="O103" s="3"/>
      <c r="P103" s="3"/>
      <c r="Q103" s="3"/>
      <c r="R103" s="3"/>
      <c r="S103" s="3"/>
      <c r="T103" s="3"/>
      <c r="U103" s="3"/>
      <c r="V103" s="3"/>
      <c r="W103" s="3"/>
      <c r="X103" s="3"/>
      <c r="Y103" s="3"/>
      <c r="Z103" s="3"/>
    </row>
    <row r="104" spans="1:26" ht="12" customHeight="1">
      <c r="A104" s="53" t="s">
        <v>48</v>
      </c>
      <c r="B104" s="328" t="str">
        <f t="shared" si="14"/>
        <v>General Service &lt; 50 kW.CBR Class B Rate Riders</v>
      </c>
      <c r="C104" s="328" t="s">
        <v>272</v>
      </c>
      <c r="D104" s="314" t="s">
        <v>248</v>
      </c>
      <c r="E104" s="313">
        <v>2.0000000000000001E-4</v>
      </c>
      <c r="F104" s="332">
        <v>8.0000000000000004E-4</v>
      </c>
      <c r="G104" s="182">
        <v>0</v>
      </c>
      <c r="H104" s="182">
        <v>0</v>
      </c>
      <c r="I104" s="182">
        <v>0</v>
      </c>
      <c r="J104" s="182">
        <v>0</v>
      </c>
      <c r="K104" s="3"/>
      <c r="L104" s="3"/>
      <c r="M104" s="3"/>
      <c r="N104" s="3"/>
      <c r="O104" s="3"/>
      <c r="P104" s="3"/>
      <c r="Q104" s="3"/>
      <c r="R104" s="3"/>
      <c r="S104" s="3"/>
      <c r="T104" s="3"/>
      <c r="U104" s="3"/>
      <c r="V104" s="3"/>
      <c r="W104" s="3"/>
      <c r="X104" s="3"/>
      <c r="Y104" s="3"/>
      <c r="Z104" s="3"/>
    </row>
    <row r="105" spans="1:26" ht="12" customHeight="1">
      <c r="A105" s="53" t="s">
        <v>48</v>
      </c>
      <c r="B105" s="328" t="str">
        <f t="shared" si="14"/>
        <v>General Service 50 to 1,499 KW.CBR Class B Rate Riders</v>
      </c>
      <c r="C105" s="328" t="s">
        <v>272</v>
      </c>
      <c r="D105" s="314" t="s">
        <v>249</v>
      </c>
      <c r="E105" s="313">
        <v>2.0000000000000001E-4</v>
      </c>
      <c r="F105" s="332">
        <v>6.9999999999999999E-4</v>
      </c>
      <c r="G105" s="182">
        <v>0</v>
      </c>
      <c r="H105" s="182">
        <v>0</v>
      </c>
      <c r="I105" s="182">
        <v>0</v>
      </c>
      <c r="J105" s="182">
        <v>0</v>
      </c>
      <c r="K105" s="3"/>
      <c r="L105" s="3"/>
      <c r="M105" s="3"/>
      <c r="N105" s="3"/>
      <c r="O105" s="3"/>
      <c r="P105" s="3"/>
      <c r="Q105" s="3"/>
      <c r="R105" s="3"/>
      <c r="S105" s="3"/>
      <c r="T105" s="3"/>
      <c r="U105" s="3"/>
      <c r="V105" s="3"/>
      <c r="W105" s="3"/>
      <c r="X105" s="3"/>
      <c r="Y105" s="3"/>
      <c r="Z105" s="3"/>
    </row>
    <row r="106" spans="1:26" ht="12" customHeight="1">
      <c r="A106" s="53" t="s">
        <v>48</v>
      </c>
      <c r="B106" s="328" t="str">
        <f t="shared" si="14"/>
        <v>General Service 1,500 to 4,999 KW.CBR Class B Rate Riders</v>
      </c>
      <c r="C106" s="328" t="s">
        <v>272</v>
      </c>
      <c r="D106" s="314" t="s">
        <v>250</v>
      </c>
      <c r="E106" s="313">
        <v>2.0000000000000001E-4</v>
      </c>
      <c r="F106" s="332">
        <v>6.9999999999999999E-4</v>
      </c>
      <c r="G106" s="182">
        <v>0</v>
      </c>
      <c r="H106" s="182">
        <v>0</v>
      </c>
      <c r="I106" s="182">
        <v>0</v>
      </c>
      <c r="J106" s="182">
        <v>0</v>
      </c>
      <c r="K106" s="3"/>
      <c r="L106" s="3"/>
      <c r="M106" s="3"/>
      <c r="N106" s="3"/>
      <c r="O106" s="3"/>
      <c r="P106" s="3"/>
      <c r="Q106" s="3"/>
      <c r="R106" s="3"/>
      <c r="S106" s="3"/>
      <c r="T106" s="3"/>
      <c r="U106" s="3"/>
      <c r="V106" s="3"/>
      <c r="W106" s="3"/>
      <c r="X106" s="3"/>
      <c r="Y106" s="3"/>
      <c r="Z106" s="3"/>
    </row>
    <row r="107" spans="1:26" ht="12" customHeight="1">
      <c r="A107" s="53" t="s">
        <v>48</v>
      </c>
      <c r="B107" s="328" t="str">
        <f t="shared" si="14"/>
        <v>Large User.CBR Class B Rate Riders</v>
      </c>
      <c r="C107" s="328" t="s">
        <v>272</v>
      </c>
      <c r="D107" s="314" t="s">
        <v>251</v>
      </c>
      <c r="E107" s="313">
        <v>2.0000000000000001E-4</v>
      </c>
      <c r="F107" s="332">
        <v>8.9999999999999998E-4</v>
      </c>
      <c r="G107" s="182">
        <v>0</v>
      </c>
      <c r="H107" s="182">
        <v>0</v>
      </c>
      <c r="I107" s="182">
        <v>0</v>
      </c>
      <c r="J107" s="182">
        <v>0</v>
      </c>
      <c r="K107" s="3"/>
      <c r="L107" s="3"/>
      <c r="M107" s="3"/>
      <c r="N107" s="3"/>
      <c r="O107" s="3"/>
      <c r="P107" s="3"/>
      <c r="Q107" s="3"/>
      <c r="R107" s="3"/>
      <c r="S107" s="3"/>
      <c r="T107" s="3"/>
      <c r="U107" s="3"/>
      <c r="V107" s="3"/>
      <c r="W107" s="3"/>
      <c r="X107" s="3"/>
      <c r="Y107" s="3"/>
      <c r="Z107" s="3"/>
    </row>
    <row r="108" spans="1:26" ht="12" customHeight="1">
      <c r="A108" s="53" t="s">
        <v>48</v>
      </c>
      <c r="B108" s="328" t="str">
        <f t="shared" si="14"/>
        <v>Street Light.CBR Class B Rate Riders</v>
      </c>
      <c r="C108" s="328" t="s">
        <v>272</v>
      </c>
      <c r="D108" s="314" t="s">
        <v>252</v>
      </c>
      <c r="E108" s="313">
        <v>2.0000000000000001E-4</v>
      </c>
      <c r="F108" s="332">
        <v>8.0000000000000004E-4</v>
      </c>
      <c r="G108" s="182">
        <v>0</v>
      </c>
      <c r="H108" s="182">
        <v>0</v>
      </c>
      <c r="I108" s="182">
        <v>0</v>
      </c>
      <c r="J108" s="182">
        <v>0</v>
      </c>
      <c r="K108" s="3"/>
      <c r="L108" s="3"/>
      <c r="M108" s="3"/>
      <c r="N108" s="3"/>
      <c r="O108" s="3"/>
      <c r="P108" s="3"/>
      <c r="Q108" s="3"/>
      <c r="R108" s="3"/>
      <c r="S108" s="3"/>
      <c r="T108" s="3"/>
      <c r="U108" s="3"/>
      <c r="V108" s="3"/>
      <c r="W108" s="3"/>
      <c r="X108" s="3"/>
      <c r="Y108" s="3"/>
      <c r="Z108" s="3"/>
    </row>
    <row r="109" spans="1:26" ht="12" customHeight="1">
      <c r="A109" s="53" t="s">
        <v>48</v>
      </c>
      <c r="B109" s="328" t="str">
        <f t="shared" si="14"/>
        <v>Sentinel Lights.CBR Class B Rate Riders</v>
      </c>
      <c r="C109" s="328" t="s">
        <v>272</v>
      </c>
      <c r="D109" s="314" t="s">
        <v>253</v>
      </c>
      <c r="E109" s="313">
        <v>2.0000000000000001E-4</v>
      </c>
      <c r="F109" s="332">
        <v>8.0000000000000004E-4</v>
      </c>
      <c r="G109" s="182">
        <v>0</v>
      </c>
      <c r="H109" s="182">
        <v>0</v>
      </c>
      <c r="I109" s="182">
        <v>0</v>
      </c>
      <c r="J109" s="182">
        <v>0</v>
      </c>
      <c r="K109" s="3"/>
      <c r="L109" s="3"/>
      <c r="M109" s="3"/>
      <c r="N109" s="3"/>
      <c r="O109" s="3"/>
      <c r="P109" s="3"/>
      <c r="Q109" s="3"/>
      <c r="R109" s="3"/>
      <c r="S109" s="3"/>
      <c r="T109" s="3"/>
      <c r="U109" s="3"/>
      <c r="V109" s="3"/>
      <c r="W109" s="3"/>
      <c r="X109" s="3"/>
      <c r="Y109" s="3"/>
      <c r="Z109" s="3"/>
    </row>
    <row r="110" spans="1:26" ht="12" customHeight="1">
      <c r="A110" s="53" t="s">
        <v>48</v>
      </c>
      <c r="B110" s="328" t="str">
        <f t="shared" si="14"/>
        <v>Unmetered Scattered Load.CBR Class B Rate Riders</v>
      </c>
      <c r="C110" s="328" t="s">
        <v>272</v>
      </c>
      <c r="D110" s="314" t="s">
        <v>254</v>
      </c>
      <c r="E110" s="313">
        <v>2.0000000000000001E-4</v>
      </c>
      <c r="F110" s="332">
        <v>6.9999999999999999E-4</v>
      </c>
      <c r="G110" s="182">
        <v>0</v>
      </c>
      <c r="H110" s="182">
        <v>0</v>
      </c>
      <c r="I110" s="182">
        <v>0</v>
      </c>
      <c r="J110" s="182">
        <v>0</v>
      </c>
      <c r="K110" s="3"/>
      <c r="L110" s="3"/>
      <c r="M110" s="3"/>
      <c r="N110" s="3"/>
      <c r="O110" s="3"/>
      <c r="P110" s="3"/>
      <c r="Q110" s="3"/>
      <c r="R110" s="3"/>
      <c r="S110" s="3"/>
      <c r="T110" s="3"/>
      <c r="U110" s="3"/>
      <c r="V110" s="3"/>
      <c r="W110" s="3"/>
      <c r="X110" s="3"/>
      <c r="Y110" s="3"/>
      <c r="Z110" s="3"/>
    </row>
    <row r="111" spans="1:26" ht="12" customHeight="1">
      <c r="A111" s="53" t="s">
        <v>48</v>
      </c>
      <c r="B111" s="328" t="str">
        <f t="shared" si="14"/>
        <v>Standby Power General Service 50 to 1,499 KW.</v>
      </c>
      <c r="C111" s="328"/>
      <c r="D111" s="314" t="s">
        <v>255</v>
      </c>
      <c r="E111" s="3"/>
      <c r="F111" s="342"/>
      <c r="G111" s="3"/>
      <c r="H111" s="3"/>
      <c r="I111" s="3"/>
      <c r="J111" s="138"/>
      <c r="K111" s="3"/>
      <c r="L111" s="3"/>
      <c r="M111" s="3"/>
      <c r="N111" s="3"/>
      <c r="O111" s="3"/>
      <c r="P111" s="3"/>
      <c r="Q111" s="3"/>
      <c r="R111" s="3"/>
      <c r="S111" s="3"/>
      <c r="T111" s="3"/>
      <c r="U111" s="3"/>
      <c r="V111" s="3"/>
      <c r="W111" s="3"/>
      <c r="X111" s="3"/>
      <c r="Y111" s="3"/>
      <c r="Z111" s="3"/>
    </row>
    <row r="112" spans="1:26" ht="12" customHeight="1">
      <c r="A112" s="53" t="s">
        <v>48</v>
      </c>
      <c r="B112" s="328" t="str">
        <f t="shared" si="14"/>
        <v>Standby Power General Service 1,500 to 4,999 KW.</v>
      </c>
      <c r="C112" s="328"/>
      <c r="D112" s="314" t="s">
        <v>256</v>
      </c>
      <c r="E112" s="3"/>
      <c r="F112" s="342"/>
      <c r="G112" s="3"/>
      <c r="H112" s="3"/>
      <c r="I112" s="3"/>
      <c r="J112" s="138"/>
      <c r="K112" s="3"/>
      <c r="L112" s="3"/>
      <c r="M112" s="3"/>
      <c r="N112" s="3"/>
      <c r="O112" s="3"/>
      <c r="P112" s="3"/>
      <c r="Q112" s="3"/>
      <c r="R112" s="3"/>
      <c r="S112" s="3"/>
      <c r="T112" s="3"/>
      <c r="U112" s="3"/>
      <c r="V112" s="3"/>
      <c r="W112" s="3"/>
      <c r="X112" s="3"/>
      <c r="Y112" s="3"/>
      <c r="Z112" s="3"/>
    </row>
    <row r="113" spans="1:26" ht="12" customHeight="1">
      <c r="A113" s="53" t="s">
        <v>48</v>
      </c>
      <c r="B113" s="328" t="str">
        <f t="shared" si="14"/>
        <v>Standby Power Large Use.</v>
      </c>
      <c r="C113" s="328"/>
      <c r="D113" s="314" t="s">
        <v>257</v>
      </c>
      <c r="E113" s="3"/>
      <c r="F113" s="342"/>
      <c r="G113" s="3"/>
      <c r="H113" s="3"/>
      <c r="I113" s="3"/>
      <c r="J113" s="138"/>
      <c r="K113" s="3"/>
      <c r="L113" s="3"/>
      <c r="M113" s="3"/>
      <c r="N113" s="3"/>
      <c r="O113" s="3"/>
      <c r="P113" s="3"/>
      <c r="Q113" s="3"/>
      <c r="R113" s="3"/>
      <c r="S113" s="3"/>
      <c r="T113" s="3"/>
      <c r="U113" s="3"/>
      <c r="V113" s="3"/>
      <c r="W113" s="3"/>
      <c r="X113" s="3"/>
      <c r="Y113" s="3"/>
      <c r="Z113" s="3"/>
    </row>
    <row r="114" spans="1:26" ht="12" customHeight="1">
      <c r="A114" s="3"/>
      <c r="B114" s="314"/>
      <c r="C114" s="3"/>
      <c r="D114" s="53"/>
      <c r="E114" s="3"/>
      <c r="F114" s="53"/>
      <c r="G114" s="3"/>
      <c r="H114" s="3"/>
      <c r="I114" s="3"/>
      <c r="J114" s="3"/>
      <c r="K114" s="3"/>
      <c r="L114" s="3"/>
      <c r="M114" s="3"/>
      <c r="N114" s="3"/>
      <c r="O114" s="3"/>
      <c r="P114" s="3"/>
      <c r="Q114" s="3"/>
      <c r="R114" s="3"/>
      <c r="S114" s="3"/>
      <c r="T114" s="3"/>
      <c r="U114" s="3"/>
      <c r="V114" s="3"/>
      <c r="W114" s="3"/>
      <c r="X114" s="3"/>
      <c r="Y114" s="3"/>
      <c r="Z114" s="3"/>
    </row>
    <row r="115" spans="1:26" ht="15.75">
      <c r="A115" s="53"/>
      <c r="B115" s="53"/>
      <c r="C115" s="325" t="s">
        <v>273</v>
      </c>
      <c r="D115" s="347"/>
      <c r="E115" s="326" t="s">
        <v>243</v>
      </c>
      <c r="F115" s="327" t="str">
        <f t="shared" ref="F115:J115" si="15">F$4</f>
        <v>2026F</v>
      </c>
      <c r="G115" s="327" t="str">
        <f t="shared" si="15"/>
        <v>2027F</v>
      </c>
      <c r="H115" s="327" t="str">
        <f t="shared" si="15"/>
        <v>2028F</v>
      </c>
      <c r="I115" s="327" t="str">
        <f t="shared" si="15"/>
        <v>2029F</v>
      </c>
      <c r="J115" s="327" t="str">
        <f t="shared" si="15"/>
        <v>2030F</v>
      </c>
      <c r="K115" s="3"/>
      <c r="L115" s="3"/>
      <c r="M115" s="3"/>
      <c r="N115" s="3"/>
      <c r="O115" s="3"/>
      <c r="P115" s="3"/>
      <c r="Q115" s="3"/>
      <c r="R115" s="3"/>
      <c r="S115" s="3"/>
      <c r="T115" s="3"/>
      <c r="U115" s="3"/>
      <c r="V115" s="3"/>
      <c r="W115" s="3"/>
      <c r="X115" s="3"/>
      <c r="Y115" s="3"/>
      <c r="Z115" s="3"/>
    </row>
    <row r="116" spans="1:26" ht="12" customHeight="1">
      <c r="A116" s="53"/>
      <c r="B116" s="328" t="str">
        <f t="shared" ref="B116:B126" si="16">D116&amp;"."&amp;C116</f>
        <v>Residential.Rate Rider Calculation for Forgone Revenue - variable</v>
      </c>
      <c r="C116" s="328" t="str">
        <f t="shared" ref="C116:C126" si="17">C$115</f>
        <v>Rate Rider Calculation for Forgone Revenue - variable</v>
      </c>
      <c r="D116" s="314" t="s">
        <v>247</v>
      </c>
      <c r="E116" s="182">
        <v>0</v>
      </c>
      <c r="F116" s="182">
        <v>0</v>
      </c>
      <c r="G116" s="182">
        <v>0</v>
      </c>
      <c r="H116" s="53"/>
      <c r="I116" s="53"/>
      <c r="J116" s="53"/>
      <c r="K116" s="3"/>
      <c r="L116" s="3"/>
      <c r="M116" s="3"/>
      <c r="N116" s="3"/>
      <c r="O116" s="3"/>
      <c r="P116" s="3"/>
      <c r="Q116" s="3"/>
      <c r="R116" s="3"/>
      <c r="S116" s="3"/>
      <c r="T116" s="3"/>
      <c r="U116" s="3"/>
      <c r="V116" s="3"/>
      <c r="W116" s="3"/>
      <c r="X116" s="3"/>
      <c r="Y116" s="3"/>
      <c r="Z116" s="3"/>
    </row>
    <row r="117" spans="1:26" ht="12" customHeight="1">
      <c r="A117" s="53"/>
      <c r="B117" s="328" t="str">
        <f t="shared" si="16"/>
        <v>General Service &lt; 50 kW.Rate Rider Calculation for Forgone Revenue - variable</v>
      </c>
      <c r="C117" s="328" t="str">
        <f t="shared" si="17"/>
        <v>Rate Rider Calculation for Forgone Revenue - variable</v>
      </c>
      <c r="D117" s="314" t="s">
        <v>248</v>
      </c>
      <c r="E117" s="182">
        <v>0</v>
      </c>
      <c r="F117" s="332">
        <v>1.4E-3</v>
      </c>
      <c r="G117" s="332">
        <v>1.4E-3</v>
      </c>
      <c r="H117" s="53"/>
      <c r="I117" s="53"/>
      <c r="J117" s="53"/>
      <c r="K117" s="3"/>
      <c r="L117" s="3"/>
      <c r="M117" s="3"/>
      <c r="N117" s="3"/>
      <c r="O117" s="3"/>
      <c r="P117" s="3"/>
      <c r="Q117" s="3"/>
      <c r="R117" s="3"/>
      <c r="S117" s="3"/>
      <c r="T117" s="3"/>
      <c r="U117" s="3"/>
      <c r="V117" s="3"/>
      <c r="W117" s="3"/>
      <c r="X117" s="3"/>
      <c r="Y117" s="3"/>
      <c r="Z117" s="3"/>
    </row>
    <row r="118" spans="1:26" ht="12" customHeight="1">
      <c r="A118" s="53"/>
      <c r="B118" s="328" t="str">
        <f t="shared" si="16"/>
        <v>General Service 50 to 1,499 KW.Rate Rider Calculation for Forgone Revenue - variable</v>
      </c>
      <c r="C118" s="328" t="str">
        <f t="shared" si="17"/>
        <v>Rate Rider Calculation for Forgone Revenue - variable</v>
      </c>
      <c r="D118" s="314" t="s">
        <v>249</v>
      </c>
      <c r="E118" s="182">
        <v>0</v>
      </c>
      <c r="F118" s="332">
        <v>0.45269999999999999</v>
      </c>
      <c r="G118" s="332">
        <v>0.45269999999999999</v>
      </c>
      <c r="H118" s="53"/>
      <c r="I118" s="53"/>
      <c r="J118" s="53"/>
      <c r="K118" s="3"/>
      <c r="L118" s="3"/>
      <c r="M118" s="3"/>
      <c r="N118" s="3"/>
      <c r="O118" s="3"/>
      <c r="P118" s="3"/>
      <c r="Q118" s="3"/>
      <c r="R118" s="3"/>
      <c r="S118" s="3"/>
      <c r="T118" s="3"/>
      <c r="U118" s="3"/>
      <c r="V118" s="3"/>
      <c r="W118" s="3"/>
      <c r="X118" s="3"/>
      <c r="Y118" s="3"/>
      <c r="Z118" s="3"/>
    </row>
    <row r="119" spans="1:26" ht="12" customHeight="1">
      <c r="A119" s="53"/>
      <c r="B119" s="328" t="str">
        <f t="shared" si="16"/>
        <v>General Service 1,500 to 4,999 KW.Rate Rider Calculation for Forgone Revenue - variable</v>
      </c>
      <c r="C119" s="328" t="str">
        <f t="shared" si="17"/>
        <v>Rate Rider Calculation for Forgone Revenue - variable</v>
      </c>
      <c r="D119" s="314" t="s">
        <v>250</v>
      </c>
      <c r="E119" s="182">
        <v>0</v>
      </c>
      <c r="F119" s="332">
        <v>0.48420000000000002</v>
      </c>
      <c r="G119" s="332">
        <v>0.48420000000000002</v>
      </c>
      <c r="H119" s="53"/>
      <c r="I119" s="53"/>
      <c r="J119" s="53"/>
      <c r="K119" s="3"/>
      <c r="L119" s="3"/>
      <c r="M119" s="3"/>
      <c r="N119" s="3"/>
      <c r="O119" s="3"/>
      <c r="P119" s="3"/>
      <c r="Q119" s="3"/>
      <c r="R119" s="3"/>
      <c r="S119" s="3"/>
      <c r="T119" s="3"/>
      <c r="U119" s="3"/>
      <c r="V119" s="3"/>
      <c r="W119" s="3"/>
      <c r="X119" s="3"/>
      <c r="Y119" s="3"/>
      <c r="Z119" s="3"/>
    </row>
    <row r="120" spans="1:26" ht="12" customHeight="1">
      <c r="A120" s="53"/>
      <c r="B120" s="328" t="str">
        <f t="shared" si="16"/>
        <v>Large User.Rate Rider Calculation for Forgone Revenue - variable</v>
      </c>
      <c r="C120" s="328" t="str">
        <f t="shared" si="17"/>
        <v>Rate Rider Calculation for Forgone Revenue - variable</v>
      </c>
      <c r="D120" s="314" t="s">
        <v>251</v>
      </c>
      <c r="E120" s="182">
        <v>0</v>
      </c>
      <c r="F120" s="332">
        <v>0.76329999999999998</v>
      </c>
      <c r="G120" s="332">
        <v>0.76329999999999998</v>
      </c>
      <c r="H120" s="53"/>
      <c r="I120" s="53"/>
      <c r="J120" s="53"/>
      <c r="K120" s="3"/>
      <c r="L120" s="3"/>
      <c r="M120" s="3"/>
      <c r="N120" s="3"/>
      <c r="O120" s="3"/>
      <c r="P120" s="3"/>
      <c r="Q120" s="3"/>
      <c r="R120" s="3"/>
      <c r="S120" s="3"/>
      <c r="T120" s="3"/>
      <c r="U120" s="3"/>
      <c r="V120" s="3"/>
      <c r="W120" s="3"/>
      <c r="X120" s="3"/>
      <c r="Y120" s="3"/>
      <c r="Z120" s="3"/>
    </row>
    <row r="121" spans="1:26" ht="12" customHeight="1">
      <c r="A121" s="53"/>
      <c r="B121" s="328" t="str">
        <f t="shared" si="16"/>
        <v>Street Light.Rate Rider Calculation for Forgone Revenue - variable</v>
      </c>
      <c r="C121" s="328" t="str">
        <f t="shared" si="17"/>
        <v>Rate Rider Calculation for Forgone Revenue - variable</v>
      </c>
      <c r="D121" s="314" t="s">
        <v>252</v>
      </c>
      <c r="E121" s="182">
        <v>0</v>
      </c>
      <c r="F121" s="332">
        <v>0.20150000000000001</v>
      </c>
      <c r="G121" s="332">
        <v>0.20150000000000001</v>
      </c>
      <c r="H121" s="53"/>
      <c r="I121" s="53"/>
      <c r="J121" s="53"/>
      <c r="K121" s="3"/>
      <c r="L121" s="3"/>
      <c r="M121" s="3"/>
      <c r="N121" s="3"/>
      <c r="O121" s="3"/>
      <c r="P121" s="3"/>
      <c r="Q121" s="3"/>
      <c r="R121" s="3"/>
      <c r="S121" s="3"/>
      <c r="T121" s="3"/>
      <c r="U121" s="3"/>
      <c r="V121" s="3"/>
      <c r="W121" s="3"/>
      <c r="X121" s="3"/>
      <c r="Y121" s="3"/>
      <c r="Z121" s="3"/>
    </row>
    <row r="122" spans="1:26" ht="12" customHeight="1">
      <c r="A122" s="53"/>
      <c r="B122" s="328" t="str">
        <f t="shared" si="16"/>
        <v>Sentinel Lights.Rate Rider Calculation for Forgone Revenue - variable</v>
      </c>
      <c r="C122" s="328" t="str">
        <f t="shared" si="17"/>
        <v>Rate Rider Calculation for Forgone Revenue - variable</v>
      </c>
      <c r="D122" s="314" t="s">
        <v>253</v>
      </c>
      <c r="E122" s="182">
        <v>0</v>
      </c>
      <c r="F122" s="332">
        <v>1.8109999999999999</v>
      </c>
      <c r="G122" s="332">
        <v>1.8109999999999999</v>
      </c>
      <c r="H122" s="53"/>
      <c r="I122" s="53"/>
      <c r="J122" s="53"/>
      <c r="K122" s="3"/>
      <c r="L122" s="3"/>
      <c r="M122" s="3"/>
      <c r="N122" s="3"/>
      <c r="O122" s="3"/>
      <c r="P122" s="3"/>
      <c r="Q122" s="3"/>
      <c r="R122" s="3"/>
      <c r="S122" s="3"/>
      <c r="T122" s="3"/>
      <c r="U122" s="3"/>
      <c r="V122" s="3"/>
      <c r="W122" s="3"/>
      <c r="X122" s="3"/>
      <c r="Y122" s="3"/>
      <c r="Z122" s="3"/>
    </row>
    <row r="123" spans="1:26" ht="12" customHeight="1">
      <c r="A123" s="53"/>
      <c r="B123" s="328" t="str">
        <f t="shared" si="16"/>
        <v>Unmetered Scattered Load.Rate Rider Calculation for Forgone Revenue - variable</v>
      </c>
      <c r="C123" s="328" t="str">
        <f t="shared" si="17"/>
        <v>Rate Rider Calculation for Forgone Revenue - variable</v>
      </c>
      <c r="D123" s="314" t="s">
        <v>254</v>
      </c>
      <c r="E123" s="182">
        <v>0</v>
      </c>
      <c r="F123" s="332">
        <v>1.9E-3</v>
      </c>
      <c r="G123" s="332">
        <v>1.9E-3</v>
      </c>
      <c r="H123" s="53"/>
      <c r="I123" s="53"/>
      <c r="J123" s="53"/>
      <c r="K123" s="3"/>
      <c r="L123" s="3"/>
      <c r="M123" s="3"/>
      <c r="N123" s="3"/>
      <c r="O123" s="3"/>
      <c r="P123" s="3"/>
      <c r="Q123" s="3"/>
      <c r="R123" s="3"/>
      <c r="S123" s="3"/>
      <c r="T123" s="3"/>
      <c r="U123" s="3"/>
      <c r="V123" s="3"/>
      <c r="W123" s="3"/>
      <c r="X123" s="3"/>
      <c r="Y123" s="3"/>
      <c r="Z123" s="3"/>
    </row>
    <row r="124" spans="1:26" ht="12" customHeight="1">
      <c r="A124" s="53"/>
      <c r="B124" s="328" t="str">
        <f t="shared" si="16"/>
        <v>Standby Power General Service 50 to 1,499 KW.Rate Rider Calculation for Forgone Revenue - variable</v>
      </c>
      <c r="C124" s="328" t="str">
        <f t="shared" si="17"/>
        <v>Rate Rider Calculation for Forgone Revenue - variable</v>
      </c>
      <c r="D124" s="314" t="s">
        <v>255</v>
      </c>
      <c r="E124" s="182">
        <v>0</v>
      </c>
      <c r="F124" s="332">
        <v>0.56589999999999996</v>
      </c>
      <c r="G124" s="332">
        <v>0.56589999999999996</v>
      </c>
      <c r="H124" s="53"/>
      <c r="I124" s="53"/>
      <c r="J124" s="53"/>
      <c r="K124" s="3"/>
      <c r="L124" s="3"/>
      <c r="M124" s="3"/>
      <c r="N124" s="3"/>
      <c r="O124" s="3"/>
      <c r="P124" s="3"/>
      <c r="Q124" s="3"/>
      <c r="R124" s="3"/>
      <c r="S124" s="3"/>
      <c r="T124" s="3"/>
      <c r="U124" s="3"/>
      <c r="V124" s="3"/>
      <c r="W124" s="3"/>
      <c r="X124" s="3"/>
      <c r="Y124" s="3"/>
      <c r="Z124" s="3"/>
    </row>
    <row r="125" spans="1:26" ht="12" customHeight="1">
      <c r="A125" s="53"/>
      <c r="B125" s="328" t="str">
        <f t="shared" si="16"/>
        <v>Standby Power General Service 1,500 to 4,999 KW.Rate Rider Calculation for Forgone Revenue - variable</v>
      </c>
      <c r="C125" s="328" t="str">
        <f t="shared" si="17"/>
        <v>Rate Rider Calculation for Forgone Revenue - variable</v>
      </c>
      <c r="D125" s="314" t="s">
        <v>256</v>
      </c>
      <c r="E125" s="182">
        <v>0</v>
      </c>
      <c r="F125" s="332">
        <v>0.57720000000000005</v>
      </c>
      <c r="G125" s="332">
        <v>0.57720000000000005</v>
      </c>
      <c r="H125" s="53"/>
      <c r="I125" s="53"/>
      <c r="J125" s="53"/>
      <c r="K125" s="3"/>
      <c r="L125" s="3"/>
      <c r="M125" s="3"/>
      <c r="N125" s="3"/>
      <c r="O125" s="3"/>
      <c r="P125" s="3"/>
      <c r="Q125" s="3"/>
      <c r="R125" s="3"/>
      <c r="S125" s="3"/>
      <c r="T125" s="3"/>
      <c r="U125" s="3"/>
      <c r="V125" s="3"/>
      <c r="W125" s="3"/>
      <c r="X125" s="3"/>
      <c r="Y125" s="3"/>
      <c r="Z125" s="3"/>
    </row>
    <row r="126" spans="1:26" ht="12" customHeight="1">
      <c r="A126" s="53"/>
      <c r="B126" s="328" t="str">
        <f t="shared" si="16"/>
        <v>Standby Power Large Use.Rate Rider Calculation for Forgone Revenue - variable</v>
      </c>
      <c r="C126" s="328" t="str">
        <f t="shared" si="17"/>
        <v>Rate Rider Calculation for Forgone Revenue - variable</v>
      </c>
      <c r="D126" s="314" t="s">
        <v>257</v>
      </c>
      <c r="E126" s="182">
        <v>0</v>
      </c>
      <c r="F126" s="332">
        <v>0.60329999999999995</v>
      </c>
      <c r="G126" s="332">
        <v>0.60329999999999995</v>
      </c>
      <c r="H126" s="53"/>
      <c r="I126" s="53"/>
      <c r="J126" s="53"/>
      <c r="K126" s="3"/>
      <c r="L126" s="3"/>
      <c r="M126" s="3"/>
      <c r="N126" s="3"/>
      <c r="O126" s="3"/>
      <c r="P126" s="3"/>
      <c r="Q126" s="3"/>
      <c r="R126" s="3"/>
      <c r="S126" s="3"/>
      <c r="T126" s="3"/>
      <c r="U126" s="3"/>
      <c r="V126" s="3"/>
      <c r="W126" s="3"/>
      <c r="X126" s="3"/>
      <c r="Y126" s="3"/>
      <c r="Z126" s="3"/>
    </row>
    <row r="127" spans="1:26" ht="12" customHeight="1">
      <c r="A127" s="3"/>
      <c r="B127" s="314"/>
      <c r="C127" s="3"/>
      <c r="D127" s="53"/>
      <c r="E127" s="3"/>
      <c r="F127" s="53"/>
      <c r="G127" s="3"/>
      <c r="H127" s="3"/>
      <c r="I127" s="3"/>
      <c r="J127" s="3"/>
      <c r="K127" s="3"/>
      <c r="L127" s="3"/>
      <c r="M127" s="3"/>
      <c r="N127" s="3"/>
      <c r="O127" s="3"/>
      <c r="P127" s="3"/>
      <c r="Q127" s="3"/>
      <c r="R127" s="3"/>
      <c r="S127" s="3"/>
      <c r="T127" s="3"/>
      <c r="U127" s="3"/>
      <c r="V127" s="3"/>
      <c r="W127" s="3"/>
      <c r="X127" s="3"/>
      <c r="Y127" s="3"/>
      <c r="Z127" s="3"/>
    </row>
    <row r="128" spans="1:26" ht="15.75">
      <c r="A128" s="3"/>
      <c r="B128" s="328"/>
      <c r="C128" s="325" t="s">
        <v>274</v>
      </c>
      <c r="D128" s="348"/>
      <c r="E128" s="326" t="s">
        <v>243</v>
      </c>
      <c r="F128" s="327" t="str">
        <f t="shared" ref="F128:J128" si="18">F$4</f>
        <v>2026F</v>
      </c>
      <c r="G128" s="327" t="str">
        <f t="shared" si="18"/>
        <v>2027F</v>
      </c>
      <c r="H128" s="327" t="str">
        <f t="shared" si="18"/>
        <v>2028F</v>
      </c>
      <c r="I128" s="327" t="str">
        <f t="shared" si="18"/>
        <v>2029F</v>
      </c>
      <c r="J128" s="327" t="str">
        <f t="shared" si="18"/>
        <v>2030F</v>
      </c>
      <c r="K128" s="3"/>
      <c r="L128" s="3"/>
      <c r="M128" s="3"/>
      <c r="N128" s="3"/>
      <c r="O128" s="3"/>
      <c r="P128" s="3"/>
      <c r="Q128" s="3"/>
      <c r="R128" s="3"/>
      <c r="S128" s="3"/>
      <c r="T128" s="3"/>
      <c r="U128" s="3"/>
      <c r="V128" s="3"/>
      <c r="W128" s="3"/>
      <c r="X128" s="3"/>
      <c r="Y128" s="3"/>
      <c r="Z128" s="3"/>
    </row>
    <row r="129" spans="1:26" ht="12" customHeight="1">
      <c r="A129" s="53"/>
      <c r="B129" s="328" t="str">
        <f t="shared" ref="B129:B142" si="19">D129&amp;"."&amp;C129</f>
        <v>Residential.Rate Rider Calculation for Forgone Revenue - fixed</v>
      </c>
      <c r="C129" s="328" t="str">
        <f t="shared" ref="C129:C142" si="20">$C$128</f>
        <v>Rate Rider Calculation for Forgone Revenue - fixed</v>
      </c>
      <c r="D129" s="314" t="s">
        <v>247</v>
      </c>
      <c r="E129" s="182">
        <v>0</v>
      </c>
      <c r="F129" s="332">
        <v>1.84</v>
      </c>
      <c r="G129" s="332">
        <v>1.84</v>
      </c>
      <c r="H129" s="53"/>
      <c r="I129" s="53"/>
      <c r="J129" s="53"/>
      <c r="K129" s="3"/>
      <c r="L129" s="3"/>
      <c r="M129" s="3"/>
      <c r="N129" s="3"/>
      <c r="O129" s="3"/>
      <c r="P129" s="3"/>
      <c r="Q129" s="3"/>
      <c r="R129" s="3"/>
      <c r="S129" s="3"/>
      <c r="T129" s="3"/>
      <c r="U129" s="3"/>
      <c r="V129" s="3"/>
      <c r="W129" s="3"/>
      <c r="X129" s="3"/>
      <c r="Y129" s="3"/>
      <c r="Z129" s="3"/>
    </row>
    <row r="130" spans="1:26" ht="12" customHeight="1">
      <c r="A130" s="53"/>
      <c r="B130" s="328" t="str">
        <f t="shared" si="19"/>
        <v>General Service &lt; 50 kW.Rate Rider Calculation for Forgone Revenue - fixed</v>
      </c>
      <c r="C130" s="328" t="str">
        <f t="shared" si="20"/>
        <v>Rate Rider Calculation for Forgone Revenue - fixed</v>
      </c>
      <c r="D130" s="314" t="s">
        <v>248</v>
      </c>
      <c r="E130" s="182">
        <v>0</v>
      </c>
      <c r="F130" s="332">
        <v>0.99</v>
      </c>
      <c r="G130" s="332">
        <v>0.99</v>
      </c>
      <c r="H130" s="53"/>
      <c r="I130" s="53"/>
      <c r="J130" s="53"/>
      <c r="K130" s="3"/>
      <c r="L130" s="3"/>
      <c r="M130" s="3"/>
      <c r="N130" s="3"/>
      <c r="O130" s="3"/>
      <c r="P130" s="3"/>
      <c r="Q130" s="3"/>
      <c r="R130" s="3"/>
      <c r="S130" s="3"/>
      <c r="T130" s="3"/>
      <c r="U130" s="3"/>
      <c r="V130" s="3"/>
      <c r="W130" s="3"/>
      <c r="X130" s="3"/>
      <c r="Y130" s="3"/>
      <c r="Z130" s="3"/>
    </row>
    <row r="131" spans="1:26" ht="12" customHeight="1">
      <c r="A131" s="53"/>
      <c r="B131" s="328" t="str">
        <f t="shared" si="19"/>
        <v>General Service 50 to 1,499 KW.Rate Rider Calculation for Forgone Revenue - fixed</v>
      </c>
      <c r="C131" s="328" t="str">
        <f t="shared" si="20"/>
        <v>Rate Rider Calculation for Forgone Revenue - fixed</v>
      </c>
      <c r="D131" s="314" t="s">
        <v>249</v>
      </c>
      <c r="E131" s="182">
        <v>0</v>
      </c>
      <c r="F131" s="332">
        <v>-0.62</v>
      </c>
      <c r="G131" s="332">
        <v>-0.62</v>
      </c>
      <c r="H131" s="53"/>
      <c r="I131" s="53"/>
      <c r="J131" s="53"/>
      <c r="K131" s="3"/>
      <c r="L131" s="3"/>
      <c r="M131" s="3"/>
      <c r="N131" s="3"/>
      <c r="O131" s="3"/>
      <c r="P131" s="3"/>
      <c r="Q131" s="3"/>
      <c r="R131" s="3"/>
      <c r="S131" s="3"/>
      <c r="T131" s="3"/>
      <c r="U131" s="3"/>
      <c r="V131" s="3"/>
      <c r="W131" s="3"/>
      <c r="X131" s="3"/>
      <c r="Y131" s="3"/>
      <c r="Z131" s="3"/>
    </row>
    <row r="132" spans="1:26" ht="12" customHeight="1">
      <c r="A132" s="53"/>
      <c r="B132" s="328" t="str">
        <f t="shared" si="19"/>
        <v>General Service 1,500 to 4,999 KW.Rate Rider Calculation for Forgone Revenue - fixed</v>
      </c>
      <c r="C132" s="328" t="str">
        <f t="shared" si="20"/>
        <v>Rate Rider Calculation for Forgone Revenue - fixed</v>
      </c>
      <c r="D132" s="314" t="s">
        <v>250</v>
      </c>
      <c r="E132" s="182">
        <v>0</v>
      </c>
      <c r="F132" s="332">
        <v>-12</v>
      </c>
      <c r="G132" s="332">
        <v>-12</v>
      </c>
      <c r="H132" s="53"/>
      <c r="I132" s="53"/>
      <c r="J132" s="53"/>
      <c r="K132" s="3"/>
      <c r="L132" s="3"/>
      <c r="M132" s="3"/>
      <c r="N132" s="3"/>
      <c r="O132" s="3"/>
      <c r="P132" s="3"/>
      <c r="Q132" s="3"/>
      <c r="R132" s="3"/>
      <c r="S132" s="3"/>
      <c r="T132" s="3"/>
      <c r="U132" s="3"/>
      <c r="V132" s="3"/>
      <c r="W132" s="3"/>
      <c r="X132" s="3"/>
      <c r="Y132" s="3"/>
      <c r="Z132" s="3"/>
    </row>
    <row r="133" spans="1:26" ht="12" customHeight="1">
      <c r="A133" s="53"/>
      <c r="B133" s="328" t="str">
        <f t="shared" si="19"/>
        <v>Large User.Rate Rider Calculation for Forgone Revenue - fixed</v>
      </c>
      <c r="C133" s="328" t="str">
        <f t="shared" si="20"/>
        <v>Rate Rider Calculation for Forgone Revenue - fixed</v>
      </c>
      <c r="D133" s="314" t="s">
        <v>251</v>
      </c>
      <c r="E133" s="182">
        <v>0</v>
      </c>
      <c r="F133" s="332">
        <v>-44.07</v>
      </c>
      <c r="G133" s="332">
        <v>-44.07</v>
      </c>
      <c r="H133" s="53"/>
      <c r="I133" s="53"/>
      <c r="J133" s="53"/>
      <c r="K133" s="3"/>
      <c r="L133" s="3"/>
      <c r="M133" s="3"/>
      <c r="N133" s="3"/>
      <c r="O133" s="3"/>
      <c r="P133" s="3"/>
      <c r="Q133" s="3"/>
      <c r="R133" s="3"/>
      <c r="S133" s="3"/>
      <c r="T133" s="3"/>
      <c r="U133" s="3"/>
      <c r="V133" s="3"/>
      <c r="W133" s="3"/>
      <c r="X133" s="3"/>
      <c r="Y133" s="3"/>
      <c r="Z133" s="3"/>
    </row>
    <row r="134" spans="1:26" ht="12" customHeight="1">
      <c r="A134" s="53"/>
      <c r="B134" s="328" t="str">
        <f t="shared" si="19"/>
        <v>Street Light.Rate Rider Calculation for Forgone Revenue - fixed</v>
      </c>
      <c r="C134" s="328" t="str">
        <f t="shared" si="20"/>
        <v>Rate Rider Calculation for Forgone Revenue - fixed</v>
      </c>
      <c r="D134" s="314" t="s">
        <v>252</v>
      </c>
      <c r="E134" s="182">
        <v>0</v>
      </c>
      <c r="F134" s="332">
        <v>0.03</v>
      </c>
      <c r="G134" s="332">
        <v>0.03</v>
      </c>
      <c r="H134" s="53"/>
      <c r="I134" s="53"/>
      <c r="J134" s="53"/>
      <c r="K134" s="3"/>
      <c r="L134" s="3"/>
      <c r="M134" s="3"/>
      <c r="N134" s="3"/>
      <c r="O134" s="3"/>
      <c r="P134" s="3"/>
      <c r="Q134" s="3"/>
      <c r="R134" s="3"/>
      <c r="S134" s="3"/>
      <c r="T134" s="3"/>
      <c r="U134" s="3"/>
      <c r="V134" s="3"/>
      <c r="W134" s="3"/>
      <c r="X134" s="3"/>
      <c r="Y134" s="3"/>
      <c r="Z134" s="3"/>
    </row>
    <row r="135" spans="1:26" ht="12" customHeight="1">
      <c r="A135" s="53"/>
      <c r="B135" s="328" t="str">
        <f t="shared" si="19"/>
        <v>Sentinel Lights.Rate Rider Calculation for Forgone Revenue - fixed</v>
      </c>
      <c r="C135" s="328" t="str">
        <f t="shared" si="20"/>
        <v>Rate Rider Calculation for Forgone Revenue - fixed</v>
      </c>
      <c r="D135" s="314" t="s">
        <v>253</v>
      </c>
      <c r="E135" s="182">
        <v>0</v>
      </c>
      <c r="F135" s="332">
        <v>0.37</v>
      </c>
      <c r="G135" s="332">
        <v>0.37</v>
      </c>
      <c r="H135" s="53"/>
      <c r="I135" s="53"/>
      <c r="J135" s="53"/>
      <c r="K135" s="3"/>
      <c r="L135" s="3"/>
      <c r="M135" s="3"/>
      <c r="N135" s="3"/>
      <c r="O135" s="3"/>
      <c r="P135" s="3"/>
      <c r="Q135" s="3"/>
      <c r="R135" s="3"/>
      <c r="S135" s="3"/>
      <c r="T135" s="3"/>
      <c r="U135" s="3"/>
      <c r="V135" s="3"/>
      <c r="W135" s="3"/>
      <c r="X135" s="3"/>
      <c r="Y135" s="3"/>
      <c r="Z135" s="3"/>
    </row>
    <row r="136" spans="1:26" ht="12" customHeight="1">
      <c r="A136" s="53"/>
      <c r="B136" s="328" t="str">
        <f t="shared" si="19"/>
        <v>Unmetered Scattered Load.Rate Rider Calculation for Forgone Revenue - fixed</v>
      </c>
      <c r="C136" s="328" t="str">
        <f t="shared" si="20"/>
        <v>Rate Rider Calculation for Forgone Revenue - fixed</v>
      </c>
      <c r="D136" s="314" t="s">
        <v>254</v>
      </c>
      <c r="E136" s="182">
        <v>0</v>
      </c>
      <c r="F136" s="332">
        <v>0.37</v>
      </c>
      <c r="G136" s="332">
        <v>0.37</v>
      </c>
      <c r="H136" s="53"/>
      <c r="I136" s="53"/>
      <c r="J136" s="53"/>
      <c r="K136" s="3"/>
      <c r="L136" s="3"/>
      <c r="M136" s="3"/>
      <c r="N136" s="3"/>
      <c r="O136" s="3"/>
      <c r="P136" s="3"/>
      <c r="Q136" s="3"/>
      <c r="R136" s="3"/>
      <c r="S136" s="3"/>
      <c r="T136" s="3"/>
      <c r="U136" s="3"/>
      <c r="V136" s="3"/>
      <c r="W136" s="3"/>
      <c r="X136" s="3"/>
      <c r="Y136" s="3"/>
      <c r="Z136" s="3"/>
    </row>
    <row r="137" spans="1:26" ht="12" customHeight="1">
      <c r="A137" s="53"/>
      <c r="B137" s="328" t="str">
        <f t="shared" si="19"/>
        <v>Standby Power General Service 50 to 1,499 KW.Rate Rider Calculation for Forgone Revenue - fixed</v>
      </c>
      <c r="C137" s="328" t="str">
        <f t="shared" si="20"/>
        <v>Rate Rider Calculation for Forgone Revenue - fixed</v>
      </c>
      <c r="D137" s="314" t="s">
        <v>255</v>
      </c>
      <c r="E137" s="182">
        <v>0</v>
      </c>
      <c r="F137" s="332">
        <v>-0.56999999999999995</v>
      </c>
      <c r="G137" s="332">
        <v>-0.56999999999999995</v>
      </c>
      <c r="H137" s="53"/>
      <c r="I137" s="53"/>
      <c r="J137" s="53"/>
      <c r="K137" s="3"/>
      <c r="L137" s="3"/>
      <c r="M137" s="3"/>
      <c r="N137" s="3"/>
      <c r="O137" s="3"/>
      <c r="P137" s="3"/>
      <c r="Q137" s="3"/>
      <c r="R137" s="3"/>
      <c r="S137" s="3"/>
      <c r="T137" s="3"/>
      <c r="U137" s="3"/>
      <c r="V137" s="3"/>
      <c r="W137" s="3"/>
      <c r="X137" s="3"/>
      <c r="Y137" s="3"/>
      <c r="Z137" s="3"/>
    </row>
    <row r="138" spans="1:26" ht="12" customHeight="1">
      <c r="A138" s="53"/>
      <c r="B138" s="328" t="str">
        <f t="shared" si="19"/>
        <v>Standby Power General Service 1,500 to 4,999 KW.Rate Rider Calculation for Forgone Revenue - fixed</v>
      </c>
      <c r="C138" s="328" t="str">
        <f t="shared" si="20"/>
        <v>Rate Rider Calculation for Forgone Revenue - fixed</v>
      </c>
      <c r="D138" s="314" t="s">
        <v>256</v>
      </c>
      <c r="E138" s="182">
        <v>0</v>
      </c>
      <c r="F138" s="332">
        <v>-0.56999999999999995</v>
      </c>
      <c r="G138" s="332">
        <v>-0.56999999999999995</v>
      </c>
      <c r="H138" s="53"/>
      <c r="I138" s="53"/>
      <c r="J138" s="53"/>
      <c r="K138" s="3"/>
      <c r="L138" s="3"/>
      <c r="M138" s="3"/>
      <c r="N138" s="3"/>
      <c r="O138" s="3"/>
      <c r="P138" s="3"/>
      <c r="Q138" s="3"/>
      <c r="R138" s="3"/>
      <c r="S138" s="3"/>
      <c r="T138" s="3"/>
      <c r="U138" s="3"/>
      <c r="V138" s="3"/>
      <c r="W138" s="3"/>
      <c r="X138" s="3"/>
      <c r="Y138" s="3"/>
      <c r="Z138" s="3"/>
    </row>
    <row r="139" spans="1:26" ht="12" customHeight="1">
      <c r="A139" s="53"/>
      <c r="B139" s="328" t="str">
        <f t="shared" si="19"/>
        <v>Standby Power Large Use.Rate Rider Calculation for Forgone Revenue - fixed</v>
      </c>
      <c r="C139" s="328" t="str">
        <f t="shared" si="20"/>
        <v>Rate Rider Calculation for Forgone Revenue - fixed</v>
      </c>
      <c r="D139" s="314" t="s">
        <v>257</v>
      </c>
      <c r="E139" s="182">
        <v>0</v>
      </c>
      <c r="F139" s="332">
        <v>-0.56999999999999995</v>
      </c>
      <c r="G139" s="332">
        <v>-0.56999999999999995</v>
      </c>
      <c r="H139" s="53"/>
      <c r="I139" s="53"/>
      <c r="J139" s="53"/>
      <c r="K139" s="3"/>
      <c r="L139" s="3"/>
      <c r="M139" s="3"/>
      <c r="N139" s="3"/>
      <c r="O139" s="3"/>
      <c r="P139" s="3"/>
      <c r="Q139" s="3"/>
      <c r="R139" s="3"/>
      <c r="S139" s="3"/>
      <c r="T139" s="3"/>
      <c r="U139" s="3"/>
      <c r="V139" s="3"/>
      <c r="W139" s="3"/>
      <c r="X139" s="3"/>
      <c r="Y139" s="3"/>
      <c r="Z139" s="3"/>
    </row>
    <row r="140" spans="1:26" ht="12" customHeight="1">
      <c r="A140" s="53"/>
      <c r="B140" s="328" t="str">
        <f t="shared" si="19"/>
        <v>MicroFIT.Rate Rider Calculation for Forgone Revenue - fixed</v>
      </c>
      <c r="C140" s="328" t="str">
        <f t="shared" si="20"/>
        <v>Rate Rider Calculation for Forgone Revenue - fixed</v>
      </c>
      <c r="D140" s="314" t="s">
        <v>275</v>
      </c>
      <c r="E140" s="182">
        <v>0</v>
      </c>
      <c r="F140" s="332">
        <v>-2.15</v>
      </c>
      <c r="G140" s="332">
        <v>-2.15</v>
      </c>
      <c r="H140" s="53"/>
      <c r="I140" s="53"/>
      <c r="J140" s="53"/>
      <c r="K140" s="3"/>
      <c r="L140" s="3"/>
      <c r="M140" s="3"/>
      <c r="N140" s="3"/>
      <c r="O140" s="3"/>
      <c r="P140" s="3"/>
      <c r="Q140" s="3"/>
      <c r="R140" s="3"/>
      <c r="S140" s="3"/>
      <c r="T140" s="3"/>
      <c r="U140" s="3"/>
      <c r="V140" s="3"/>
      <c r="W140" s="3"/>
      <c r="X140" s="3"/>
      <c r="Y140" s="3"/>
      <c r="Z140" s="3"/>
    </row>
    <row r="141" spans="1:26" ht="12" customHeight="1">
      <c r="A141" s="53"/>
      <c r="B141" s="328" t="str">
        <f t="shared" si="19"/>
        <v>FIT.Rate Rider Calculation for Forgone Revenue - fixed</v>
      </c>
      <c r="C141" s="328" t="str">
        <f t="shared" si="20"/>
        <v>Rate Rider Calculation for Forgone Revenue - fixed</v>
      </c>
      <c r="D141" s="314" t="s">
        <v>276</v>
      </c>
      <c r="E141" s="182">
        <v>0</v>
      </c>
      <c r="F141" s="332">
        <v>1.01</v>
      </c>
      <c r="G141" s="332">
        <v>1.01</v>
      </c>
      <c r="H141" s="53"/>
      <c r="I141" s="53"/>
      <c r="J141" s="53"/>
      <c r="K141" s="3"/>
      <c r="L141" s="3"/>
      <c r="M141" s="3"/>
      <c r="N141" s="3"/>
      <c r="O141" s="3"/>
      <c r="P141" s="3"/>
      <c r="Q141" s="3"/>
      <c r="R141" s="3"/>
      <c r="S141" s="3"/>
      <c r="T141" s="3"/>
      <c r="U141" s="3"/>
      <c r="V141" s="3"/>
      <c r="W141" s="3"/>
      <c r="X141" s="3"/>
      <c r="Y141" s="3"/>
      <c r="Z141" s="3"/>
    </row>
    <row r="142" spans="1:26" ht="12" customHeight="1">
      <c r="A142" s="53"/>
      <c r="B142" s="328" t="str">
        <f t="shared" si="19"/>
        <v>HCI, RESOP.Rate Rider Calculation for Forgone Revenue - fixed</v>
      </c>
      <c r="C142" s="328" t="str">
        <f t="shared" si="20"/>
        <v>Rate Rider Calculation for Forgone Revenue - fixed</v>
      </c>
      <c r="D142" s="314" t="s">
        <v>277</v>
      </c>
      <c r="E142" s="182">
        <v>0</v>
      </c>
      <c r="F142" s="332">
        <v>-35.17</v>
      </c>
      <c r="G142" s="332">
        <v>-35.17</v>
      </c>
      <c r="H142" s="53"/>
      <c r="I142" s="53"/>
      <c r="J142" s="53"/>
      <c r="K142" s="3"/>
      <c r="L142" s="3"/>
      <c r="M142" s="3"/>
      <c r="N142" s="3"/>
      <c r="O142" s="3"/>
      <c r="P142" s="3"/>
      <c r="Q142" s="3"/>
      <c r="R142" s="3"/>
      <c r="S142" s="3"/>
      <c r="T142" s="3"/>
      <c r="U142" s="3"/>
      <c r="V142" s="3"/>
      <c r="W142" s="3"/>
      <c r="X142" s="3"/>
      <c r="Y142" s="3"/>
      <c r="Z142" s="3"/>
    </row>
    <row r="143" spans="1:26" ht="12" customHeight="1">
      <c r="A143" s="3"/>
      <c r="B143" s="314"/>
      <c r="C143" s="3"/>
      <c r="D143" s="3"/>
      <c r="E143" s="3"/>
      <c r="F143" s="3"/>
      <c r="G143" s="3"/>
      <c r="H143" s="346"/>
      <c r="I143" s="346"/>
      <c r="J143" s="3"/>
      <c r="K143" s="3"/>
      <c r="L143" s="3"/>
      <c r="M143" s="3"/>
      <c r="N143" s="3"/>
      <c r="O143" s="3"/>
      <c r="P143" s="3"/>
      <c r="Q143" s="3"/>
      <c r="R143" s="3"/>
      <c r="S143" s="3"/>
      <c r="T143" s="3"/>
      <c r="U143" s="3"/>
      <c r="V143" s="3"/>
      <c r="W143" s="3"/>
      <c r="X143" s="3"/>
      <c r="Y143" s="3"/>
      <c r="Z143" s="3"/>
    </row>
    <row r="144" spans="1:26" ht="15.75">
      <c r="A144" s="3"/>
      <c r="B144" s="53"/>
      <c r="C144" s="325" t="s">
        <v>278</v>
      </c>
      <c r="D144" s="3"/>
      <c r="E144" s="326" t="s">
        <v>243</v>
      </c>
      <c r="F144" s="327" t="str">
        <f t="shared" ref="F144:J144" si="21">F$4</f>
        <v>2026F</v>
      </c>
      <c r="G144" s="327" t="str">
        <f t="shared" si="21"/>
        <v>2027F</v>
      </c>
      <c r="H144" s="327" t="str">
        <f t="shared" si="21"/>
        <v>2028F</v>
      </c>
      <c r="I144" s="327" t="str">
        <f t="shared" si="21"/>
        <v>2029F</v>
      </c>
      <c r="J144" s="327" t="str">
        <f t="shared" si="21"/>
        <v>2030F</v>
      </c>
      <c r="K144" s="3"/>
      <c r="L144" s="3"/>
      <c r="M144" s="3"/>
      <c r="N144" s="3"/>
      <c r="O144" s="3"/>
      <c r="P144" s="3"/>
      <c r="Q144" s="3"/>
      <c r="R144" s="3"/>
      <c r="S144" s="3"/>
      <c r="T144" s="3"/>
      <c r="U144" s="3"/>
      <c r="V144" s="3"/>
      <c r="W144" s="3"/>
      <c r="X144" s="3"/>
      <c r="Y144" s="3"/>
      <c r="Z144" s="3"/>
    </row>
    <row r="145" spans="1:26" ht="12" customHeight="1">
      <c r="A145" s="3"/>
      <c r="B145" s="328" t="str">
        <f t="shared" ref="B145:B155" si="22">D145&amp;"."&amp;C145</f>
        <v>Residential.GA Rate Riders</v>
      </c>
      <c r="C145" s="328" t="s">
        <v>279</v>
      </c>
      <c r="D145" s="314" t="s">
        <v>247</v>
      </c>
      <c r="E145" s="313">
        <v>3.8999999999999998E-3</v>
      </c>
      <c r="F145" s="332">
        <v>4.4999999999999997E-3</v>
      </c>
      <c r="G145" s="332">
        <v>4.4999999999999997E-3</v>
      </c>
      <c r="H145" s="182">
        <v>0</v>
      </c>
      <c r="I145" s="182">
        <v>0</v>
      </c>
      <c r="J145" s="182">
        <v>0</v>
      </c>
      <c r="K145" s="3"/>
      <c r="L145" s="3"/>
      <c r="M145" s="3"/>
      <c r="N145" s="3"/>
      <c r="O145" s="3"/>
      <c r="P145" s="3"/>
      <c r="Q145" s="3"/>
      <c r="R145" s="3"/>
      <c r="S145" s="3"/>
      <c r="T145" s="3"/>
      <c r="U145" s="3"/>
      <c r="V145" s="3"/>
      <c r="W145" s="3"/>
      <c r="X145" s="3"/>
      <c r="Y145" s="3"/>
      <c r="Z145" s="3"/>
    </row>
    <row r="146" spans="1:26" ht="12" customHeight="1">
      <c r="A146" s="3"/>
      <c r="B146" s="328" t="str">
        <f t="shared" si="22"/>
        <v>General Service &lt; 50 kW.GA Rate Riders</v>
      </c>
      <c r="C146" s="328" t="s">
        <v>279</v>
      </c>
      <c r="D146" s="314" t="s">
        <v>248</v>
      </c>
      <c r="E146" s="313">
        <v>3.8999999999999998E-3</v>
      </c>
      <c r="F146" s="332">
        <v>4.4999999999999997E-3</v>
      </c>
      <c r="G146" s="332">
        <v>4.4999999999999997E-3</v>
      </c>
      <c r="H146" s="182">
        <v>0</v>
      </c>
      <c r="I146" s="182">
        <v>0</v>
      </c>
      <c r="J146" s="182">
        <v>0</v>
      </c>
      <c r="K146" s="3"/>
      <c r="L146" s="3"/>
      <c r="M146" s="3"/>
      <c r="N146" s="3"/>
      <c r="O146" s="3"/>
      <c r="P146" s="3"/>
      <c r="Q146" s="3"/>
      <c r="R146" s="3"/>
      <c r="S146" s="3"/>
      <c r="T146" s="3"/>
      <c r="U146" s="3"/>
      <c r="V146" s="3"/>
      <c r="W146" s="3"/>
      <c r="X146" s="3"/>
      <c r="Y146" s="3"/>
      <c r="Z146" s="3"/>
    </row>
    <row r="147" spans="1:26" ht="12" customHeight="1">
      <c r="A147" s="3"/>
      <c r="B147" s="328" t="str">
        <f t="shared" si="22"/>
        <v>General Service 50 to 1,499 KW.GA Rate Riders</v>
      </c>
      <c r="C147" s="328" t="s">
        <v>279</v>
      </c>
      <c r="D147" s="314" t="s">
        <v>249</v>
      </c>
      <c r="E147" s="313">
        <v>3.8999999999999998E-3</v>
      </c>
      <c r="F147" s="332">
        <v>4.4999999999999997E-3</v>
      </c>
      <c r="G147" s="332">
        <v>4.4999999999999997E-3</v>
      </c>
      <c r="H147" s="182">
        <v>0</v>
      </c>
      <c r="I147" s="182">
        <v>0</v>
      </c>
      <c r="J147" s="182">
        <v>0</v>
      </c>
      <c r="K147" s="3"/>
      <c r="L147" s="3"/>
      <c r="M147" s="3"/>
      <c r="N147" s="3"/>
      <c r="O147" s="3"/>
      <c r="P147" s="3"/>
      <c r="Q147" s="3"/>
      <c r="R147" s="3"/>
      <c r="S147" s="3"/>
      <c r="T147" s="3"/>
      <c r="U147" s="3"/>
      <c r="V147" s="3"/>
      <c r="W147" s="3"/>
      <c r="X147" s="3"/>
      <c r="Y147" s="3"/>
      <c r="Z147" s="3"/>
    </row>
    <row r="148" spans="1:26" ht="12" customHeight="1">
      <c r="A148" s="3"/>
      <c r="B148" s="328" t="str">
        <f t="shared" si="22"/>
        <v>General Service 1,500 to 4,999 KW.GA Rate Riders</v>
      </c>
      <c r="C148" s="328" t="s">
        <v>279</v>
      </c>
      <c r="D148" s="314" t="s">
        <v>250</v>
      </c>
      <c r="E148" s="313">
        <v>3.8999999999999998E-3</v>
      </c>
      <c r="F148" s="332">
        <v>4.4999999999999997E-3</v>
      </c>
      <c r="G148" s="332">
        <v>4.4999999999999997E-3</v>
      </c>
      <c r="H148" s="182">
        <v>0</v>
      </c>
      <c r="I148" s="182">
        <v>0</v>
      </c>
      <c r="J148" s="182">
        <v>0</v>
      </c>
      <c r="K148" s="3"/>
      <c r="L148" s="3"/>
      <c r="M148" s="3"/>
      <c r="N148" s="3"/>
      <c r="O148" s="3"/>
      <c r="P148" s="3"/>
      <c r="Q148" s="3"/>
      <c r="R148" s="3"/>
      <c r="S148" s="3"/>
      <c r="T148" s="3"/>
      <c r="U148" s="3"/>
      <c r="V148" s="3"/>
      <c r="W148" s="3"/>
      <c r="X148" s="3"/>
      <c r="Y148" s="3"/>
      <c r="Z148" s="3"/>
    </row>
    <row r="149" spans="1:26" ht="12" customHeight="1">
      <c r="A149" s="3"/>
      <c r="B149" s="328" t="str">
        <f t="shared" si="22"/>
        <v>Large User.GA Rate Riders</v>
      </c>
      <c r="C149" s="328" t="s">
        <v>279</v>
      </c>
      <c r="D149" s="314" t="s">
        <v>251</v>
      </c>
      <c r="E149" s="313">
        <v>3.8999999999999998E-3</v>
      </c>
      <c r="F149" s="332">
        <v>4.3E-3</v>
      </c>
      <c r="G149" s="332">
        <v>4.3E-3</v>
      </c>
      <c r="H149" s="182">
        <v>0</v>
      </c>
      <c r="I149" s="182">
        <v>0</v>
      </c>
      <c r="J149" s="182">
        <v>0</v>
      </c>
      <c r="K149" s="3"/>
      <c r="L149" s="3"/>
      <c r="M149" s="3"/>
      <c r="N149" s="3"/>
      <c r="O149" s="3"/>
      <c r="P149" s="3"/>
      <c r="Q149" s="3"/>
      <c r="R149" s="3"/>
      <c r="S149" s="3"/>
      <c r="T149" s="3"/>
      <c r="U149" s="3"/>
      <c r="V149" s="3"/>
      <c r="W149" s="3"/>
      <c r="X149" s="3"/>
      <c r="Y149" s="3"/>
      <c r="Z149" s="3"/>
    </row>
    <row r="150" spans="1:26" ht="12" customHeight="1">
      <c r="A150" s="3"/>
      <c r="B150" s="328" t="str">
        <f t="shared" si="22"/>
        <v>Street Light.GA Rate Riders</v>
      </c>
      <c r="C150" s="328" t="s">
        <v>279</v>
      </c>
      <c r="D150" s="314" t="s">
        <v>252</v>
      </c>
      <c r="E150" s="313">
        <v>3.8999999999999998E-3</v>
      </c>
      <c r="F150" s="332">
        <v>4.4999999999999997E-3</v>
      </c>
      <c r="G150" s="332">
        <v>4.4999999999999997E-3</v>
      </c>
      <c r="H150" s="182">
        <v>0</v>
      </c>
      <c r="I150" s="182">
        <v>0</v>
      </c>
      <c r="J150" s="182">
        <v>0</v>
      </c>
      <c r="K150" s="3"/>
      <c r="L150" s="3"/>
      <c r="M150" s="3"/>
      <c r="N150" s="3"/>
      <c r="O150" s="3"/>
      <c r="P150" s="3"/>
      <c r="Q150" s="3"/>
      <c r="R150" s="3"/>
      <c r="S150" s="3"/>
      <c r="T150" s="3"/>
      <c r="U150" s="3"/>
      <c r="V150" s="3"/>
      <c r="W150" s="3"/>
      <c r="X150" s="3"/>
      <c r="Y150" s="3"/>
      <c r="Z150" s="3"/>
    </row>
    <row r="151" spans="1:26" ht="12" customHeight="1">
      <c r="A151" s="3"/>
      <c r="B151" s="328" t="str">
        <f t="shared" si="22"/>
        <v>Sentinel Lights.GA Rate Riders</v>
      </c>
      <c r="C151" s="328" t="s">
        <v>279</v>
      </c>
      <c r="D151" s="314" t="s">
        <v>253</v>
      </c>
      <c r="E151" s="313">
        <v>0</v>
      </c>
      <c r="F151" s="182">
        <v>0</v>
      </c>
      <c r="G151" s="182">
        <v>0</v>
      </c>
      <c r="H151" s="182">
        <v>0</v>
      </c>
      <c r="I151" s="182">
        <v>0</v>
      </c>
      <c r="J151" s="182">
        <v>0</v>
      </c>
      <c r="K151" s="3"/>
      <c r="L151" s="3"/>
      <c r="M151" s="3"/>
      <c r="N151" s="3"/>
      <c r="O151" s="3"/>
      <c r="P151" s="3"/>
      <c r="Q151" s="3"/>
      <c r="R151" s="3"/>
      <c r="S151" s="3"/>
      <c r="T151" s="3"/>
      <c r="U151" s="3"/>
      <c r="V151" s="3"/>
      <c r="W151" s="3"/>
      <c r="X151" s="3"/>
      <c r="Y151" s="3"/>
      <c r="Z151" s="3"/>
    </row>
    <row r="152" spans="1:26" ht="12" customHeight="1">
      <c r="A152" s="3"/>
      <c r="B152" s="328" t="str">
        <f t="shared" si="22"/>
        <v>Unmetered Scattered Load.GA Rate Riders</v>
      </c>
      <c r="C152" s="328" t="s">
        <v>279</v>
      </c>
      <c r="D152" s="314" t="s">
        <v>254</v>
      </c>
      <c r="E152" s="313">
        <v>0</v>
      </c>
      <c r="F152" s="182">
        <v>0</v>
      </c>
      <c r="G152" s="182">
        <v>0</v>
      </c>
      <c r="H152" s="182">
        <v>0</v>
      </c>
      <c r="I152" s="182">
        <v>0</v>
      </c>
      <c r="J152" s="182">
        <v>0</v>
      </c>
      <c r="K152" s="3"/>
      <c r="L152" s="3"/>
      <c r="M152" s="3"/>
      <c r="N152" s="3"/>
      <c r="O152" s="3"/>
      <c r="P152" s="3"/>
      <c r="Q152" s="3"/>
      <c r="R152" s="3"/>
      <c r="S152" s="3"/>
      <c r="T152" s="3"/>
      <c r="U152" s="3"/>
      <c r="V152" s="3"/>
      <c r="W152" s="3"/>
      <c r="X152" s="3"/>
      <c r="Y152" s="3"/>
      <c r="Z152" s="3"/>
    </row>
    <row r="153" spans="1:26" ht="12" customHeight="1">
      <c r="A153" s="3"/>
      <c r="B153" s="328" t="str">
        <f t="shared" si="22"/>
        <v>Standby Power General Service 50 to 1,499 KW.</v>
      </c>
      <c r="C153" s="328"/>
      <c r="D153" s="314" t="s">
        <v>255</v>
      </c>
      <c r="E153" s="3"/>
      <c r="F153" s="342"/>
      <c r="G153" s="3"/>
      <c r="H153" s="3"/>
      <c r="I153" s="349"/>
      <c r="J153" s="3"/>
      <c r="K153" s="3"/>
      <c r="L153" s="3"/>
      <c r="M153" s="3"/>
      <c r="N153" s="3"/>
      <c r="O153" s="3"/>
      <c r="P153" s="3"/>
      <c r="Q153" s="3"/>
      <c r="R153" s="3"/>
      <c r="S153" s="3"/>
      <c r="T153" s="3"/>
      <c r="U153" s="3"/>
      <c r="V153" s="3"/>
      <c r="W153" s="3"/>
      <c r="X153" s="3"/>
      <c r="Y153" s="3"/>
      <c r="Z153" s="3"/>
    </row>
    <row r="154" spans="1:26" ht="12" customHeight="1">
      <c r="A154" s="3"/>
      <c r="B154" s="328" t="str">
        <f t="shared" si="22"/>
        <v>Standby Power General Service 1,500 to 4,999 KW.</v>
      </c>
      <c r="C154" s="328"/>
      <c r="D154" s="314" t="s">
        <v>256</v>
      </c>
      <c r="E154" s="3"/>
      <c r="F154" s="342"/>
      <c r="G154" s="3"/>
      <c r="H154" s="3"/>
      <c r="I154" s="349"/>
      <c r="J154" s="3"/>
      <c r="K154" s="3"/>
      <c r="L154" s="3"/>
      <c r="M154" s="3"/>
      <c r="N154" s="3"/>
      <c r="O154" s="3"/>
      <c r="P154" s="3"/>
      <c r="Q154" s="3"/>
      <c r="R154" s="3"/>
      <c r="S154" s="3"/>
      <c r="T154" s="3"/>
      <c r="U154" s="3"/>
      <c r="V154" s="3"/>
      <c r="W154" s="3"/>
      <c r="X154" s="3"/>
      <c r="Y154" s="3"/>
      <c r="Z154" s="3"/>
    </row>
    <row r="155" spans="1:26" ht="12" customHeight="1">
      <c r="A155" s="3"/>
      <c r="B155" s="328" t="str">
        <f t="shared" si="22"/>
        <v>Standby Power Large Use.</v>
      </c>
      <c r="C155" s="328"/>
      <c r="D155" s="314" t="s">
        <v>257</v>
      </c>
      <c r="E155" s="3"/>
      <c r="F155" s="342"/>
      <c r="G155" s="3"/>
      <c r="H155" s="3"/>
      <c r="I155" s="349"/>
      <c r="J155" s="3"/>
      <c r="K155" s="3"/>
      <c r="L155" s="3"/>
      <c r="M155" s="3"/>
      <c r="N155" s="3"/>
      <c r="O155" s="3"/>
      <c r="P155" s="3"/>
      <c r="Q155" s="3"/>
      <c r="R155" s="3"/>
      <c r="S155" s="3"/>
      <c r="T155" s="3"/>
      <c r="U155" s="3"/>
      <c r="V155" s="3"/>
      <c r="W155" s="3"/>
      <c r="X155" s="3"/>
      <c r="Y155" s="3"/>
      <c r="Z155" s="3"/>
    </row>
    <row r="156" spans="1:26" ht="12" customHeight="1">
      <c r="A156" s="3"/>
      <c r="B156" s="314"/>
      <c r="C156" s="3"/>
      <c r="D156" s="314"/>
      <c r="E156" s="3"/>
      <c r="F156" s="314"/>
      <c r="G156" s="314"/>
      <c r="H156" s="346"/>
      <c r="I156" s="53"/>
      <c r="J156" s="314"/>
      <c r="K156" s="3"/>
      <c r="L156" s="3"/>
      <c r="M156" s="3"/>
      <c r="N156" s="3"/>
      <c r="O156" s="3"/>
      <c r="P156" s="3"/>
      <c r="Q156" s="3"/>
      <c r="R156" s="3"/>
      <c r="S156" s="3"/>
      <c r="T156" s="3"/>
      <c r="U156" s="3"/>
      <c r="V156" s="3"/>
      <c r="W156" s="3"/>
      <c r="X156" s="3"/>
      <c r="Y156" s="3"/>
      <c r="Z156" s="3"/>
    </row>
    <row r="157" spans="1:26" ht="15.75">
      <c r="A157" s="3"/>
      <c r="B157" s="314"/>
      <c r="C157" s="325" t="s">
        <v>280</v>
      </c>
      <c r="D157" s="314"/>
      <c r="E157" s="3"/>
      <c r="F157" s="314"/>
      <c r="G157" s="314"/>
      <c r="H157" s="314"/>
      <c r="I157" s="314"/>
      <c r="J157" s="314"/>
      <c r="K157" s="3"/>
      <c r="L157" s="3"/>
      <c r="M157" s="3"/>
      <c r="N157" s="3"/>
      <c r="O157" s="3"/>
      <c r="P157" s="3"/>
      <c r="Q157" s="3"/>
      <c r="R157" s="3"/>
      <c r="S157" s="3"/>
      <c r="T157" s="3"/>
      <c r="U157" s="3"/>
      <c r="V157" s="3"/>
      <c r="W157" s="3"/>
      <c r="X157" s="3"/>
      <c r="Y157" s="3"/>
      <c r="Z157" s="3"/>
    </row>
    <row r="158" spans="1:26" ht="12" customHeight="1">
      <c r="A158" s="3"/>
      <c r="B158" s="53"/>
      <c r="C158" s="325" t="s">
        <v>281</v>
      </c>
      <c r="D158" s="3"/>
      <c r="E158" s="326" t="s">
        <v>243</v>
      </c>
      <c r="F158" s="327" t="str">
        <f t="shared" ref="F158:J158" si="23">F$4</f>
        <v>2026F</v>
      </c>
      <c r="G158" s="327" t="str">
        <f t="shared" si="23"/>
        <v>2027F</v>
      </c>
      <c r="H158" s="327" t="str">
        <f t="shared" si="23"/>
        <v>2028F</v>
      </c>
      <c r="I158" s="327" t="str">
        <f t="shared" si="23"/>
        <v>2029F</v>
      </c>
      <c r="J158" s="327" t="str">
        <f t="shared" si="23"/>
        <v>2030F</v>
      </c>
      <c r="K158" s="3"/>
      <c r="L158" s="3"/>
      <c r="M158" s="3"/>
      <c r="N158" s="3"/>
      <c r="O158" s="3"/>
      <c r="P158" s="3"/>
      <c r="Q158" s="3"/>
      <c r="R158" s="3"/>
      <c r="S158" s="3"/>
      <c r="T158" s="3"/>
      <c r="U158" s="3"/>
      <c r="V158" s="3"/>
      <c r="W158" s="3"/>
      <c r="X158" s="3"/>
      <c r="Y158" s="3"/>
      <c r="Z158" s="3"/>
    </row>
    <row r="159" spans="1:26" ht="12" customHeight="1">
      <c r="A159" s="3"/>
      <c r="B159" s="328" t="str">
        <f t="shared" ref="B159:B169" si="24">D159&amp;"."&amp;C159</f>
        <v>Residential.Total Deferral/Variance Account Rate RidersYr2</v>
      </c>
      <c r="C159" s="328" t="s">
        <v>282</v>
      </c>
      <c r="D159" s="314" t="s">
        <v>247</v>
      </c>
      <c r="E159" s="350"/>
      <c r="F159" s="335"/>
      <c r="G159" s="335"/>
      <c r="H159" s="335"/>
      <c r="I159" s="335"/>
      <c r="J159" s="335"/>
      <c r="K159" s="3"/>
      <c r="L159" s="3"/>
      <c r="M159" s="3"/>
      <c r="N159" s="3"/>
      <c r="O159" s="3"/>
      <c r="P159" s="3"/>
      <c r="Q159" s="3"/>
      <c r="R159" s="3"/>
      <c r="S159" s="3"/>
      <c r="T159" s="3"/>
      <c r="U159" s="3"/>
      <c r="V159" s="3"/>
      <c r="W159" s="3"/>
      <c r="X159" s="3"/>
      <c r="Y159" s="3"/>
      <c r="Z159" s="3"/>
    </row>
    <row r="160" spans="1:26" ht="12" customHeight="1">
      <c r="A160" s="3"/>
      <c r="B160" s="328" t="str">
        <f t="shared" si="24"/>
        <v>General Service &lt; 50 kW.Total Deferral/Variance Account Rate RidersYr2</v>
      </c>
      <c r="C160" s="328" t="s">
        <v>282</v>
      </c>
      <c r="D160" s="314" t="s">
        <v>248</v>
      </c>
      <c r="E160" s="350"/>
      <c r="F160" s="335"/>
      <c r="G160" s="335"/>
      <c r="H160" s="335"/>
      <c r="I160" s="335"/>
      <c r="J160" s="335"/>
      <c r="K160" s="3"/>
      <c r="L160" s="3"/>
      <c r="M160" s="3"/>
      <c r="N160" s="3"/>
      <c r="O160" s="3"/>
      <c r="P160" s="3"/>
      <c r="Q160" s="3"/>
      <c r="R160" s="3"/>
      <c r="S160" s="3"/>
      <c r="T160" s="3"/>
      <c r="U160" s="3"/>
      <c r="V160" s="3"/>
      <c r="W160" s="3"/>
      <c r="X160" s="3"/>
      <c r="Y160" s="3"/>
      <c r="Z160" s="3"/>
    </row>
    <row r="161" spans="1:26" ht="12" customHeight="1">
      <c r="A161" s="3"/>
      <c r="B161" s="328" t="str">
        <f t="shared" si="24"/>
        <v>General Service 50 to 1,499 KW.Total Deferral/Variance Account Rate RidersYr2</v>
      </c>
      <c r="C161" s="328" t="s">
        <v>282</v>
      </c>
      <c r="D161" s="314" t="s">
        <v>249</v>
      </c>
      <c r="E161" s="313">
        <v>-0.30499999999999999</v>
      </c>
      <c r="F161" s="332">
        <v>-0.37569999999999998</v>
      </c>
      <c r="G161" s="182">
        <v>0</v>
      </c>
      <c r="H161" s="182">
        <v>0</v>
      </c>
      <c r="I161" s="182">
        <v>0</v>
      </c>
      <c r="J161" s="182">
        <v>0</v>
      </c>
      <c r="K161" s="3"/>
      <c r="L161" s="3"/>
      <c r="M161" s="3"/>
      <c r="N161" s="3"/>
      <c r="O161" s="3"/>
      <c r="P161" s="3"/>
      <c r="Q161" s="3"/>
      <c r="R161" s="3"/>
      <c r="S161" s="3"/>
      <c r="T161" s="3"/>
      <c r="U161" s="3"/>
      <c r="V161" s="3"/>
      <c r="W161" s="3"/>
      <c r="X161" s="3"/>
      <c r="Y161" s="3"/>
      <c r="Z161" s="3"/>
    </row>
    <row r="162" spans="1:26" ht="12" customHeight="1">
      <c r="A162" s="3"/>
      <c r="B162" s="328" t="str">
        <f t="shared" si="24"/>
        <v>General Service 1,500 to 4,999 KW.Total Deferral/Variance Account Rate RidersYr2</v>
      </c>
      <c r="C162" s="328" t="s">
        <v>282</v>
      </c>
      <c r="D162" s="314" t="s">
        <v>250</v>
      </c>
      <c r="E162" s="350"/>
      <c r="F162" s="182"/>
      <c r="G162" s="182"/>
      <c r="H162" s="182"/>
      <c r="I162" s="335"/>
      <c r="J162" s="335"/>
      <c r="K162" s="3"/>
      <c r="L162" s="3"/>
      <c r="M162" s="3"/>
      <c r="N162" s="3"/>
      <c r="O162" s="3"/>
      <c r="P162" s="3"/>
      <c r="Q162" s="3"/>
      <c r="R162" s="3"/>
      <c r="S162" s="3"/>
      <c r="T162" s="3"/>
      <c r="U162" s="3"/>
      <c r="V162" s="3"/>
      <c r="W162" s="3"/>
      <c r="X162" s="3"/>
      <c r="Y162" s="3"/>
      <c r="Z162" s="3"/>
    </row>
    <row r="163" spans="1:26" ht="12" customHeight="1">
      <c r="A163" s="3"/>
      <c r="B163" s="328" t="str">
        <f t="shared" si="24"/>
        <v>Large User.Total Deferral/Variance Account Rate RidersYr2</v>
      </c>
      <c r="C163" s="328" t="s">
        <v>282</v>
      </c>
      <c r="D163" s="314" t="s">
        <v>251</v>
      </c>
      <c r="E163" s="350"/>
      <c r="F163" s="335"/>
      <c r="G163" s="335"/>
      <c r="H163" s="335"/>
      <c r="I163" s="335"/>
      <c r="J163" s="335"/>
      <c r="K163" s="3"/>
      <c r="L163" s="3"/>
      <c r="M163" s="3"/>
      <c r="N163" s="3"/>
      <c r="O163" s="3"/>
      <c r="P163" s="3"/>
      <c r="Q163" s="3"/>
      <c r="R163" s="3"/>
      <c r="S163" s="3"/>
      <c r="T163" s="3"/>
      <c r="U163" s="3"/>
      <c r="V163" s="3"/>
      <c r="W163" s="3"/>
      <c r="X163" s="3"/>
      <c r="Y163" s="3"/>
      <c r="Z163" s="3"/>
    </row>
    <row r="164" spans="1:26" ht="12" customHeight="1">
      <c r="A164" s="3"/>
      <c r="B164" s="328" t="str">
        <f t="shared" si="24"/>
        <v>Street Light.Total Deferral/Variance Account Rate RidersYr2</v>
      </c>
      <c r="C164" s="328" t="s">
        <v>282</v>
      </c>
      <c r="D164" s="314" t="s">
        <v>252</v>
      </c>
      <c r="E164" s="350"/>
      <c r="F164" s="335"/>
      <c r="G164" s="335"/>
      <c r="H164" s="335"/>
      <c r="I164" s="335"/>
      <c r="J164" s="335"/>
      <c r="K164" s="3"/>
      <c r="L164" s="3"/>
      <c r="M164" s="3"/>
      <c r="N164" s="3"/>
      <c r="O164" s="3"/>
      <c r="P164" s="3"/>
      <c r="Q164" s="3"/>
      <c r="R164" s="3"/>
      <c r="S164" s="3"/>
      <c r="T164" s="3"/>
      <c r="U164" s="3"/>
      <c r="V164" s="3"/>
      <c r="W164" s="3"/>
      <c r="X164" s="3"/>
      <c r="Y164" s="3"/>
      <c r="Z164" s="3"/>
    </row>
    <row r="165" spans="1:26" ht="12" customHeight="1">
      <c r="A165" s="3"/>
      <c r="B165" s="328" t="str">
        <f t="shared" si="24"/>
        <v>Sentinel Lights.Total Deferral/Variance Account Rate RidersYr2</v>
      </c>
      <c r="C165" s="328" t="s">
        <v>282</v>
      </c>
      <c r="D165" s="314" t="s">
        <v>253</v>
      </c>
      <c r="E165" s="350"/>
      <c r="F165" s="335"/>
      <c r="G165" s="335"/>
      <c r="H165" s="335"/>
      <c r="I165" s="335"/>
      <c r="J165" s="335"/>
      <c r="K165" s="3"/>
      <c r="L165" s="3"/>
      <c r="M165" s="3"/>
      <c r="N165" s="3"/>
      <c r="O165" s="3"/>
      <c r="P165" s="3"/>
      <c r="Q165" s="3"/>
      <c r="R165" s="3"/>
      <c r="S165" s="3"/>
      <c r="T165" s="3"/>
      <c r="U165" s="3"/>
      <c r="V165" s="3"/>
      <c r="W165" s="3"/>
      <c r="X165" s="3"/>
      <c r="Y165" s="3"/>
      <c r="Z165" s="3"/>
    </row>
    <row r="166" spans="1:26" ht="12" customHeight="1">
      <c r="A166" s="3"/>
      <c r="B166" s="328" t="str">
        <f t="shared" si="24"/>
        <v>Unmetered Scattered Load.Total Deferral/Variance Account Rate RidersYr2</v>
      </c>
      <c r="C166" s="328" t="s">
        <v>282</v>
      </c>
      <c r="D166" s="314" t="s">
        <v>254</v>
      </c>
      <c r="E166" s="350"/>
      <c r="F166" s="335"/>
      <c r="G166" s="335"/>
      <c r="H166" s="335"/>
      <c r="I166" s="335"/>
      <c r="J166" s="335"/>
      <c r="K166" s="3"/>
      <c r="L166" s="3"/>
      <c r="M166" s="3"/>
      <c r="N166" s="3"/>
      <c r="O166" s="3"/>
      <c r="P166" s="3"/>
      <c r="Q166" s="3"/>
      <c r="R166" s="3"/>
      <c r="S166" s="3"/>
      <c r="T166" s="3"/>
      <c r="U166" s="3"/>
      <c r="V166" s="3"/>
      <c r="W166" s="3"/>
      <c r="X166" s="3"/>
      <c r="Y166" s="3"/>
      <c r="Z166" s="3"/>
    </row>
    <row r="167" spans="1:26" ht="12" customHeight="1">
      <c r="A167" s="3"/>
      <c r="B167" s="328" t="str">
        <f t="shared" si="24"/>
        <v>Standby Power General Service 50 to 1,499 KW.Total Deferral/Variance Account Rate RidersYr2</v>
      </c>
      <c r="C167" s="328" t="s">
        <v>282</v>
      </c>
      <c r="D167" s="314" t="s">
        <v>255</v>
      </c>
      <c r="E167" s="350"/>
      <c r="F167" s="335"/>
      <c r="G167" s="335"/>
      <c r="H167" s="335"/>
      <c r="I167" s="335"/>
      <c r="J167" s="335"/>
      <c r="K167" s="3"/>
      <c r="L167" s="3"/>
      <c r="M167" s="3"/>
      <c r="N167" s="3"/>
      <c r="O167" s="3"/>
      <c r="P167" s="3"/>
      <c r="Q167" s="3"/>
      <c r="R167" s="3"/>
      <c r="S167" s="3"/>
      <c r="T167" s="3"/>
      <c r="U167" s="3"/>
      <c r="V167" s="3"/>
      <c r="W167" s="3"/>
      <c r="X167" s="3"/>
      <c r="Y167" s="3"/>
      <c r="Z167" s="3"/>
    </row>
    <row r="168" spans="1:26" ht="12" customHeight="1">
      <c r="A168" s="3"/>
      <c r="B168" s="328" t="str">
        <f t="shared" si="24"/>
        <v>Standby Power General Service 1,500 to 4,999 KW.Total Deferral/Variance Account Rate RidersYr2</v>
      </c>
      <c r="C168" s="328" t="s">
        <v>282</v>
      </c>
      <c r="D168" s="314" t="s">
        <v>256</v>
      </c>
      <c r="E168" s="350"/>
      <c r="F168" s="335"/>
      <c r="G168" s="335"/>
      <c r="H168" s="335"/>
      <c r="I168" s="335"/>
      <c r="J168" s="335"/>
      <c r="K168" s="3"/>
      <c r="L168" s="3"/>
      <c r="M168" s="3"/>
      <c r="N168" s="3"/>
      <c r="O168" s="3"/>
      <c r="P168" s="3"/>
      <c r="Q168" s="3"/>
      <c r="R168" s="3"/>
      <c r="S168" s="3"/>
      <c r="T168" s="3"/>
      <c r="U168" s="3"/>
      <c r="V168" s="3"/>
      <c r="W168" s="3"/>
      <c r="X168" s="3"/>
      <c r="Y168" s="3"/>
      <c r="Z168" s="3"/>
    </row>
    <row r="169" spans="1:26" ht="12" customHeight="1">
      <c r="A169" s="3"/>
      <c r="B169" s="328" t="str">
        <f t="shared" si="24"/>
        <v>Standby Power Large Use.Total Deferral/Variance Account Rate RidersYr2</v>
      </c>
      <c r="C169" s="328" t="s">
        <v>282</v>
      </c>
      <c r="D169" s="314" t="s">
        <v>257</v>
      </c>
      <c r="E169" s="350"/>
      <c r="F169" s="335"/>
      <c r="G169" s="335"/>
      <c r="H169" s="335"/>
      <c r="I169" s="335"/>
      <c r="J169" s="335"/>
      <c r="K169" s="3"/>
      <c r="L169" s="3"/>
      <c r="M169" s="3"/>
      <c r="N169" s="3"/>
      <c r="O169" s="3"/>
      <c r="P169" s="3"/>
      <c r="Q169" s="3"/>
      <c r="R169" s="3"/>
      <c r="S169" s="3"/>
      <c r="T169" s="3"/>
      <c r="U169" s="3"/>
      <c r="V169" s="3"/>
      <c r="W169" s="3"/>
      <c r="X169" s="3"/>
      <c r="Y169" s="3"/>
      <c r="Z169" s="3"/>
    </row>
    <row r="170" spans="1:26" ht="12" customHeight="1">
      <c r="A170" s="3"/>
      <c r="B170" s="314"/>
      <c r="C170" s="3"/>
      <c r="D170" s="314"/>
      <c r="E170" s="3"/>
      <c r="F170" s="314"/>
      <c r="G170" s="314"/>
      <c r="H170" s="346"/>
      <c r="I170" s="314"/>
      <c r="J170" s="314"/>
      <c r="K170" s="3"/>
      <c r="L170" s="3"/>
      <c r="M170" s="3"/>
      <c r="N170" s="3"/>
      <c r="O170" s="3"/>
      <c r="P170" s="3"/>
      <c r="Q170" s="3"/>
      <c r="R170" s="3"/>
      <c r="S170" s="3"/>
      <c r="T170" s="3"/>
      <c r="U170" s="3"/>
      <c r="V170" s="3"/>
      <c r="W170" s="3"/>
      <c r="X170" s="3"/>
      <c r="Y170" s="3"/>
      <c r="Z170" s="3"/>
    </row>
    <row r="171" spans="1:26" ht="12" hidden="1" customHeight="1">
      <c r="A171" s="3"/>
      <c r="B171" s="314"/>
      <c r="C171" s="325" t="s">
        <v>283</v>
      </c>
      <c r="D171" s="314"/>
      <c r="E171" s="3"/>
      <c r="F171" s="314"/>
      <c r="G171" s="314"/>
      <c r="H171" s="314"/>
      <c r="I171" s="346"/>
      <c r="J171" s="314"/>
      <c r="K171" s="3"/>
      <c r="L171" s="3"/>
      <c r="M171" s="3"/>
      <c r="N171" s="3"/>
      <c r="O171" s="3"/>
      <c r="P171" s="3"/>
      <c r="Q171" s="3"/>
      <c r="R171" s="3"/>
      <c r="S171" s="3"/>
      <c r="T171" s="3"/>
      <c r="U171" s="3"/>
      <c r="V171" s="3"/>
      <c r="W171" s="3"/>
      <c r="X171" s="3"/>
      <c r="Y171" s="3"/>
      <c r="Z171" s="3"/>
    </row>
    <row r="172" spans="1:26" ht="12" hidden="1" customHeight="1">
      <c r="A172" s="3"/>
      <c r="B172" s="53"/>
      <c r="C172" s="325" t="s">
        <v>281</v>
      </c>
      <c r="D172" s="3"/>
      <c r="E172" s="326" t="s">
        <v>243</v>
      </c>
      <c r="F172" s="327" t="str">
        <f t="shared" ref="F172:J172" si="25">F$4</f>
        <v>2026F</v>
      </c>
      <c r="G172" s="327" t="str">
        <f t="shared" si="25"/>
        <v>2027F</v>
      </c>
      <c r="H172" s="327" t="str">
        <f t="shared" si="25"/>
        <v>2028F</v>
      </c>
      <c r="I172" s="327" t="str">
        <f t="shared" si="25"/>
        <v>2029F</v>
      </c>
      <c r="J172" s="327" t="str">
        <f t="shared" si="25"/>
        <v>2030F</v>
      </c>
      <c r="K172" s="3"/>
      <c r="L172" s="3"/>
      <c r="M172" s="3"/>
      <c r="N172" s="3"/>
      <c r="O172" s="3"/>
      <c r="P172" s="3"/>
      <c r="Q172" s="3"/>
      <c r="R172" s="3"/>
      <c r="S172" s="3"/>
      <c r="T172" s="3"/>
      <c r="U172" s="3"/>
      <c r="V172" s="3"/>
      <c r="W172" s="3"/>
      <c r="X172" s="3"/>
      <c r="Y172" s="3"/>
      <c r="Z172" s="3"/>
    </row>
    <row r="173" spans="1:26" ht="12" hidden="1" customHeight="1">
      <c r="A173" s="53" t="s">
        <v>48</v>
      </c>
      <c r="B173" s="328" t="str">
        <f t="shared" ref="B173:B183" si="26">D173&amp;"."&amp;C173</f>
        <v>Residential.Total Deferral/Variance Account Rate Riders</v>
      </c>
      <c r="C173" s="328" t="s">
        <v>284</v>
      </c>
      <c r="D173" s="314" t="s">
        <v>247</v>
      </c>
      <c r="E173" s="3"/>
      <c r="F173" s="53"/>
      <c r="G173" s="53"/>
      <c r="H173" s="53"/>
      <c r="I173" s="53"/>
      <c r="J173" s="53"/>
      <c r="K173" s="3"/>
      <c r="L173" s="3"/>
      <c r="M173" s="3"/>
      <c r="N173" s="3"/>
      <c r="O173" s="3"/>
      <c r="P173" s="3"/>
      <c r="Q173" s="3"/>
      <c r="R173" s="3"/>
      <c r="S173" s="3"/>
      <c r="T173" s="3"/>
      <c r="U173" s="3"/>
      <c r="V173" s="3"/>
      <c r="W173" s="3"/>
      <c r="X173" s="3"/>
      <c r="Y173" s="3"/>
      <c r="Z173" s="3"/>
    </row>
    <row r="174" spans="1:26" ht="12" hidden="1" customHeight="1">
      <c r="A174" s="53" t="s">
        <v>48</v>
      </c>
      <c r="B174" s="328" t="str">
        <f t="shared" si="26"/>
        <v>General Service &lt; 50 kW.Total Deferral/Variance Account Rate Riders</v>
      </c>
      <c r="C174" s="328" t="s">
        <v>284</v>
      </c>
      <c r="D174" s="314" t="s">
        <v>248</v>
      </c>
      <c r="E174" s="3"/>
      <c r="F174" s="53"/>
      <c r="G174" s="53"/>
      <c r="H174" s="53"/>
      <c r="I174" s="53"/>
      <c r="J174" s="53"/>
      <c r="K174" s="3"/>
      <c r="L174" s="3"/>
      <c r="M174" s="3"/>
      <c r="N174" s="3"/>
      <c r="O174" s="3"/>
      <c r="P174" s="3"/>
      <c r="Q174" s="3"/>
      <c r="R174" s="3"/>
      <c r="S174" s="3"/>
      <c r="T174" s="3"/>
      <c r="U174" s="3"/>
      <c r="V174" s="3"/>
      <c r="W174" s="3"/>
      <c r="X174" s="3"/>
      <c r="Y174" s="3"/>
      <c r="Z174" s="3"/>
    </row>
    <row r="175" spans="1:26" ht="12" hidden="1" customHeight="1">
      <c r="A175" s="53" t="s">
        <v>69</v>
      </c>
      <c r="B175" s="328" t="str">
        <f t="shared" si="26"/>
        <v>General Service 50 to 1,499 KW.Total Deferral/Variance Account Rate Riders</v>
      </c>
      <c r="C175" s="328" t="s">
        <v>284</v>
      </c>
      <c r="D175" s="314" t="s">
        <v>249</v>
      </c>
      <c r="E175" s="182">
        <v>0</v>
      </c>
      <c r="F175" s="182">
        <v>0</v>
      </c>
      <c r="G175" s="182">
        <v>0</v>
      </c>
      <c r="H175" s="182">
        <v>0</v>
      </c>
      <c r="I175" s="182">
        <v>0</v>
      </c>
      <c r="J175" s="182">
        <v>0</v>
      </c>
      <c r="K175" s="3"/>
      <c r="L175" s="3"/>
      <c r="M175" s="3"/>
      <c r="N175" s="3"/>
      <c r="O175" s="3"/>
      <c r="P175" s="3"/>
      <c r="Q175" s="3"/>
      <c r="R175" s="3"/>
      <c r="S175" s="3"/>
      <c r="T175" s="3"/>
      <c r="U175" s="3"/>
      <c r="V175" s="3"/>
      <c r="W175" s="3"/>
      <c r="X175" s="3"/>
      <c r="Y175" s="3"/>
      <c r="Z175" s="3"/>
    </row>
    <row r="176" spans="1:26" ht="12" hidden="1" customHeight="1">
      <c r="A176" s="53" t="s">
        <v>69</v>
      </c>
      <c r="B176" s="328" t="str">
        <f t="shared" si="26"/>
        <v>General Service 1,500 to 4,999 KW.Total Deferral/Variance Account Rate Riders</v>
      </c>
      <c r="C176" s="328" t="s">
        <v>284</v>
      </c>
      <c r="D176" s="314" t="s">
        <v>250</v>
      </c>
      <c r="E176" s="3"/>
      <c r="F176" s="182"/>
      <c r="G176" s="182"/>
      <c r="H176" s="53"/>
      <c r="I176" s="53"/>
      <c r="J176" s="53"/>
      <c r="K176" s="3"/>
      <c r="L176" s="3"/>
      <c r="M176" s="3"/>
      <c r="N176" s="3"/>
      <c r="O176" s="3"/>
      <c r="P176" s="3"/>
      <c r="Q176" s="3"/>
      <c r="R176" s="3"/>
      <c r="S176" s="3"/>
      <c r="T176" s="3"/>
      <c r="U176" s="3"/>
      <c r="V176" s="3"/>
      <c r="W176" s="3"/>
      <c r="X176" s="3"/>
      <c r="Y176" s="3"/>
      <c r="Z176" s="3"/>
    </row>
    <row r="177" spans="1:26" ht="12" hidden="1" customHeight="1">
      <c r="A177" s="53" t="s">
        <v>69</v>
      </c>
      <c r="B177" s="328" t="str">
        <f t="shared" si="26"/>
        <v>Large User.Total Deferral/Variance Account Rate Riders</v>
      </c>
      <c r="C177" s="328" t="s">
        <v>284</v>
      </c>
      <c r="D177" s="314" t="s">
        <v>251</v>
      </c>
      <c r="E177" s="3"/>
      <c r="F177" s="53"/>
      <c r="G177" s="182"/>
      <c r="H177" s="53"/>
      <c r="I177" s="53"/>
      <c r="J177" s="53"/>
      <c r="K177" s="3"/>
      <c r="L177" s="3"/>
      <c r="M177" s="3"/>
      <c r="N177" s="3"/>
      <c r="O177" s="3"/>
      <c r="P177" s="3"/>
      <c r="Q177" s="3"/>
      <c r="R177" s="3"/>
      <c r="S177" s="3"/>
      <c r="T177" s="3"/>
      <c r="U177" s="3"/>
      <c r="V177" s="3"/>
      <c r="W177" s="3"/>
      <c r="X177" s="3"/>
      <c r="Y177" s="3"/>
      <c r="Z177" s="3"/>
    </row>
    <row r="178" spans="1:26" ht="12" hidden="1" customHeight="1">
      <c r="A178" s="53" t="s">
        <v>69</v>
      </c>
      <c r="B178" s="328" t="str">
        <f t="shared" si="26"/>
        <v>Street Light.Total Deferral/Variance Account Rate Riders</v>
      </c>
      <c r="C178" s="328" t="s">
        <v>284</v>
      </c>
      <c r="D178" s="314" t="s">
        <v>252</v>
      </c>
      <c r="E178" s="3"/>
      <c r="F178" s="53"/>
      <c r="G178" s="53"/>
      <c r="H178" s="53"/>
      <c r="I178" s="53"/>
      <c r="J178" s="53"/>
      <c r="K178" s="3"/>
      <c r="L178" s="3"/>
      <c r="M178" s="3"/>
      <c r="N178" s="3"/>
      <c r="O178" s="3"/>
      <c r="P178" s="3"/>
      <c r="Q178" s="3"/>
      <c r="R178" s="3"/>
      <c r="S178" s="3"/>
      <c r="T178" s="3"/>
      <c r="U178" s="3"/>
      <c r="V178" s="3"/>
      <c r="W178" s="3"/>
      <c r="X178" s="3"/>
      <c r="Y178" s="3"/>
      <c r="Z178" s="3"/>
    </row>
    <row r="179" spans="1:26" ht="12" hidden="1" customHeight="1">
      <c r="A179" s="53" t="s">
        <v>69</v>
      </c>
      <c r="B179" s="328" t="str">
        <f t="shared" si="26"/>
        <v>Sentinel Lights.Total Deferral/Variance Account Rate Riders</v>
      </c>
      <c r="C179" s="328" t="s">
        <v>284</v>
      </c>
      <c r="D179" s="314" t="s">
        <v>253</v>
      </c>
      <c r="E179" s="3"/>
      <c r="F179" s="53"/>
      <c r="G179" s="53"/>
      <c r="H179" s="53"/>
      <c r="I179" s="53"/>
      <c r="J179" s="53"/>
      <c r="K179" s="3"/>
      <c r="L179" s="3"/>
      <c r="M179" s="3"/>
      <c r="N179" s="3"/>
      <c r="O179" s="3"/>
      <c r="P179" s="3"/>
      <c r="Q179" s="3"/>
      <c r="R179" s="3"/>
      <c r="S179" s="3"/>
      <c r="T179" s="3"/>
      <c r="U179" s="3"/>
      <c r="V179" s="3"/>
      <c r="W179" s="3"/>
      <c r="X179" s="3"/>
      <c r="Y179" s="3"/>
      <c r="Z179" s="3"/>
    </row>
    <row r="180" spans="1:26" ht="12" hidden="1" customHeight="1">
      <c r="A180" s="53" t="s">
        <v>48</v>
      </c>
      <c r="B180" s="328" t="str">
        <f t="shared" si="26"/>
        <v>Unmetered Scattered Load.Total Deferral/Variance Account Rate Riders</v>
      </c>
      <c r="C180" s="328" t="s">
        <v>284</v>
      </c>
      <c r="D180" s="314" t="s">
        <v>254</v>
      </c>
      <c r="E180" s="3"/>
      <c r="F180" s="53"/>
      <c r="G180" s="53"/>
      <c r="H180" s="53"/>
      <c r="I180" s="53"/>
      <c r="J180" s="53"/>
      <c r="K180" s="3"/>
      <c r="L180" s="3"/>
      <c r="M180" s="3"/>
      <c r="N180" s="3"/>
      <c r="O180" s="3"/>
      <c r="P180" s="3"/>
      <c r="Q180" s="3"/>
      <c r="R180" s="3"/>
      <c r="S180" s="3"/>
      <c r="T180" s="3"/>
      <c r="U180" s="3"/>
      <c r="V180" s="3"/>
      <c r="W180" s="3"/>
      <c r="X180" s="3"/>
      <c r="Y180" s="3"/>
      <c r="Z180" s="3"/>
    </row>
    <row r="181" spans="1:26" ht="12" hidden="1" customHeight="1">
      <c r="A181" s="53" t="s">
        <v>69</v>
      </c>
      <c r="B181" s="328" t="str">
        <f t="shared" si="26"/>
        <v>Standby Power General Service 50 to 1,499 KW.Total Deferral/Variance Account Rate Riders</v>
      </c>
      <c r="C181" s="328" t="s">
        <v>284</v>
      </c>
      <c r="D181" s="314" t="s">
        <v>255</v>
      </c>
      <c r="E181" s="350"/>
      <c r="F181" s="335"/>
      <c r="G181" s="335"/>
      <c r="H181" s="335"/>
      <c r="I181" s="335"/>
      <c r="J181" s="335"/>
      <c r="K181" s="3"/>
      <c r="L181" s="3"/>
      <c r="M181" s="3"/>
      <c r="N181" s="3"/>
      <c r="O181" s="3"/>
      <c r="P181" s="3"/>
      <c r="Q181" s="3"/>
      <c r="R181" s="3"/>
      <c r="S181" s="3"/>
      <c r="T181" s="3"/>
      <c r="U181" s="3"/>
      <c r="V181" s="3"/>
      <c r="W181" s="3"/>
      <c r="X181" s="3"/>
      <c r="Y181" s="3"/>
      <c r="Z181" s="3"/>
    </row>
    <row r="182" spans="1:26" ht="12" hidden="1" customHeight="1">
      <c r="A182" s="53" t="s">
        <v>69</v>
      </c>
      <c r="B182" s="328" t="str">
        <f t="shared" si="26"/>
        <v>Standby Power General Service 1,500 to 4,999 KW.Total Deferral/Variance Account Rate Riders</v>
      </c>
      <c r="C182" s="328" t="s">
        <v>284</v>
      </c>
      <c r="D182" s="314" t="s">
        <v>256</v>
      </c>
      <c r="E182" s="350"/>
      <c r="F182" s="335"/>
      <c r="G182" s="335"/>
      <c r="H182" s="335"/>
      <c r="I182" s="335"/>
      <c r="J182" s="335"/>
      <c r="K182" s="3"/>
      <c r="L182" s="3"/>
      <c r="M182" s="3"/>
      <c r="N182" s="3"/>
      <c r="O182" s="3"/>
      <c r="P182" s="3"/>
      <c r="Q182" s="3"/>
      <c r="R182" s="3"/>
      <c r="S182" s="3"/>
      <c r="T182" s="3"/>
      <c r="U182" s="3"/>
      <c r="V182" s="3"/>
      <c r="W182" s="3"/>
      <c r="X182" s="3"/>
      <c r="Y182" s="3"/>
      <c r="Z182" s="3"/>
    </row>
    <row r="183" spans="1:26" ht="12" hidden="1" customHeight="1">
      <c r="A183" s="53" t="s">
        <v>69</v>
      </c>
      <c r="B183" s="328" t="str">
        <f t="shared" si="26"/>
        <v>Standby Power Large Use.Total Deferral/Variance Account Rate Riders</v>
      </c>
      <c r="C183" s="328" t="s">
        <v>284</v>
      </c>
      <c r="D183" s="314" t="s">
        <v>257</v>
      </c>
      <c r="E183" s="350"/>
      <c r="F183" s="335"/>
      <c r="G183" s="335"/>
      <c r="H183" s="335"/>
      <c r="I183" s="335"/>
      <c r="J183" s="335"/>
      <c r="K183" s="3"/>
      <c r="L183" s="3"/>
      <c r="M183" s="3"/>
      <c r="N183" s="3"/>
      <c r="O183" s="3"/>
      <c r="P183" s="3"/>
      <c r="Q183" s="3"/>
      <c r="R183" s="3"/>
      <c r="S183" s="3"/>
      <c r="T183" s="3"/>
      <c r="U183" s="3"/>
      <c r="V183" s="3"/>
      <c r="W183" s="3"/>
      <c r="X183" s="3"/>
      <c r="Y183" s="3"/>
      <c r="Z183" s="3"/>
    </row>
    <row r="184" spans="1:26" ht="12" customHeight="1">
      <c r="A184" s="3"/>
      <c r="B184" s="314"/>
      <c r="C184" s="3"/>
      <c r="D184" s="3"/>
      <c r="E184" s="3"/>
      <c r="F184" s="351"/>
      <c r="G184" s="3"/>
      <c r="H184" s="3"/>
      <c r="I184" s="3"/>
      <c r="J184" s="3"/>
      <c r="K184" s="3"/>
      <c r="L184" s="3"/>
      <c r="M184" s="3"/>
      <c r="N184" s="3"/>
      <c r="O184" s="3"/>
      <c r="P184" s="3"/>
      <c r="Q184" s="3"/>
      <c r="R184" s="3"/>
      <c r="S184" s="3"/>
      <c r="T184" s="3"/>
      <c r="U184" s="3"/>
      <c r="V184" s="3"/>
      <c r="W184" s="3"/>
      <c r="X184" s="3"/>
      <c r="Y184" s="3"/>
      <c r="Z184" s="3"/>
    </row>
    <row r="185" spans="1:26" ht="12" customHeight="1">
      <c r="A185" s="3"/>
      <c r="B185" s="53"/>
      <c r="C185" s="325" t="s">
        <v>285</v>
      </c>
      <c r="D185" s="3"/>
      <c r="E185" s="326" t="s">
        <v>243</v>
      </c>
      <c r="F185" s="327" t="str">
        <f t="shared" ref="F185:J185" si="27">F$4</f>
        <v>2026F</v>
      </c>
      <c r="G185" s="327" t="str">
        <f t="shared" si="27"/>
        <v>2027F</v>
      </c>
      <c r="H185" s="327" t="str">
        <f t="shared" si="27"/>
        <v>2028F</v>
      </c>
      <c r="I185" s="327" t="str">
        <f t="shared" si="27"/>
        <v>2029F</v>
      </c>
      <c r="J185" s="327" t="str">
        <f t="shared" si="27"/>
        <v>2030F</v>
      </c>
      <c r="K185" s="3"/>
      <c r="L185" s="3"/>
      <c r="M185" s="3"/>
      <c r="N185" s="3"/>
      <c r="O185" s="3"/>
      <c r="P185" s="3"/>
      <c r="Q185" s="3"/>
      <c r="R185" s="3"/>
      <c r="S185" s="3"/>
      <c r="T185" s="3"/>
      <c r="U185" s="3"/>
      <c r="V185" s="3"/>
      <c r="W185" s="3"/>
      <c r="X185" s="3"/>
      <c r="Y185" s="3"/>
      <c r="Z185" s="3"/>
    </row>
    <row r="186" spans="1:26" ht="12" customHeight="1">
      <c r="A186" s="53" t="s">
        <v>48</v>
      </c>
      <c r="B186" s="328" t="str">
        <f t="shared" ref="B186:B188" si="28">D186&amp;"."&amp;C186</f>
        <v>Residential.RTSR - Network</v>
      </c>
      <c r="C186" s="328" t="s">
        <v>285</v>
      </c>
      <c r="D186" s="314" t="s">
        <v>247</v>
      </c>
      <c r="E186" s="313">
        <v>1.26E-2</v>
      </c>
      <c r="F186" s="352">
        <v>1.38E-2</v>
      </c>
      <c r="G186" s="352">
        <v>1.38E-2</v>
      </c>
      <c r="H186" s="352">
        <v>1.38E-2</v>
      </c>
      <c r="I186" s="352">
        <v>1.38E-2</v>
      </c>
      <c r="J186" s="352">
        <v>1.38E-2</v>
      </c>
      <c r="K186" s="3"/>
      <c r="Q186" s="3"/>
      <c r="R186" s="3"/>
      <c r="S186" s="3"/>
      <c r="T186" s="3"/>
      <c r="U186" s="3"/>
      <c r="V186" s="3"/>
      <c r="W186" s="3"/>
      <c r="X186" s="3"/>
      <c r="Y186" s="3"/>
      <c r="Z186" s="3"/>
    </row>
    <row r="187" spans="1:26" ht="12" customHeight="1">
      <c r="A187" s="53" t="s">
        <v>48</v>
      </c>
      <c r="B187" s="328" t="str">
        <f t="shared" si="28"/>
        <v>General Service &lt; 50 kW.RTSR - Network</v>
      </c>
      <c r="C187" s="328" t="s">
        <v>285</v>
      </c>
      <c r="D187" s="314" t="s">
        <v>248</v>
      </c>
      <c r="E187" s="313">
        <v>1.18E-2</v>
      </c>
      <c r="F187" s="352">
        <v>1.0699999999999999E-2</v>
      </c>
      <c r="G187" s="352">
        <v>1.0699999999999999E-2</v>
      </c>
      <c r="H187" s="352">
        <v>1.0699999999999999E-2</v>
      </c>
      <c r="I187" s="352">
        <v>1.0699999999999999E-2</v>
      </c>
      <c r="J187" s="352">
        <v>1.0699999999999999E-2</v>
      </c>
      <c r="K187" s="3"/>
      <c r="Q187" s="3"/>
      <c r="R187" s="3"/>
      <c r="S187" s="3"/>
      <c r="T187" s="3"/>
      <c r="U187" s="3"/>
      <c r="V187" s="3"/>
      <c r="W187" s="3"/>
      <c r="X187" s="3"/>
      <c r="Y187" s="3"/>
      <c r="Z187" s="3"/>
    </row>
    <row r="188" spans="1:26" ht="12" customHeight="1">
      <c r="A188" s="53" t="s">
        <v>69</v>
      </c>
      <c r="B188" s="328" t="str">
        <f t="shared" si="28"/>
        <v>General Service 50 to 1,499 KW.RTSR - Network</v>
      </c>
      <c r="C188" s="328" t="s">
        <v>285</v>
      </c>
      <c r="D188" s="314" t="s">
        <v>249</v>
      </c>
      <c r="E188" s="313">
        <v>4.8479999999999999</v>
      </c>
      <c r="F188" s="352">
        <v>4.5787000000000004</v>
      </c>
      <c r="G188" s="352">
        <v>4.5787000000000004</v>
      </c>
      <c r="H188" s="352">
        <v>4.5787000000000004</v>
      </c>
      <c r="I188" s="352">
        <v>4.5787000000000004</v>
      </c>
      <c r="J188" s="352">
        <v>4.5787000000000004</v>
      </c>
      <c r="K188" s="3"/>
      <c r="Q188" s="3"/>
      <c r="R188" s="3"/>
      <c r="S188" s="3"/>
      <c r="T188" s="3"/>
      <c r="U188" s="3"/>
      <c r="V188" s="3"/>
      <c r="W188" s="3"/>
      <c r="X188" s="3"/>
      <c r="Y188" s="3"/>
      <c r="Z188" s="3"/>
    </row>
    <row r="189" spans="1:26" ht="12" customHeight="1">
      <c r="A189" s="53"/>
      <c r="B189" s="328"/>
      <c r="C189" s="328"/>
      <c r="D189" s="314" t="s">
        <v>286</v>
      </c>
      <c r="E189" s="313">
        <v>0</v>
      </c>
      <c r="F189" s="352">
        <v>0.77839999999999998</v>
      </c>
      <c r="G189" s="352">
        <v>0.77839999999999998</v>
      </c>
      <c r="H189" s="352">
        <v>0.77839999999999998</v>
      </c>
      <c r="I189" s="352">
        <v>0.77839999999999998</v>
      </c>
      <c r="J189" s="352">
        <v>0.77839999999999998</v>
      </c>
      <c r="K189" s="3"/>
      <c r="Q189" s="3"/>
      <c r="R189" s="3"/>
      <c r="S189" s="3"/>
      <c r="T189" s="3"/>
      <c r="U189" s="3"/>
      <c r="V189" s="3"/>
      <c r="W189" s="3"/>
      <c r="X189" s="3"/>
      <c r="Y189" s="3"/>
      <c r="Z189" s="3"/>
    </row>
    <row r="190" spans="1:26" ht="12" customHeight="1">
      <c r="A190" s="53" t="s">
        <v>69</v>
      </c>
      <c r="B190" s="328" t="str">
        <f>D190&amp;"."&amp;C190</f>
        <v>General Service 1,500 to 4,999 KW.RTSR - Network</v>
      </c>
      <c r="C190" s="328" t="s">
        <v>285</v>
      </c>
      <c r="D190" s="314" t="s">
        <v>250</v>
      </c>
      <c r="E190" s="313">
        <v>5.0336999999999996</v>
      </c>
      <c r="F190" s="352">
        <v>4.5423999999999998</v>
      </c>
      <c r="G190" s="352">
        <v>4.5423999999999998</v>
      </c>
      <c r="H190" s="352">
        <v>4.5423999999999998</v>
      </c>
      <c r="I190" s="352">
        <v>4.5423999999999998</v>
      </c>
      <c r="J190" s="352">
        <v>4.5423999999999998</v>
      </c>
      <c r="K190" s="3"/>
      <c r="Q190" s="3"/>
      <c r="R190" s="3"/>
      <c r="S190" s="3"/>
      <c r="T190" s="3"/>
      <c r="U190" s="3"/>
      <c r="V190" s="3"/>
      <c r="W190" s="3"/>
      <c r="X190" s="3"/>
      <c r="Y190" s="3"/>
      <c r="Z190" s="3"/>
    </row>
    <row r="191" spans="1:26" ht="12" customHeight="1">
      <c r="A191" s="53"/>
      <c r="B191" s="328"/>
      <c r="C191" s="328"/>
      <c r="D191" s="314" t="s">
        <v>287</v>
      </c>
      <c r="E191" s="313">
        <v>0</v>
      </c>
      <c r="F191" s="352">
        <v>0.7722</v>
      </c>
      <c r="G191" s="352">
        <v>0.7722</v>
      </c>
      <c r="H191" s="352">
        <v>0.7722</v>
      </c>
      <c r="I191" s="352">
        <v>0.7722</v>
      </c>
      <c r="J191" s="352">
        <v>0.7722</v>
      </c>
      <c r="K191" s="3"/>
      <c r="Q191" s="3"/>
      <c r="R191" s="3"/>
      <c r="S191" s="3"/>
      <c r="T191" s="3"/>
      <c r="U191" s="3"/>
      <c r="V191" s="3"/>
      <c r="W191" s="3"/>
      <c r="X191" s="3"/>
      <c r="Y191" s="3"/>
      <c r="Z191" s="3"/>
    </row>
    <row r="192" spans="1:26" ht="12" customHeight="1">
      <c r="A192" s="53" t="s">
        <v>69</v>
      </c>
      <c r="B192" s="328" t="str">
        <f t="shared" ref="B192:B198" si="29">D192&amp;"."&amp;C192</f>
        <v>Large User.RTSR - Network</v>
      </c>
      <c r="C192" s="328" t="s">
        <v>285</v>
      </c>
      <c r="D192" s="314" t="s">
        <v>251</v>
      </c>
      <c r="E192" s="313">
        <v>5.5801999999999996</v>
      </c>
      <c r="F192" s="352">
        <v>5.3339999999999996</v>
      </c>
      <c r="G192" s="352">
        <v>5.3339999999999996</v>
      </c>
      <c r="H192" s="352">
        <v>5.3339999999999996</v>
      </c>
      <c r="I192" s="352">
        <v>5.3339999999999996</v>
      </c>
      <c r="J192" s="352">
        <v>5.3339999999999996</v>
      </c>
      <c r="K192" s="3"/>
      <c r="Q192" s="3"/>
      <c r="R192" s="3"/>
      <c r="S192" s="3"/>
      <c r="T192" s="3"/>
      <c r="U192" s="3"/>
      <c r="V192" s="3"/>
      <c r="W192" s="3"/>
      <c r="X192" s="3"/>
      <c r="Y192" s="3"/>
      <c r="Z192" s="3"/>
    </row>
    <row r="193" spans="1:26" ht="12" customHeight="1">
      <c r="A193" s="53" t="s">
        <v>69</v>
      </c>
      <c r="B193" s="328" t="str">
        <f t="shared" si="29"/>
        <v>Street Light.RTSR - Network</v>
      </c>
      <c r="C193" s="328" t="s">
        <v>285</v>
      </c>
      <c r="D193" s="314" t="s">
        <v>252</v>
      </c>
      <c r="E193" s="313">
        <v>3.597</v>
      </c>
      <c r="F193" s="352">
        <v>2.1576</v>
      </c>
      <c r="G193" s="352">
        <v>2.1576</v>
      </c>
      <c r="H193" s="352">
        <v>2.1576</v>
      </c>
      <c r="I193" s="352">
        <v>2.1576</v>
      </c>
      <c r="J193" s="352">
        <v>2.1576</v>
      </c>
      <c r="K193" s="3"/>
      <c r="Q193" s="3"/>
      <c r="R193" s="3"/>
      <c r="S193" s="3"/>
      <c r="T193" s="3"/>
      <c r="U193" s="3"/>
      <c r="V193" s="3"/>
      <c r="W193" s="3"/>
      <c r="X193" s="3"/>
      <c r="Y193" s="3"/>
      <c r="Z193" s="3"/>
    </row>
    <row r="194" spans="1:26" ht="12" customHeight="1">
      <c r="A194" s="53" t="s">
        <v>69</v>
      </c>
      <c r="B194" s="328" t="str">
        <f t="shared" si="29"/>
        <v>Sentinel Lights.RTSR - Network</v>
      </c>
      <c r="C194" s="328" t="s">
        <v>285</v>
      </c>
      <c r="D194" s="314" t="s">
        <v>253</v>
      </c>
      <c r="E194" s="313">
        <v>3.5788000000000002</v>
      </c>
      <c r="F194" s="352">
        <v>0.85450000000000004</v>
      </c>
      <c r="G194" s="352">
        <v>0.85450000000000004</v>
      </c>
      <c r="H194" s="352">
        <v>0.85450000000000004</v>
      </c>
      <c r="I194" s="352">
        <v>0.85450000000000004</v>
      </c>
      <c r="J194" s="352">
        <v>0.85450000000000004</v>
      </c>
      <c r="K194" s="3"/>
      <c r="Q194" s="3"/>
      <c r="R194" s="3"/>
      <c r="S194" s="3"/>
      <c r="T194" s="3"/>
      <c r="U194" s="3"/>
      <c r="V194" s="3"/>
      <c r="W194" s="3"/>
      <c r="X194" s="3"/>
      <c r="Y194" s="3"/>
      <c r="Z194" s="3"/>
    </row>
    <row r="195" spans="1:26" ht="12" customHeight="1">
      <c r="A195" s="53" t="s">
        <v>69</v>
      </c>
      <c r="B195" s="328" t="str">
        <f t="shared" si="29"/>
        <v>Unmetered Scattered Load.RTSR - Network</v>
      </c>
      <c r="C195" s="328" t="s">
        <v>285</v>
      </c>
      <c r="D195" s="314" t="s">
        <v>254</v>
      </c>
      <c r="E195" s="313">
        <v>1.18E-2</v>
      </c>
      <c r="F195" s="352">
        <v>7.4999999999999997E-3</v>
      </c>
      <c r="G195" s="352">
        <v>7.4999999999999997E-3</v>
      </c>
      <c r="H195" s="352">
        <v>7.4999999999999997E-3</v>
      </c>
      <c r="I195" s="352">
        <v>7.4999999999999997E-3</v>
      </c>
      <c r="J195" s="352">
        <v>7.4999999999999997E-3</v>
      </c>
      <c r="K195" s="3"/>
      <c r="Q195" s="3"/>
      <c r="R195" s="3"/>
      <c r="S195" s="3"/>
      <c r="T195" s="3"/>
      <c r="U195" s="3"/>
      <c r="V195" s="3"/>
      <c r="W195" s="3"/>
      <c r="X195" s="3"/>
      <c r="Y195" s="3"/>
      <c r="Z195" s="3"/>
    </row>
    <row r="196" spans="1:26" ht="12" customHeight="1">
      <c r="A196" s="53" t="s">
        <v>69</v>
      </c>
      <c r="B196" s="328" t="str">
        <f t="shared" si="29"/>
        <v>Standby Power General Service 50 to 1,499 KW.</v>
      </c>
      <c r="C196" s="328"/>
      <c r="D196" s="314" t="s">
        <v>255</v>
      </c>
      <c r="E196" s="3"/>
      <c r="F196" s="335"/>
      <c r="G196" s="335"/>
      <c r="H196" s="335"/>
      <c r="I196" s="335"/>
      <c r="J196" s="335"/>
      <c r="K196" s="3"/>
      <c r="L196" s="3"/>
      <c r="M196" s="3"/>
      <c r="N196" s="3"/>
      <c r="O196" s="3"/>
      <c r="P196" s="3"/>
      <c r="Q196" s="3"/>
      <c r="R196" s="3"/>
      <c r="S196" s="3"/>
      <c r="T196" s="3"/>
      <c r="U196" s="3"/>
      <c r="V196" s="3"/>
      <c r="W196" s="3"/>
      <c r="X196" s="3"/>
      <c r="Y196" s="3"/>
      <c r="Z196" s="3"/>
    </row>
    <row r="197" spans="1:26" ht="12" customHeight="1">
      <c r="A197" s="53" t="s">
        <v>69</v>
      </c>
      <c r="B197" s="328" t="str">
        <f t="shared" si="29"/>
        <v>Standby Power General Service 1,500 to 4,999 KW.</v>
      </c>
      <c r="C197" s="328"/>
      <c r="D197" s="314" t="s">
        <v>256</v>
      </c>
      <c r="E197" s="3"/>
      <c r="F197" s="335"/>
      <c r="G197" s="335"/>
      <c r="H197" s="335"/>
      <c r="I197" s="335"/>
      <c r="J197" s="335"/>
      <c r="K197" s="3"/>
      <c r="L197" s="3"/>
      <c r="M197" s="3"/>
      <c r="N197" s="3"/>
      <c r="O197" s="3"/>
      <c r="P197" s="3"/>
      <c r="Q197" s="3"/>
      <c r="R197" s="3"/>
      <c r="S197" s="3"/>
      <c r="T197" s="3"/>
      <c r="U197" s="3"/>
      <c r="V197" s="3"/>
      <c r="W197" s="3"/>
      <c r="X197" s="3"/>
      <c r="Y197" s="3"/>
      <c r="Z197" s="3"/>
    </row>
    <row r="198" spans="1:26" ht="12" customHeight="1">
      <c r="A198" s="53" t="s">
        <v>69</v>
      </c>
      <c r="B198" s="328" t="str">
        <f t="shared" si="29"/>
        <v>Standby Power Large Use.</v>
      </c>
      <c r="C198" s="328"/>
      <c r="D198" s="314" t="s">
        <v>257</v>
      </c>
      <c r="E198" s="3"/>
      <c r="F198" s="335"/>
      <c r="G198" s="335"/>
      <c r="H198" s="335"/>
      <c r="I198" s="335"/>
      <c r="J198" s="335"/>
      <c r="K198" s="3"/>
      <c r="L198" s="3"/>
      <c r="M198" s="3"/>
      <c r="N198" s="3"/>
      <c r="O198" s="3"/>
      <c r="P198" s="3"/>
      <c r="Q198" s="3"/>
      <c r="R198" s="3"/>
      <c r="S198" s="3"/>
      <c r="T198" s="3"/>
      <c r="U198" s="3"/>
      <c r="V198" s="3"/>
      <c r="W198" s="3"/>
      <c r="X198" s="3"/>
      <c r="Y198" s="3"/>
      <c r="Z198" s="3"/>
    </row>
    <row r="199" spans="1:26" ht="12" customHeight="1">
      <c r="A199" s="3"/>
      <c r="B199" s="314"/>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 customHeight="1">
      <c r="A200" s="3"/>
      <c r="B200" s="53"/>
      <c r="C200" s="325" t="s">
        <v>288</v>
      </c>
      <c r="D200" s="3"/>
      <c r="E200" s="326" t="s">
        <v>243</v>
      </c>
      <c r="F200" s="327" t="str">
        <f t="shared" ref="F200:J200" si="30">F$4</f>
        <v>2026F</v>
      </c>
      <c r="G200" s="327" t="str">
        <f t="shared" si="30"/>
        <v>2027F</v>
      </c>
      <c r="H200" s="327" t="str">
        <f t="shared" si="30"/>
        <v>2028F</v>
      </c>
      <c r="I200" s="327" t="str">
        <f t="shared" si="30"/>
        <v>2029F</v>
      </c>
      <c r="J200" s="327" t="str">
        <f t="shared" si="30"/>
        <v>2030F</v>
      </c>
      <c r="K200" s="3"/>
      <c r="L200" s="3"/>
      <c r="M200" s="3"/>
      <c r="N200" s="3"/>
      <c r="O200" s="3"/>
      <c r="P200" s="3"/>
      <c r="Q200" s="3"/>
      <c r="R200" s="3"/>
      <c r="S200" s="3"/>
      <c r="T200" s="3"/>
      <c r="U200" s="3"/>
      <c r="V200" s="3"/>
      <c r="W200" s="3"/>
      <c r="X200" s="3"/>
      <c r="Y200" s="3"/>
      <c r="Z200" s="3"/>
    </row>
    <row r="201" spans="1:26" ht="12" customHeight="1">
      <c r="A201" s="53" t="s">
        <v>48</v>
      </c>
      <c r="B201" s="328" t="str">
        <f t="shared" ref="B201:B203" si="31">D201&amp;"."&amp;C201</f>
        <v>Residential.RTSR - Line and Transformation Connection</v>
      </c>
      <c r="C201" s="328" t="s">
        <v>288</v>
      </c>
      <c r="D201" s="314" t="s">
        <v>247</v>
      </c>
      <c r="E201" s="313">
        <v>7.1999999999999998E-3</v>
      </c>
      <c r="F201" s="352">
        <v>7.7999999999999996E-3</v>
      </c>
      <c r="G201" s="352">
        <v>7.7999999999999996E-3</v>
      </c>
      <c r="H201" s="352">
        <v>7.7999999999999996E-3</v>
      </c>
      <c r="I201" s="352">
        <v>7.7999999999999996E-3</v>
      </c>
      <c r="J201" s="352">
        <v>7.7999999999999996E-3</v>
      </c>
      <c r="K201" s="3"/>
      <c r="Q201" s="3"/>
      <c r="R201" s="3"/>
      <c r="S201" s="3"/>
      <c r="T201" s="3"/>
      <c r="U201" s="3"/>
      <c r="V201" s="3"/>
      <c r="W201" s="3"/>
      <c r="X201" s="3"/>
      <c r="Y201" s="3"/>
      <c r="Z201" s="3"/>
    </row>
    <row r="202" spans="1:26" ht="12" customHeight="1">
      <c r="A202" s="53" t="s">
        <v>48</v>
      </c>
      <c r="B202" s="328" t="str">
        <f t="shared" si="31"/>
        <v>General Service &lt; 50 kW.RTSR - Line and Transformation Connection</v>
      </c>
      <c r="C202" s="328" t="s">
        <v>288</v>
      </c>
      <c r="D202" s="314" t="s">
        <v>248</v>
      </c>
      <c r="E202" s="313">
        <v>7.0000000000000001E-3</v>
      </c>
      <c r="F202" s="352">
        <v>6.1000000000000004E-3</v>
      </c>
      <c r="G202" s="352">
        <v>6.1000000000000004E-3</v>
      </c>
      <c r="H202" s="352">
        <v>6.1000000000000004E-3</v>
      </c>
      <c r="I202" s="352">
        <v>6.1000000000000004E-3</v>
      </c>
      <c r="J202" s="352">
        <v>6.1000000000000004E-3</v>
      </c>
      <c r="K202" s="3"/>
      <c r="Q202" s="3"/>
      <c r="R202" s="3"/>
      <c r="S202" s="3"/>
      <c r="T202" s="3"/>
      <c r="U202" s="3"/>
      <c r="V202" s="3"/>
      <c r="W202" s="3"/>
      <c r="X202" s="3"/>
      <c r="Y202" s="3"/>
      <c r="Z202" s="3"/>
    </row>
    <row r="203" spans="1:26" ht="12" customHeight="1">
      <c r="A203" s="53" t="s">
        <v>69</v>
      </c>
      <c r="B203" s="328" t="str">
        <f t="shared" si="31"/>
        <v>General Service 50 to 1,499 KW.RTSR - Line and Transformation Connection</v>
      </c>
      <c r="C203" s="328" t="s">
        <v>288</v>
      </c>
      <c r="D203" s="314" t="s">
        <v>249</v>
      </c>
      <c r="E203" s="313">
        <v>2.8187000000000002</v>
      </c>
      <c r="F203" s="352">
        <v>2.5918000000000001</v>
      </c>
      <c r="G203" s="352">
        <v>2.5918000000000001</v>
      </c>
      <c r="H203" s="352">
        <v>2.5918000000000001</v>
      </c>
      <c r="I203" s="352">
        <v>2.5918000000000001</v>
      </c>
      <c r="J203" s="352">
        <v>2.5918000000000001</v>
      </c>
      <c r="K203" s="3"/>
      <c r="Q203" s="3"/>
      <c r="R203" s="3"/>
      <c r="S203" s="3"/>
      <c r="T203" s="3"/>
      <c r="U203" s="3"/>
      <c r="V203" s="3"/>
      <c r="W203" s="3"/>
      <c r="X203" s="3"/>
      <c r="Y203" s="3"/>
      <c r="Z203" s="3"/>
    </row>
    <row r="204" spans="1:26" ht="12" customHeight="1">
      <c r="A204" s="53"/>
      <c r="B204" s="328"/>
      <c r="C204" s="328"/>
      <c r="D204" s="314" t="s">
        <v>286</v>
      </c>
      <c r="E204" s="313">
        <v>0</v>
      </c>
      <c r="F204" s="352">
        <v>0.44059999999999999</v>
      </c>
      <c r="G204" s="352">
        <v>0.44059999999999999</v>
      </c>
      <c r="H204" s="352">
        <v>0.44059999999999999</v>
      </c>
      <c r="I204" s="352">
        <v>0.44059999999999999</v>
      </c>
      <c r="J204" s="352">
        <v>0.44059999999999999</v>
      </c>
      <c r="K204" s="3"/>
      <c r="Q204" s="3"/>
      <c r="R204" s="3"/>
      <c r="S204" s="3"/>
      <c r="T204" s="3"/>
      <c r="U204" s="3"/>
      <c r="V204" s="3"/>
      <c r="W204" s="3"/>
      <c r="X204" s="3"/>
      <c r="Y204" s="3"/>
      <c r="Z204" s="3"/>
    </row>
    <row r="205" spans="1:26" ht="12" customHeight="1">
      <c r="A205" s="53" t="s">
        <v>69</v>
      </c>
      <c r="B205" s="328" t="str">
        <f>D205&amp;"."&amp;C205</f>
        <v>General Service 1,500 to 4,999 KW.RTSR - Line and Transformation Connection</v>
      </c>
      <c r="C205" s="328" t="s">
        <v>288</v>
      </c>
      <c r="D205" s="314" t="s">
        <v>250</v>
      </c>
      <c r="E205" s="313">
        <v>3.0125999999999999</v>
      </c>
      <c r="F205" s="352">
        <v>2.5712000000000002</v>
      </c>
      <c r="G205" s="352">
        <v>2.5712000000000002</v>
      </c>
      <c r="H205" s="352">
        <v>2.5712000000000002</v>
      </c>
      <c r="I205" s="352">
        <v>2.5712000000000002</v>
      </c>
      <c r="J205" s="352">
        <v>2.5712000000000002</v>
      </c>
      <c r="K205" s="3"/>
      <c r="Q205" s="3"/>
      <c r="R205" s="3"/>
      <c r="S205" s="3"/>
      <c r="T205" s="3"/>
      <c r="U205" s="3"/>
      <c r="V205" s="3"/>
      <c r="W205" s="3"/>
      <c r="X205" s="3"/>
      <c r="Y205" s="3"/>
      <c r="Z205" s="3"/>
    </row>
    <row r="206" spans="1:26" ht="12" customHeight="1">
      <c r="A206" s="53"/>
      <c r="B206" s="328"/>
      <c r="C206" s="328"/>
      <c r="D206" s="314" t="s">
        <v>287</v>
      </c>
      <c r="E206" s="313">
        <v>0</v>
      </c>
      <c r="F206" s="352">
        <v>0.43709999999999999</v>
      </c>
      <c r="G206" s="352">
        <v>0.43709999999999999</v>
      </c>
      <c r="H206" s="352">
        <v>0.43709999999999999</v>
      </c>
      <c r="I206" s="352">
        <v>0.43709999999999999</v>
      </c>
      <c r="J206" s="352">
        <v>0.43709999999999999</v>
      </c>
      <c r="K206" s="3"/>
      <c r="Q206" s="3"/>
      <c r="R206" s="3"/>
      <c r="S206" s="3"/>
      <c r="T206" s="3"/>
      <c r="U206" s="3"/>
      <c r="V206" s="3"/>
      <c r="W206" s="3"/>
      <c r="X206" s="3"/>
      <c r="Y206" s="3"/>
      <c r="Z206" s="3"/>
    </row>
    <row r="207" spans="1:26" ht="12" customHeight="1">
      <c r="A207" s="53" t="s">
        <v>69</v>
      </c>
      <c r="B207" s="328" t="str">
        <f t="shared" ref="B207:B213" si="32">D207&amp;"."&amp;C207</f>
        <v>Large User.RTSR - Line and Transformation Connection</v>
      </c>
      <c r="C207" s="328" t="s">
        <v>288</v>
      </c>
      <c r="D207" s="314" t="s">
        <v>251</v>
      </c>
      <c r="E207" s="313">
        <v>3.3923999999999999</v>
      </c>
      <c r="F207" s="352">
        <v>3.0192999999999999</v>
      </c>
      <c r="G207" s="352">
        <v>3.0192999999999999</v>
      </c>
      <c r="H207" s="352">
        <v>3.0192999999999999</v>
      </c>
      <c r="I207" s="352">
        <v>3.0192999999999999</v>
      </c>
      <c r="J207" s="352">
        <v>3.0192999999999999</v>
      </c>
      <c r="K207" s="3"/>
      <c r="Q207" s="3"/>
      <c r="R207" s="3"/>
      <c r="S207" s="3"/>
      <c r="T207" s="3"/>
      <c r="U207" s="3"/>
      <c r="V207" s="3"/>
      <c r="W207" s="3"/>
      <c r="X207" s="3"/>
      <c r="Y207" s="3"/>
      <c r="Z207" s="3"/>
    </row>
    <row r="208" spans="1:26" ht="12" customHeight="1">
      <c r="A208" s="53" t="s">
        <v>69</v>
      </c>
      <c r="B208" s="328" t="str">
        <f t="shared" si="32"/>
        <v>Street Light.RTSR - Line and Transformation Connection</v>
      </c>
      <c r="C208" s="328" t="s">
        <v>288</v>
      </c>
      <c r="D208" s="314" t="s">
        <v>252</v>
      </c>
      <c r="E208" s="313">
        <v>2.1377000000000002</v>
      </c>
      <c r="F208" s="352">
        <v>1.2213000000000001</v>
      </c>
      <c r="G208" s="352">
        <v>1.2213000000000001</v>
      </c>
      <c r="H208" s="352">
        <v>1.2213000000000001</v>
      </c>
      <c r="I208" s="352">
        <v>1.2213000000000001</v>
      </c>
      <c r="J208" s="352">
        <v>1.2213000000000001</v>
      </c>
      <c r="K208" s="3"/>
      <c r="Q208" s="3"/>
      <c r="R208" s="3"/>
      <c r="S208" s="3"/>
      <c r="T208" s="3"/>
      <c r="U208" s="3"/>
      <c r="V208" s="3"/>
      <c r="W208" s="3"/>
      <c r="X208" s="3"/>
      <c r="Y208" s="3"/>
      <c r="Z208" s="3"/>
    </row>
    <row r="209" spans="1:26" ht="12" customHeight="1">
      <c r="A209" s="53" t="s">
        <v>69</v>
      </c>
      <c r="B209" s="328" t="str">
        <f t="shared" si="32"/>
        <v>Sentinel Lights.RTSR - Line and Transformation Connection</v>
      </c>
      <c r="C209" s="328" t="s">
        <v>288</v>
      </c>
      <c r="D209" s="314" t="s">
        <v>253</v>
      </c>
      <c r="E209" s="313">
        <v>2.0941999999999998</v>
      </c>
      <c r="F209" s="352">
        <v>0.48370000000000002</v>
      </c>
      <c r="G209" s="352">
        <v>0.48370000000000002</v>
      </c>
      <c r="H209" s="352">
        <v>0.48370000000000002</v>
      </c>
      <c r="I209" s="352">
        <v>0.48370000000000002</v>
      </c>
      <c r="J209" s="352">
        <v>0.48370000000000002</v>
      </c>
      <c r="K209" s="3"/>
      <c r="Q209" s="3"/>
      <c r="R209" s="3"/>
      <c r="S209" s="3"/>
      <c r="T209" s="3"/>
      <c r="U209" s="3"/>
      <c r="V209" s="3"/>
      <c r="W209" s="3"/>
      <c r="X209" s="3"/>
      <c r="Y209" s="3"/>
      <c r="Z209" s="3"/>
    </row>
    <row r="210" spans="1:26" ht="12" customHeight="1">
      <c r="A210" s="53" t="s">
        <v>69</v>
      </c>
      <c r="B210" s="328" t="str">
        <f t="shared" si="32"/>
        <v>Unmetered Scattered Load.RTSR - Line and Transformation Connection</v>
      </c>
      <c r="C210" s="328" t="s">
        <v>288</v>
      </c>
      <c r="D210" s="314" t="s">
        <v>254</v>
      </c>
      <c r="E210" s="313">
        <v>7.0000000000000001E-3</v>
      </c>
      <c r="F210" s="352">
        <v>4.3E-3</v>
      </c>
      <c r="G210" s="352">
        <v>4.3E-3</v>
      </c>
      <c r="H210" s="352">
        <v>4.3E-3</v>
      </c>
      <c r="I210" s="352">
        <v>4.3E-3</v>
      </c>
      <c r="J210" s="352">
        <v>4.3E-3</v>
      </c>
      <c r="K210" s="3"/>
      <c r="Q210" s="3"/>
      <c r="R210" s="3"/>
      <c r="S210" s="3"/>
      <c r="T210" s="3"/>
      <c r="U210" s="3"/>
      <c r="V210" s="3"/>
      <c r="W210" s="3"/>
      <c r="X210" s="3"/>
      <c r="Y210" s="3"/>
      <c r="Z210" s="3"/>
    </row>
    <row r="211" spans="1:26" ht="12" customHeight="1">
      <c r="A211" s="53" t="s">
        <v>69</v>
      </c>
      <c r="B211" s="328" t="str">
        <f t="shared" si="32"/>
        <v>Standby Power General Service 50 to 1,499 KW.RTSR - Line and Transformation Connection</v>
      </c>
      <c r="C211" s="328" t="s">
        <v>288</v>
      </c>
      <c r="D211" s="314" t="s">
        <v>255</v>
      </c>
      <c r="E211" s="3"/>
      <c r="F211" s="3"/>
      <c r="G211" s="3"/>
      <c r="H211" s="3"/>
      <c r="I211" s="3"/>
      <c r="J211" s="3"/>
      <c r="K211" s="3"/>
      <c r="L211" s="3"/>
      <c r="M211" s="3"/>
      <c r="N211" s="3"/>
      <c r="O211" s="3"/>
      <c r="P211" s="3"/>
      <c r="Q211" s="3"/>
      <c r="R211" s="3"/>
      <c r="S211" s="3"/>
      <c r="T211" s="3"/>
      <c r="U211" s="3"/>
      <c r="V211" s="3"/>
      <c r="W211" s="3"/>
      <c r="X211" s="3"/>
      <c r="Y211" s="3"/>
      <c r="Z211" s="3"/>
    </row>
    <row r="212" spans="1:26" ht="12" customHeight="1">
      <c r="A212" s="53" t="s">
        <v>69</v>
      </c>
      <c r="B212" s="328" t="str">
        <f t="shared" si="32"/>
        <v>Standby Power General Service 1,500 to 4,999 KW.RTSR - Line and Transformation Connection</v>
      </c>
      <c r="C212" s="328" t="s">
        <v>288</v>
      </c>
      <c r="D212" s="314" t="s">
        <v>256</v>
      </c>
      <c r="E212" s="3"/>
      <c r="F212" s="335"/>
      <c r="G212" s="3"/>
      <c r="H212" s="3"/>
      <c r="I212" s="3"/>
      <c r="J212" s="3"/>
      <c r="K212" s="3"/>
      <c r="L212" s="3"/>
      <c r="M212" s="3"/>
      <c r="N212" s="3"/>
      <c r="O212" s="3"/>
      <c r="P212" s="3"/>
      <c r="Q212" s="3"/>
      <c r="R212" s="3"/>
      <c r="S212" s="3"/>
      <c r="T212" s="3"/>
      <c r="U212" s="3"/>
      <c r="V212" s="3"/>
      <c r="W212" s="3"/>
      <c r="X212" s="3"/>
      <c r="Y212" s="3"/>
      <c r="Z212" s="3"/>
    </row>
    <row r="213" spans="1:26" ht="12" customHeight="1">
      <c r="A213" s="53" t="s">
        <v>69</v>
      </c>
      <c r="B213" s="328" t="str">
        <f t="shared" si="32"/>
        <v>Standby Power Large Use.RTSR - Line and Transformation Connection</v>
      </c>
      <c r="C213" s="328" t="s">
        <v>288</v>
      </c>
      <c r="D213" s="314" t="s">
        <v>257</v>
      </c>
      <c r="E213" s="3"/>
      <c r="F213" s="335"/>
      <c r="G213" s="3"/>
      <c r="H213" s="3"/>
      <c r="I213" s="3"/>
      <c r="J213" s="3"/>
      <c r="K213" s="3"/>
      <c r="L213" s="3"/>
      <c r="M213" s="3"/>
      <c r="N213" s="3"/>
      <c r="O213" s="3"/>
      <c r="P213" s="3"/>
      <c r="Q213" s="3"/>
      <c r="R213" s="3"/>
      <c r="S213" s="3"/>
      <c r="T213" s="3"/>
      <c r="U213" s="3"/>
      <c r="V213" s="3"/>
      <c r="W213" s="3"/>
      <c r="X213" s="3"/>
      <c r="Y213" s="3"/>
      <c r="Z213" s="3"/>
    </row>
    <row r="214" spans="1:26" ht="12" customHeight="1">
      <c r="A214" s="3"/>
      <c r="B214" s="314"/>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 customHeight="1">
      <c r="A215" s="3"/>
      <c r="B215" s="53"/>
      <c r="C215" s="325" t="s">
        <v>289</v>
      </c>
      <c r="D215" s="3"/>
      <c r="E215" s="326" t="s">
        <v>243</v>
      </c>
      <c r="F215" s="327" t="str">
        <f t="shared" ref="F215:J215" si="33">F$4</f>
        <v>2026F</v>
      </c>
      <c r="G215" s="327" t="str">
        <f t="shared" si="33"/>
        <v>2027F</v>
      </c>
      <c r="H215" s="327" t="str">
        <f t="shared" si="33"/>
        <v>2028F</v>
      </c>
      <c r="I215" s="327" t="str">
        <f t="shared" si="33"/>
        <v>2029F</v>
      </c>
      <c r="J215" s="327" t="str">
        <f t="shared" si="33"/>
        <v>2030F</v>
      </c>
      <c r="K215" s="3"/>
      <c r="L215" s="3"/>
      <c r="M215" s="3"/>
      <c r="N215" s="3"/>
      <c r="O215" s="3"/>
      <c r="P215" s="3"/>
      <c r="Q215" s="3"/>
      <c r="R215" s="3"/>
      <c r="S215" s="3"/>
      <c r="T215" s="3"/>
      <c r="U215" s="3"/>
      <c r="V215" s="3"/>
      <c r="W215" s="3"/>
      <c r="X215" s="3"/>
      <c r="Y215" s="3"/>
      <c r="Z215" s="3"/>
    </row>
    <row r="216" spans="1:26" ht="12" customHeight="1">
      <c r="A216" s="53" t="s">
        <v>48</v>
      </c>
      <c r="B216" s="328" t="str">
        <f t="shared" ref="B216:B226" si="34">D216&amp;"."&amp;C216</f>
        <v>Residential.Wholesale Market Service Charge (WMSC)</v>
      </c>
      <c r="C216" s="328" t="s">
        <v>289</v>
      </c>
      <c r="D216" s="314" t="s">
        <v>247</v>
      </c>
      <c r="E216" s="313">
        <v>4.4999999999999997E-3</v>
      </c>
      <c r="F216" s="352">
        <v>4.7000000000000002E-3</v>
      </c>
      <c r="G216" s="352">
        <v>4.7000000000000002E-3</v>
      </c>
      <c r="H216" s="352">
        <v>4.7000000000000002E-3</v>
      </c>
      <c r="I216" s="352">
        <v>4.7000000000000002E-3</v>
      </c>
      <c r="J216" s="352">
        <v>4.7000000000000002E-3</v>
      </c>
      <c r="K216" s="3"/>
      <c r="L216" s="3"/>
      <c r="M216" s="3"/>
      <c r="N216" s="3"/>
      <c r="O216" s="3"/>
      <c r="P216" s="3"/>
      <c r="Q216" s="3"/>
      <c r="R216" s="3"/>
      <c r="S216" s="3"/>
      <c r="T216" s="3"/>
      <c r="U216" s="3"/>
      <c r="V216" s="3"/>
      <c r="W216" s="3"/>
      <c r="X216" s="3"/>
      <c r="Y216" s="3"/>
      <c r="Z216" s="3"/>
    </row>
    <row r="217" spans="1:26" ht="12" customHeight="1">
      <c r="A217" s="53" t="s">
        <v>48</v>
      </c>
      <c r="B217" s="328" t="str">
        <f t="shared" si="34"/>
        <v>General Service &lt; 50 kW.Wholesale Market Service Charge (WMSC)</v>
      </c>
      <c r="C217" s="328" t="s">
        <v>289</v>
      </c>
      <c r="D217" s="314" t="s">
        <v>248</v>
      </c>
      <c r="E217" s="313">
        <v>4.4999999999999997E-3</v>
      </c>
      <c r="F217" s="352">
        <v>4.7000000000000002E-3</v>
      </c>
      <c r="G217" s="352">
        <v>4.7000000000000002E-3</v>
      </c>
      <c r="H217" s="352">
        <v>4.7000000000000002E-3</v>
      </c>
      <c r="I217" s="352">
        <v>4.7000000000000002E-3</v>
      </c>
      <c r="J217" s="352">
        <v>4.7000000000000002E-3</v>
      </c>
      <c r="K217" s="3"/>
      <c r="L217" s="3"/>
      <c r="M217" s="3"/>
      <c r="N217" s="3"/>
      <c r="O217" s="3"/>
      <c r="P217" s="3"/>
      <c r="Q217" s="3"/>
      <c r="R217" s="3"/>
      <c r="S217" s="3"/>
      <c r="T217" s="3"/>
      <c r="U217" s="3"/>
      <c r="V217" s="3"/>
      <c r="W217" s="3"/>
      <c r="X217" s="3"/>
      <c r="Y217" s="3"/>
      <c r="Z217" s="3"/>
    </row>
    <row r="218" spans="1:26" ht="12" customHeight="1">
      <c r="A218" s="53" t="s">
        <v>48</v>
      </c>
      <c r="B218" s="328" t="str">
        <f t="shared" si="34"/>
        <v>General Service 50 to 1,499 KW.Wholesale Market Service Charge (WMSC)</v>
      </c>
      <c r="C218" s="328" t="s">
        <v>289</v>
      </c>
      <c r="D218" s="314" t="s">
        <v>249</v>
      </c>
      <c r="E218" s="313">
        <v>4.4999999999999997E-3</v>
      </c>
      <c r="F218" s="352">
        <v>4.7000000000000002E-3</v>
      </c>
      <c r="G218" s="352">
        <v>4.7000000000000002E-3</v>
      </c>
      <c r="H218" s="352">
        <v>4.7000000000000002E-3</v>
      </c>
      <c r="I218" s="352">
        <v>4.7000000000000002E-3</v>
      </c>
      <c r="J218" s="352">
        <v>4.7000000000000002E-3</v>
      </c>
      <c r="K218" s="3"/>
      <c r="L218" s="3"/>
      <c r="M218" s="3"/>
      <c r="N218" s="3"/>
      <c r="O218" s="3"/>
      <c r="P218" s="3"/>
      <c r="Q218" s="3"/>
      <c r="R218" s="3"/>
      <c r="S218" s="3"/>
      <c r="T218" s="3"/>
      <c r="U218" s="3"/>
      <c r="V218" s="3"/>
      <c r="W218" s="3"/>
      <c r="X218" s="3"/>
      <c r="Y218" s="3"/>
      <c r="Z218" s="3"/>
    </row>
    <row r="219" spans="1:26" ht="12" customHeight="1">
      <c r="A219" s="53" t="s">
        <v>48</v>
      </c>
      <c r="B219" s="328" t="str">
        <f t="shared" si="34"/>
        <v>General Service 1,500 to 4,999 KW.Wholesale Market Service Charge (WMSC)</v>
      </c>
      <c r="C219" s="328" t="s">
        <v>289</v>
      </c>
      <c r="D219" s="314" t="s">
        <v>250</v>
      </c>
      <c r="E219" s="313">
        <v>4.4999999999999997E-3</v>
      </c>
      <c r="F219" s="352">
        <v>4.7000000000000002E-3</v>
      </c>
      <c r="G219" s="352">
        <v>4.7000000000000002E-3</v>
      </c>
      <c r="H219" s="352">
        <v>4.7000000000000002E-3</v>
      </c>
      <c r="I219" s="352">
        <v>4.7000000000000002E-3</v>
      </c>
      <c r="J219" s="352">
        <v>4.7000000000000002E-3</v>
      </c>
      <c r="K219" s="3"/>
      <c r="L219" s="3"/>
      <c r="M219" s="3"/>
      <c r="N219" s="3"/>
      <c r="O219" s="3"/>
      <c r="P219" s="3"/>
      <c r="Q219" s="3"/>
      <c r="R219" s="3"/>
      <c r="S219" s="3"/>
      <c r="T219" s="3"/>
      <c r="U219" s="3"/>
      <c r="V219" s="3"/>
      <c r="W219" s="3"/>
      <c r="X219" s="3"/>
      <c r="Y219" s="3"/>
      <c r="Z219" s="3"/>
    </row>
    <row r="220" spans="1:26" ht="12" customHeight="1">
      <c r="A220" s="53" t="s">
        <v>48</v>
      </c>
      <c r="B220" s="328" t="str">
        <f t="shared" si="34"/>
        <v>Large User.Wholesale Market Service Charge (WMSC)</v>
      </c>
      <c r="C220" s="328" t="s">
        <v>289</v>
      </c>
      <c r="D220" s="314" t="s">
        <v>251</v>
      </c>
      <c r="E220" s="313">
        <v>4.4999999999999997E-3</v>
      </c>
      <c r="F220" s="352">
        <v>4.7000000000000002E-3</v>
      </c>
      <c r="G220" s="352">
        <v>4.7000000000000002E-3</v>
      </c>
      <c r="H220" s="352">
        <v>4.7000000000000002E-3</v>
      </c>
      <c r="I220" s="352">
        <v>4.7000000000000002E-3</v>
      </c>
      <c r="J220" s="352">
        <v>4.7000000000000002E-3</v>
      </c>
      <c r="K220" s="3"/>
      <c r="L220" s="3"/>
      <c r="M220" s="3"/>
      <c r="N220" s="3"/>
      <c r="O220" s="3"/>
      <c r="P220" s="3"/>
      <c r="Q220" s="3"/>
      <c r="R220" s="3"/>
      <c r="S220" s="3"/>
      <c r="T220" s="3"/>
      <c r="U220" s="3"/>
      <c r="V220" s="3"/>
      <c r="W220" s="3"/>
      <c r="X220" s="3"/>
      <c r="Y220" s="3"/>
      <c r="Z220" s="3"/>
    </row>
    <row r="221" spans="1:26" ht="12" customHeight="1">
      <c r="A221" s="53" t="s">
        <v>48</v>
      </c>
      <c r="B221" s="328" t="str">
        <f t="shared" si="34"/>
        <v>Street Light.Wholesale Market Service Charge (WMSC)</v>
      </c>
      <c r="C221" s="328" t="s">
        <v>289</v>
      </c>
      <c r="D221" s="314" t="s">
        <v>252</v>
      </c>
      <c r="E221" s="313">
        <v>4.4999999999999997E-3</v>
      </c>
      <c r="F221" s="352">
        <v>4.7000000000000002E-3</v>
      </c>
      <c r="G221" s="352">
        <v>4.7000000000000002E-3</v>
      </c>
      <c r="H221" s="352">
        <v>4.7000000000000002E-3</v>
      </c>
      <c r="I221" s="352">
        <v>4.7000000000000002E-3</v>
      </c>
      <c r="J221" s="352">
        <v>4.7000000000000002E-3</v>
      </c>
      <c r="K221" s="3"/>
      <c r="L221" s="3"/>
      <c r="M221" s="3"/>
      <c r="N221" s="3"/>
      <c r="O221" s="3"/>
      <c r="P221" s="3"/>
      <c r="Q221" s="3"/>
      <c r="R221" s="3"/>
      <c r="S221" s="3"/>
      <c r="T221" s="3"/>
      <c r="U221" s="3"/>
      <c r="V221" s="3"/>
      <c r="W221" s="3"/>
      <c r="X221" s="3"/>
      <c r="Y221" s="3"/>
      <c r="Z221" s="3"/>
    </row>
    <row r="222" spans="1:26" ht="12" customHeight="1">
      <c r="A222" s="53" t="s">
        <v>48</v>
      </c>
      <c r="B222" s="328" t="str">
        <f t="shared" si="34"/>
        <v>Sentinel Lights.Wholesale Market Service Charge (WMSC)</v>
      </c>
      <c r="C222" s="328" t="s">
        <v>289</v>
      </c>
      <c r="D222" s="314" t="s">
        <v>253</v>
      </c>
      <c r="E222" s="313">
        <v>4.4999999999999997E-3</v>
      </c>
      <c r="F222" s="352">
        <v>4.7000000000000002E-3</v>
      </c>
      <c r="G222" s="352">
        <v>4.7000000000000002E-3</v>
      </c>
      <c r="H222" s="352">
        <v>4.7000000000000002E-3</v>
      </c>
      <c r="I222" s="352">
        <v>4.7000000000000002E-3</v>
      </c>
      <c r="J222" s="352">
        <v>4.7000000000000002E-3</v>
      </c>
      <c r="K222" s="3"/>
      <c r="L222" s="3"/>
      <c r="M222" s="3"/>
      <c r="N222" s="3"/>
      <c r="O222" s="3"/>
      <c r="P222" s="3"/>
      <c r="Q222" s="3"/>
      <c r="R222" s="3"/>
      <c r="S222" s="3"/>
      <c r="T222" s="3"/>
      <c r="U222" s="3"/>
      <c r="V222" s="3"/>
      <c r="W222" s="3"/>
      <c r="X222" s="3"/>
      <c r="Y222" s="3"/>
      <c r="Z222" s="3"/>
    </row>
    <row r="223" spans="1:26" ht="12" customHeight="1">
      <c r="A223" s="53" t="s">
        <v>48</v>
      </c>
      <c r="B223" s="328" t="str">
        <f t="shared" si="34"/>
        <v>Unmetered Scattered Load.Wholesale Market Service Charge (WMSC)</v>
      </c>
      <c r="C223" s="328" t="s">
        <v>289</v>
      </c>
      <c r="D223" s="314" t="s">
        <v>254</v>
      </c>
      <c r="E223" s="313">
        <v>4.4999999999999997E-3</v>
      </c>
      <c r="F223" s="352">
        <v>4.7000000000000002E-3</v>
      </c>
      <c r="G223" s="352">
        <v>4.7000000000000002E-3</v>
      </c>
      <c r="H223" s="352">
        <v>4.7000000000000002E-3</v>
      </c>
      <c r="I223" s="352">
        <v>4.7000000000000002E-3</v>
      </c>
      <c r="J223" s="352">
        <v>4.7000000000000002E-3</v>
      </c>
      <c r="K223" s="3"/>
      <c r="L223" s="3"/>
      <c r="M223" s="3"/>
      <c r="N223" s="3"/>
      <c r="O223" s="3"/>
      <c r="P223" s="3"/>
      <c r="Q223" s="3"/>
      <c r="R223" s="3"/>
      <c r="S223" s="3"/>
      <c r="T223" s="3"/>
      <c r="U223" s="3"/>
      <c r="V223" s="3"/>
      <c r="W223" s="3"/>
      <c r="X223" s="3"/>
      <c r="Y223" s="3"/>
      <c r="Z223" s="3"/>
    </row>
    <row r="224" spans="1:26" ht="12" customHeight="1">
      <c r="A224" s="53" t="s">
        <v>48</v>
      </c>
      <c r="B224" s="328" t="str">
        <f t="shared" si="34"/>
        <v>Standby Power General Service 50 to 1,499 KW.Wholesale Market Service Charge (WMSC)</v>
      </c>
      <c r="C224" s="328" t="s">
        <v>289</v>
      </c>
      <c r="D224" s="314" t="s">
        <v>255</v>
      </c>
      <c r="E224" s="313">
        <v>4.4999999999999997E-3</v>
      </c>
      <c r="F224" s="352">
        <v>4.7000000000000002E-3</v>
      </c>
      <c r="G224" s="352">
        <v>4.7000000000000002E-3</v>
      </c>
      <c r="H224" s="352">
        <v>4.7000000000000002E-3</v>
      </c>
      <c r="I224" s="352">
        <v>4.7000000000000002E-3</v>
      </c>
      <c r="J224" s="352">
        <v>4.7000000000000002E-3</v>
      </c>
      <c r="K224" s="3"/>
      <c r="L224" s="3"/>
      <c r="M224" s="3"/>
      <c r="N224" s="3"/>
      <c r="O224" s="3"/>
      <c r="P224" s="3"/>
      <c r="Q224" s="3"/>
      <c r="R224" s="3"/>
      <c r="S224" s="3"/>
      <c r="T224" s="3"/>
      <c r="U224" s="3"/>
      <c r="V224" s="3"/>
      <c r="W224" s="3"/>
      <c r="X224" s="3"/>
      <c r="Y224" s="3"/>
      <c r="Z224" s="3"/>
    </row>
    <row r="225" spans="1:26" ht="12" customHeight="1">
      <c r="A225" s="53" t="s">
        <v>48</v>
      </c>
      <c r="B225" s="328" t="str">
        <f t="shared" si="34"/>
        <v>Standby Power General Service 1,500 to 4,999 KW.Wholesale Market Service Charge (WMSC)</v>
      </c>
      <c r="C225" s="328" t="s">
        <v>289</v>
      </c>
      <c r="D225" s="314" t="s">
        <v>256</v>
      </c>
      <c r="E225" s="313">
        <v>4.4999999999999997E-3</v>
      </c>
      <c r="F225" s="352">
        <v>4.7000000000000002E-3</v>
      </c>
      <c r="G225" s="352">
        <v>4.7000000000000002E-3</v>
      </c>
      <c r="H225" s="352">
        <v>4.7000000000000002E-3</v>
      </c>
      <c r="I225" s="352">
        <v>4.7000000000000002E-3</v>
      </c>
      <c r="J225" s="352">
        <v>4.7000000000000002E-3</v>
      </c>
      <c r="K225" s="3"/>
      <c r="L225" s="3"/>
      <c r="M225" s="3"/>
      <c r="N225" s="3"/>
      <c r="O225" s="3"/>
      <c r="P225" s="3"/>
      <c r="Q225" s="3"/>
      <c r="R225" s="3"/>
      <c r="S225" s="3"/>
      <c r="T225" s="3"/>
      <c r="U225" s="3"/>
      <c r="V225" s="3"/>
      <c r="W225" s="3"/>
      <c r="X225" s="3"/>
      <c r="Y225" s="3"/>
      <c r="Z225" s="3"/>
    </row>
    <row r="226" spans="1:26" ht="12" customHeight="1">
      <c r="A226" s="53" t="s">
        <v>48</v>
      </c>
      <c r="B226" s="328" t="str">
        <f t="shared" si="34"/>
        <v>Standby Power Large Use.Wholesale Market Service Charge (WMSC)</v>
      </c>
      <c r="C226" s="328" t="s">
        <v>289</v>
      </c>
      <c r="D226" s="314" t="s">
        <v>257</v>
      </c>
      <c r="E226" s="313">
        <v>4.4999999999999997E-3</v>
      </c>
      <c r="F226" s="352">
        <v>4.7000000000000002E-3</v>
      </c>
      <c r="G226" s="352">
        <v>4.7000000000000002E-3</v>
      </c>
      <c r="H226" s="352">
        <v>4.7000000000000002E-3</v>
      </c>
      <c r="I226" s="352">
        <v>4.7000000000000002E-3</v>
      </c>
      <c r="J226" s="352">
        <v>4.7000000000000002E-3</v>
      </c>
      <c r="K226" s="3"/>
      <c r="L226" s="3"/>
      <c r="M226" s="3"/>
      <c r="N226" s="3"/>
      <c r="O226" s="3"/>
      <c r="P226" s="3"/>
      <c r="Q226" s="3"/>
      <c r="R226" s="3"/>
      <c r="S226" s="3"/>
      <c r="T226" s="3"/>
      <c r="U226" s="3"/>
      <c r="V226" s="3"/>
      <c r="W226" s="3"/>
      <c r="X226" s="3"/>
      <c r="Y226" s="3"/>
      <c r="Z226" s="3"/>
    </row>
    <row r="227" spans="1:26" ht="12" customHeight="1">
      <c r="A227" s="3"/>
      <c r="B227" s="314"/>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 customHeight="1">
      <c r="A228" s="3"/>
      <c r="B228" s="53"/>
      <c r="C228" s="325" t="s">
        <v>290</v>
      </c>
      <c r="D228" s="3"/>
      <c r="E228" s="326" t="s">
        <v>243</v>
      </c>
      <c r="F228" s="327" t="str">
        <f t="shared" ref="F228:J228" si="35">F$4</f>
        <v>2026F</v>
      </c>
      <c r="G228" s="327" t="str">
        <f t="shared" si="35"/>
        <v>2027F</v>
      </c>
      <c r="H228" s="327" t="str">
        <f t="shared" si="35"/>
        <v>2028F</v>
      </c>
      <c r="I228" s="327" t="str">
        <f t="shared" si="35"/>
        <v>2029F</v>
      </c>
      <c r="J228" s="327" t="str">
        <f t="shared" si="35"/>
        <v>2030F</v>
      </c>
      <c r="K228" s="3"/>
      <c r="L228" s="3"/>
      <c r="M228" s="3"/>
      <c r="N228" s="3"/>
      <c r="O228" s="3"/>
      <c r="P228" s="3"/>
      <c r="Q228" s="3"/>
      <c r="R228" s="3"/>
      <c r="S228" s="3"/>
      <c r="T228" s="3"/>
      <c r="U228" s="3"/>
      <c r="V228" s="3"/>
      <c r="W228" s="3"/>
      <c r="X228" s="3"/>
      <c r="Y228" s="3"/>
      <c r="Z228" s="3"/>
    </row>
    <row r="229" spans="1:26" ht="12" customHeight="1">
      <c r="A229" s="53" t="s">
        <v>48</v>
      </c>
      <c r="B229" s="328" t="str">
        <f t="shared" ref="B229:B239" si="36">D229&amp;"."&amp;C229</f>
        <v>Residential.Rural and Remote Rate Protection (RRRP)</v>
      </c>
      <c r="C229" s="328" t="s">
        <v>290</v>
      </c>
      <c r="D229" s="314" t="s">
        <v>247</v>
      </c>
      <c r="E229" s="313">
        <v>1.5E-3</v>
      </c>
      <c r="F229" s="332">
        <v>5.9999999999999995E-4</v>
      </c>
      <c r="G229" s="332">
        <v>5.9999999999999995E-4</v>
      </c>
      <c r="H229" s="332">
        <v>5.9999999999999995E-4</v>
      </c>
      <c r="I229" s="332">
        <v>5.9999999999999995E-4</v>
      </c>
      <c r="J229" s="332">
        <v>5.9999999999999995E-4</v>
      </c>
      <c r="K229" s="3"/>
      <c r="L229" s="3"/>
      <c r="M229" s="3"/>
      <c r="N229" s="3"/>
      <c r="O229" s="3"/>
      <c r="P229" s="3"/>
      <c r="Q229" s="3"/>
      <c r="R229" s="3"/>
      <c r="S229" s="3"/>
      <c r="T229" s="3"/>
      <c r="U229" s="3"/>
      <c r="V229" s="3"/>
      <c r="W229" s="3"/>
      <c r="X229" s="3"/>
      <c r="Y229" s="3"/>
      <c r="Z229" s="3"/>
    </row>
    <row r="230" spans="1:26" ht="12" customHeight="1">
      <c r="A230" s="53" t="s">
        <v>48</v>
      </c>
      <c r="B230" s="328" t="str">
        <f t="shared" si="36"/>
        <v>General Service &lt; 50 kW.Rural and Remote Rate Protection (RRRP)</v>
      </c>
      <c r="C230" s="328" t="s">
        <v>290</v>
      </c>
      <c r="D230" s="314" t="s">
        <v>248</v>
      </c>
      <c r="E230" s="313">
        <v>1.5E-3</v>
      </c>
      <c r="F230" s="332">
        <v>5.9999999999999995E-4</v>
      </c>
      <c r="G230" s="332">
        <v>5.9999999999999995E-4</v>
      </c>
      <c r="H230" s="332">
        <v>5.9999999999999995E-4</v>
      </c>
      <c r="I230" s="332">
        <v>5.9999999999999995E-4</v>
      </c>
      <c r="J230" s="332">
        <v>5.9999999999999995E-4</v>
      </c>
      <c r="K230" s="3"/>
      <c r="L230" s="3"/>
      <c r="M230" s="3"/>
      <c r="N230" s="3"/>
      <c r="O230" s="3"/>
      <c r="P230" s="3"/>
      <c r="Q230" s="3"/>
      <c r="R230" s="3"/>
      <c r="S230" s="3"/>
      <c r="T230" s="3"/>
      <c r="U230" s="3"/>
      <c r="V230" s="3"/>
      <c r="W230" s="3"/>
      <c r="X230" s="3"/>
      <c r="Y230" s="3"/>
      <c r="Z230" s="3"/>
    </row>
    <row r="231" spans="1:26" ht="12" customHeight="1">
      <c r="A231" s="53" t="s">
        <v>48</v>
      </c>
      <c r="B231" s="328" t="str">
        <f t="shared" si="36"/>
        <v>General Service 50 to 1,499 KW.Rural and Remote Rate Protection (RRRP)</v>
      </c>
      <c r="C231" s="328" t="s">
        <v>290</v>
      </c>
      <c r="D231" s="314" t="s">
        <v>249</v>
      </c>
      <c r="E231" s="313">
        <v>1.5E-3</v>
      </c>
      <c r="F231" s="332">
        <v>5.9999999999999995E-4</v>
      </c>
      <c r="G231" s="332">
        <v>5.9999999999999995E-4</v>
      </c>
      <c r="H231" s="332">
        <v>5.9999999999999995E-4</v>
      </c>
      <c r="I231" s="332">
        <v>5.9999999999999995E-4</v>
      </c>
      <c r="J231" s="332">
        <v>5.9999999999999995E-4</v>
      </c>
      <c r="K231" s="3"/>
      <c r="L231" s="3"/>
      <c r="M231" s="3"/>
      <c r="N231" s="3"/>
      <c r="O231" s="3"/>
      <c r="P231" s="3"/>
      <c r="Q231" s="3"/>
      <c r="R231" s="3"/>
      <c r="S231" s="3"/>
      <c r="T231" s="3"/>
      <c r="U231" s="3"/>
      <c r="V231" s="3"/>
      <c r="W231" s="3"/>
      <c r="X231" s="3"/>
      <c r="Y231" s="3"/>
      <c r="Z231" s="3"/>
    </row>
    <row r="232" spans="1:26" ht="12" customHeight="1">
      <c r="A232" s="53" t="s">
        <v>48</v>
      </c>
      <c r="B232" s="328" t="str">
        <f t="shared" si="36"/>
        <v>General Service 1,500 to 4,999 KW.Rural and Remote Rate Protection (RRRP)</v>
      </c>
      <c r="C232" s="328" t="s">
        <v>290</v>
      </c>
      <c r="D232" s="314" t="s">
        <v>250</v>
      </c>
      <c r="E232" s="313">
        <v>1.5E-3</v>
      </c>
      <c r="F232" s="332">
        <v>5.9999999999999995E-4</v>
      </c>
      <c r="G232" s="332">
        <v>5.9999999999999995E-4</v>
      </c>
      <c r="H232" s="332">
        <v>5.9999999999999995E-4</v>
      </c>
      <c r="I232" s="332">
        <v>5.9999999999999995E-4</v>
      </c>
      <c r="J232" s="332">
        <v>5.9999999999999995E-4</v>
      </c>
      <c r="K232" s="3"/>
      <c r="L232" s="3"/>
      <c r="M232" s="3"/>
      <c r="N232" s="3"/>
      <c r="O232" s="3"/>
      <c r="P232" s="3"/>
      <c r="Q232" s="3"/>
      <c r="R232" s="3"/>
      <c r="S232" s="3"/>
      <c r="T232" s="3"/>
      <c r="U232" s="3"/>
      <c r="V232" s="3"/>
      <c r="W232" s="3"/>
      <c r="X232" s="3"/>
      <c r="Y232" s="3"/>
      <c r="Z232" s="3"/>
    </row>
    <row r="233" spans="1:26" ht="12" customHeight="1">
      <c r="A233" s="53" t="s">
        <v>48</v>
      </c>
      <c r="B233" s="328" t="str">
        <f t="shared" si="36"/>
        <v>Large User.Rural and Remote Rate Protection (RRRP)</v>
      </c>
      <c r="C233" s="328" t="s">
        <v>290</v>
      </c>
      <c r="D233" s="314" t="s">
        <v>251</v>
      </c>
      <c r="E233" s="313">
        <v>1.5E-3</v>
      </c>
      <c r="F233" s="332">
        <v>5.9999999999999995E-4</v>
      </c>
      <c r="G233" s="332">
        <v>5.9999999999999995E-4</v>
      </c>
      <c r="H233" s="332">
        <v>5.9999999999999995E-4</v>
      </c>
      <c r="I233" s="332">
        <v>5.9999999999999995E-4</v>
      </c>
      <c r="J233" s="332">
        <v>5.9999999999999995E-4</v>
      </c>
      <c r="K233" s="3"/>
      <c r="L233" s="3"/>
      <c r="M233" s="3"/>
      <c r="N233" s="3"/>
      <c r="O233" s="3"/>
      <c r="P233" s="3"/>
      <c r="Q233" s="3"/>
      <c r="R233" s="3"/>
      <c r="S233" s="3"/>
      <c r="T233" s="3"/>
      <c r="U233" s="3"/>
      <c r="V233" s="3"/>
      <c r="W233" s="3"/>
      <c r="X233" s="3"/>
      <c r="Y233" s="3"/>
      <c r="Z233" s="3"/>
    </row>
    <row r="234" spans="1:26" ht="12" customHeight="1">
      <c r="A234" s="53" t="s">
        <v>48</v>
      </c>
      <c r="B234" s="328" t="str">
        <f t="shared" si="36"/>
        <v>Street Light.Rural and Remote Rate Protection (RRRP)</v>
      </c>
      <c r="C234" s="328" t="s">
        <v>290</v>
      </c>
      <c r="D234" s="314" t="s">
        <v>252</v>
      </c>
      <c r="E234" s="313">
        <v>1.5E-3</v>
      </c>
      <c r="F234" s="332">
        <v>5.9999999999999995E-4</v>
      </c>
      <c r="G234" s="332">
        <v>5.9999999999999995E-4</v>
      </c>
      <c r="H234" s="332">
        <v>5.9999999999999995E-4</v>
      </c>
      <c r="I234" s="332">
        <v>5.9999999999999995E-4</v>
      </c>
      <c r="J234" s="332">
        <v>5.9999999999999995E-4</v>
      </c>
      <c r="K234" s="3"/>
      <c r="L234" s="3"/>
      <c r="M234" s="3"/>
      <c r="N234" s="3"/>
      <c r="O234" s="3"/>
      <c r="P234" s="3"/>
      <c r="Q234" s="3"/>
      <c r="R234" s="3"/>
      <c r="S234" s="3"/>
      <c r="T234" s="3"/>
      <c r="U234" s="3"/>
      <c r="V234" s="3"/>
      <c r="W234" s="3"/>
      <c r="X234" s="3"/>
      <c r="Y234" s="3"/>
      <c r="Z234" s="3"/>
    </row>
    <row r="235" spans="1:26" ht="12" customHeight="1">
      <c r="A235" s="53" t="s">
        <v>48</v>
      </c>
      <c r="B235" s="328" t="str">
        <f t="shared" si="36"/>
        <v>Sentinel Lights.Rural and Remote Rate Protection (RRRP)</v>
      </c>
      <c r="C235" s="328" t="s">
        <v>290</v>
      </c>
      <c r="D235" s="314" t="s">
        <v>253</v>
      </c>
      <c r="E235" s="313">
        <v>1.5E-3</v>
      </c>
      <c r="F235" s="332">
        <v>5.9999999999999995E-4</v>
      </c>
      <c r="G235" s="332">
        <v>5.9999999999999995E-4</v>
      </c>
      <c r="H235" s="332">
        <v>5.9999999999999995E-4</v>
      </c>
      <c r="I235" s="332">
        <v>5.9999999999999995E-4</v>
      </c>
      <c r="J235" s="332">
        <v>5.9999999999999995E-4</v>
      </c>
      <c r="K235" s="3"/>
      <c r="L235" s="3"/>
      <c r="M235" s="3"/>
      <c r="N235" s="3"/>
      <c r="O235" s="3"/>
      <c r="P235" s="3"/>
      <c r="Q235" s="3"/>
      <c r="R235" s="3"/>
      <c r="S235" s="3"/>
      <c r="T235" s="3"/>
      <c r="U235" s="3"/>
      <c r="V235" s="3"/>
      <c r="W235" s="3"/>
      <c r="X235" s="3"/>
      <c r="Y235" s="3"/>
      <c r="Z235" s="3"/>
    </row>
    <row r="236" spans="1:26" ht="12" customHeight="1">
      <c r="A236" s="53" t="s">
        <v>48</v>
      </c>
      <c r="B236" s="328" t="str">
        <f t="shared" si="36"/>
        <v>Unmetered Scattered Load.Rural and Remote Rate Protection (RRRP)</v>
      </c>
      <c r="C236" s="328" t="s">
        <v>290</v>
      </c>
      <c r="D236" s="314" t="s">
        <v>254</v>
      </c>
      <c r="E236" s="313">
        <v>1.5E-3</v>
      </c>
      <c r="F236" s="332">
        <v>5.9999999999999995E-4</v>
      </c>
      <c r="G236" s="332">
        <v>5.9999999999999995E-4</v>
      </c>
      <c r="H236" s="332">
        <v>5.9999999999999995E-4</v>
      </c>
      <c r="I236" s="332">
        <v>5.9999999999999995E-4</v>
      </c>
      <c r="J236" s="332">
        <v>5.9999999999999995E-4</v>
      </c>
      <c r="K236" s="3"/>
      <c r="L236" s="3"/>
      <c r="M236" s="3"/>
      <c r="N236" s="3"/>
      <c r="O236" s="3"/>
      <c r="P236" s="3"/>
      <c r="Q236" s="3"/>
      <c r="R236" s="3"/>
      <c r="S236" s="3"/>
      <c r="T236" s="3"/>
      <c r="U236" s="3"/>
      <c r="V236" s="3"/>
      <c r="W236" s="3"/>
      <c r="X236" s="3"/>
      <c r="Y236" s="3"/>
      <c r="Z236" s="3"/>
    </row>
    <row r="237" spans="1:26" ht="12" customHeight="1">
      <c r="A237" s="53" t="s">
        <v>48</v>
      </c>
      <c r="B237" s="328" t="str">
        <f t="shared" si="36"/>
        <v>Standby Power General Service 50 to 1,499 KW.Rural and Remote Rate Protection (RRRP)</v>
      </c>
      <c r="C237" s="328" t="s">
        <v>290</v>
      </c>
      <c r="D237" s="314" t="s">
        <v>255</v>
      </c>
      <c r="E237" s="313">
        <v>1.5E-3</v>
      </c>
      <c r="F237" s="332">
        <v>5.9999999999999995E-4</v>
      </c>
      <c r="G237" s="332">
        <v>5.9999999999999995E-4</v>
      </c>
      <c r="H237" s="332">
        <v>5.9999999999999995E-4</v>
      </c>
      <c r="I237" s="332">
        <v>5.9999999999999995E-4</v>
      </c>
      <c r="J237" s="332">
        <v>5.9999999999999995E-4</v>
      </c>
      <c r="K237" s="3"/>
      <c r="L237" s="3"/>
      <c r="M237" s="3"/>
      <c r="N237" s="3"/>
      <c r="O237" s="3"/>
      <c r="P237" s="3"/>
      <c r="Q237" s="3"/>
      <c r="R237" s="3"/>
      <c r="S237" s="3"/>
      <c r="T237" s="3"/>
      <c r="U237" s="3"/>
      <c r="V237" s="3"/>
      <c r="W237" s="3"/>
      <c r="X237" s="3"/>
      <c r="Y237" s="3"/>
      <c r="Z237" s="3"/>
    </row>
    <row r="238" spans="1:26" ht="12" customHeight="1">
      <c r="A238" s="53" t="s">
        <v>48</v>
      </c>
      <c r="B238" s="328" t="str">
        <f t="shared" si="36"/>
        <v>Standby Power General Service 1,500 to 4,999 KW.Rural and Remote Rate Protection (RRRP)</v>
      </c>
      <c r="C238" s="328" t="s">
        <v>290</v>
      </c>
      <c r="D238" s="314" t="s">
        <v>256</v>
      </c>
      <c r="E238" s="313">
        <v>1.5E-3</v>
      </c>
      <c r="F238" s="332">
        <v>5.9999999999999995E-4</v>
      </c>
      <c r="G238" s="332">
        <v>5.9999999999999995E-4</v>
      </c>
      <c r="H238" s="332">
        <v>5.9999999999999995E-4</v>
      </c>
      <c r="I238" s="332">
        <v>5.9999999999999995E-4</v>
      </c>
      <c r="J238" s="332">
        <v>5.9999999999999995E-4</v>
      </c>
      <c r="K238" s="3"/>
      <c r="L238" s="3"/>
      <c r="M238" s="3"/>
      <c r="N238" s="3"/>
      <c r="O238" s="3"/>
      <c r="P238" s="3"/>
      <c r="Q238" s="3"/>
      <c r="R238" s="3"/>
      <c r="S238" s="3"/>
      <c r="T238" s="3"/>
      <c r="U238" s="3"/>
      <c r="V238" s="3"/>
      <c r="W238" s="3"/>
      <c r="X238" s="3"/>
      <c r="Y238" s="3"/>
      <c r="Z238" s="3"/>
    </row>
    <row r="239" spans="1:26" ht="12" customHeight="1">
      <c r="A239" s="53" t="s">
        <v>48</v>
      </c>
      <c r="B239" s="328" t="str">
        <f t="shared" si="36"/>
        <v>Standby Power Large Use.Rural and Remote Rate Protection (RRRP)</v>
      </c>
      <c r="C239" s="328" t="s">
        <v>290</v>
      </c>
      <c r="D239" s="314" t="s">
        <v>257</v>
      </c>
      <c r="E239" s="313">
        <v>1.5E-3</v>
      </c>
      <c r="F239" s="332">
        <v>5.9999999999999995E-4</v>
      </c>
      <c r="G239" s="332">
        <v>5.9999999999999995E-4</v>
      </c>
      <c r="H239" s="332">
        <v>5.9999999999999995E-4</v>
      </c>
      <c r="I239" s="332">
        <v>5.9999999999999995E-4</v>
      </c>
      <c r="J239" s="332">
        <v>5.9999999999999995E-4</v>
      </c>
      <c r="K239" s="3"/>
      <c r="L239" s="3"/>
      <c r="M239" s="3"/>
      <c r="N239" s="3"/>
      <c r="O239" s="3"/>
      <c r="P239" s="3"/>
      <c r="Q239" s="3"/>
      <c r="R239" s="3"/>
      <c r="S239" s="3"/>
      <c r="T239" s="3"/>
      <c r="U239" s="3"/>
      <c r="V239" s="3"/>
      <c r="W239" s="3"/>
      <c r="X239" s="3"/>
      <c r="Y239" s="3"/>
      <c r="Z239" s="3"/>
    </row>
    <row r="240" spans="1:26" ht="12" customHeight="1">
      <c r="A240" s="53"/>
      <c r="B240" s="328"/>
      <c r="C240" s="328"/>
      <c r="D240" s="314"/>
      <c r="E240" s="313"/>
      <c r="F240" s="182"/>
      <c r="G240" s="182"/>
      <c r="H240" s="182"/>
      <c r="I240" s="182"/>
      <c r="J240" s="182"/>
      <c r="K240" s="3"/>
      <c r="L240" s="3"/>
      <c r="M240" s="3"/>
      <c r="N240" s="3"/>
      <c r="O240" s="3"/>
      <c r="P240" s="3"/>
      <c r="Q240" s="3"/>
      <c r="R240" s="3"/>
      <c r="S240" s="3"/>
      <c r="T240" s="3"/>
      <c r="U240" s="3"/>
      <c r="V240" s="3"/>
      <c r="W240" s="3"/>
      <c r="X240" s="3"/>
      <c r="Y240" s="3"/>
      <c r="Z240" s="3"/>
    </row>
    <row r="241" spans="1:26" ht="12" customHeight="1">
      <c r="A241" s="3"/>
      <c r="B241" s="314"/>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 customHeight="1">
      <c r="A242" s="3"/>
      <c r="B242" s="53"/>
      <c r="C242" s="325" t="s">
        <v>291</v>
      </c>
      <c r="D242" s="3"/>
      <c r="E242" s="326" t="s">
        <v>243</v>
      </c>
      <c r="F242" s="327" t="str">
        <f t="shared" ref="F242:J242" si="37">F$4</f>
        <v>2026F</v>
      </c>
      <c r="G242" s="327" t="str">
        <f t="shared" si="37"/>
        <v>2027F</v>
      </c>
      <c r="H242" s="327" t="str">
        <f t="shared" si="37"/>
        <v>2028F</v>
      </c>
      <c r="I242" s="327" t="str">
        <f t="shared" si="37"/>
        <v>2029F</v>
      </c>
      <c r="J242" s="327" t="str">
        <f t="shared" si="37"/>
        <v>2030F</v>
      </c>
      <c r="K242" s="3"/>
      <c r="L242" s="3"/>
      <c r="M242" s="3"/>
      <c r="N242" s="3"/>
      <c r="O242" s="3"/>
      <c r="P242" s="3"/>
      <c r="Q242" s="3"/>
      <c r="R242" s="3"/>
      <c r="S242" s="3"/>
      <c r="T242" s="3"/>
      <c r="U242" s="3"/>
      <c r="V242" s="3"/>
      <c r="W242" s="3"/>
      <c r="X242" s="3"/>
      <c r="Y242" s="3"/>
      <c r="Z242" s="3"/>
    </row>
    <row r="243" spans="1:26" ht="12" customHeight="1">
      <c r="A243" s="53" t="s">
        <v>267</v>
      </c>
      <c r="B243" s="328" t="str">
        <f t="shared" ref="B243:B253" si="38">D243&amp;"."&amp;C243</f>
        <v>Residential.Standard Supply Service Charge</v>
      </c>
      <c r="C243" s="328" t="s">
        <v>291</v>
      </c>
      <c r="D243" s="314" t="s">
        <v>247</v>
      </c>
      <c r="E243" s="313">
        <v>0.25</v>
      </c>
      <c r="F243" s="332">
        <v>0.25</v>
      </c>
      <c r="G243" s="352">
        <v>0.25</v>
      </c>
      <c r="H243" s="352">
        <v>0.25</v>
      </c>
      <c r="I243" s="352">
        <v>0.25</v>
      </c>
      <c r="J243" s="352">
        <v>0.25</v>
      </c>
      <c r="K243" s="3"/>
      <c r="L243" s="3"/>
      <c r="M243" s="3"/>
      <c r="N243" s="3"/>
      <c r="O243" s="3"/>
      <c r="P243" s="3"/>
      <c r="Q243" s="3"/>
      <c r="R243" s="3"/>
      <c r="S243" s="3"/>
      <c r="T243" s="3"/>
      <c r="U243" s="3"/>
      <c r="V243" s="3"/>
      <c r="W243" s="3"/>
      <c r="X243" s="3"/>
      <c r="Y243" s="3"/>
      <c r="Z243" s="3"/>
    </row>
    <row r="244" spans="1:26" ht="12" customHeight="1">
      <c r="A244" s="53" t="s">
        <v>267</v>
      </c>
      <c r="B244" s="328" t="str">
        <f t="shared" si="38"/>
        <v>General Service &lt; 50 kW.Standard Supply Service Charge</v>
      </c>
      <c r="C244" s="328" t="s">
        <v>291</v>
      </c>
      <c r="D244" s="314" t="s">
        <v>248</v>
      </c>
      <c r="E244" s="313">
        <v>0.25</v>
      </c>
      <c r="F244" s="332">
        <v>0.25</v>
      </c>
      <c r="G244" s="352">
        <v>0.25</v>
      </c>
      <c r="H244" s="352">
        <v>0.25</v>
      </c>
      <c r="I244" s="352">
        <v>0.25</v>
      </c>
      <c r="J244" s="352">
        <v>0.25</v>
      </c>
      <c r="K244" s="3"/>
      <c r="L244" s="3"/>
      <c r="M244" s="3"/>
      <c r="N244" s="3"/>
      <c r="O244" s="3"/>
      <c r="P244" s="3"/>
      <c r="Q244" s="3"/>
      <c r="R244" s="3"/>
      <c r="S244" s="3"/>
      <c r="T244" s="3"/>
      <c r="U244" s="3"/>
      <c r="V244" s="3"/>
      <c r="W244" s="3"/>
      <c r="X244" s="3"/>
      <c r="Y244" s="3"/>
      <c r="Z244" s="3"/>
    </row>
    <row r="245" spans="1:26" ht="12" customHeight="1">
      <c r="A245" s="53" t="s">
        <v>267</v>
      </c>
      <c r="B245" s="328" t="str">
        <f t="shared" si="38"/>
        <v>General Service 50 to 1,499 KW.Standard Supply Service Charge</v>
      </c>
      <c r="C245" s="328" t="s">
        <v>291</v>
      </c>
      <c r="D245" s="314" t="s">
        <v>249</v>
      </c>
      <c r="E245" s="313">
        <v>0.25</v>
      </c>
      <c r="F245" s="332">
        <v>0.25</v>
      </c>
      <c r="G245" s="352">
        <v>0.25</v>
      </c>
      <c r="H245" s="352">
        <v>0.25</v>
      </c>
      <c r="I245" s="352">
        <v>0.25</v>
      </c>
      <c r="J245" s="352">
        <v>0.25</v>
      </c>
      <c r="K245" s="3"/>
      <c r="L245" s="3"/>
      <c r="M245" s="3"/>
      <c r="N245" s="3"/>
      <c r="O245" s="3"/>
      <c r="P245" s="3"/>
      <c r="Q245" s="3"/>
      <c r="R245" s="3"/>
      <c r="S245" s="3"/>
      <c r="T245" s="3"/>
      <c r="U245" s="3"/>
      <c r="V245" s="3"/>
      <c r="W245" s="3"/>
      <c r="X245" s="3"/>
      <c r="Y245" s="3"/>
      <c r="Z245" s="3"/>
    </row>
    <row r="246" spans="1:26" ht="12" customHeight="1">
      <c r="A246" s="53" t="s">
        <v>267</v>
      </c>
      <c r="B246" s="328" t="str">
        <f t="shared" si="38"/>
        <v>General Service 1,500 to 4,999 KW.Standard Supply Service Charge</v>
      </c>
      <c r="C246" s="328" t="s">
        <v>291</v>
      </c>
      <c r="D246" s="314" t="s">
        <v>250</v>
      </c>
      <c r="E246" s="313">
        <v>0.25</v>
      </c>
      <c r="F246" s="332">
        <v>0.25</v>
      </c>
      <c r="G246" s="352">
        <v>0.25</v>
      </c>
      <c r="H246" s="352">
        <v>0.25</v>
      </c>
      <c r="I246" s="352">
        <v>0.25</v>
      </c>
      <c r="J246" s="352">
        <v>0.25</v>
      </c>
      <c r="K246" s="3"/>
      <c r="L246" s="3"/>
      <c r="M246" s="3"/>
      <c r="N246" s="3"/>
      <c r="O246" s="3"/>
      <c r="P246" s="3"/>
      <c r="Q246" s="3"/>
      <c r="R246" s="3"/>
      <c r="S246" s="3"/>
      <c r="T246" s="3"/>
      <c r="U246" s="3"/>
      <c r="V246" s="3"/>
      <c r="W246" s="3"/>
      <c r="X246" s="3"/>
      <c r="Y246" s="3"/>
      <c r="Z246" s="3"/>
    </row>
    <row r="247" spans="1:26" ht="12" customHeight="1">
      <c r="A247" s="53" t="s">
        <v>267</v>
      </c>
      <c r="B247" s="328" t="str">
        <f t="shared" si="38"/>
        <v>Large User.Standard Supply Service Charge</v>
      </c>
      <c r="C247" s="328" t="s">
        <v>291</v>
      </c>
      <c r="D247" s="314" t="s">
        <v>251</v>
      </c>
      <c r="E247" s="313">
        <v>0.25</v>
      </c>
      <c r="F247" s="332">
        <v>0.25</v>
      </c>
      <c r="G247" s="352">
        <v>0.25</v>
      </c>
      <c r="H247" s="352">
        <v>0.25</v>
      </c>
      <c r="I247" s="352">
        <v>0.25</v>
      </c>
      <c r="J247" s="352">
        <v>0.25</v>
      </c>
      <c r="K247" s="3"/>
      <c r="L247" s="3"/>
      <c r="M247" s="3"/>
      <c r="N247" s="3"/>
      <c r="O247" s="3"/>
      <c r="P247" s="3"/>
      <c r="Q247" s="3"/>
      <c r="R247" s="3"/>
      <c r="S247" s="3"/>
      <c r="T247" s="3"/>
      <c r="U247" s="3"/>
      <c r="V247" s="3"/>
      <c r="W247" s="3"/>
      <c r="X247" s="3"/>
      <c r="Y247" s="3"/>
      <c r="Z247" s="3"/>
    </row>
    <row r="248" spans="1:26" ht="12" customHeight="1">
      <c r="A248" s="53" t="s">
        <v>267</v>
      </c>
      <c r="B248" s="328" t="str">
        <f t="shared" si="38"/>
        <v>Street Light.Standard Supply Service Charge</v>
      </c>
      <c r="C248" s="328" t="s">
        <v>291</v>
      </c>
      <c r="D248" s="314" t="s">
        <v>252</v>
      </c>
      <c r="E248" s="313">
        <v>0.25</v>
      </c>
      <c r="F248" s="332">
        <v>0.25</v>
      </c>
      <c r="G248" s="352">
        <v>0.25</v>
      </c>
      <c r="H248" s="352">
        <v>0.25</v>
      </c>
      <c r="I248" s="352">
        <v>0.25</v>
      </c>
      <c r="J248" s="352">
        <v>0.25</v>
      </c>
      <c r="K248" s="3"/>
      <c r="L248" s="3"/>
      <c r="M248" s="3"/>
      <c r="N248" s="3"/>
      <c r="O248" s="3"/>
      <c r="P248" s="3"/>
      <c r="Q248" s="3"/>
      <c r="R248" s="3"/>
      <c r="S248" s="3"/>
      <c r="T248" s="3"/>
      <c r="U248" s="3"/>
      <c r="V248" s="3"/>
      <c r="W248" s="3"/>
      <c r="X248" s="3"/>
      <c r="Y248" s="3"/>
      <c r="Z248" s="3"/>
    </row>
    <row r="249" spans="1:26" ht="12" customHeight="1">
      <c r="A249" s="53" t="s">
        <v>267</v>
      </c>
      <c r="B249" s="328" t="str">
        <f t="shared" si="38"/>
        <v>Sentinel Lights.Standard Supply Service Charge</v>
      </c>
      <c r="C249" s="328" t="s">
        <v>291</v>
      </c>
      <c r="D249" s="314" t="s">
        <v>253</v>
      </c>
      <c r="E249" s="313">
        <v>0.25</v>
      </c>
      <c r="F249" s="332">
        <v>0.25</v>
      </c>
      <c r="G249" s="352">
        <v>0.25</v>
      </c>
      <c r="H249" s="352">
        <v>0.25</v>
      </c>
      <c r="I249" s="352">
        <v>0.25</v>
      </c>
      <c r="J249" s="352">
        <v>0.25</v>
      </c>
      <c r="K249" s="3"/>
      <c r="L249" s="3"/>
      <c r="M249" s="3"/>
      <c r="N249" s="3"/>
      <c r="O249" s="3"/>
      <c r="P249" s="3"/>
      <c r="Q249" s="3"/>
      <c r="R249" s="3"/>
      <c r="S249" s="3"/>
      <c r="T249" s="3"/>
      <c r="U249" s="3"/>
      <c r="V249" s="3"/>
      <c r="W249" s="3"/>
      <c r="X249" s="3"/>
      <c r="Y249" s="3"/>
      <c r="Z249" s="3"/>
    </row>
    <row r="250" spans="1:26" ht="12" customHeight="1">
      <c r="A250" s="53" t="s">
        <v>267</v>
      </c>
      <c r="B250" s="328" t="str">
        <f t="shared" si="38"/>
        <v>Unmetered Scattered Load.Standard Supply Service Charge</v>
      </c>
      <c r="C250" s="328" t="s">
        <v>291</v>
      </c>
      <c r="D250" s="314" t="s">
        <v>254</v>
      </c>
      <c r="E250" s="313">
        <v>0.25</v>
      </c>
      <c r="F250" s="332">
        <v>0.25</v>
      </c>
      <c r="G250" s="352">
        <v>0.25</v>
      </c>
      <c r="H250" s="352">
        <v>0.25</v>
      </c>
      <c r="I250" s="352">
        <v>0.25</v>
      </c>
      <c r="J250" s="352">
        <v>0.25</v>
      </c>
      <c r="K250" s="3"/>
      <c r="L250" s="3"/>
      <c r="M250" s="3"/>
      <c r="N250" s="3"/>
      <c r="O250" s="3"/>
      <c r="P250" s="3"/>
      <c r="Q250" s="3"/>
      <c r="R250" s="3"/>
      <c r="S250" s="3"/>
      <c r="T250" s="3"/>
      <c r="U250" s="3"/>
      <c r="V250" s="3"/>
      <c r="W250" s="3"/>
      <c r="X250" s="3"/>
      <c r="Y250" s="3"/>
      <c r="Z250" s="3"/>
    </row>
    <row r="251" spans="1:26" ht="12" customHeight="1">
      <c r="A251" s="53" t="s">
        <v>267</v>
      </c>
      <c r="B251" s="328" t="str">
        <f t="shared" si="38"/>
        <v>Standby Power General Service 50 to 1,499 KW.Standard Supply Service Charge</v>
      </c>
      <c r="C251" s="328" t="s">
        <v>291</v>
      </c>
      <c r="D251" s="314" t="s">
        <v>255</v>
      </c>
      <c r="E251" s="313">
        <v>0.25</v>
      </c>
      <c r="F251" s="332">
        <v>0.25</v>
      </c>
      <c r="G251" s="352">
        <v>0.25</v>
      </c>
      <c r="H251" s="352">
        <v>0.25</v>
      </c>
      <c r="I251" s="352">
        <v>0.25</v>
      </c>
      <c r="J251" s="352">
        <v>0.25</v>
      </c>
      <c r="K251" s="3"/>
      <c r="L251" s="3"/>
      <c r="M251" s="3"/>
      <c r="N251" s="3"/>
      <c r="O251" s="3"/>
      <c r="P251" s="3"/>
      <c r="Q251" s="3"/>
      <c r="R251" s="3"/>
      <c r="S251" s="3"/>
      <c r="T251" s="3"/>
      <c r="U251" s="3"/>
      <c r="V251" s="3"/>
      <c r="W251" s="3"/>
      <c r="X251" s="3"/>
      <c r="Y251" s="3"/>
      <c r="Z251" s="3"/>
    </row>
    <row r="252" spans="1:26" ht="12" customHeight="1">
      <c r="A252" s="53" t="s">
        <v>267</v>
      </c>
      <c r="B252" s="328" t="str">
        <f t="shared" si="38"/>
        <v>Standby Power General Service 1,500 to 4,999 KW.Standard Supply Service Charge</v>
      </c>
      <c r="C252" s="328" t="s">
        <v>291</v>
      </c>
      <c r="D252" s="314" t="s">
        <v>256</v>
      </c>
      <c r="E252" s="313">
        <v>0.25</v>
      </c>
      <c r="F252" s="332">
        <v>0.25</v>
      </c>
      <c r="G252" s="352">
        <v>0.25</v>
      </c>
      <c r="H252" s="352">
        <v>0.25</v>
      </c>
      <c r="I252" s="352">
        <v>0.25</v>
      </c>
      <c r="J252" s="352">
        <v>0.25</v>
      </c>
      <c r="K252" s="3"/>
      <c r="L252" s="3"/>
      <c r="M252" s="3"/>
      <c r="N252" s="3"/>
      <c r="O252" s="3"/>
      <c r="P252" s="3"/>
      <c r="Q252" s="3"/>
      <c r="R252" s="3"/>
      <c r="S252" s="3"/>
      <c r="T252" s="3"/>
      <c r="U252" s="3"/>
      <c r="V252" s="3"/>
      <c r="W252" s="3"/>
      <c r="X252" s="3"/>
      <c r="Y252" s="3"/>
      <c r="Z252" s="3"/>
    </row>
    <row r="253" spans="1:26" ht="12" customHeight="1">
      <c r="A253" s="53" t="s">
        <v>267</v>
      </c>
      <c r="B253" s="328" t="str">
        <f t="shared" si="38"/>
        <v>Standby Power Large Use.Standard Supply Service Charge</v>
      </c>
      <c r="C253" s="328" t="s">
        <v>291</v>
      </c>
      <c r="D253" s="314" t="s">
        <v>257</v>
      </c>
      <c r="E253" s="313">
        <v>0.25</v>
      </c>
      <c r="F253" s="332">
        <v>0.25</v>
      </c>
      <c r="G253" s="352">
        <v>0.25</v>
      </c>
      <c r="H253" s="352">
        <v>0.25</v>
      </c>
      <c r="I253" s="352">
        <v>0.25</v>
      </c>
      <c r="J253" s="352">
        <v>0.25</v>
      </c>
      <c r="K253" s="3"/>
      <c r="L253" s="3"/>
      <c r="M253" s="3"/>
      <c r="N253" s="3"/>
      <c r="O253" s="3"/>
      <c r="P253" s="3"/>
      <c r="Q253" s="3"/>
      <c r="R253" s="3"/>
      <c r="S253" s="3"/>
      <c r="T253" s="3"/>
      <c r="U253" s="3"/>
      <c r="V253" s="3"/>
      <c r="W253" s="3"/>
      <c r="X253" s="3"/>
      <c r="Y253" s="3"/>
      <c r="Z253" s="3"/>
    </row>
    <row r="254" spans="1:26" ht="12" customHeight="1">
      <c r="A254" s="53"/>
      <c r="B254" s="53"/>
      <c r="C254" s="53"/>
      <c r="D254" s="314"/>
      <c r="E254" s="353"/>
      <c r="F254" s="342"/>
      <c r="G254" s="354"/>
      <c r="H254" s="342"/>
      <c r="I254" s="342"/>
      <c r="J254" s="342"/>
      <c r="K254" s="3"/>
      <c r="L254" s="3"/>
      <c r="M254" s="3"/>
      <c r="N254" s="3"/>
      <c r="O254" s="3"/>
      <c r="P254" s="3"/>
      <c r="Q254" s="3"/>
      <c r="R254" s="3"/>
      <c r="S254" s="3"/>
      <c r="T254" s="3"/>
      <c r="U254" s="3"/>
      <c r="V254" s="3"/>
      <c r="W254" s="3"/>
      <c r="X254" s="3"/>
      <c r="Y254" s="3"/>
      <c r="Z254" s="3"/>
    </row>
    <row r="255" spans="1:26" ht="12" customHeight="1">
      <c r="A255" s="53"/>
      <c r="B255" s="314"/>
      <c r="C255" s="325" t="s">
        <v>292</v>
      </c>
      <c r="D255" s="3"/>
      <c r="E255" s="326" t="s">
        <v>243</v>
      </c>
      <c r="F255" s="327" t="str">
        <f t="shared" ref="F255:J255" si="39">F$4</f>
        <v>2026F</v>
      </c>
      <c r="G255" s="327" t="str">
        <f t="shared" si="39"/>
        <v>2027F</v>
      </c>
      <c r="H255" s="327" t="str">
        <f t="shared" si="39"/>
        <v>2028F</v>
      </c>
      <c r="I255" s="327" t="str">
        <f t="shared" si="39"/>
        <v>2029F</v>
      </c>
      <c r="J255" s="327" t="str">
        <f t="shared" si="39"/>
        <v>2030F</v>
      </c>
      <c r="K255" s="355" t="s">
        <v>117</v>
      </c>
      <c r="L255" s="3"/>
      <c r="M255" s="3"/>
      <c r="N255" s="3"/>
      <c r="O255" s="3"/>
      <c r="P255" s="3"/>
      <c r="Q255" s="3"/>
      <c r="R255" s="3"/>
      <c r="S255" s="3"/>
      <c r="T255" s="3"/>
      <c r="U255" s="3"/>
      <c r="V255" s="3"/>
      <c r="W255" s="3"/>
      <c r="X255" s="3"/>
      <c r="Y255" s="3"/>
      <c r="Z255" s="3"/>
    </row>
    <row r="256" spans="1:26" ht="12" customHeight="1">
      <c r="A256" s="53"/>
      <c r="B256" s="328" t="str">
        <f t="shared" ref="B256:B262" si="40">D256&amp;"."&amp;C256</f>
        <v>TOU - Off Peak.TOU - Off Peak</v>
      </c>
      <c r="C256" s="328" t="s">
        <v>293</v>
      </c>
      <c r="D256" s="314" t="s">
        <v>293</v>
      </c>
      <c r="E256" s="313">
        <v>9.8000000000000004E-2</v>
      </c>
      <c r="F256" s="332">
        <v>9.8000000000000004E-2</v>
      </c>
      <c r="G256" s="332">
        <v>9.8000000000000004E-2</v>
      </c>
      <c r="H256" s="332">
        <v>9.8000000000000004E-2</v>
      </c>
      <c r="I256" s="332">
        <v>9.8000000000000004E-2</v>
      </c>
      <c r="J256" s="332">
        <v>9.8000000000000004E-2</v>
      </c>
      <c r="K256" s="356">
        <v>0.64</v>
      </c>
      <c r="L256" s="3"/>
      <c r="M256" s="3"/>
      <c r="N256" s="3"/>
      <c r="O256" s="3"/>
      <c r="P256" s="3"/>
      <c r="Q256" s="3"/>
      <c r="R256" s="3"/>
      <c r="S256" s="3"/>
      <c r="T256" s="3"/>
      <c r="U256" s="3"/>
      <c r="V256" s="3"/>
      <c r="W256" s="3"/>
      <c r="X256" s="3"/>
      <c r="Y256" s="3"/>
      <c r="Z256" s="3"/>
    </row>
    <row r="257" spans="1:26" ht="12" customHeight="1">
      <c r="A257" s="53"/>
      <c r="B257" s="328" t="str">
        <f t="shared" si="40"/>
        <v>TOU - Mid Peak.TOU - Mid Peak</v>
      </c>
      <c r="C257" s="328" t="s">
        <v>294</v>
      </c>
      <c r="D257" s="314" t="s">
        <v>294</v>
      </c>
      <c r="E257" s="313">
        <v>0.157</v>
      </c>
      <c r="F257" s="332">
        <v>0.157</v>
      </c>
      <c r="G257" s="332">
        <v>0.157</v>
      </c>
      <c r="H257" s="332">
        <v>0.157</v>
      </c>
      <c r="I257" s="332">
        <v>0.157</v>
      </c>
      <c r="J257" s="332">
        <v>0.157</v>
      </c>
      <c r="K257" s="356">
        <v>0.18</v>
      </c>
      <c r="L257" s="3"/>
      <c r="M257" s="3"/>
      <c r="N257" s="3"/>
      <c r="O257" s="3"/>
      <c r="P257" s="3"/>
      <c r="Q257" s="3"/>
      <c r="R257" s="3"/>
      <c r="S257" s="3"/>
      <c r="T257" s="3"/>
      <c r="U257" s="3"/>
      <c r="V257" s="3"/>
      <c r="W257" s="3"/>
      <c r="X257" s="3"/>
      <c r="Y257" s="3"/>
      <c r="Z257" s="3"/>
    </row>
    <row r="258" spans="1:26" ht="12" customHeight="1">
      <c r="A258" s="53"/>
      <c r="B258" s="328" t="str">
        <f t="shared" si="40"/>
        <v>TOU - On Peak.TOU - On Peak</v>
      </c>
      <c r="C258" s="328" t="s">
        <v>295</v>
      </c>
      <c r="D258" s="314" t="s">
        <v>295</v>
      </c>
      <c r="E258" s="313">
        <v>0.20300000000000001</v>
      </c>
      <c r="F258" s="332">
        <v>0.20300000000000001</v>
      </c>
      <c r="G258" s="332">
        <v>0.20300000000000001</v>
      </c>
      <c r="H258" s="332">
        <v>0.20300000000000001</v>
      </c>
      <c r="I258" s="332">
        <v>0.20300000000000001</v>
      </c>
      <c r="J258" s="332">
        <v>0.20300000000000001</v>
      </c>
      <c r="K258" s="356">
        <v>0.18</v>
      </c>
      <c r="L258" s="3"/>
      <c r="M258" s="3"/>
      <c r="N258" s="3"/>
      <c r="O258" s="3"/>
      <c r="P258" s="3"/>
      <c r="Q258" s="3"/>
      <c r="R258" s="3"/>
      <c r="S258" s="3"/>
      <c r="T258" s="3"/>
      <c r="U258" s="3"/>
      <c r="V258" s="3"/>
      <c r="W258" s="3"/>
      <c r="X258" s="3"/>
      <c r="Y258" s="3"/>
      <c r="Z258" s="3"/>
    </row>
    <row r="259" spans="1:26" ht="12" customHeight="1">
      <c r="A259" s="53"/>
      <c r="B259" s="328" t="str">
        <f t="shared" si="40"/>
        <v>.</v>
      </c>
      <c r="C259" s="328"/>
      <c r="D259" s="314"/>
      <c r="E259" s="3"/>
      <c r="F259" s="53"/>
      <c r="G259" s="53"/>
      <c r="H259" s="53"/>
      <c r="I259" s="53"/>
      <c r="J259" s="53"/>
      <c r="K259" s="3"/>
      <c r="L259" s="3"/>
      <c r="M259" s="3"/>
      <c r="N259" s="3"/>
      <c r="O259" s="3"/>
      <c r="P259" s="3"/>
      <c r="Q259" s="3"/>
      <c r="R259" s="3"/>
      <c r="S259" s="3"/>
      <c r="T259" s="3"/>
      <c r="U259" s="3"/>
      <c r="V259" s="3"/>
      <c r="W259" s="3"/>
      <c r="X259" s="3"/>
      <c r="Y259" s="3"/>
      <c r="Z259" s="3"/>
    </row>
    <row r="260" spans="1:26" ht="12" customHeight="1">
      <c r="A260" s="53"/>
      <c r="B260" s="328" t="str">
        <f t="shared" si="40"/>
        <v>Energy - RPP - Tier 1.</v>
      </c>
      <c r="C260" s="328"/>
      <c r="D260" s="314" t="s">
        <v>296</v>
      </c>
      <c r="E260" s="313">
        <v>0.12</v>
      </c>
      <c r="F260" s="332">
        <v>0.12</v>
      </c>
      <c r="G260" s="332">
        <v>0.12</v>
      </c>
      <c r="H260" s="332">
        <v>0.12</v>
      </c>
      <c r="I260" s="332">
        <v>0.12</v>
      </c>
      <c r="J260" s="332">
        <v>0.12</v>
      </c>
      <c r="K260" s="3"/>
      <c r="L260" s="3"/>
      <c r="M260" s="3"/>
      <c r="N260" s="3"/>
      <c r="O260" s="3"/>
      <c r="P260" s="3"/>
      <c r="Q260" s="3"/>
      <c r="R260" s="3"/>
      <c r="S260" s="3"/>
      <c r="T260" s="3"/>
      <c r="U260" s="3"/>
      <c r="V260" s="3"/>
      <c r="W260" s="3"/>
      <c r="X260" s="3"/>
      <c r="Y260" s="3"/>
      <c r="Z260" s="3"/>
    </row>
    <row r="261" spans="1:26" ht="12" customHeight="1">
      <c r="A261" s="53"/>
      <c r="B261" s="328" t="str">
        <f t="shared" si="40"/>
        <v>Energy - RPP - Tier 2.</v>
      </c>
      <c r="C261" s="328"/>
      <c r="D261" s="314" t="s">
        <v>297</v>
      </c>
      <c r="E261" s="313">
        <v>0.14199999999999999</v>
      </c>
      <c r="F261" s="332">
        <v>0.14199999999999999</v>
      </c>
      <c r="G261" s="332">
        <v>0.14199999999999999</v>
      </c>
      <c r="H261" s="332">
        <v>0.14199999999999999</v>
      </c>
      <c r="I261" s="332">
        <v>0.14199999999999999</v>
      </c>
      <c r="J261" s="332">
        <v>0.14199999999999999</v>
      </c>
      <c r="K261" s="3"/>
      <c r="L261" s="3"/>
      <c r="M261" s="3"/>
      <c r="N261" s="3"/>
      <c r="O261" s="3"/>
      <c r="P261" s="3"/>
      <c r="Q261" s="3"/>
      <c r="R261" s="3"/>
      <c r="S261" s="3"/>
      <c r="T261" s="3"/>
      <c r="U261" s="3"/>
      <c r="V261" s="3"/>
      <c r="W261" s="3"/>
      <c r="X261" s="3"/>
      <c r="Y261" s="3"/>
      <c r="Z261" s="3"/>
    </row>
    <row r="262" spans="1:26" ht="12" customHeight="1">
      <c r="A262" s="53"/>
      <c r="B262" s="328" t="str">
        <f t="shared" si="40"/>
        <v>.</v>
      </c>
      <c r="C262" s="328"/>
      <c r="D262" s="314"/>
      <c r="E262" s="3"/>
      <c r="F262" s="53"/>
      <c r="G262" s="53"/>
      <c r="H262" s="53"/>
      <c r="I262" s="53"/>
      <c r="J262" s="53"/>
      <c r="K262" s="3"/>
      <c r="L262" s="3"/>
      <c r="M262" s="3"/>
      <c r="N262" s="3"/>
      <c r="O262" s="3"/>
      <c r="P262" s="3"/>
      <c r="Q262" s="3"/>
      <c r="R262" s="3"/>
      <c r="S262" s="3"/>
      <c r="T262" s="3"/>
      <c r="U262" s="3"/>
      <c r="V262" s="3"/>
      <c r="W262" s="3"/>
      <c r="X262" s="3"/>
      <c r="Y262" s="3"/>
      <c r="Z262" s="3"/>
    </row>
    <row r="263" spans="1:26" ht="12" customHeight="1">
      <c r="A263" s="53"/>
      <c r="B263" s="328" t="s">
        <v>298</v>
      </c>
      <c r="C263" s="328" t="s">
        <v>298</v>
      </c>
      <c r="D263" s="314" t="s">
        <v>298</v>
      </c>
      <c r="E263" s="313">
        <v>0.10453</v>
      </c>
      <c r="F263" s="352">
        <v>0.10453</v>
      </c>
      <c r="G263" s="352">
        <v>0.10453</v>
      </c>
      <c r="H263" s="352">
        <v>0.10453</v>
      </c>
      <c r="I263" s="352">
        <v>0.10453</v>
      </c>
      <c r="J263" s="352">
        <v>0.10453</v>
      </c>
      <c r="K263" s="3"/>
      <c r="L263" s="3"/>
      <c r="M263" s="3"/>
      <c r="N263" s="3"/>
      <c r="O263" s="3"/>
      <c r="P263" s="3"/>
      <c r="Q263" s="3"/>
      <c r="R263" s="3"/>
      <c r="S263" s="3"/>
      <c r="T263" s="3"/>
      <c r="U263" s="3"/>
      <c r="V263" s="3"/>
      <c r="W263" s="3"/>
      <c r="X263" s="3"/>
      <c r="Y263" s="3"/>
      <c r="Z263" s="3"/>
    </row>
    <row r="264" spans="1:26" ht="12" customHeight="1">
      <c r="A264" s="53"/>
      <c r="B264" s="357"/>
      <c r="C264" s="53"/>
      <c r="D264" s="314"/>
      <c r="E264" s="3"/>
      <c r="F264" s="3"/>
      <c r="G264" s="3"/>
      <c r="H264" s="3"/>
      <c r="I264" s="3"/>
      <c r="J264" s="3"/>
      <c r="K264" s="3"/>
      <c r="L264" s="3"/>
      <c r="M264" s="3"/>
      <c r="N264" s="3"/>
      <c r="O264" s="3"/>
      <c r="P264" s="3"/>
      <c r="Q264" s="3"/>
      <c r="R264" s="3"/>
      <c r="S264" s="3"/>
      <c r="T264" s="3"/>
      <c r="U264" s="3"/>
      <c r="V264" s="3"/>
      <c r="W264" s="3"/>
      <c r="X264" s="3"/>
      <c r="Y264" s="3"/>
      <c r="Z264" s="3"/>
    </row>
    <row r="265" spans="1:26" ht="12" customHeight="1">
      <c r="A265" s="53"/>
      <c r="B265" s="314"/>
      <c r="C265" s="3"/>
      <c r="D265" s="3"/>
      <c r="E265" s="3"/>
      <c r="F265" s="351"/>
      <c r="G265" s="3"/>
      <c r="H265" s="351"/>
      <c r="I265" s="53"/>
      <c r="J265" s="53"/>
      <c r="K265" s="53"/>
      <c r="L265" s="3"/>
      <c r="M265" s="3"/>
      <c r="N265" s="3"/>
      <c r="O265" s="3"/>
      <c r="P265" s="3"/>
      <c r="Q265" s="3"/>
      <c r="R265" s="3"/>
      <c r="S265" s="3"/>
      <c r="T265" s="3"/>
      <c r="U265" s="3"/>
      <c r="V265" s="3"/>
      <c r="W265" s="3"/>
      <c r="X265" s="3"/>
      <c r="Y265" s="3"/>
      <c r="Z265" s="3"/>
    </row>
    <row r="266" spans="1:26" ht="12" customHeight="1">
      <c r="A266" s="53"/>
      <c r="B266" s="53"/>
      <c r="C266" s="325" t="s">
        <v>299</v>
      </c>
      <c r="D266" s="3"/>
      <c r="E266" s="326" t="s">
        <v>243</v>
      </c>
      <c r="F266" s="327" t="str">
        <f t="shared" ref="F266:J266" si="41">F$4</f>
        <v>2026F</v>
      </c>
      <c r="G266" s="327" t="str">
        <f t="shared" si="41"/>
        <v>2027F</v>
      </c>
      <c r="H266" s="327" t="str">
        <f t="shared" si="41"/>
        <v>2028F</v>
      </c>
      <c r="I266" s="327" t="str">
        <f t="shared" si="41"/>
        <v>2029F</v>
      </c>
      <c r="J266" s="327" t="str">
        <f t="shared" si="41"/>
        <v>2030F</v>
      </c>
      <c r="K266" s="3"/>
      <c r="L266" s="3"/>
      <c r="M266" s="3"/>
      <c r="N266" s="3"/>
      <c r="O266" s="3"/>
      <c r="P266" s="3"/>
      <c r="Q266" s="3"/>
      <c r="R266" s="3"/>
      <c r="S266" s="3"/>
      <c r="T266" s="3"/>
      <c r="U266" s="3"/>
      <c r="V266" s="3"/>
      <c r="W266" s="3"/>
      <c r="X266" s="3"/>
      <c r="Y266" s="3"/>
      <c r="Z266" s="3"/>
    </row>
    <row r="267" spans="1:26" ht="12" customHeight="1">
      <c r="A267" s="53"/>
      <c r="B267" s="328" t="str">
        <f t="shared" ref="B267:B277" si="42">D267&amp;"."&amp;C267</f>
        <v>Residential.Low Voltage Service Charge</v>
      </c>
      <c r="C267" s="328" t="s">
        <v>300</v>
      </c>
      <c r="D267" s="314" t="s">
        <v>247</v>
      </c>
      <c r="E267" s="353">
        <v>5.0000000000000002E-5</v>
      </c>
      <c r="F267" s="344">
        <v>6.9999999999999994E-5</v>
      </c>
      <c r="G267" s="344">
        <v>6.9999999999999994E-5</v>
      </c>
      <c r="H267" s="344">
        <v>8.0000000000000007E-5</v>
      </c>
      <c r="I267" s="344">
        <v>8.0000000000000007E-5</v>
      </c>
      <c r="J267" s="344">
        <v>8.0000000000000007E-5</v>
      </c>
      <c r="K267" s="3"/>
      <c r="Q267" s="3"/>
      <c r="R267" s="3"/>
      <c r="S267" s="3"/>
      <c r="T267" s="3"/>
      <c r="U267" s="3"/>
      <c r="V267" s="3"/>
      <c r="W267" s="3"/>
      <c r="X267" s="3"/>
      <c r="Y267" s="3"/>
      <c r="Z267" s="3"/>
    </row>
    <row r="268" spans="1:26" ht="12" customHeight="1">
      <c r="A268" s="53"/>
      <c r="B268" s="328" t="str">
        <f t="shared" si="42"/>
        <v>General Service &lt; 50 kW.Low Voltage Service Charge</v>
      </c>
      <c r="C268" s="328" t="s">
        <v>300</v>
      </c>
      <c r="D268" s="314" t="s">
        <v>248</v>
      </c>
      <c r="E268" s="353">
        <v>5.0000000000000002E-5</v>
      </c>
      <c r="F268" s="344">
        <v>6.0000000000000002E-5</v>
      </c>
      <c r="G268" s="344">
        <v>6.0000000000000002E-5</v>
      </c>
      <c r="H268" s="344">
        <v>6.0000000000000002E-5</v>
      </c>
      <c r="I268" s="344">
        <v>6.0000000000000002E-5</v>
      </c>
      <c r="J268" s="344">
        <v>6.0000000000000002E-5</v>
      </c>
      <c r="K268" s="358"/>
      <c r="Q268" s="3"/>
      <c r="R268" s="3"/>
      <c r="S268" s="3"/>
      <c r="T268" s="3"/>
      <c r="U268" s="3"/>
      <c r="V268" s="3"/>
      <c r="W268" s="3"/>
      <c r="X268" s="3"/>
      <c r="Y268" s="3"/>
      <c r="Z268" s="3"/>
    </row>
    <row r="269" spans="1:26" ht="12" customHeight="1">
      <c r="A269" s="53"/>
      <c r="B269" s="328" t="str">
        <f t="shared" si="42"/>
        <v>General Service 50 to 1,499 KW.Low Voltage Service Charge</v>
      </c>
      <c r="C269" s="328" t="s">
        <v>300</v>
      </c>
      <c r="D269" s="314" t="s">
        <v>249</v>
      </c>
      <c r="E269" s="353">
        <v>2.0629999999999999E-2</v>
      </c>
      <c r="F269" s="344">
        <v>2.332E-2</v>
      </c>
      <c r="G269" s="344">
        <v>2.392E-2</v>
      </c>
      <c r="H269" s="344">
        <v>2.4209999999999999E-2</v>
      </c>
      <c r="I269" s="344">
        <v>2.46E-2</v>
      </c>
      <c r="J269" s="344">
        <v>2.504E-2</v>
      </c>
      <c r="K269" s="358"/>
      <c r="Q269" s="3"/>
      <c r="R269" s="3"/>
      <c r="S269" s="3"/>
      <c r="T269" s="3"/>
      <c r="U269" s="3"/>
      <c r="V269" s="3"/>
      <c r="W269" s="3"/>
      <c r="X269" s="3"/>
      <c r="Y269" s="3"/>
      <c r="Z269" s="3"/>
    </row>
    <row r="270" spans="1:26" ht="12" customHeight="1">
      <c r="A270" s="53"/>
      <c r="B270" s="328" t="str">
        <f t="shared" si="42"/>
        <v>General Service 1,500 to 4,999 KW.Low Voltage Service Charge</v>
      </c>
      <c r="C270" s="328" t="s">
        <v>300</v>
      </c>
      <c r="D270" s="314" t="s">
        <v>250</v>
      </c>
      <c r="E270" s="353">
        <v>2.2040000000000001E-2</v>
      </c>
      <c r="F270" s="344">
        <v>2.3130000000000001E-2</v>
      </c>
      <c r="G270" s="344">
        <v>2.3730000000000001E-2</v>
      </c>
      <c r="H270" s="344">
        <v>2.402E-2</v>
      </c>
      <c r="I270" s="344">
        <v>2.4410000000000001E-2</v>
      </c>
      <c r="J270" s="344">
        <v>2.4840000000000001E-2</v>
      </c>
      <c r="K270" s="358"/>
      <c r="Q270" s="3"/>
      <c r="R270" s="3"/>
      <c r="S270" s="3"/>
      <c r="T270" s="3"/>
      <c r="U270" s="3"/>
      <c r="V270" s="3"/>
      <c r="W270" s="3"/>
      <c r="X270" s="3"/>
      <c r="Y270" s="3"/>
      <c r="Z270" s="3"/>
    </row>
    <row r="271" spans="1:26" ht="12" customHeight="1">
      <c r="A271" s="53"/>
      <c r="B271" s="328" t="str">
        <f t="shared" si="42"/>
        <v>Large User.Low Voltage Service Charge</v>
      </c>
      <c r="C271" s="328" t="s">
        <v>300</v>
      </c>
      <c r="D271" s="314" t="s">
        <v>251</v>
      </c>
      <c r="E271" s="353">
        <v>2.4819999999999998E-2</v>
      </c>
      <c r="F271" s="344">
        <v>2.716E-2</v>
      </c>
      <c r="G271" s="344">
        <v>2.7869999999999999E-2</v>
      </c>
      <c r="H271" s="344">
        <v>2.8209999999999999E-2</v>
      </c>
      <c r="I271" s="344">
        <v>2.8660000000000001E-2</v>
      </c>
      <c r="J271" s="344">
        <v>2.9170000000000001E-2</v>
      </c>
      <c r="K271" s="358"/>
      <c r="Q271" s="3"/>
      <c r="R271" s="3"/>
      <c r="S271" s="3"/>
      <c r="T271" s="3"/>
      <c r="U271" s="3"/>
      <c r="V271" s="3"/>
      <c r="W271" s="3"/>
      <c r="X271" s="3"/>
      <c r="Y271" s="3"/>
      <c r="Z271" s="3"/>
    </row>
    <row r="272" spans="1:26" ht="12" customHeight="1">
      <c r="A272" s="53"/>
      <c r="B272" s="328" t="str">
        <f t="shared" si="42"/>
        <v>Street Light.Low Voltage Service Charge</v>
      </c>
      <c r="C272" s="328" t="s">
        <v>300</v>
      </c>
      <c r="D272" s="314" t="s">
        <v>252</v>
      </c>
      <c r="E272" s="353">
        <v>1.5640000000000001E-2</v>
      </c>
      <c r="F272" s="344">
        <v>1.099E-2</v>
      </c>
      <c r="G272" s="344">
        <v>1.1270000000000001E-2</v>
      </c>
      <c r="H272" s="344">
        <v>1.141E-2</v>
      </c>
      <c r="I272" s="344">
        <v>1.159E-2</v>
      </c>
      <c r="J272" s="344">
        <v>1.18E-2</v>
      </c>
      <c r="K272" s="358"/>
      <c r="Q272" s="3"/>
      <c r="R272" s="3"/>
      <c r="S272" s="3"/>
      <c r="T272" s="3"/>
      <c r="U272" s="3"/>
      <c r="V272" s="3"/>
      <c r="W272" s="3"/>
      <c r="X272" s="3"/>
      <c r="Y272" s="3"/>
      <c r="Z272" s="3"/>
    </row>
    <row r="273" spans="1:26" ht="12" customHeight="1">
      <c r="A273" s="53"/>
      <c r="B273" s="328" t="str">
        <f t="shared" si="42"/>
        <v>Sentinel Lights.Low Voltage Service Charge</v>
      </c>
      <c r="C273" s="328" t="s">
        <v>300</v>
      </c>
      <c r="D273" s="314" t="s">
        <v>253</v>
      </c>
      <c r="E273" s="353">
        <v>1.532E-2</v>
      </c>
      <c r="F273" s="344">
        <v>4.3499999999999997E-3</v>
      </c>
      <c r="G273" s="344">
        <v>4.4600000000000004E-3</v>
      </c>
      <c r="H273" s="344">
        <v>4.5199999999999997E-3</v>
      </c>
      <c r="I273" s="344">
        <v>4.5900000000000003E-3</v>
      </c>
      <c r="J273" s="344">
        <v>4.6699999999999997E-3</v>
      </c>
      <c r="K273" s="358"/>
      <c r="Q273" s="3"/>
      <c r="R273" s="3"/>
      <c r="S273" s="3"/>
      <c r="T273" s="3"/>
      <c r="U273" s="3"/>
      <c r="V273" s="3"/>
      <c r="W273" s="3"/>
      <c r="X273" s="3"/>
      <c r="Y273" s="3"/>
      <c r="Z273" s="3"/>
    </row>
    <row r="274" spans="1:26" ht="12" customHeight="1">
      <c r="A274" s="53"/>
      <c r="B274" s="328" t="str">
        <f t="shared" si="42"/>
        <v>Unmetered Scattered Load.Low Voltage Service Charge</v>
      </c>
      <c r="C274" s="328" t="s">
        <v>300</v>
      </c>
      <c r="D274" s="314" t="s">
        <v>254</v>
      </c>
      <c r="E274" s="353">
        <v>5.0000000000000002E-5</v>
      </c>
      <c r="F274" s="344">
        <v>4.0000000000000003E-5</v>
      </c>
      <c r="G274" s="344">
        <v>4.0000000000000003E-5</v>
      </c>
      <c r="H274" s="344">
        <v>4.0000000000000003E-5</v>
      </c>
      <c r="I274" s="344">
        <v>4.0000000000000003E-5</v>
      </c>
      <c r="J274" s="344">
        <v>4.0000000000000003E-5</v>
      </c>
      <c r="K274" s="358"/>
      <c r="Q274" s="3"/>
      <c r="R274" s="3"/>
      <c r="S274" s="3"/>
      <c r="T274" s="3"/>
      <c r="U274" s="3"/>
      <c r="V274" s="3"/>
      <c r="W274" s="3"/>
      <c r="X274" s="3"/>
      <c r="Y274" s="3"/>
      <c r="Z274" s="3"/>
    </row>
    <row r="275" spans="1:26" ht="12" customHeight="1">
      <c r="A275" s="53"/>
      <c r="B275" s="328" t="str">
        <f t="shared" si="42"/>
        <v>Standby Power General Service 50 to 1,499 KW.Low Voltage Service Charge</v>
      </c>
      <c r="C275" s="328" t="s">
        <v>300</v>
      </c>
      <c r="D275" s="314" t="s">
        <v>255</v>
      </c>
      <c r="E275" s="3"/>
      <c r="F275" s="342"/>
      <c r="G275" s="342"/>
      <c r="H275" s="3"/>
      <c r="I275" s="3"/>
      <c r="J275" s="3"/>
      <c r="K275" s="358"/>
      <c r="L275" s="3"/>
      <c r="M275" s="3"/>
      <c r="N275" s="3"/>
      <c r="O275" s="3"/>
      <c r="P275" s="3"/>
      <c r="Q275" s="3"/>
      <c r="R275" s="3"/>
      <c r="S275" s="3"/>
      <c r="T275" s="3"/>
      <c r="U275" s="3"/>
      <c r="V275" s="3"/>
      <c r="W275" s="3"/>
      <c r="X275" s="3"/>
      <c r="Y275" s="3"/>
      <c r="Z275" s="3"/>
    </row>
    <row r="276" spans="1:26" ht="12" customHeight="1">
      <c r="A276" s="53"/>
      <c r="B276" s="328" t="str">
        <f t="shared" si="42"/>
        <v>Standby Power General Service 1,500 to 4,999 KW.</v>
      </c>
      <c r="C276" s="328"/>
      <c r="D276" s="314" t="s">
        <v>256</v>
      </c>
      <c r="E276" s="3"/>
      <c r="F276" s="342"/>
      <c r="G276" s="3"/>
      <c r="H276" s="3"/>
      <c r="I276" s="3"/>
      <c r="J276" s="3"/>
      <c r="K276" s="358"/>
      <c r="L276" s="3"/>
      <c r="M276" s="3"/>
      <c r="N276" s="3"/>
      <c r="O276" s="3"/>
      <c r="P276" s="3"/>
      <c r="Q276" s="3"/>
      <c r="R276" s="3"/>
      <c r="S276" s="3"/>
      <c r="T276" s="3"/>
      <c r="U276" s="3"/>
      <c r="V276" s="3"/>
      <c r="W276" s="3"/>
      <c r="X276" s="3"/>
      <c r="Y276" s="3"/>
      <c r="Z276" s="3"/>
    </row>
    <row r="277" spans="1:26" ht="12" customHeight="1">
      <c r="A277" s="53"/>
      <c r="B277" s="328" t="str">
        <f t="shared" si="42"/>
        <v>Standby Power Large Use.</v>
      </c>
      <c r="C277" s="328"/>
      <c r="D277" s="314" t="s">
        <v>257</v>
      </c>
      <c r="E277" s="3"/>
      <c r="F277" s="342"/>
      <c r="G277" s="3"/>
      <c r="H277" s="3"/>
      <c r="I277" s="3"/>
      <c r="J277" s="3"/>
      <c r="K277" s="358"/>
      <c r="L277" s="3"/>
      <c r="M277" s="3"/>
      <c r="N277" s="3"/>
      <c r="O277" s="3"/>
      <c r="P277" s="3"/>
      <c r="Q277" s="3"/>
      <c r="R277" s="3"/>
      <c r="S277" s="3"/>
      <c r="T277" s="3"/>
      <c r="U277" s="3"/>
      <c r="V277" s="3"/>
      <c r="W277" s="3"/>
      <c r="X277" s="3"/>
      <c r="Y277" s="3"/>
      <c r="Z277" s="3"/>
    </row>
    <row r="278" spans="1:26" ht="12" customHeight="1">
      <c r="A278" s="53"/>
      <c r="B278" s="314"/>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 customHeight="1">
      <c r="A279" s="53"/>
      <c r="B279" s="53"/>
      <c r="C279" s="325" t="s">
        <v>301</v>
      </c>
      <c r="D279" s="3"/>
      <c r="E279" s="326" t="s">
        <v>243</v>
      </c>
      <c r="F279" s="327" t="str">
        <f t="shared" ref="F279:J279" si="43">F$4</f>
        <v>2026F</v>
      </c>
      <c r="G279" s="327" t="str">
        <f t="shared" si="43"/>
        <v>2027F</v>
      </c>
      <c r="H279" s="327" t="str">
        <f t="shared" si="43"/>
        <v>2028F</v>
      </c>
      <c r="I279" s="327" t="str">
        <f t="shared" si="43"/>
        <v>2029F</v>
      </c>
      <c r="J279" s="327" t="str">
        <f t="shared" si="43"/>
        <v>2030F</v>
      </c>
      <c r="K279" s="3"/>
      <c r="L279" s="3"/>
      <c r="M279" s="3"/>
      <c r="N279" s="3"/>
      <c r="O279" s="3"/>
      <c r="P279" s="3"/>
      <c r="Q279" s="3"/>
      <c r="R279" s="3"/>
      <c r="S279" s="3"/>
      <c r="T279" s="3"/>
      <c r="U279" s="3"/>
      <c r="V279" s="3"/>
      <c r="W279" s="3"/>
      <c r="X279" s="3"/>
      <c r="Y279" s="3"/>
      <c r="Z279" s="3"/>
    </row>
    <row r="280" spans="1:26" ht="12" customHeight="1">
      <c r="A280" s="53"/>
      <c r="B280" s="328" t="str">
        <f t="shared" ref="B280:B287" si="44">D280&amp;"."&amp;C280</f>
        <v>Residential.Smart Meter Entity Charge</v>
      </c>
      <c r="C280" s="328" t="s">
        <v>302</v>
      </c>
      <c r="D280" s="314" t="s">
        <v>247</v>
      </c>
      <c r="E280" s="359">
        <v>0.42</v>
      </c>
      <c r="F280" s="340">
        <v>0.42</v>
      </c>
      <c r="G280" s="340">
        <v>0.42</v>
      </c>
      <c r="H280" s="340">
        <v>0.43</v>
      </c>
      <c r="I280" s="340">
        <v>0.44</v>
      </c>
      <c r="J280" s="340">
        <v>0.45</v>
      </c>
      <c r="K280" s="3"/>
      <c r="L280" s="3"/>
      <c r="M280" s="3"/>
      <c r="N280" s="3"/>
      <c r="O280" s="3"/>
      <c r="P280" s="3"/>
      <c r="Q280" s="3"/>
      <c r="R280" s="3"/>
      <c r="S280" s="3"/>
      <c r="T280" s="3"/>
      <c r="U280" s="3"/>
      <c r="V280" s="3"/>
      <c r="W280" s="3"/>
      <c r="X280" s="3"/>
      <c r="Y280" s="3"/>
      <c r="Z280" s="3"/>
    </row>
    <row r="281" spans="1:26" ht="12" customHeight="1">
      <c r="A281" s="53"/>
      <c r="B281" s="328" t="str">
        <f t="shared" si="44"/>
        <v>General Service &lt; 50 kW.Smart Meter Entity Charge</v>
      </c>
      <c r="C281" s="328" t="s">
        <v>302</v>
      </c>
      <c r="D281" s="314" t="s">
        <v>248</v>
      </c>
      <c r="E281" s="359">
        <v>0.42</v>
      </c>
      <c r="F281" s="340">
        <v>0.42</v>
      </c>
      <c r="G281" s="340">
        <v>0.42</v>
      </c>
      <c r="H281" s="340">
        <v>0.43</v>
      </c>
      <c r="I281" s="340">
        <v>0.44</v>
      </c>
      <c r="J281" s="340">
        <v>0.45</v>
      </c>
      <c r="K281" s="3"/>
      <c r="L281" s="3"/>
      <c r="M281" s="3"/>
      <c r="N281" s="3"/>
      <c r="O281" s="3"/>
      <c r="P281" s="3"/>
      <c r="Q281" s="3"/>
      <c r="R281" s="3"/>
      <c r="S281" s="3"/>
      <c r="T281" s="3"/>
      <c r="U281" s="3"/>
      <c r="V281" s="3"/>
      <c r="W281" s="3"/>
      <c r="X281" s="3"/>
      <c r="Y281" s="3"/>
      <c r="Z281" s="3"/>
    </row>
    <row r="282" spans="1:26" ht="12" customHeight="1">
      <c r="A282" s="53"/>
      <c r="B282" s="328" t="str">
        <f t="shared" si="44"/>
        <v>General Service 50 to 1,499 KW.Smart Meter Entity Charge</v>
      </c>
      <c r="C282" s="328" t="s">
        <v>302</v>
      </c>
      <c r="D282" s="314" t="s">
        <v>249</v>
      </c>
      <c r="E282" s="3">
        <v>0</v>
      </c>
      <c r="F282" s="53">
        <v>0</v>
      </c>
      <c r="G282" s="53">
        <v>0</v>
      </c>
      <c r="H282" s="53">
        <v>0</v>
      </c>
      <c r="I282" s="53">
        <v>0</v>
      </c>
      <c r="J282" s="53">
        <v>0</v>
      </c>
      <c r="K282" s="3"/>
      <c r="L282" s="3"/>
      <c r="M282" s="3"/>
      <c r="N282" s="3"/>
      <c r="O282" s="3"/>
      <c r="P282" s="3"/>
      <c r="Q282" s="3"/>
      <c r="R282" s="3"/>
      <c r="S282" s="3"/>
      <c r="T282" s="3"/>
      <c r="U282" s="3"/>
      <c r="V282" s="3"/>
      <c r="W282" s="3"/>
      <c r="X282" s="3"/>
      <c r="Y282" s="3"/>
      <c r="Z282" s="3"/>
    </row>
    <row r="283" spans="1:26" ht="12" customHeight="1">
      <c r="A283" s="53"/>
      <c r="B283" s="328" t="str">
        <f t="shared" si="44"/>
        <v>General Service 1,500 to 4,999 KW.Smart Meter Entity Charge</v>
      </c>
      <c r="C283" s="328" t="s">
        <v>302</v>
      </c>
      <c r="D283" s="314" t="s">
        <v>250</v>
      </c>
      <c r="E283" s="3">
        <v>0</v>
      </c>
      <c r="F283" s="53">
        <v>0</v>
      </c>
      <c r="G283" s="53">
        <v>0</v>
      </c>
      <c r="H283" s="53">
        <v>0</v>
      </c>
      <c r="I283" s="53">
        <v>0</v>
      </c>
      <c r="J283" s="53">
        <v>0</v>
      </c>
      <c r="K283" s="3"/>
      <c r="L283" s="3"/>
      <c r="M283" s="3"/>
      <c r="N283" s="3"/>
      <c r="O283" s="3"/>
      <c r="P283" s="3"/>
      <c r="Q283" s="3"/>
      <c r="R283" s="3"/>
      <c r="S283" s="3"/>
      <c r="T283" s="3"/>
      <c r="U283" s="3"/>
      <c r="V283" s="3"/>
      <c r="W283" s="3"/>
      <c r="X283" s="3"/>
      <c r="Y283" s="3"/>
      <c r="Z283" s="3"/>
    </row>
    <row r="284" spans="1:26" ht="12" customHeight="1">
      <c r="A284" s="53"/>
      <c r="B284" s="328" t="str">
        <f t="shared" si="44"/>
        <v>Large User.Smart Meter Entity Charge</v>
      </c>
      <c r="C284" s="328" t="s">
        <v>302</v>
      </c>
      <c r="D284" s="314" t="s">
        <v>251</v>
      </c>
      <c r="E284" s="3">
        <v>0</v>
      </c>
      <c r="F284" s="53">
        <v>0</v>
      </c>
      <c r="G284" s="53">
        <v>0</v>
      </c>
      <c r="H284" s="53">
        <v>0</v>
      </c>
      <c r="I284" s="53">
        <v>0</v>
      </c>
      <c r="J284" s="53">
        <v>0</v>
      </c>
      <c r="K284" s="3"/>
      <c r="L284" s="3"/>
      <c r="M284" s="3"/>
      <c r="N284" s="3"/>
      <c r="O284" s="3"/>
      <c r="P284" s="3"/>
      <c r="Q284" s="3"/>
      <c r="R284" s="3"/>
      <c r="S284" s="3"/>
      <c r="T284" s="3"/>
      <c r="U284" s="3"/>
      <c r="V284" s="3"/>
      <c r="W284" s="3"/>
      <c r="X284" s="3"/>
      <c r="Y284" s="3"/>
      <c r="Z284" s="3"/>
    </row>
    <row r="285" spans="1:26" ht="12" customHeight="1">
      <c r="A285" s="53"/>
      <c r="B285" s="328" t="str">
        <f t="shared" si="44"/>
        <v>Street Light.Smart Meter Entity Charge</v>
      </c>
      <c r="C285" s="328" t="s">
        <v>302</v>
      </c>
      <c r="D285" s="314" t="s">
        <v>252</v>
      </c>
      <c r="E285" s="3">
        <v>0</v>
      </c>
      <c r="F285" s="53">
        <v>0</v>
      </c>
      <c r="G285" s="53">
        <v>0</v>
      </c>
      <c r="H285" s="53">
        <v>0</v>
      </c>
      <c r="I285" s="53">
        <v>0</v>
      </c>
      <c r="J285" s="53">
        <v>0</v>
      </c>
      <c r="K285" s="3"/>
      <c r="L285" s="3"/>
      <c r="M285" s="3"/>
      <c r="N285" s="3"/>
      <c r="O285" s="3"/>
      <c r="P285" s="3"/>
      <c r="Q285" s="3"/>
      <c r="R285" s="3"/>
      <c r="S285" s="3"/>
      <c r="T285" s="3"/>
      <c r="U285" s="3"/>
      <c r="V285" s="3"/>
      <c r="W285" s="3"/>
      <c r="X285" s="3"/>
      <c r="Y285" s="3"/>
      <c r="Z285" s="3"/>
    </row>
    <row r="286" spans="1:26" ht="12" customHeight="1">
      <c r="A286" s="53"/>
      <c r="B286" s="328" t="str">
        <f t="shared" si="44"/>
        <v>Sentinel Lights.Smart Meter Entity Charge</v>
      </c>
      <c r="C286" s="328" t="s">
        <v>302</v>
      </c>
      <c r="D286" s="314" t="s">
        <v>253</v>
      </c>
      <c r="E286" s="3">
        <v>0</v>
      </c>
      <c r="F286" s="53">
        <v>0</v>
      </c>
      <c r="G286" s="53">
        <v>0</v>
      </c>
      <c r="H286" s="53">
        <v>0</v>
      </c>
      <c r="I286" s="53">
        <v>0</v>
      </c>
      <c r="J286" s="53">
        <v>0</v>
      </c>
      <c r="K286" s="3"/>
      <c r="L286" s="3"/>
      <c r="M286" s="3"/>
      <c r="N286" s="3"/>
      <c r="O286" s="3"/>
      <c r="P286" s="3"/>
      <c r="Q286" s="3"/>
      <c r="R286" s="3"/>
      <c r="S286" s="3"/>
      <c r="T286" s="3"/>
      <c r="U286" s="3"/>
      <c r="V286" s="3"/>
      <c r="W286" s="3"/>
      <c r="X286" s="3"/>
      <c r="Y286" s="3"/>
      <c r="Z286" s="3"/>
    </row>
    <row r="287" spans="1:26" ht="12" customHeight="1">
      <c r="A287" s="53"/>
      <c r="B287" s="328" t="str">
        <f t="shared" si="44"/>
        <v>Unmetered Scattered Load.Smart Meter Entity Charge</v>
      </c>
      <c r="C287" s="328" t="s">
        <v>302</v>
      </c>
      <c r="D287" s="314" t="s">
        <v>254</v>
      </c>
      <c r="E287" s="3">
        <v>0</v>
      </c>
      <c r="F287" s="53">
        <v>0</v>
      </c>
      <c r="G287" s="53">
        <v>0</v>
      </c>
      <c r="H287" s="53">
        <v>0</v>
      </c>
      <c r="I287" s="53">
        <v>0</v>
      </c>
      <c r="J287" s="53">
        <v>0</v>
      </c>
      <c r="K287" s="3"/>
      <c r="L287" s="3"/>
      <c r="M287" s="3"/>
      <c r="N287" s="3"/>
      <c r="O287" s="3"/>
      <c r="P287" s="3"/>
      <c r="Q287" s="3"/>
      <c r="R287" s="3"/>
      <c r="S287" s="3"/>
      <c r="T287" s="3"/>
      <c r="U287" s="3"/>
      <c r="V287" s="3"/>
      <c r="W287" s="3"/>
      <c r="X287" s="3"/>
      <c r="Y287" s="3"/>
      <c r="Z287" s="3"/>
    </row>
    <row r="288" spans="1:26" ht="12" customHeight="1">
      <c r="A288" s="53"/>
      <c r="B288" s="328"/>
      <c r="C288" s="328"/>
      <c r="D288" s="314" t="s">
        <v>255</v>
      </c>
      <c r="E288" s="3">
        <v>0</v>
      </c>
      <c r="F288" s="53">
        <v>0</v>
      </c>
      <c r="G288" s="53">
        <v>0</v>
      </c>
      <c r="H288" s="53">
        <v>0</v>
      </c>
      <c r="I288" s="53">
        <v>0</v>
      </c>
      <c r="J288" s="53">
        <v>0</v>
      </c>
      <c r="K288" s="3"/>
      <c r="L288" s="3"/>
      <c r="M288" s="3"/>
      <c r="N288" s="3"/>
      <c r="O288" s="3"/>
      <c r="P288" s="3"/>
      <c r="Q288" s="3"/>
      <c r="R288" s="3"/>
      <c r="S288" s="3"/>
      <c r="T288" s="3"/>
      <c r="U288" s="3"/>
      <c r="V288" s="3"/>
      <c r="W288" s="3"/>
      <c r="X288" s="3"/>
      <c r="Y288" s="3"/>
      <c r="Z288" s="3"/>
    </row>
    <row r="289" spans="1:26" ht="12" customHeight="1">
      <c r="A289" s="53"/>
      <c r="B289" s="53"/>
      <c r="C289" s="53"/>
      <c r="D289" s="314" t="s">
        <v>256</v>
      </c>
      <c r="E289" s="3">
        <v>0</v>
      </c>
      <c r="F289" s="53">
        <v>0</v>
      </c>
      <c r="G289" s="53">
        <v>0</v>
      </c>
      <c r="H289" s="53">
        <v>0</v>
      </c>
      <c r="I289" s="53">
        <v>0</v>
      </c>
      <c r="J289" s="53">
        <v>0</v>
      </c>
      <c r="K289" s="3"/>
      <c r="L289" s="3"/>
      <c r="M289" s="3"/>
      <c r="N289" s="3"/>
      <c r="O289" s="3"/>
      <c r="P289" s="3"/>
      <c r="Q289" s="3"/>
      <c r="R289" s="3"/>
      <c r="S289" s="3"/>
      <c r="T289" s="3"/>
      <c r="U289" s="3"/>
      <c r="V289" s="3"/>
      <c r="W289" s="3"/>
      <c r="X289" s="3"/>
      <c r="Y289" s="3"/>
      <c r="Z289" s="3"/>
    </row>
    <row r="290" spans="1:26" ht="12" customHeight="1">
      <c r="A290" s="53"/>
      <c r="B290" s="53"/>
      <c r="C290" s="53"/>
      <c r="D290" s="314" t="s">
        <v>257</v>
      </c>
      <c r="E290" s="3">
        <v>0</v>
      </c>
      <c r="F290" s="53">
        <v>0</v>
      </c>
      <c r="G290" s="53">
        <v>0</v>
      </c>
      <c r="H290" s="53">
        <v>0</v>
      </c>
      <c r="I290" s="53">
        <v>0</v>
      </c>
      <c r="J290" s="53">
        <v>0</v>
      </c>
      <c r="K290" s="3"/>
      <c r="L290" s="3"/>
      <c r="M290" s="3"/>
      <c r="N290" s="3"/>
      <c r="O290" s="3"/>
      <c r="P290" s="3"/>
      <c r="Q290" s="3"/>
      <c r="R290" s="3"/>
      <c r="S290" s="3"/>
      <c r="T290" s="3"/>
      <c r="U290" s="3"/>
      <c r="V290" s="3"/>
      <c r="W290" s="3"/>
      <c r="X290" s="3"/>
      <c r="Y290" s="3"/>
      <c r="Z290" s="3"/>
    </row>
    <row r="291" spans="1:26" ht="12" customHeight="1">
      <c r="A291" s="53"/>
      <c r="B291" s="314"/>
      <c r="C291" s="3"/>
      <c r="D291" s="3"/>
      <c r="E291" s="3"/>
      <c r="F291" s="3"/>
      <c r="G291" s="354"/>
      <c r="H291" s="354"/>
      <c r="I291" s="3"/>
      <c r="J291" s="3"/>
      <c r="K291" s="3"/>
      <c r="L291" s="3"/>
      <c r="M291" s="3"/>
      <c r="N291" s="3"/>
      <c r="O291" s="3"/>
      <c r="P291" s="3"/>
      <c r="Q291" s="3"/>
      <c r="R291" s="3"/>
      <c r="S291" s="3"/>
      <c r="T291" s="3"/>
      <c r="U291" s="3"/>
      <c r="V291" s="3"/>
      <c r="W291" s="3"/>
      <c r="X291" s="3"/>
      <c r="Y291" s="3"/>
      <c r="Z291" s="3"/>
    </row>
    <row r="292" spans="1:26" ht="12" customHeight="1">
      <c r="A292" s="53"/>
      <c r="B292" s="53"/>
      <c r="C292" s="325" t="s">
        <v>303</v>
      </c>
      <c r="D292" s="3"/>
      <c r="E292" s="326" t="s">
        <v>243</v>
      </c>
      <c r="F292" s="327" t="str">
        <f t="shared" ref="F292:J292" si="45">F$4</f>
        <v>2026F</v>
      </c>
      <c r="G292" s="327" t="str">
        <f t="shared" si="45"/>
        <v>2027F</v>
      </c>
      <c r="H292" s="327" t="str">
        <f t="shared" si="45"/>
        <v>2028F</v>
      </c>
      <c r="I292" s="327" t="str">
        <f t="shared" si="45"/>
        <v>2029F</v>
      </c>
      <c r="J292" s="327" t="str">
        <f t="shared" si="45"/>
        <v>2030F</v>
      </c>
      <c r="K292" s="3"/>
      <c r="L292" s="3"/>
      <c r="M292" s="3"/>
      <c r="N292" s="3"/>
      <c r="O292" s="3"/>
      <c r="P292" s="3"/>
      <c r="Q292" s="3"/>
      <c r="R292" s="3"/>
      <c r="S292" s="3"/>
      <c r="T292" s="3"/>
      <c r="U292" s="3"/>
      <c r="V292" s="3"/>
      <c r="W292" s="3"/>
      <c r="X292" s="3"/>
      <c r="Y292" s="3"/>
      <c r="Z292" s="3"/>
    </row>
    <row r="293" spans="1:26" ht="12" customHeight="1">
      <c r="A293" s="53"/>
      <c r="B293" s="328" t="str">
        <f t="shared" ref="B293:B303" si="46">D293&amp;"."&amp;C293</f>
        <v>Residential.Provincial Rebate</v>
      </c>
      <c r="C293" s="328" t="s">
        <v>304</v>
      </c>
      <c r="D293" s="314" t="s">
        <v>247</v>
      </c>
      <c r="E293" s="360">
        <v>0.23499999999999999</v>
      </c>
      <c r="F293" s="361">
        <v>0.23499999999999999</v>
      </c>
      <c r="G293" s="361">
        <v>0.23499999999999999</v>
      </c>
      <c r="H293" s="361">
        <v>0.23499999999999999</v>
      </c>
      <c r="I293" s="361">
        <v>0.23499999999999999</v>
      </c>
      <c r="J293" s="361">
        <v>0.23499999999999999</v>
      </c>
      <c r="K293" s="3"/>
      <c r="L293" s="3"/>
      <c r="M293" s="3"/>
      <c r="N293" s="3"/>
      <c r="O293" s="3"/>
      <c r="P293" s="3"/>
      <c r="Q293" s="3"/>
      <c r="R293" s="3"/>
      <c r="S293" s="3"/>
      <c r="T293" s="3"/>
      <c r="U293" s="3"/>
      <c r="V293" s="3"/>
      <c r="W293" s="3"/>
      <c r="X293" s="3"/>
      <c r="Y293" s="3"/>
      <c r="Z293" s="3"/>
    </row>
    <row r="294" spans="1:26" ht="12" customHeight="1">
      <c r="A294" s="53"/>
      <c r="B294" s="328" t="str">
        <f t="shared" si="46"/>
        <v>General Service &lt; 50 kW.Provincial Rebate</v>
      </c>
      <c r="C294" s="328" t="s">
        <v>304</v>
      </c>
      <c r="D294" s="314" t="s">
        <v>248</v>
      </c>
      <c r="E294" s="360">
        <v>0.23499999999999999</v>
      </c>
      <c r="F294" s="361">
        <v>0.23499999999999999</v>
      </c>
      <c r="G294" s="361">
        <v>0.23499999999999999</v>
      </c>
      <c r="H294" s="361">
        <v>0.23499999999999999</v>
      </c>
      <c r="I294" s="361">
        <v>0.23499999999999999</v>
      </c>
      <c r="J294" s="361">
        <v>0.23499999999999999</v>
      </c>
      <c r="K294" s="3"/>
      <c r="L294" s="3"/>
      <c r="M294" s="3"/>
      <c r="N294" s="3"/>
      <c r="O294" s="3"/>
      <c r="P294" s="3"/>
      <c r="Q294" s="3"/>
      <c r="R294" s="3"/>
      <c r="S294" s="3"/>
      <c r="T294" s="3"/>
      <c r="U294" s="3"/>
      <c r="V294" s="3"/>
      <c r="W294" s="3"/>
      <c r="X294" s="3"/>
      <c r="Y294" s="3"/>
      <c r="Z294" s="3"/>
    </row>
    <row r="295" spans="1:26" ht="12" customHeight="1">
      <c r="A295" s="53"/>
      <c r="B295" s="328" t="str">
        <f t="shared" si="46"/>
        <v>General Service 50 to 1,499 KW.Provincial Rebate</v>
      </c>
      <c r="C295" s="328" t="s">
        <v>304</v>
      </c>
      <c r="D295" s="314" t="s">
        <v>249</v>
      </c>
      <c r="E295" s="362"/>
      <c r="F295" s="363"/>
      <c r="G295" s="363"/>
      <c r="H295" s="363"/>
      <c r="I295" s="363"/>
      <c r="J295" s="363"/>
      <c r="K295" s="3"/>
      <c r="L295" s="3"/>
      <c r="M295" s="3"/>
      <c r="N295" s="3"/>
      <c r="O295" s="3"/>
      <c r="P295" s="3"/>
      <c r="Q295" s="3"/>
      <c r="R295" s="3"/>
      <c r="S295" s="3"/>
      <c r="T295" s="3"/>
      <c r="U295" s="3"/>
      <c r="V295" s="3"/>
      <c r="W295" s="3"/>
      <c r="X295" s="3"/>
      <c r="Y295" s="3"/>
      <c r="Z295" s="3"/>
    </row>
    <row r="296" spans="1:26" ht="12" customHeight="1">
      <c r="A296" s="53"/>
      <c r="B296" s="328" t="str">
        <f t="shared" si="46"/>
        <v>General Service 1,500 to 4,999 KW.Provincial Rebate</v>
      </c>
      <c r="C296" s="328" t="s">
        <v>304</v>
      </c>
      <c r="D296" s="314" t="s">
        <v>250</v>
      </c>
      <c r="E296" s="362"/>
      <c r="F296" s="363"/>
      <c r="G296" s="363"/>
      <c r="H296" s="363"/>
      <c r="I296" s="363"/>
      <c r="J296" s="363"/>
      <c r="K296" s="3"/>
      <c r="L296" s="3"/>
      <c r="M296" s="3"/>
      <c r="N296" s="3"/>
      <c r="O296" s="3"/>
      <c r="P296" s="3"/>
      <c r="Q296" s="3"/>
      <c r="R296" s="3"/>
      <c r="S296" s="3"/>
      <c r="T296" s="3"/>
      <c r="U296" s="3"/>
      <c r="V296" s="3"/>
      <c r="W296" s="3"/>
      <c r="X296" s="3"/>
      <c r="Y296" s="3"/>
      <c r="Z296" s="3"/>
    </row>
    <row r="297" spans="1:26" ht="12" customHeight="1">
      <c r="A297" s="53"/>
      <c r="B297" s="328" t="str">
        <f t="shared" si="46"/>
        <v>Large User.Provincial Rebate</v>
      </c>
      <c r="C297" s="328" t="s">
        <v>304</v>
      </c>
      <c r="D297" s="314" t="s">
        <v>251</v>
      </c>
      <c r="E297" s="362"/>
      <c r="F297" s="363"/>
      <c r="G297" s="363"/>
      <c r="H297" s="363"/>
      <c r="I297" s="363"/>
      <c r="J297" s="363"/>
      <c r="K297" s="3"/>
      <c r="L297" s="3"/>
      <c r="M297" s="3"/>
      <c r="N297" s="3"/>
      <c r="O297" s="3"/>
      <c r="P297" s="3"/>
      <c r="Q297" s="3"/>
      <c r="R297" s="3"/>
      <c r="S297" s="3"/>
      <c r="T297" s="3"/>
      <c r="U297" s="3"/>
      <c r="V297" s="3"/>
      <c r="W297" s="3"/>
      <c r="X297" s="3"/>
      <c r="Y297" s="3"/>
      <c r="Z297" s="3"/>
    </row>
    <row r="298" spans="1:26" ht="12" customHeight="1">
      <c r="A298" s="53"/>
      <c r="B298" s="328" t="str">
        <f t="shared" si="46"/>
        <v>Street Light.Provincial Rebate</v>
      </c>
      <c r="C298" s="328" t="s">
        <v>304</v>
      </c>
      <c r="D298" s="314" t="s">
        <v>252</v>
      </c>
      <c r="E298" s="360">
        <v>0.23499999999999999</v>
      </c>
      <c r="F298" s="361">
        <v>0.23499999999999999</v>
      </c>
      <c r="G298" s="361">
        <v>0.23499999999999999</v>
      </c>
      <c r="H298" s="361">
        <v>0.23499999999999999</v>
      </c>
      <c r="I298" s="361">
        <v>0.23499999999999999</v>
      </c>
      <c r="J298" s="361">
        <v>0.23499999999999999</v>
      </c>
      <c r="K298" s="3"/>
      <c r="L298" s="3"/>
      <c r="M298" s="3"/>
      <c r="N298" s="3"/>
      <c r="O298" s="3"/>
      <c r="P298" s="3"/>
      <c r="Q298" s="3"/>
      <c r="R298" s="3"/>
      <c r="S298" s="3"/>
      <c r="T298" s="3"/>
      <c r="U298" s="3"/>
      <c r="V298" s="3"/>
      <c r="W298" s="3"/>
      <c r="X298" s="3"/>
      <c r="Y298" s="3"/>
      <c r="Z298" s="3"/>
    </row>
    <row r="299" spans="1:26" ht="12" customHeight="1">
      <c r="A299" s="53"/>
      <c r="B299" s="328" t="str">
        <f t="shared" si="46"/>
        <v>Sentinel Lights.Provincial Rebate</v>
      </c>
      <c r="C299" s="328" t="s">
        <v>304</v>
      </c>
      <c r="D299" s="314" t="s">
        <v>253</v>
      </c>
      <c r="E299" s="360">
        <v>0.23499999999999999</v>
      </c>
      <c r="F299" s="361">
        <v>0.23499999999999999</v>
      </c>
      <c r="G299" s="361">
        <v>0.23499999999999999</v>
      </c>
      <c r="H299" s="361">
        <v>0.23499999999999999</v>
      </c>
      <c r="I299" s="361">
        <v>0.23499999999999999</v>
      </c>
      <c r="J299" s="361">
        <v>0.23499999999999999</v>
      </c>
      <c r="K299" s="3"/>
      <c r="L299" s="3"/>
      <c r="M299" s="3"/>
      <c r="N299" s="3"/>
      <c r="O299" s="3"/>
      <c r="P299" s="3"/>
      <c r="Q299" s="3"/>
      <c r="R299" s="3"/>
      <c r="S299" s="3"/>
      <c r="T299" s="3"/>
      <c r="U299" s="3"/>
      <c r="V299" s="3"/>
      <c r="W299" s="3"/>
      <c r="X299" s="3"/>
      <c r="Y299" s="3"/>
      <c r="Z299" s="3"/>
    </row>
    <row r="300" spans="1:26" ht="12" customHeight="1">
      <c r="A300" s="53"/>
      <c r="B300" s="328" t="str">
        <f t="shared" si="46"/>
        <v>Unmetered Scattered Load.Provincial Rebate</v>
      </c>
      <c r="C300" s="328" t="s">
        <v>304</v>
      </c>
      <c r="D300" s="314" t="s">
        <v>254</v>
      </c>
      <c r="E300" s="360">
        <v>0.23499999999999999</v>
      </c>
      <c r="F300" s="361">
        <v>0.23499999999999999</v>
      </c>
      <c r="G300" s="361">
        <v>0.23499999999999999</v>
      </c>
      <c r="H300" s="361">
        <v>0.23499999999999999</v>
      </c>
      <c r="I300" s="361">
        <v>0.23499999999999999</v>
      </c>
      <c r="J300" s="361">
        <v>0.23499999999999999</v>
      </c>
      <c r="K300" s="3"/>
      <c r="L300" s="3"/>
      <c r="M300" s="3"/>
      <c r="N300" s="3"/>
      <c r="O300" s="3"/>
      <c r="P300" s="3"/>
      <c r="Q300" s="3"/>
      <c r="R300" s="3"/>
      <c r="S300" s="3"/>
      <c r="T300" s="3"/>
      <c r="U300" s="3"/>
      <c r="V300" s="3"/>
      <c r="W300" s="3"/>
      <c r="X300" s="3"/>
      <c r="Y300" s="3"/>
      <c r="Z300" s="3"/>
    </row>
    <row r="301" spans="1:26" ht="12" customHeight="1">
      <c r="A301" s="53"/>
      <c r="B301" s="328" t="str">
        <f t="shared" si="46"/>
        <v>Standby Power General Service 50 to 1,499 KW.Provincial Rebate</v>
      </c>
      <c r="C301" s="328" t="s">
        <v>304</v>
      </c>
      <c r="D301" s="314" t="s">
        <v>255</v>
      </c>
      <c r="E301" s="362"/>
      <c r="F301" s="363"/>
      <c r="G301" s="363"/>
      <c r="H301" s="363"/>
      <c r="I301" s="363"/>
      <c r="J301" s="363"/>
      <c r="K301" s="3"/>
      <c r="L301" s="3"/>
      <c r="M301" s="3"/>
      <c r="N301" s="3"/>
      <c r="O301" s="3"/>
      <c r="P301" s="3"/>
      <c r="Q301" s="3"/>
      <c r="R301" s="3"/>
      <c r="S301" s="3"/>
      <c r="T301" s="3"/>
      <c r="U301" s="3"/>
      <c r="V301" s="3"/>
      <c r="W301" s="3"/>
      <c r="X301" s="3"/>
      <c r="Y301" s="3"/>
      <c r="Z301" s="3"/>
    </row>
    <row r="302" spans="1:26" ht="12" customHeight="1">
      <c r="A302" s="53"/>
      <c r="B302" s="328" t="str">
        <f t="shared" si="46"/>
        <v>Standby Power General Service 1,500 to 4,999 KW.Provincial Rebate</v>
      </c>
      <c r="C302" s="328" t="s">
        <v>304</v>
      </c>
      <c r="D302" s="314" t="s">
        <v>256</v>
      </c>
      <c r="E302" s="362"/>
      <c r="F302" s="363"/>
      <c r="G302" s="363"/>
      <c r="H302" s="363"/>
      <c r="I302" s="363"/>
      <c r="J302" s="363"/>
      <c r="K302" s="3"/>
      <c r="L302" s="3"/>
      <c r="M302" s="3"/>
      <c r="N302" s="3"/>
      <c r="O302" s="3"/>
      <c r="P302" s="3"/>
      <c r="Q302" s="3"/>
      <c r="R302" s="3"/>
      <c r="S302" s="3"/>
      <c r="T302" s="3"/>
      <c r="U302" s="3"/>
      <c r="V302" s="3"/>
      <c r="W302" s="3"/>
      <c r="X302" s="3"/>
      <c r="Y302" s="3"/>
      <c r="Z302" s="3"/>
    </row>
    <row r="303" spans="1:26" ht="12" customHeight="1">
      <c r="A303" s="53"/>
      <c r="B303" s="328" t="str">
        <f t="shared" si="46"/>
        <v>Standby Power Large Use.Provincial Rebate</v>
      </c>
      <c r="C303" s="328" t="s">
        <v>304</v>
      </c>
      <c r="D303" s="314" t="s">
        <v>257</v>
      </c>
      <c r="E303" s="3"/>
      <c r="F303" s="3"/>
      <c r="G303" s="3"/>
      <c r="H303" s="3"/>
      <c r="I303" s="3"/>
      <c r="J303" s="3"/>
      <c r="K303" s="3"/>
      <c r="L303" s="3"/>
      <c r="M303" s="3"/>
      <c r="N303" s="3"/>
      <c r="O303" s="3"/>
      <c r="P303" s="3"/>
      <c r="Q303" s="3"/>
      <c r="R303" s="3"/>
      <c r="S303" s="3"/>
      <c r="T303" s="3"/>
      <c r="U303" s="3"/>
      <c r="V303" s="3"/>
      <c r="W303" s="3"/>
      <c r="X303" s="3"/>
      <c r="Y303" s="3"/>
      <c r="Z303" s="3"/>
    </row>
    <row r="304" spans="1:26" ht="12" customHeight="1">
      <c r="A304" s="53"/>
      <c r="B304" s="314"/>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 customHeight="1">
      <c r="A305" s="53"/>
      <c r="B305" s="53"/>
      <c r="C305" s="325" t="s">
        <v>305</v>
      </c>
      <c r="D305" s="3"/>
      <c r="E305" s="326" t="s">
        <v>243</v>
      </c>
      <c r="F305" s="327" t="str">
        <f t="shared" ref="F305:J305" si="47">F$4</f>
        <v>2026F</v>
      </c>
      <c r="G305" s="327" t="str">
        <f t="shared" si="47"/>
        <v>2027F</v>
      </c>
      <c r="H305" s="327" t="str">
        <f t="shared" si="47"/>
        <v>2028F</v>
      </c>
      <c r="I305" s="327" t="str">
        <f t="shared" si="47"/>
        <v>2029F</v>
      </c>
      <c r="J305" s="327" t="str">
        <f t="shared" si="47"/>
        <v>2030F</v>
      </c>
      <c r="K305" s="3"/>
      <c r="L305" s="3"/>
      <c r="M305" s="3"/>
      <c r="N305" s="3"/>
      <c r="O305" s="3"/>
      <c r="P305" s="3"/>
      <c r="Q305" s="3"/>
      <c r="R305" s="3"/>
      <c r="S305" s="3"/>
      <c r="T305" s="3"/>
      <c r="U305" s="3"/>
      <c r="V305" s="3"/>
      <c r="W305" s="3"/>
      <c r="X305" s="3"/>
      <c r="Y305" s="3"/>
      <c r="Z305" s="3"/>
    </row>
    <row r="306" spans="1:26" ht="12" customHeight="1">
      <c r="A306" s="53"/>
      <c r="B306" s="328"/>
      <c r="C306" s="53"/>
      <c r="D306" s="314" t="s">
        <v>247</v>
      </c>
      <c r="E306" s="32">
        <v>3.3799999999999997E-2</v>
      </c>
      <c r="F306" s="364">
        <v>3.32E-2</v>
      </c>
      <c r="G306" s="364">
        <v>3.32E-2</v>
      </c>
      <c r="H306" s="364">
        <v>3.32E-2</v>
      </c>
      <c r="I306" s="364">
        <v>3.32E-2</v>
      </c>
      <c r="J306" s="364">
        <v>3.32E-2</v>
      </c>
      <c r="K306" s="3"/>
      <c r="L306" s="3"/>
      <c r="M306" s="3"/>
      <c r="N306" s="3"/>
      <c r="O306" s="3"/>
      <c r="P306" s="3"/>
      <c r="Q306" s="3"/>
      <c r="R306" s="3"/>
      <c r="S306" s="3"/>
      <c r="T306" s="3"/>
      <c r="U306" s="3"/>
      <c r="V306" s="3"/>
      <c r="W306" s="3"/>
      <c r="X306" s="3"/>
      <c r="Y306" s="3"/>
      <c r="Z306" s="3"/>
    </row>
    <row r="307" spans="1:26" ht="12" customHeight="1">
      <c r="A307" s="53"/>
      <c r="B307" s="328"/>
      <c r="C307" s="53"/>
      <c r="D307" s="314" t="s">
        <v>248</v>
      </c>
      <c r="E307" s="32">
        <v>3.3799999999999997E-2</v>
      </c>
      <c r="F307" s="364">
        <v>3.32E-2</v>
      </c>
      <c r="G307" s="364">
        <v>3.32E-2</v>
      </c>
      <c r="H307" s="364">
        <v>3.32E-2</v>
      </c>
      <c r="I307" s="364">
        <v>3.32E-2</v>
      </c>
      <c r="J307" s="364">
        <v>3.32E-2</v>
      </c>
      <c r="K307" s="3"/>
      <c r="L307" s="3"/>
      <c r="M307" s="3"/>
      <c r="N307" s="3"/>
      <c r="O307" s="3"/>
      <c r="P307" s="3"/>
      <c r="Q307" s="3"/>
      <c r="R307" s="3"/>
      <c r="S307" s="3"/>
      <c r="T307" s="3"/>
      <c r="U307" s="3"/>
      <c r="V307" s="3"/>
      <c r="W307" s="3"/>
      <c r="X307" s="3"/>
      <c r="Y307" s="3"/>
      <c r="Z307" s="3"/>
    </row>
    <row r="308" spans="1:26" ht="12" customHeight="1">
      <c r="A308" s="53"/>
      <c r="B308" s="328"/>
      <c r="C308" s="53"/>
      <c r="D308" s="314" t="s">
        <v>249</v>
      </c>
      <c r="E308" s="32">
        <v>3.3799999999999997E-2</v>
      </c>
      <c r="F308" s="364">
        <v>3.32E-2</v>
      </c>
      <c r="G308" s="364">
        <v>3.32E-2</v>
      </c>
      <c r="H308" s="364">
        <v>3.32E-2</v>
      </c>
      <c r="I308" s="364">
        <v>3.32E-2</v>
      </c>
      <c r="J308" s="364">
        <v>3.32E-2</v>
      </c>
      <c r="K308" s="3"/>
      <c r="L308" s="3"/>
      <c r="M308" s="3"/>
      <c r="N308" s="3"/>
      <c r="O308" s="3"/>
      <c r="P308" s="3"/>
      <c r="Q308" s="3"/>
      <c r="R308" s="3"/>
      <c r="S308" s="3"/>
      <c r="T308" s="3"/>
      <c r="U308" s="3"/>
      <c r="V308" s="3"/>
      <c r="W308" s="3"/>
      <c r="X308" s="3"/>
      <c r="Y308" s="3"/>
      <c r="Z308" s="3"/>
    </row>
    <row r="309" spans="1:26" ht="12" customHeight="1">
      <c r="A309" s="53"/>
      <c r="B309" s="328"/>
      <c r="C309" s="53"/>
      <c r="D309" s="314" t="s">
        <v>250</v>
      </c>
      <c r="E309" s="32">
        <v>3.3799999999999997E-2</v>
      </c>
      <c r="F309" s="364">
        <v>3.32E-2</v>
      </c>
      <c r="G309" s="364">
        <v>3.32E-2</v>
      </c>
      <c r="H309" s="364">
        <v>3.32E-2</v>
      </c>
      <c r="I309" s="364">
        <v>3.32E-2</v>
      </c>
      <c r="J309" s="364">
        <v>3.32E-2</v>
      </c>
      <c r="K309" s="3"/>
      <c r="L309" s="3"/>
      <c r="M309" s="3"/>
      <c r="N309" s="3"/>
      <c r="O309" s="3"/>
      <c r="P309" s="3"/>
      <c r="Q309" s="3"/>
      <c r="R309" s="3"/>
      <c r="S309" s="3"/>
      <c r="T309" s="3"/>
      <c r="U309" s="3"/>
      <c r="V309" s="3"/>
      <c r="W309" s="3"/>
      <c r="X309" s="3"/>
      <c r="Y309" s="3"/>
      <c r="Z309" s="3"/>
    </row>
    <row r="310" spans="1:26" ht="12" customHeight="1">
      <c r="A310" s="53"/>
      <c r="B310" s="328"/>
      <c r="C310" s="53"/>
      <c r="D310" s="314" t="s">
        <v>251</v>
      </c>
      <c r="E310" s="32">
        <v>5.1000000000000004E-3</v>
      </c>
      <c r="F310" s="364">
        <v>4.7999999999999996E-3</v>
      </c>
      <c r="G310" s="364">
        <v>4.7999999999999996E-3</v>
      </c>
      <c r="H310" s="364">
        <v>4.7999999999999996E-3</v>
      </c>
      <c r="I310" s="364">
        <v>4.7999999999999996E-3</v>
      </c>
      <c r="J310" s="364">
        <v>4.7999999999999996E-3</v>
      </c>
      <c r="K310" s="3"/>
      <c r="L310" s="3"/>
      <c r="M310" s="3"/>
      <c r="N310" s="3"/>
      <c r="O310" s="3"/>
      <c r="P310" s="3"/>
      <c r="Q310" s="3"/>
      <c r="R310" s="3"/>
      <c r="S310" s="3"/>
      <c r="T310" s="3"/>
      <c r="U310" s="3"/>
      <c r="V310" s="3"/>
      <c r="W310" s="3"/>
      <c r="X310" s="3"/>
      <c r="Y310" s="3"/>
      <c r="Z310" s="3"/>
    </row>
    <row r="311" spans="1:26" ht="12" customHeight="1">
      <c r="A311" s="53"/>
      <c r="B311" s="328"/>
      <c r="C311" s="53"/>
      <c r="D311" s="314" t="s">
        <v>252</v>
      </c>
      <c r="E311" s="32">
        <v>3.3799999999999997E-2</v>
      </c>
      <c r="F311" s="364">
        <v>3.32E-2</v>
      </c>
      <c r="G311" s="364">
        <v>3.32E-2</v>
      </c>
      <c r="H311" s="364">
        <v>3.32E-2</v>
      </c>
      <c r="I311" s="364">
        <v>3.32E-2</v>
      </c>
      <c r="J311" s="364">
        <v>3.32E-2</v>
      </c>
      <c r="K311" s="3"/>
      <c r="L311" s="3"/>
      <c r="M311" s="3"/>
      <c r="N311" s="3"/>
      <c r="O311" s="3"/>
      <c r="P311" s="3"/>
      <c r="Q311" s="3"/>
      <c r="R311" s="3"/>
      <c r="S311" s="3"/>
      <c r="T311" s="3"/>
      <c r="U311" s="3"/>
      <c r="V311" s="3"/>
      <c r="W311" s="3"/>
      <c r="X311" s="3"/>
      <c r="Y311" s="3"/>
      <c r="Z311" s="3"/>
    </row>
    <row r="312" spans="1:26" ht="12" customHeight="1">
      <c r="A312" s="53"/>
      <c r="B312" s="328"/>
      <c r="C312" s="53"/>
      <c r="D312" s="314" t="s">
        <v>253</v>
      </c>
      <c r="E312" s="32">
        <v>3.3799999999999997E-2</v>
      </c>
      <c r="F312" s="364">
        <v>3.32E-2</v>
      </c>
      <c r="G312" s="364">
        <v>3.32E-2</v>
      </c>
      <c r="H312" s="364">
        <v>3.32E-2</v>
      </c>
      <c r="I312" s="364">
        <v>3.32E-2</v>
      </c>
      <c r="J312" s="364">
        <v>3.32E-2</v>
      </c>
      <c r="K312" s="3"/>
      <c r="L312" s="3"/>
      <c r="M312" s="3"/>
      <c r="N312" s="3"/>
      <c r="O312" s="3"/>
      <c r="P312" s="3"/>
      <c r="Q312" s="3"/>
      <c r="R312" s="3"/>
      <c r="S312" s="3"/>
      <c r="T312" s="3"/>
      <c r="U312" s="3"/>
      <c r="V312" s="3"/>
      <c r="W312" s="3"/>
      <c r="X312" s="3"/>
      <c r="Y312" s="3"/>
      <c r="Z312" s="3"/>
    </row>
    <row r="313" spans="1:26" ht="12" customHeight="1">
      <c r="A313" s="53"/>
      <c r="B313" s="328"/>
      <c r="C313" s="53"/>
      <c r="D313" s="314" t="s">
        <v>254</v>
      </c>
      <c r="E313" s="32">
        <v>3.3799999999999997E-2</v>
      </c>
      <c r="F313" s="364">
        <v>3.32E-2</v>
      </c>
      <c r="G313" s="364">
        <v>3.32E-2</v>
      </c>
      <c r="H313" s="364">
        <v>3.32E-2</v>
      </c>
      <c r="I313" s="364">
        <v>3.32E-2</v>
      </c>
      <c r="J313" s="364">
        <v>3.32E-2</v>
      </c>
      <c r="K313" s="3"/>
      <c r="L313" s="3"/>
      <c r="M313" s="3"/>
      <c r="N313" s="3"/>
      <c r="O313" s="3"/>
      <c r="P313" s="3"/>
      <c r="Q313" s="3"/>
      <c r="R313" s="3"/>
      <c r="S313" s="3"/>
      <c r="T313" s="3"/>
      <c r="U313" s="3"/>
      <c r="V313" s="3"/>
      <c r="W313" s="3"/>
      <c r="X313" s="3"/>
      <c r="Y313" s="3"/>
      <c r="Z313" s="3"/>
    </row>
    <row r="314" spans="1:26" ht="12" customHeight="1">
      <c r="A314" s="53"/>
      <c r="B314" s="328"/>
      <c r="C314" s="53"/>
      <c r="D314" s="314" t="s">
        <v>255</v>
      </c>
      <c r="E314" s="3"/>
      <c r="F314" s="3"/>
      <c r="G314" s="3"/>
      <c r="H314" s="3"/>
      <c r="I314" s="3"/>
      <c r="J314" s="3"/>
      <c r="K314" s="3"/>
      <c r="L314" s="3"/>
      <c r="M314" s="3"/>
      <c r="N314" s="3"/>
      <c r="O314" s="3"/>
      <c r="P314" s="3"/>
      <c r="Q314" s="3"/>
      <c r="R314" s="3"/>
      <c r="S314" s="3"/>
      <c r="T314" s="3"/>
      <c r="U314" s="3"/>
      <c r="V314" s="3"/>
      <c r="W314" s="3"/>
      <c r="X314" s="3"/>
      <c r="Y314" s="3"/>
      <c r="Z314" s="3"/>
    </row>
    <row r="315" spans="1:26" ht="12" customHeight="1">
      <c r="A315" s="53"/>
      <c r="B315" s="328"/>
      <c r="C315" s="53"/>
      <c r="D315" s="314" t="s">
        <v>256</v>
      </c>
      <c r="E315" s="3"/>
      <c r="F315" s="3"/>
      <c r="G315" s="3"/>
      <c r="H315" s="3"/>
      <c r="I315" s="3"/>
      <c r="J315" s="3"/>
      <c r="K315" s="3"/>
      <c r="L315" s="3"/>
      <c r="M315" s="3"/>
      <c r="N315" s="3"/>
      <c r="O315" s="3"/>
      <c r="P315" s="3"/>
      <c r="Q315" s="3"/>
      <c r="R315" s="3"/>
      <c r="S315" s="3"/>
      <c r="T315" s="3"/>
      <c r="U315" s="3"/>
      <c r="V315" s="3"/>
      <c r="W315" s="3"/>
      <c r="X315" s="3"/>
      <c r="Y315" s="3"/>
      <c r="Z315" s="3"/>
    </row>
    <row r="316" spans="1:26" ht="12" customHeight="1">
      <c r="A316" s="53"/>
      <c r="B316" s="328"/>
      <c r="C316" s="53"/>
      <c r="D316" s="314" t="s">
        <v>257</v>
      </c>
      <c r="E316" s="3"/>
      <c r="F316" s="3"/>
      <c r="G316" s="3"/>
      <c r="H316" s="3"/>
      <c r="I316" s="3"/>
      <c r="J316" s="3"/>
      <c r="K316" s="3"/>
      <c r="L316" s="3"/>
      <c r="M316" s="3"/>
      <c r="N316" s="3"/>
      <c r="O316" s="3"/>
      <c r="P316" s="3"/>
      <c r="Q316" s="3"/>
      <c r="R316" s="3"/>
      <c r="S316" s="3"/>
      <c r="T316" s="3"/>
      <c r="U316" s="3"/>
      <c r="V316" s="3"/>
      <c r="W316" s="3"/>
      <c r="X316" s="3"/>
      <c r="Y316" s="3"/>
      <c r="Z316" s="3"/>
    </row>
    <row r="317" spans="1:26" ht="12" customHeight="1">
      <c r="A317" s="53"/>
      <c r="B317" s="53"/>
      <c r="C317" s="53"/>
      <c r="D317" s="314"/>
      <c r="E317" s="3"/>
      <c r="F317" s="53"/>
      <c r="G317" s="53"/>
      <c r="H317" s="53"/>
      <c r="I317" s="53"/>
      <c r="J317" s="53"/>
      <c r="K317" s="3"/>
      <c r="L317" s="3"/>
      <c r="M317" s="3"/>
      <c r="N317" s="3"/>
      <c r="O317" s="3"/>
      <c r="P317" s="3"/>
      <c r="Q317" s="3"/>
      <c r="R317" s="3"/>
      <c r="S317" s="3"/>
      <c r="T317" s="3"/>
      <c r="U317" s="3"/>
      <c r="V317" s="3"/>
      <c r="W317" s="3"/>
      <c r="X317" s="3"/>
      <c r="Y317" s="3"/>
      <c r="Z317" s="3"/>
    </row>
    <row r="318" spans="1:26" ht="12" customHeight="1">
      <c r="A318" s="53"/>
      <c r="B318" s="314"/>
      <c r="C318" s="325" t="s">
        <v>306</v>
      </c>
      <c r="D318" s="314"/>
      <c r="E318" s="3"/>
      <c r="F318" s="3"/>
      <c r="G318" s="3"/>
      <c r="H318" s="3"/>
      <c r="I318" s="3"/>
      <c r="J318" s="3"/>
      <c r="K318" s="3"/>
      <c r="L318" s="3"/>
      <c r="M318" s="3"/>
      <c r="N318" s="3"/>
      <c r="O318" s="3"/>
      <c r="P318" s="3"/>
      <c r="Q318" s="3"/>
      <c r="R318" s="3"/>
      <c r="S318" s="3"/>
      <c r="T318" s="3"/>
      <c r="U318" s="3"/>
      <c r="V318" s="3"/>
      <c r="W318" s="3"/>
      <c r="X318" s="3"/>
      <c r="Y318" s="3"/>
      <c r="Z318" s="3"/>
    </row>
    <row r="319" spans="1:26" ht="12" customHeight="1">
      <c r="A319" s="53"/>
      <c r="B319" s="53"/>
      <c r="C319" s="53"/>
      <c r="D319" s="314" t="s">
        <v>164</v>
      </c>
      <c r="E319" s="3">
        <v>1.0338000000000001</v>
      </c>
      <c r="F319" s="365">
        <v>1.0331999999999999</v>
      </c>
      <c r="G319" s="365">
        <v>1.0331999999999999</v>
      </c>
      <c r="H319" s="365">
        <v>1.0331999999999999</v>
      </c>
      <c r="I319" s="365">
        <v>1.0331999999999999</v>
      </c>
      <c r="J319" s="365">
        <v>1.0331999999999999</v>
      </c>
      <c r="K319" s="3"/>
      <c r="L319" s="3"/>
      <c r="M319" s="3"/>
      <c r="N319" s="3"/>
      <c r="O319" s="3"/>
      <c r="P319" s="3"/>
      <c r="Q319" s="3"/>
      <c r="R319" s="3"/>
      <c r="S319" s="3"/>
      <c r="T319" s="3"/>
      <c r="U319" s="3"/>
      <c r="V319" s="3"/>
      <c r="W319" s="3"/>
      <c r="X319" s="3"/>
      <c r="Y319" s="3"/>
      <c r="Z319" s="3"/>
    </row>
    <row r="320" spans="1:26" ht="12" customHeight="1">
      <c r="A320" s="53"/>
      <c r="B320" s="53"/>
      <c r="C320" s="53"/>
      <c r="D320" s="314" t="s">
        <v>165</v>
      </c>
      <c r="E320" s="3">
        <v>1.0152000000000001</v>
      </c>
      <c r="F320" s="332">
        <v>1.0149999999999999</v>
      </c>
      <c r="G320" s="332">
        <v>1.0149999999999999</v>
      </c>
      <c r="H320" s="332">
        <v>1.0149999999999999</v>
      </c>
      <c r="I320" s="332">
        <v>1.0149999999999999</v>
      </c>
      <c r="J320" s="332">
        <v>1.0149999999999999</v>
      </c>
      <c r="K320" s="3"/>
      <c r="L320" s="3"/>
      <c r="M320" s="3"/>
      <c r="N320" s="3"/>
      <c r="O320" s="3"/>
      <c r="P320" s="3"/>
      <c r="Q320" s="3"/>
      <c r="R320" s="3"/>
      <c r="S320" s="3"/>
      <c r="T320" s="3"/>
      <c r="U320" s="3"/>
      <c r="V320" s="3"/>
      <c r="W320" s="3"/>
      <c r="X320" s="3"/>
      <c r="Y320" s="3"/>
      <c r="Z320" s="3"/>
    </row>
    <row r="321" spans="1:26" ht="12" customHeight="1">
      <c r="A321" s="53"/>
      <c r="B321" s="53"/>
      <c r="C321" s="53"/>
      <c r="D321" s="314" t="s">
        <v>166</v>
      </c>
      <c r="E321" s="3">
        <v>1.0234000000000001</v>
      </c>
      <c r="F321" s="365">
        <v>1.0227999999999999</v>
      </c>
      <c r="G321" s="365">
        <v>1.0227999999999999</v>
      </c>
      <c r="H321" s="365">
        <v>1.0227999999999999</v>
      </c>
      <c r="I321" s="365">
        <v>1.0227999999999999</v>
      </c>
      <c r="J321" s="365">
        <v>1.0227999999999999</v>
      </c>
      <c r="K321" s="3"/>
      <c r="L321" s="3"/>
      <c r="M321" s="3"/>
      <c r="N321" s="3"/>
      <c r="O321" s="3"/>
      <c r="P321" s="3"/>
      <c r="Q321" s="3"/>
      <c r="R321" s="3"/>
      <c r="S321" s="3"/>
      <c r="T321" s="3"/>
      <c r="U321" s="3"/>
      <c r="V321" s="3"/>
      <c r="W321" s="3"/>
      <c r="X321" s="3"/>
      <c r="Y321" s="3"/>
      <c r="Z321" s="3"/>
    </row>
    <row r="322" spans="1:26" ht="12" customHeight="1">
      <c r="A322" s="53"/>
      <c r="B322" s="53"/>
      <c r="C322" s="53"/>
      <c r="D322" s="314" t="s">
        <v>167</v>
      </c>
      <c r="E322" s="3">
        <v>1.0051000000000001</v>
      </c>
      <c r="F322" s="365">
        <v>1.0047999999999999</v>
      </c>
      <c r="G322" s="365">
        <v>1.0047999999999999</v>
      </c>
      <c r="H322" s="365">
        <v>1.0047999999999999</v>
      </c>
      <c r="I322" s="365">
        <v>1.0047999999999999</v>
      </c>
      <c r="J322" s="365">
        <v>1.0047999999999999</v>
      </c>
      <c r="K322" s="3"/>
      <c r="L322" s="3"/>
      <c r="M322" s="3"/>
      <c r="N322" s="3"/>
      <c r="O322" s="3"/>
      <c r="P322" s="3"/>
      <c r="Q322" s="3"/>
      <c r="R322" s="3"/>
      <c r="S322" s="3"/>
      <c r="T322" s="3"/>
      <c r="U322" s="3"/>
      <c r="V322" s="3"/>
      <c r="W322" s="3"/>
      <c r="X322" s="3"/>
      <c r="Y322" s="3"/>
      <c r="Z322" s="3"/>
    </row>
    <row r="323" spans="1:26" ht="12" customHeight="1">
      <c r="A323" s="53"/>
      <c r="B323" s="53"/>
      <c r="C323" s="53"/>
      <c r="D323" s="314"/>
      <c r="E323" s="3"/>
      <c r="F323" s="3"/>
      <c r="G323" s="3"/>
      <c r="H323" s="3"/>
      <c r="I323" s="3"/>
      <c r="J323" s="3"/>
      <c r="K323" s="3"/>
      <c r="L323" s="3"/>
      <c r="M323" s="3"/>
      <c r="N323" s="3"/>
      <c r="O323" s="3"/>
      <c r="P323" s="3"/>
      <c r="Q323" s="3"/>
      <c r="R323" s="3"/>
      <c r="S323" s="3"/>
      <c r="T323" s="3"/>
      <c r="U323" s="3"/>
      <c r="V323" s="3"/>
      <c r="W323" s="3"/>
      <c r="X323" s="3"/>
      <c r="Y323" s="3"/>
      <c r="Z323" s="3"/>
    </row>
    <row r="324" spans="1:26" ht="12" customHeight="1">
      <c r="A324" s="53"/>
      <c r="B324" s="53"/>
      <c r="C324" s="53"/>
      <c r="D324" s="314"/>
      <c r="E324" s="3"/>
      <c r="F324" s="3"/>
      <c r="G324" s="3"/>
      <c r="H324" s="3"/>
      <c r="I324" s="3"/>
      <c r="J324" s="3"/>
      <c r="K324" s="3"/>
      <c r="L324" s="3"/>
      <c r="M324" s="3"/>
      <c r="N324" s="3"/>
      <c r="O324" s="3"/>
      <c r="P324" s="3"/>
      <c r="Q324" s="3"/>
      <c r="R324" s="3"/>
      <c r="S324" s="3"/>
      <c r="T324" s="3"/>
      <c r="U324" s="3"/>
      <c r="V324" s="3"/>
      <c r="W324" s="3"/>
      <c r="X324" s="3"/>
      <c r="Y324" s="3"/>
      <c r="Z324" s="3"/>
    </row>
    <row r="325" spans="1:26" ht="12" customHeight="1">
      <c r="A325" s="53"/>
      <c r="B325" s="314"/>
      <c r="C325" s="325" t="s">
        <v>120</v>
      </c>
      <c r="D325" s="3"/>
      <c r="E325" s="326" t="s">
        <v>243</v>
      </c>
      <c r="F325" s="327" t="str">
        <f t="shared" ref="F325:J325" si="48">F$4</f>
        <v>2026F</v>
      </c>
      <c r="G325" s="327" t="str">
        <f t="shared" si="48"/>
        <v>2027F</v>
      </c>
      <c r="H325" s="327" t="str">
        <f t="shared" si="48"/>
        <v>2028F</v>
      </c>
      <c r="I325" s="327" t="str">
        <f t="shared" si="48"/>
        <v>2029F</v>
      </c>
      <c r="J325" s="327" t="str">
        <f t="shared" si="48"/>
        <v>2030F</v>
      </c>
      <c r="K325" s="3"/>
      <c r="L325" s="3"/>
      <c r="M325" s="3"/>
      <c r="N325" s="3"/>
      <c r="O325" s="3"/>
      <c r="P325" s="3"/>
      <c r="Q325" s="3"/>
      <c r="R325" s="3"/>
      <c r="S325" s="3"/>
      <c r="T325" s="3"/>
      <c r="U325" s="3"/>
      <c r="V325" s="3"/>
      <c r="W325" s="3"/>
      <c r="X325" s="3"/>
      <c r="Y325" s="3"/>
      <c r="Z325" s="3"/>
    </row>
    <row r="326" spans="1:26" ht="12" customHeight="1">
      <c r="A326" s="53"/>
      <c r="B326" s="53"/>
      <c r="C326" s="53"/>
      <c r="D326" s="314" t="s">
        <v>121</v>
      </c>
      <c r="E326" s="366">
        <v>18</v>
      </c>
      <c r="F326" s="366">
        <v>0</v>
      </c>
      <c r="G326" s="366">
        <v>0</v>
      </c>
      <c r="H326" s="366">
        <v>0</v>
      </c>
      <c r="I326" s="366">
        <v>0</v>
      </c>
      <c r="J326" s="366">
        <v>0</v>
      </c>
      <c r="K326" s="53"/>
      <c r="L326" s="53"/>
      <c r="M326" s="53"/>
      <c r="N326" s="53"/>
      <c r="O326" s="53"/>
      <c r="P326" s="53"/>
      <c r="Q326" s="53"/>
      <c r="R326" s="53"/>
      <c r="S326" s="53"/>
      <c r="T326" s="53"/>
      <c r="U326" s="53"/>
      <c r="V326" s="53"/>
      <c r="W326" s="53"/>
      <c r="X326" s="53"/>
      <c r="Y326" s="53"/>
      <c r="Z326" s="53"/>
    </row>
    <row r="327" spans="1:26" ht="12" customHeight="1">
      <c r="A327" s="53"/>
      <c r="B327" s="53"/>
      <c r="C327" s="53"/>
      <c r="D327" s="314" t="s">
        <v>122</v>
      </c>
      <c r="E327" s="366">
        <v>29</v>
      </c>
      <c r="F327" s="367">
        <v>30</v>
      </c>
      <c r="G327" s="367">
        <v>30</v>
      </c>
      <c r="H327" s="367">
        <v>30</v>
      </c>
      <c r="I327" s="367">
        <v>30</v>
      </c>
      <c r="J327" s="367">
        <v>30</v>
      </c>
      <c r="K327" s="53"/>
      <c r="L327" s="53"/>
      <c r="M327" s="53"/>
      <c r="N327" s="53"/>
      <c r="O327" s="53"/>
      <c r="P327" s="53"/>
      <c r="Q327" s="53"/>
      <c r="R327" s="53"/>
      <c r="S327" s="53"/>
      <c r="T327" s="53"/>
      <c r="U327" s="53"/>
      <c r="V327" s="53"/>
      <c r="W327" s="53"/>
      <c r="X327" s="53"/>
      <c r="Y327" s="53"/>
      <c r="Z327" s="53"/>
    </row>
    <row r="328" spans="1:26" ht="12" customHeight="1">
      <c r="A328" s="53"/>
      <c r="B328" s="53"/>
      <c r="C328" s="53"/>
      <c r="D328" s="314" t="s">
        <v>123</v>
      </c>
      <c r="E328" s="366">
        <v>6</v>
      </c>
      <c r="F328" s="367">
        <v>7</v>
      </c>
      <c r="G328" s="367">
        <v>7</v>
      </c>
      <c r="H328" s="367">
        <v>7</v>
      </c>
      <c r="I328" s="367">
        <v>7</v>
      </c>
      <c r="J328" s="367">
        <v>7</v>
      </c>
      <c r="K328" s="53"/>
      <c r="L328" s="53"/>
      <c r="M328" s="53"/>
      <c r="N328" s="53"/>
      <c r="O328" s="53"/>
      <c r="P328" s="53"/>
      <c r="Q328" s="53"/>
      <c r="R328" s="53"/>
      <c r="S328" s="53"/>
      <c r="T328" s="53"/>
      <c r="U328" s="53"/>
      <c r="V328" s="53"/>
      <c r="W328" s="53"/>
      <c r="X328" s="53"/>
      <c r="Y328" s="53"/>
      <c r="Z328" s="53"/>
    </row>
    <row r="329" spans="1:26" ht="12" customHeight="1">
      <c r="A329" s="53"/>
      <c r="B329" s="53"/>
      <c r="C329" s="53"/>
      <c r="D329" s="314" t="s">
        <v>124</v>
      </c>
      <c r="E329" s="366">
        <v>140</v>
      </c>
      <c r="F329" s="367">
        <v>141</v>
      </c>
      <c r="G329" s="367">
        <v>144</v>
      </c>
      <c r="H329" s="367">
        <v>147</v>
      </c>
      <c r="I329" s="367">
        <v>151</v>
      </c>
      <c r="J329" s="367">
        <v>154</v>
      </c>
      <c r="K329" s="53"/>
      <c r="L329" s="53"/>
      <c r="M329" s="53"/>
      <c r="N329" s="53"/>
      <c r="O329" s="53"/>
      <c r="P329" s="53"/>
      <c r="Q329" s="53"/>
      <c r="R329" s="53"/>
      <c r="S329" s="53"/>
      <c r="T329" s="53"/>
      <c r="U329" s="53"/>
      <c r="V329" s="53"/>
      <c r="W329" s="53"/>
      <c r="X329" s="53"/>
      <c r="Y329" s="53"/>
      <c r="Z329" s="53"/>
    </row>
    <row r="330" spans="1:26" ht="12" customHeight="1">
      <c r="A330" s="53"/>
      <c r="B330" s="53"/>
      <c r="C330" s="53"/>
      <c r="D330" s="314" t="s">
        <v>125</v>
      </c>
      <c r="E330" s="366">
        <v>18</v>
      </c>
      <c r="F330" s="367">
        <v>20</v>
      </c>
      <c r="G330" s="367">
        <v>20</v>
      </c>
      <c r="H330" s="367">
        <v>20</v>
      </c>
      <c r="I330" s="367">
        <v>20</v>
      </c>
      <c r="J330" s="367">
        <v>20</v>
      </c>
      <c r="K330" s="53"/>
      <c r="L330" s="53"/>
      <c r="M330" s="53"/>
      <c r="N330" s="53"/>
      <c r="O330" s="53"/>
      <c r="P330" s="53"/>
      <c r="Q330" s="53"/>
      <c r="R330" s="53"/>
      <c r="S330" s="53"/>
      <c r="T330" s="53"/>
      <c r="U330" s="53"/>
      <c r="V330" s="53"/>
      <c r="W330" s="53"/>
      <c r="X330" s="53"/>
      <c r="Y330" s="53"/>
      <c r="Z330" s="53"/>
    </row>
    <row r="331" spans="1:26" ht="12" customHeight="1">
      <c r="A331" s="53"/>
      <c r="B331" s="53"/>
      <c r="C331" s="53"/>
      <c r="D331" s="314" t="s">
        <v>126</v>
      </c>
      <c r="E331" s="366">
        <v>29</v>
      </c>
      <c r="F331" s="367">
        <v>25</v>
      </c>
      <c r="G331" s="367">
        <v>25</v>
      </c>
      <c r="H331" s="367">
        <v>25</v>
      </c>
      <c r="I331" s="367">
        <v>25</v>
      </c>
      <c r="J331" s="367">
        <v>25</v>
      </c>
      <c r="K331" s="53"/>
      <c r="L331" s="53"/>
      <c r="M331" s="53"/>
      <c r="N331" s="53"/>
      <c r="O331" s="53"/>
      <c r="P331" s="53"/>
      <c r="Q331" s="53"/>
      <c r="R331" s="53"/>
      <c r="S331" s="53"/>
      <c r="T331" s="53"/>
      <c r="U331" s="53"/>
      <c r="V331" s="53"/>
      <c r="W331" s="53"/>
      <c r="X331" s="53"/>
      <c r="Y331" s="53"/>
      <c r="Z331" s="53"/>
    </row>
    <row r="332" spans="1:26" ht="12" customHeight="1">
      <c r="A332" s="53"/>
      <c r="B332" s="53"/>
      <c r="C332" s="53"/>
      <c r="D332" s="314" t="s">
        <v>127</v>
      </c>
      <c r="E332" s="366">
        <v>29</v>
      </c>
      <c r="F332" s="367">
        <v>10</v>
      </c>
      <c r="G332" s="367">
        <v>10</v>
      </c>
      <c r="H332" s="367">
        <v>10</v>
      </c>
      <c r="I332" s="367">
        <v>10</v>
      </c>
      <c r="J332" s="367">
        <v>10</v>
      </c>
      <c r="K332" s="53"/>
      <c r="L332" s="53"/>
      <c r="M332" s="53"/>
      <c r="N332" s="53"/>
      <c r="O332" s="53"/>
      <c r="P332" s="53"/>
      <c r="Q332" s="53"/>
      <c r="R332" s="53"/>
      <c r="S332" s="53"/>
      <c r="T332" s="53"/>
      <c r="U332" s="53"/>
      <c r="V332" s="53"/>
      <c r="W332" s="53"/>
      <c r="X332" s="53"/>
      <c r="Y332" s="53"/>
      <c r="Z332" s="53"/>
    </row>
    <row r="333" spans="1:26" ht="12" customHeight="1">
      <c r="A333" s="53"/>
      <c r="B333" s="53"/>
      <c r="C333" s="53"/>
      <c r="D333" s="314" t="s">
        <v>307</v>
      </c>
      <c r="E333" s="366">
        <v>0</v>
      </c>
      <c r="F333" s="367">
        <v>0</v>
      </c>
      <c r="G333" s="367">
        <v>0</v>
      </c>
      <c r="H333" s="367">
        <v>0</v>
      </c>
      <c r="I333" s="367">
        <v>0</v>
      </c>
      <c r="J333" s="367">
        <v>0</v>
      </c>
      <c r="K333" s="53"/>
      <c r="L333" s="53"/>
      <c r="M333" s="53"/>
      <c r="N333" s="53"/>
      <c r="O333" s="53"/>
      <c r="P333" s="53"/>
      <c r="Q333" s="53"/>
      <c r="R333" s="53"/>
      <c r="S333" s="53"/>
      <c r="T333" s="53"/>
      <c r="U333" s="53"/>
      <c r="V333" s="53"/>
      <c r="W333" s="53"/>
      <c r="X333" s="53"/>
      <c r="Y333" s="53"/>
      <c r="Z333" s="53"/>
    </row>
    <row r="334" spans="1:26" ht="12" customHeight="1">
      <c r="A334" s="53"/>
      <c r="B334" s="53"/>
      <c r="C334" s="53"/>
      <c r="D334" s="314" t="s">
        <v>308</v>
      </c>
      <c r="E334" s="366">
        <v>0</v>
      </c>
      <c r="F334" s="367">
        <v>0</v>
      </c>
      <c r="G334" s="367">
        <v>0</v>
      </c>
      <c r="H334" s="367">
        <v>0</v>
      </c>
      <c r="I334" s="367">
        <v>0</v>
      </c>
      <c r="J334" s="367">
        <v>0</v>
      </c>
      <c r="K334" s="53"/>
      <c r="L334" s="53"/>
      <c r="M334" s="53"/>
      <c r="N334" s="53"/>
      <c r="O334" s="53"/>
      <c r="P334" s="53"/>
      <c r="Q334" s="53"/>
      <c r="R334" s="53"/>
      <c r="S334" s="53"/>
      <c r="T334" s="53"/>
      <c r="U334" s="53"/>
      <c r="V334" s="53"/>
      <c r="W334" s="53"/>
      <c r="X334" s="53"/>
      <c r="Y334" s="53"/>
      <c r="Z334" s="53"/>
    </row>
    <row r="335" spans="1:26" ht="12" customHeight="1">
      <c r="A335" s="53"/>
      <c r="B335" s="53"/>
      <c r="C335" s="53"/>
      <c r="D335" s="314" t="s">
        <v>128</v>
      </c>
      <c r="E335" s="366">
        <v>359</v>
      </c>
      <c r="F335" s="367">
        <v>366</v>
      </c>
      <c r="G335" s="367">
        <v>374</v>
      </c>
      <c r="H335" s="367">
        <v>382</v>
      </c>
      <c r="I335" s="367">
        <v>390</v>
      </c>
      <c r="J335" s="367">
        <v>398</v>
      </c>
      <c r="K335" s="53"/>
      <c r="L335" s="53"/>
      <c r="M335" s="53"/>
      <c r="N335" s="53"/>
      <c r="O335" s="53"/>
      <c r="P335" s="53"/>
      <c r="Q335" s="53"/>
      <c r="R335" s="53"/>
      <c r="S335" s="53"/>
      <c r="T335" s="53"/>
      <c r="U335" s="53"/>
      <c r="V335" s="53"/>
      <c r="W335" s="53"/>
      <c r="X335" s="53"/>
      <c r="Y335" s="53"/>
      <c r="Z335" s="53"/>
    </row>
    <row r="336" spans="1:26" ht="12" customHeight="1">
      <c r="A336" s="53"/>
      <c r="B336" s="53"/>
      <c r="C336" s="53"/>
      <c r="D336" s="314" t="s">
        <v>129</v>
      </c>
      <c r="E336" s="366">
        <v>270</v>
      </c>
      <c r="F336" s="367">
        <v>322</v>
      </c>
      <c r="G336" s="367">
        <v>328</v>
      </c>
      <c r="H336" s="367">
        <v>335</v>
      </c>
      <c r="I336" s="367">
        <v>342</v>
      </c>
      <c r="J336" s="367">
        <v>350</v>
      </c>
      <c r="K336" s="53"/>
      <c r="L336" s="53"/>
      <c r="M336" s="53"/>
      <c r="N336" s="53"/>
      <c r="O336" s="53"/>
      <c r="P336" s="53"/>
      <c r="Q336" s="53"/>
      <c r="R336" s="53"/>
      <c r="S336" s="53"/>
      <c r="T336" s="53"/>
      <c r="U336" s="53"/>
      <c r="V336" s="53"/>
      <c r="W336" s="53"/>
      <c r="X336" s="53"/>
      <c r="Y336" s="53"/>
      <c r="Z336" s="53"/>
    </row>
    <row r="337" spans="1:26" ht="12" customHeight="1">
      <c r="A337" s="53"/>
      <c r="B337" s="53"/>
      <c r="C337" s="53"/>
      <c r="D337" s="314"/>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2" customHeight="1">
      <c r="A338" s="53"/>
      <c r="B338" s="314"/>
      <c r="C338" s="325" t="s">
        <v>130</v>
      </c>
      <c r="D338" s="53"/>
      <c r="E338" s="327" t="s">
        <v>243</v>
      </c>
      <c r="F338" s="327" t="str">
        <f t="shared" ref="F338:J338" si="49">F$4</f>
        <v>2026F</v>
      </c>
      <c r="G338" s="327" t="str">
        <f t="shared" si="49"/>
        <v>2027F</v>
      </c>
      <c r="H338" s="327" t="str">
        <f t="shared" si="49"/>
        <v>2028F</v>
      </c>
      <c r="I338" s="327" t="str">
        <f t="shared" si="49"/>
        <v>2029F</v>
      </c>
      <c r="J338" s="327" t="str">
        <f t="shared" si="49"/>
        <v>2030F</v>
      </c>
      <c r="K338" s="53"/>
      <c r="L338" s="53"/>
      <c r="M338" s="53"/>
      <c r="N338" s="53"/>
      <c r="O338" s="53"/>
      <c r="P338" s="53"/>
      <c r="Q338" s="53"/>
      <c r="R338" s="53"/>
      <c r="S338" s="53"/>
      <c r="T338" s="53"/>
      <c r="U338" s="53"/>
      <c r="V338" s="53"/>
      <c r="W338" s="53"/>
      <c r="X338" s="53"/>
      <c r="Y338" s="53"/>
      <c r="Z338" s="53"/>
    </row>
    <row r="339" spans="1:26" ht="12" customHeight="1">
      <c r="A339" s="53"/>
      <c r="B339" s="53"/>
      <c r="C339" s="53"/>
      <c r="D339" s="314" t="s">
        <v>131</v>
      </c>
      <c r="E339" s="333">
        <v>1.4999999999999999E-2</v>
      </c>
      <c r="F339" s="364">
        <v>1.4999999999999999E-2</v>
      </c>
      <c r="G339" s="364">
        <v>1.4999999999999999E-2</v>
      </c>
      <c r="H339" s="364">
        <v>1.4999999999999999E-2</v>
      </c>
      <c r="I339" s="364">
        <v>1.4999999999999999E-2</v>
      </c>
      <c r="J339" s="364">
        <v>1.4999999999999999E-2</v>
      </c>
      <c r="K339" s="53"/>
      <c r="L339" s="53"/>
      <c r="M339" s="53"/>
      <c r="N339" s="53"/>
      <c r="O339" s="53"/>
      <c r="P339" s="53"/>
      <c r="Q339" s="53"/>
      <c r="R339" s="53"/>
      <c r="S339" s="53"/>
      <c r="T339" s="53"/>
      <c r="U339" s="53"/>
      <c r="V339" s="53"/>
      <c r="W339" s="53"/>
      <c r="X339" s="53"/>
      <c r="Y339" s="53"/>
      <c r="Z339" s="53"/>
    </row>
    <row r="340" spans="1:26" ht="12" customHeight="1">
      <c r="A340" s="53"/>
      <c r="B340" s="53"/>
      <c r="C340" s="53"/>
      <c r="D340" s="314" t="s">
        <v>132</v>
      </c>
      <c r="E340" s="366">
        <v>76</v>
      </c>
      <c r="F340" s="367">
        <v>70</v>
      </c>
      <c r="G340" s="367">
        <v>71</v>
      </c>
      <c r="H340" s="367">
        <v>72</v>
      </c>
      <c r="I340" s="367">
        <v>74</v>
      </c>
      <c r="J340" s="367">
        <v>76</v>
      </c>
      <c r="K340" s="53"/>
      <c r="L340" s="53"/>
      <c r="M340" s="53"/>
      <c r="N340" s="53"/>
      <c r="O340" s="53"/>
      <c r="P340" s="53"/>
      <c r="Q340" s="53"/>
      <c r="R340" s="53"/>
      <c r="S340" s="53"/>
      <c r="T340" s="53"/>
      <c r="U340" s="53"/>
      <c r="V340" s="53"/>
      <c r="W340" s="53"/>
      <c r="X340" s="53"/>
      <c r="Y340" s="53"/>
      <c r="Z340" s="53"/>
    </row>
    <row r="341" spans="1:26" ht="12" customHeight="1">
      <c r="A341" s="53"/>
      <c r="B341" s="53"/>
      <c r="C341" s="53"/>
      <c r="D341" s="314" t="s">
        <v>133</v>
      </c>
      <c r="E341" s="366">
        <v>115</v>
      </c>
      <c r="F341" s="367">
        <v>94</v>
      </c>
      <c r="G341" s="367">
        <v>96</v>
      </c>
      <c r="H341" s="367">
        <v>98</v>
      </c>
      <c r="I341" s="367">
        <v>100</v>
      </c>
      <c r="J341" s="367">
        <v>102</v>
      </c>
      <c r="K341" s="53"/>
      <c r="L341" s="53"/>
      <c r="M341" s="53"/>
      <c r="N341" s="53"/>
      <c r="O341" s="53"/>
      <c r="P341" s="53"/>
      <c r="Q341" s="53"/>
      <c r="R341" s="53"/>
      <c r="S341" s="53"/>
      <c r="T341" s="53"/>
      <c r="U341" s="53"/>
      <c r="V341" s="53"/>
      <c r="W341" s="53"/>
      <c r="X341" s="53"/>
      <c r="Y341" s="53"/>
      <c r="Z341" s="53"/>
    </row>
    <row r="342" spans="1:26" ht="12" customHeight="1">
      <c r="A342" s="53"/>
      <c r="B342" s="53"/>
      <c r="C342" s="53"/>
      <c r="D342" s="314" t="s">
        <v>134</v>
      </c>
      <c r="E342" s="366">
        <v>286</v>
      </c>
      <c r="F342" s="367">
        <v>318</v>
      </c>
      <c r="G342" s="367">
        <v>325</v>
      </c>
      <c r="H342" s="367">
        <v>331</v>
      </c>
      <c r="I342" s="367">
        <v>338</v>
      </c>
      <c r="J342" s="367">
        <v>345</v>
      </c>
      <c r="K342" s="53"/>
      <c r="L342" s="53"/>
      <c r="M342" s="53"/>
      <c r="N342" s="53"/>
      <c r="O342" s="53"/>
      <c r="P342" s="53"/>
      <c r="Q342" s="53"/>
      <c r="R342" s="53"/>
      <c r="S342" s="53"/>
      <c r="T342" s="53"/>
      <c r="U342" s="53"/>
      <c r="V342" s="53"/>
      <c r="W342" s="53"/>
      <c r="X342" s="53"/>
      <c r="Y342" s="53"/>
      <c r="Z342" s="53"/>
    </row>
    <row r="343" spans="1:26" ht="12" customHeight="1">
      <c r="A343" s="53"/>
      <c r="B343" s="53"/>
      <c r="C343" s="53"/>
      <c r="D343" s="314" t="s">
        <v>135</v>
      </c>
      <c r="E343" s="366">
        <v>483</v>
      </c>
      <c r="F343" s="367">
        <v>480</v>
      </c>
      <c r="G343" s="367">
        <v>490</v>
      </c>
      <c r="H343" s="367">
        <v>500</v>
      </c>
      <c r="I343" s="367">
        <v>510</v>
      </c>
      <c r="J343" s="367">
        <v>521</v>
      </c>
      <c r="K343" s="53"/>
      <c r="L343" s="53"/>
      <c r="M343" s="53"/>
      <c r="N343" s="53"/>
      <c r="O343" s="53"/>
      <c r="P343" s="53"/>
      <c r="Q343" s="53"/>
      <c r="R343" s="53"/>
      <c r="S343" s="53"/>
      <c r="T343" s="53"/>
      <c r="U343" s="53"/>
      <c r="V343" s="53"/>
      <c r="W343" s="53"/>
      <c r="X343" s="53"/>
      <c r="Y343" s="53"/>
      <c r="Z343" s="53"/>
    </row>
    <row r="344" spans="1:26" ht="12" customHeight="1">
      <c r="A344" s="53"/>
      <c r="B344" s="53"/>
      <c r="C344" s="53"/>
      <c r="D344" s="314"/>
      <c r="E344" s="368"/>
      <c r="F344" s="368"/>
      <c r="G344" s="368"/>
      <c r="H344" s="368"/>
      <c r="I344" s="368"/>
      <c r="J344" s="368"/>
      <c r="K344" s="53"/>
      <c r="L344" s="53"/>
      <c r="M344" s="53"/>
      <c r="N344" s="53"/>
      <c r="O344" s="53"/>
      <c r="P344" s="53"/>
      <c r="Q344" s="53"/>
      <c r="R344" s="53"/>
      <c r="S344" s="53"/>
      <c r="T344" s="53"/>
      <c r="U344" s="53"/>
      <c r="V344" s="53"/>
      <c r="W344" s="53"/>
      <c r="X344" s="53"/>
      <c r="Y344" s="53"/>
      <c r="Z344" s="53"/>
    </row>
    <row r="345" spans="1:26" ht="12" customHeight="1">
      <c r="A345" s="53"/>
      <c r="B345" s="369"/>
      <c r="C345" s="370" t="s">
        <v>136</v>
      </c>
      <c r="D345" s="53"/>
      <c r="E345" s="368"/>
      <c r="F345" s="368"/>
      <c r="G345" s="368"/>
      <c r="H345" s="368"/>
      <c r="I345" s="368"/>
      <c r="J345" s="368"/>
      <c r="K345" s="53"/>
      <c r="L345" s="53"/>
      <c r="M345" s="53"/>
      <c r="N345" s="53"/>
      <c r="O345" s="53"/>
      <c r="P345" s="53"/>
      <c r="Q345" s="53"/>
      <c r="R345" s="53"/>
      <c r="S345" s="53"/>
      <c r="T345" s="53"/>
      <c r="U345" s="53"/>
      <c r="V345" s="53"/>
      <c r="W345" s="53"/>
      <c r="X345" s="53"/>
      <c r="Y345" s="53"/>
      <c r="Z345" s="53"/>
    </row>
    <row r="346" spans="1:26" ht="12" customHeight="1">
      <c r="A346" s="53"/>
      <c r="B346" s="53"/>
      <c r="C346" s="53"/>
      <c r="D346" s="314" t="s">
        <v>137</v>
      </c>
      <c r="E346" s="366">
        <v>1007</v>
      </c>
      <c r="F346" s="367">
        <v>1079</v>
      </c>
      <c r="G346" s="367">
        <v>1102</v>
      </c>
      <c r="H346" s="367">
        <v>1125</v>
      </c>
      <c r="I346" s="367">
        <v>1148</v>
      </c>
      <c r="J346" s="367">
        <v>1172</v>
      </c>
      <c r="K346" s="53"/>
      <c r="L346" s="53"/>
      <c r="M346" s="53"/>
      <c r="N346" s="53"/>
      <c r="O346" s="53"/>
      <c r="P346" s="53"/>
      <c r="Q346" s="53"/>
      <c r="R346" s="53"/>
      <c r="S346" s="53"/>
      <c r="T346" s="53"/>
      <c r="U346" s="53"/>
      <c r="V346" s="53"/>
      <c r="W346" s="53"/>
      <c r="X346" s="53"/>
      <c r="Y346" s="53"/>
      <c r="Z346" s="53"/>
    </row>
    <row r="347" spans="1:26" ht="12" customHeight="1">
      <c r="A347" s="53"/>
      <c r="B347" s="53"/>
      <c r="C347" s="53"/>
      <c r="D347" s="314" t="s">
        <v>138</v>
      </c>
      <c r="E347" s="366">
        <v>1461</v>
      </c>
      <c r="F347" s="367">
        <v>1422</v>
      </c>
      <c r="G347" s="367">
        <v>1452</v>
      </c>
      <c r="H347" s="367">
        <v>1483</v>
      </c>
      <c r="I347" s="367">
        <v>1514</v>
      </c>
      <c r="J347" s="367">
        <v>1546</v>
      </c>
      <c r="K347" s="53"/>
      <c r="L347" s="53"/>
      <c r="M347" s="53"/>
      <c r="N347" s="53"/>
      <c r="O347" s="53"/>
      <c r="P347" s="53"/>
      <c r="Q347" s="53"/>
      <c r="R347" s="53"/>
      <c r="S347" s="53"/>
      <c r="T347" s="53"/>
      <c r="U347" s="53"/>
      <c r="V347" s="53"/>
      <c r="W347" s="53"/>
      <c r="X347" s="53"/>
      <c r="Y347" s="53"/>
      <c r="Z347" s="53"/>
    </row>
    <row r="348" spans="1:26" ht="12" customHeight="1">
      <c r="A348" s="53"/>
      <c r="B348" s="53"/>
      <c r="C348" s="53"/>
      <c r="D348" s="314" t="s">
        <v>139</v>
      </c>
      <c r="E348" s="366">
        <v>3590</v>
      </c>
      <c r="F348" s="367">
        <v>5010</v>
      </c>
      <c r="G348" s="367">
        <v>5116</v>
      </c>
      <c r="H348" s="367">
        <v>5223</v>
      </c>
      <c r="I348" s="367">
        <v>5333</v>
      </c>
      <c r="J348" s="367">
        <v>5445</v>
      </c>
      <c r="K348" s="53"/>
      <c r="L348" s="53"/>
      <c r="M348" s="53"/>
      <c r="N348" s="53"/>
      <c r="O348" s="53"/>
      <c r="P348" s="53"/>
      <c r="Q348" s="53"/>
      <c r="R348" s="53"/>
      <c r="S348" s="53"/>
      <c r="T348" s="53"/>
      <c r="U348" s="53"/>
      <c r="V348" s="53"/>
      <c r="W348" s="53"/>
      <c r="X348" s="53"/>
      <c r="Y348" s="53"/>
      <c r="Z348" s="53"/>
    </row>
    <row r="349" spans="1:26" ht="12" customHeight="1">
      <c r="A349" s="53"/>
      <c r="B349" s="53"/>
      <c r="C349" s="53"/>
      <c r="D349" s="314" t="s">
        <v>140</v>
      </c>
      <c r="E349" s="366">
        <v>39.14</v>
      </c>
      <c r="F349" s="367">
        <v>40.590000000000003</v>
      </c>
      <c r="G349" s="367">
        <v>40.590000000000003</v>
      </c>
      <c r="H349" s="367">
        <v>40.590000000000003</v>
      </c>
      <c r="I349" s="367">
        <v>40.590000000000003</v>
      </c>
      <c r="J349" s="367">
        <v>40.590000000000003</v>
      </c>
      <c r="K349" s="53"/>
      <c r="L349" s="53"/>
      <c r="M349" s="53"/>
      <c r="N349" s="53"/>
      <c r="O349" s="53"/>
      <c r="P349" s="53"/>
      <c r="Q349" s="53"/>
      <c r="R349" s="53"/>
      <c r="S349" s="53"/>
      <c r="T349" s="53"/>
      <c r="U349" s="53"/>
      <c r="V349" s="53"/>
      <c r="W349" s="53"/>
      <c r="X349" s="53"/>
      <c r="Y349" s="53"/>
      <c r="Z349" s="53"/>
    </row>
    <row r="350" spans="1:26" ht="12" customHeight="1">
      <c r="A350" s="53"/>
      <c r="B350" s="53"/>
      <c r="C350" s="53"/>
      <c r="D350" s="314" t="s">
        <v>141</v>
      </c>
      <c r="E350" s="53" t="s">
        <v>309</v>
      </c>
      <c r="F350" s="53" t="s">
        <v>309</v>
      </c>
      <c r="G350" s="53" t="s">
        <v>309</v>
      </c>
      <c r="H350" s="53" t="s">
        <v>309</v>
      </c>
      <c r="I350" s="53" t="s">
        <v>309</v>
      </c>
      <c r="J350" s="53" t="s">
        <v>309</v>
      </c>
      <c r="K350" s="53"/>
      <c r="L350" s="53"/>
      <c r="M350" s="53"/>
      <c r="N350" s="53"/>
      <c r="O350" s="53"/>
      <c r="P350" s="53"/>
      <c r="Q350" s="53"/>
      <c r="R350" s="53"/>
      <c r="S350" s="53"/>
      <c r="T350" s="53"/>
      <c r="U350" s="53"/>
      <c r="V350" s="53"/>
      <c r="W350" s="53"/>
      <c r="X350" s="53"/>
      <c r="Y350" s="53"/>
      <c r="Z350" s="53"/>
    </row>
    <row r="351" spans="1:26" ht="12" customHeight="1">
      <c r="A351" s="53"/>
      <c r="B351" s="53"/>
      <c r="C351" s="53"/>
      <c r="D351" s="314" t="s">
        <v>142</v>
      </c>
      <c r="E351" s="366">
        <v>162</v>
      </c>
      <c r="F351" s="367">
        <v>165</v>
      </c>
      <c r="G351" s="367">
        <v>168</v>
      </c>
      <c r="H351" s="367">
        <v>172</v>
      </c>
      <c r="I351" s="367">
        <v>176</v>
      </c>
      <c r="J351" s="367">
        <v>179</v>
      </c>
      <c r="K351" s="53"/>
      <c r="L351" s="53"/>
      <c r="M351" s="53"/>
      <c r="N351" s="53"/>
      <c r="O351" s="53"/>
      <c r="P351" s="53"/>
      <c r="Q351" s="53"/>
      <c r="R351" s="53"/>
      <c r="S351" s="53"/>
      <c r="T351" s="53"/>
      <c r="U351" s="53"/>
      <c r="V351" s="53"/>
      <c r="W351" s="53"/>
      <c r="X351" s="53"/>
      <c r="Y351" s="53"/>
      <c r="Z351" s="53"/>
    </row>
    <row r="352" spans="1:26" ht="12" customHeight="1">
      <c r="A352" s="53"/>
      <c r="B352" s="53"/>
      <c r="C352" s="53"/>
      <c r="D352" s="314"/>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2" customHeight="1">
      <c r="A353" s="53"/>
      <c r="B353" s="369"/>
      <c r="C353" s="370" t="s">
        <v>143</v>
      </c>
      <c r="D353" s="53"/>
      <c r="E353" s="327" t="s">
        <v>243</v>
      </c>
      <c r="F353" s="327" t="str">
        <f t="shared" ref="F353:J353" si="50">F$4</f>
        <v>2026F</v>
      </c>
      <c r="G353" s="327" t="str">
        <f t="shared" si="50"/>
        <v>2027F</v>
      </c>
      <c r="H353" s="327" t="str">
        <f t="shared" si="50"/>
        <v>2028F</v>
      </c>
      <c r="I353" s="327" t="str">
        <f t="shared" si="50"/>
        <v>2029F</v>
      </c>
      <c r="J353" s="327" t="str">
        <f t="shared" si="50"/>
        <v>2030F</v>
      </c>
      <c r="K353" s="53"/>
      <c r="L353" s="53"/>
      <c r="M353" s="53"/>
      <c r="N353" s="53"/>
      <c r="O353" s="53"/>
      <c r="P353" s="53"/>
      <c r="Q353" s="53"/>
      <c r="R353" s="53"/>
      <c r="S353" s="53"/>
      <c r="T353" s="53"/>
      <c r="U353" s="53"/>
      <c r="V353" s="53"/>
      <c r="W353" s="53"/>
      <c r="X353" s="53"/>
      <c r="Y353" s="53"/>
      <c r="Z353" s="53"/>
    </row>
    <row r="354" spans="1:26" ht="12" customHeight="1">
      <c r="A354" s="53"/>
      <c r="B354" s="53"/>
      <c r="C354" s="53"/>
      <c r="D354" s="314" t="s">
        <v>146</v>
      </c>
      <c r="E354" s="366">
        <v>121.23</v>
      </c>
      <c r="F354" s="367">
        <v>125.72</v>
      </c>
      <c r="G354" s="367">
        <v>125.72</v>
      </c>
      <c r="H354" s="367">
        <v>125.72</v>
      </c>
      <c r="I354" s="367">
        <v>125.72</v>
      </c>
      <c r="J354" s="367">
        <v>125.72</v>
      </c>
      <c r="K354" s="53"/>
      <c r="L354" s="53"/>
      <c r="M354" s="53"/>
      <c r="N354" s="53"/>
      <c r="O354" s="53"/>
      <c r="P354" s="53"/>
      <c r="Q354" s="53"/>
      <c r="R354" s="53"/>
      <c r="S354" s="53"/>
      <c r="T354" s="53"/>
      <c r="U354" s="53"/>
      <c r="V354" s="53"/>
      <c r="W354" s="53"/>
      <c r="X354" s="53"/>
      <c r="Y354" s="53"/>
      <c r="Z354" s="53"/>
    </row>
    <row r="355" spans="1:26" ht="12" customHeight="1">
      <c r="A355" s="53"/>
      <c r="B355" s="53"/>
      <c r="C355" s="53"/>
      <c r="D355" s="314" t="s">
        <v>147</v>
      </c>
      <c r="E355" s="366">
        <v>48.5</v>
      </c>
      <c r="F355" s="367">
        <v>50.29</v>
      </c>
      <c r="G355" s="367">
        <v>50.29</v>
      </c>
      <c r="H355" s="367">
        <v>50.29</v>
      </c>
      <c r="I355" s="367">
        <v>50.29</v>
      </c>
      <c r="J355" s="367">
        <v>50.29</v>
      </c>
      <c r="K355" s="53"/>
      <c r="L355" s="53"/>
      <c r="M355" s="53"/>
      <c r="N355" s="53"/>
      <c r="O355" s="53"/>
      <c r="P355" s="53"/>
      <c r="Q355" s="53"/>
      <c r="R355" s="53"/>
      <c r="S355" s="53"/>
      <c r="T355" s="53"/>
      <c r="U355" s="53"/>
      <c r="V355" s="53"/>
      <c r="W355" s="53"/>
      <c r="X355" s="53"/>
      <c r="Y355" s="53"/>
      <c r="Z355" s="53"/>
    </row>
    <row r="356" spans="1:26" ht="12" customHeight="1">
      <c r="A356" s="53"/>
      <c r="B356" s="53"/>
      <c r="C356" s="53"/>
      <c r="D356" s="314" t="s">
        <v>148</v>
      </c>
      <c r="E356" s="366">
        <v>1.2</v>
      </c>
      <c r="F356" s="367">
        <v>1.24</v>
      </c>
      <c r="G356" s="367">
        <v>1.24</v>
      </c>
      <c r="H356" s="367">
        <v>1.24</v>
      </c>
      <c r="I356" s="367">
        <v>1.24</v>
      </c>
      <c r="J356" s="367">
        <v>1.24</v>
      </c>
      <c r="K356" s="53"/>
      <c r="L356" s="53"/>
      <c r="M356" s="53"/>
      <c r="N356" s="53"/>
      <c r="O356" s="53"/>
      <c r="P356" s="53"/>
      <c r="Q356" s="53"/>
      <c r="R356" s="53"/>
      <c r="S356" s="53"/>
      <c r="T356" s="53"/>
      <c r="U356" s="53"/>
      <c r="V356" s="53"/>
      <c r="W356" s="53"/>
      <c r="X356" s="53"/>
      <c r="Y356" s="53"/>
      <c r="Z356" s="53"/>
    </row>
    <row r="357" spans="1:26" ht="12" customHeight="1">
      <c r="A357" s="53"/>
      <c r="B357" s="53"/>
      <c r="C357" s="53"/>
      <c r="D357" s="314" t="s">
        <v>150</v>
      </c>
      <c r="E357" s="366">
        <v>0.71</v>
      </c>
      <c r="F357" s="367">
        <v>0.74</v>
      </c>
      <c r="G357" s="367">
        <v>0.74</v>
      </c>
      <c r="H357" s="367">
        <v>0.74</v>
      </c>
      <c r="I357" s="367">
        <v>0.74</v>
      </c>
      <c r="J357" s="367">
        <v>0.74</v>
      </c>
      <c r="K357" s="53"/>
      <c r="L357" s="53"/>
      <c r="M357" s="53"/>
      <c r="N357" s="53"/>
      <c r="O357" s="53"/>
      <c r="P357" s="53"/>
      <c r="Q357" s="53"/>
      <c r="R357" s="53"/>
      <c r="S357" s="53"/>
      <c r="T357" s="53"/>
      <c r="U357" s="53"/>
      <c r="V357" s="53"/>
      <c r="W357" s="53"/>
      <c r="X357" s="53"/>
      <c r="Y357" s="53"/>
      <c r="Z357" s="53"/>
    </row>
    <row r="358" spans="1:26" ht="12" customHeight="1">
      <c r="A358" s="53"/>
      <c r="B358" s="53"/>
      <c r="C358" s="53"/>
      <c r="D358" s="314" t="s">
        <v>151</v>
      </c>
      <c r="E358" s="366">
        <v>-0.71</v>
      </c>
      <c r="F358" s="367">
        <v>-0.74</v>
      </c>
      <c r="G358" s="367">
        <v>-0.74</v>
      </c>
      <c r="H358" s="367">
        <v>-0.74</v>
      </c>
      <c r="I358" s="367">
        <v>-0.74</v>
      </c>
      <c r="J358" s="367">
        <v>-0.74</v>
      </c>
      <c r="K358" s="53"/>
      <c r="L358" s="53"/>
      <c r="M358" s="53"/>
      <c r="N358" s="53"/>
      <c r="O358" s="53"/>
      <c r="P358" s="53"/>
      <c r="Q358" s="53"/>
      <c r="R358" s="53"/>
      <c r="S358" s="53"/>
      <c r="T358" s="53"/>
      <c r="U358" s="53"/>
      <c r="V358" s="53"/>
      <c r="W358" s="53"/>
      <c r="X358" s="53"/>
      <c r="Y358" s="53"/>
      <c r="Z358" s="53"/>
    </row>
    <row r="359" spans="1:26" ht="12" customHeight="1">
      <c r="A359" s="53"/>
      <c r="B359" s="53"/>
      <c r="C359" s="53"/>
      <c r="D359" s="314" t="s">
        <v>310</v>
      </c>
      <c r="E359" s="366"/>
      <c r="F359" s="366"/>
      <c r="G359" s="366"/>
      <c r="H359" s="366"/>
      <c r="I359" s="366"/>
      <c r="J359" s="366"/>
      <c r="K359" s="53"/>
      <c r="L359" s="53"/>
      <c r="M359" s="53"/>
      <c r="N359" s="53"/>
      <c r="O359" s="53"/>
      <c r="P359" s="53"/>
      <c r="Q359" s="53"/>
      <c r="R359" s="53"/>
      <c r="S359" s="53"/>
      <c r="T359" s="53"/>
      <c r="U359" s="53"/>
      <c r="V359" s="53"/>
      <c r="W359" s="53"/>
      <c r="X359" s="53"/>
      <c r="Y359" s="53"/>
      <c r="Z359" s="53"/>
    </row>
    <row r="360" spans="1:26" ht="12" customHeight="1">
      <c r="A360" s="53"/>
      <c r="B360" s="53"/>
      <c r="C360" s="53"/>
      <c r="D360" s="314" t="s">
        <v>153</v>
      </c>
      <c r="E360" s="366">
        <v>0.61</v>
      </c>
      <c r="F360" s="367">
        <v>0.63</v>
      </c>
      <c r="G360" s="367">
        <v>0.63</v>
      </c>
      <c r="H360" s="367">
        <v>0.63</v>
      </c>
      <c r="I360" s="367">
        <v>0.63</v>
      </c>
      <c r="J360" s="367">
        <v>0.63</v>
      </c>
      <c r="K360" s="53"/>
      <c r="L360" s="53"/>
      <c r="M360" s="53"/>
      <c r="N360" s="53"/>
      <c r="O360" s="53"/>
      <c r="P360" s="53"/>
      <c r="Q360" s="53"/>
      <c r="R360" s="53"/>
      <c r="S360" s="53"/>
      <c r="T360" s="53"/>
      <c r="U360" s="53"/>
      <c r="V360" s="53"/>
      <c r="W360" s="53"/>
      <c r="X360" s="53"/>
      <c r="Y360" s="53"/>
      <c r="Z360" s="53"/>
    </row>
    <row r="361" spans="1:26" ht="12" customHeight="1">
      <c r="A361" s="53"/>
      <c r="B361" s="53"/>
      <c r="C361" s="53"/>
      <c r="D361" s="314" t="s">
        <v>154</v>
      </c>
      <c r="E361" s="366">
        <v>1.2</v>
      </c>
      <c r="F361" s="367">
        <v>1.24</v>
      </c>
      <c r="G361" s="367">
        <v>1.24</v>
      </c>
      <c r="H361" s="367">
        <v>1.24</v>
      </c>
      <c r="I361" s="367">
        <v>1.24</v>
      </c>
      <c r="J361" s="367">
        <v>1.24</v>
      </c>
      <c r="K361" s="53"/>
      <c r="L361" s="53"/>
      <c r="M361" s="53"/>
      <c r="N361" s="53"/>
      <c r="O361" s="53"/>
      <c r="P361" s="53"/>
      <c r="Q361" s="53"/>
      <c r="R361" s="53"/>
      <c r="S361" s="53"/>
      <c r="T361" s="53"/>
      <c r="U361" s="53"/>
      <c r="V361" s="53"/>
      <c r="W361" s="53"/>
      <c r="X361" s="53"/>
      <c r="Y361" s="53"/>
      <c r="Z361" s="53"/>
    </row>
    <row r="362" spans="1:26" ht="12" customHeight="1">
      <c r="A362" s="53"/>
      <c r="B362" s="53"/>
      <c r="C362" s="53"/>
      <c r="D362" s="314" t="s">
        <v>155</v>
      </c>
      <c r="E362" s="366"/>
      <c r="F362" s="366"/>
      <c r="G362" s="53"/>
      <c r="H362" s="53"/>
      <c r="I362" s="53"/>
      <c r="J362" s="53"/>
      <c r="K362" s="53"/>
      <c r="L362" s="53"/>
      <c r="M362" s="53"/>
      <c r="N362" s="53"/>
      <c r="O362" s="53"/>
      <c r="P362" s="53"/>
      <c r="Q362" s="53"/>
      <c r="R362" s="53"/>
      <c r="S362" s="53"/>
      <c r="T362" s="53"/>
      <c r="U362" s="53"/>
      <c r="V362" s="53"/>
      <c r="W362" s="53"/>
      <c r="X362" s="53"/>
      <c r="Y362" s="53"/>
      <c r="Z362" s="53"/>
    </row>
    <row r="363" spans="1:26" ht="12" customHeight="1">
      <c r="A363" s="53"/>
      <c r="B363" s="53"/>
      <c r="C363" s="53"/>
      <c r="D363" s="314" t="s">
        <v>156</v>
      </c>
      <c r="E363" s="366"/>
      <c r="F363" s="366"/>
      <c r="G363" s="53"/>
      <c r="H363" s="53"/>
      <c r="I363" s="53"/>
      <c r="J363" s="53"/>
      <c r="K363" s="53"/>
      <c r="L363" s="53"/>
      <c r="M363" s="53"/>
      <c r="N363" s="53"/>
      <c r="O363" s="53"/>
      <c r="P363" s="53"/>
      <c r="Q363" s="53"/>
      <c r="R363" s="53"/>
      <c r="S363" s="53"/>
      <c r="T363" s="53"/>
      <c r="U363" s="53"/>
      <c r="V363" s="53"/>
      <c r="W363" s="53"/>
      <c r="X363" s="53"/>
      <c r="Y363" s="53"/>
      <c r="Z363" s="53"/>
    </row>
    <row r="364" spans="1:26" ht="12" customHeight="1">
      <c r="A364" s="53"/>
      <c r="B364" s="53"/>
      <c r="C364" s="53"/>
      <c r="D364" s="314" t="s">
        <v>311</v>
      </c>
      <c r="E364" s="366"/>
      <c r="F364" s="366"/>
      <c r="G364" s="53"/>
      <c r="H364" s="53"/>
      <c r="I364" s="53"/>
      <c r="J364" s="53"/>
      <c r="K364" s="53"/>
      <c r="L364" s="53"/>
      <c r="M364" s="53"/>
      <c r="N364" s="53"/>
      <c r="O364" s="53"/>
      <c r="P364" s="53"/>
      <c r="Q364" s="53"/>
      <c r="R364" s="53"/>
      <c r="S364" s="53"/>
      <c r="T364" s="53"/>
      <c r="U364" s="53"/>
      <c r="V364" s="53"/>
      <c r="W364" s="53"/>
      <c r="X364" s="53"/>
      <c r="Y364" s="53"/>
      <c r="Z364" s="53"/>
    </row>
    <row r="365" spans="1:26" ht="12" customHeight="1">
      <c r="A365" s="53"/>
      <c r="B365" s="53"/>
      <c r="C365" s="53"/>
      <c r="D365" s="314" t="s">
        <v>312</v>
      </c>
      <c r="E365" s="366" t="s">
        <v>313</v>
      </c>
      <c r="F365" s="367" t="s">
        <v>313</v>
      </c>
      <c r="G365" s="365" t="s">
        <v>313</v>
      </c>
      <c r="H365" s="365" t="s">
        <v>313</v>
      </c>
      <c r="I365" s="365" t="s">
        <v>313</v>
      </c>
      <c r="J365" s="365" t="s">
        <v>313</v>
      </c>
      <c r="K365" s="53"/>
      <c r="L365" s="53"/>
      <c r="M365" s="53"/>
      <c r="N365" s="53"/>
      <c r="O365" s="53"/>
      <c r="P365" s="53"/>
      <c r="Q365" s="53"/>
      <c r="R365" s="53"/>
      <c r="S365" s="53"/>
      <c r="T365" s="53"/>
      <c r="U365" s="53"/>
      <c r="V365" s="53"/>
      <c r="W365" s="53"/>
      <c r="X365" s="53"/>
      <c r="Y365" s="53"/>
      <c r="Z365" s="53"/>
    </row>
    <row r="366" spans="1:26" ht="12" customHeight="1">
      <c r="A366" s="53"/>
      <c r="B366" s="53"/>
      <c r="C366" s="53"/>
      <c r="D366" s="314" t="s">
        <v>159</v>
      </c>
      <c r="E366" s="366">
        <v>4.8499999999999996</v>
      </c>
      <c r="F366" s="367">
        <v>5.03</v>
      </c>
      <c r="G366" s="367">
        <v>5.03</v>
      </c>
      <c r="H366" s="367">
        <v>5.03</v>
      </c>
      <c r="I366" s="367">
        <v>5.03</v>
      </c>
      <c r="J366" s="367">
        <v>5.03</v>
      </c>
      <c r="K366" s="53"/>
      <c r="L366" s="53"/>
      <c r="M366" s="53"/>
      <c r="N366" s="53"/>
      <c r="O366" s="53"/>
      <c r="P366" s="53"/>
      <c r="Q366" s="53"/>
      <c r="R366" s="53"/>
      <c r="S366" s="53"/>
      <c r="T366" s="53"/>
      <c r="U366" s="53"/>
      <c r="V366" s="53"/>
      <c r="W366" s="53"/>
      <c r="X366" s="53"/>
      <c r="Y366" s="53"/>
      <c r="Z366" s="53"/>
    </row>
    <row r="367" spans="1:26" ht="12" customHeight="1">
      <c r="A367" s="53"/>
      <c r="B367" s="53"/>
      <c r="C367" s="53"/>
      <c r="D367" s="314" t="s">
        <v>314</v>
      </c>
      <c r="E367" s="366"/>
      <c r="F367" s="366"/>
      <c r="G367" s="366"/>
      <c r="H367" s="366"/>
      <c r="I367" s="366"/>
      <c r="J367" s="366"/>
      <c r="K367" s="53"/>
      <c r="L367" s="53"/>
      <c r="M367" s="53"/>
      <c r="N367" s="53"/>
      <c r="O367" s="53"/>
      <c r="P367" s="53"/>
      <c r="Q367" s="53"/>
      <c r="R367" s="53"/>
      <c r="S367" s="53"/>
      <c r="T367" s="53"/>
      <c r="U367" s="53"/>
      <c r="V367" s="53"/>
      <c r="W367" s="53"/>
      <c r="X367" s="53"/>
      <c r="Y367" s="53"/>
      <c r="Z367" s="53"/>
    </row>
    <row r="368" spans="1:26" ht="12" customHeight="1">
      <c r="A368" s="53"/>
      <c r="B368" s="53"/>
      <c r="C368" s="53"/>
      <c r="D368" s="314" t="s">
        <v>315</v>
      </c>
      <c r="E368" s="366">
        <v>2.42</v>
      </c>
      <c r="F368" s="367">
        <v>2.5099999999999998</v>
      </c>
      <c r="G368" s="367">
        <v>2.5099999999999998</v>
      </c>
      <c r="H368" s="367">
        <v>2.5099999999999998</v>
      </c>
      <c r="I368" s="367">
        <v>2.5099999999999998</v>
      </c>
      <c r="J368" s="367">
        <v>2.5099999999999998</v>
      </c>
      <c r="K368" s="53"/>
      <c r="L368" s="53"/>
      <c r="M368" s="53"/>
      <c r="N368" s="53"/>
      <c r="O368" s="53"/>
      <c r="P368" s="53"/>
      <c r="Q368" s="53"/>
      <c r="R368" s="53"/>
      <c r="S368" s="53"/>
      <c r="T368" s="53"/>
      <c r="U368" s="53"/>
      <c r="V368" s="53"/>
      <c r="W368" s="53"/>
      <c r="X368" s="53"/>
      <c r="Y368" s="53"/>
      <c r="Z368" s="53"/>
    </row>
    <row r="369" spans="1:26" ht="12" customHeight="1">
      <c r="A369" s="53"/>
      <c r="B369" s="53"/>
      <c r="C369" s="53"/>
      <c r="D369" s="314"/>
      <c r="E369" s="53"/>
      <c r="F369" s="53"/>
      <c r="G369" s="366"/>
      <c r="H369" s="366"/>
      <c r="I369" s="366"/>
      <c r="J369" s="366"/>
      <c r="K369" s="53"/>
      <c r="L369" s="53"/>
      <c r="M369" s="53"/>
      <c r="N369" s="53"/>
      <c r="O369" s="53"/>
      <c r="P369" s="53"/>
      <c r="Q369" s="53"/>
      <c r="R369" s="53"/>
      <c r="S369" s="53"/>
      <c r="T369" s="53"/>
      <c r="U369" s="53"/>
      <c r="V369" s="53"/>
      <c r="W369" s="53"/>
      <c r="X369" s="53"/>
      <c r="Y369" s="53"/>
      <c r="Z369" s="53"/>
    </row>
    <row r="370" spans="1:26" ht="12" customHeight="1">
      <c r="A370" s="53"/>
      <c r="B370" s="53"/>
      <c r="C370" s="53"/>
      <c r="D370" s="314"/>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2" customHeight="1">
      <c r="A371" s="53"/>
      <c r="B371" s="53"/>
      <c r="C371" s="314"/>
      <c r="D371" s="314"/>
      <c r="E371" s="3"/>
      <c r="F371" s="53"/>
      <c r="G371" s="53"/>
      <c r="H371" s="53"/>
      <c r="I371" s="53"/>
      <c r="J371" s="53"/>
      <c r="K371" s="53"/>
      <c r="L371" s="53"/>
      <c r="M371" s="53"/>
      <c r="N371" s="53"/>
      <c r="O371" s="53"/>
      <c r="P371" s="53"/>
      <c r="Q371" s="53"/>
      <c r="R371" s="53"/>
      <c r="S371" s="53"/>
      <c r="T371" s="53"/>
      <c r="U371" s="53"/>
      <c r="V371" s="53"/>
      <c r="W371" s="53"/>
      <c r="X371" s="53"/>
      <c r="Y371" s="53"/>
      <c r="Z371" s="53"/>
    </row>
    <row r="372" spans="1:26" ht="12" customHeight="1">
      <c r="A372" s="53"/>
      <c r="B372" s="328"/>
      <c r="C372" s="328"/>
      <c r="D372" s="314"/>
      <c r="E372" s="3"/>
      <c r="F372" s="53"/>
      <c r="G372" s="53"/>
      <c r="H372" s="53"/>
      <c r="I372" s="53"/>
      <c r="J372" s="53"/>
      <c r="K372" s="53"/>
      <c r="L372" s="53"/>
      <c r="M372" s="53"/>
      <c r="N372" s="53"/>
      <c r="O372" s="53"/>
      <c r="P372" s="53"/>
      <c r="Q372" s="53"/>
      <c r="R372" s="53"/>
      <c r="S372" s="53"/>
      <c r="T372" s="53"/>
      <c r="U372" s="53"/>
      <c r="V372" s="53"/>
      <c r="W372" s="53"/>
      <c r="X372" s="53"/>
      <c r="Y372" s="53"/>
      <c r="Z372" s="53"/>
    </row>
    <row r="373" spans="1:26" ht="12" customHeight="1">
      <c r="A373" s="53"/>
      <c r="B373" s="328"/>
      <c r="C373" s="328"/>
      <c r="D373" s="314"/>
      <c r="E373" s="3"/>
      <c r="F373" s="53"/>
      <c r="G373" s="53"/>
      <c r="H373" s="53"/>
      <c r="I373" s="53"/>
      <c r="J373" s="53"/>
      <c r="K373" s="53"/>
      <c r="L373" s="53"/>
      <c r="M373" s="53"/>
      <c r="N373" s="53"/>
      <c r="O373" s="53"/>
      <c r="P373" s="53"/>
      <c r="Q373" s="53"/>
      <c r="R373" s="53"/>
      <c r="S373" s="53"/>
      <c r="T373" s="53"/>
      <c r="U373" s="53"/>
      <c r="V373" s="53"/>
      <c r="W373" s="53"/>
      <c r="X373" s="53"/>
      <c r="Y373" s="53"/>
      <c r="Z373" s="53"/>
    </row>
    <row r="374" spans="1:26" ht="12" customHeight="1">
      <c r="A374" s="53"/>
      <c r="B374" s="328"/>
      <c r="C374" s="53"/>
      <c r="D374" s="371"/>
      <c r="E374" s="372" t="s">
        <v>7</v>
      </c>
      <c r="F374" s="372" t="s">
        <v>316</v>
      </c>
      <c r="G374" s="372"/>
      <c r="H374" s="372"/>
      <c r="I374" s="372"/>
      <c r="J374" s="372"/>
      <c r="K374" s="53"/>
      <c r="L374" s="53"/>
      <c r="M374" s="53"/>
      <c r="N374" s="53"/>
      <c r="O374" s="53"/>
      <c r="P374" s="53"/>
      <c r="Q374" s="53"/>
      <c r="R374" s="53"/>
      <c r="S374" s="53"/>
      <c r="T374" s="53"/>
      <c r="U374" s="53"/>
      <c r="V374" s="53"/>
      <c r="W374" s="53"/>
      <c r="X374" s="53"/>
      <c r="Y374" s="53"/>
      <c r="Z374" s="53"/>
    </row>
    <row r="375" spans="1:26" ht="12" customHeight="1">
      <c r="A375" s="53"/>
      <c r="B375" s="328"/>
      <c r="C375" s="53"/>
      <c r="D375" s="53"/>
      <c r="E375" s="327">
        <v>2025</v>
      </c>
      <c r="F375" s="327">
        <v>2026</v>
      </c>
      <c r="G375" s="327">
        <v>2027</v>
      </c>
      <c r="H375" s="327">
        <v>2028</v>
      </c>
      <c r="I375" s="327">
        <v>2029</v>
      </c>
      <c r="J375" s="327">
        <v>2030</v>
      </c>
      <c r="K375" s="53"/>
      <c r="L375" s="53"/>
      <c r="M375" s="53"/>
      <c r="N375" s="53"/>
      <c r="O375" s="53"/>
      <c r="P375" s="53"/>
      <c r="Q375" s="53"/>
      <c r="R375" s="53"/>
      <c r="S375" s="53"/>
      <c r="T375" s="53"/>
      <c r="U375" s="53"/>
      <c r="V375" s="53"/>
      <c r="W375" s="53"/>
      <c r="X375" s="53"/>
      <c r="Y375" s="53"/>
      <c r="Z375" s="53"/>
    </row>
    <row r="376" spans="1:26" ht="12" customHeight="1">
      <c r="A376" s="53"/>
      <c r="B376" s="328"/>
      <c r="C376" s="53"/>
      <c r="D376" s="371" t="s">
        <v>275</v>
      </c>
      <c r="E376" s="366">
        <v>16</v>
      </c>
      <c r="F376" s="367">
        <v>11</v>
      </c>
      <c r="G376" s="367">
        <v>12</v>
      </c>
      <c r="H376" s="367">
        <v>12</v>
      </c>
      <c r="I376" s="367">
        <v>12</v>
      </c>
      <c r="J376" s="367">
        <v>12</v>
      </c>
      <c r="K376" s="53"/>
      <c r="L376" s="53"/>
      <c r="M376" s="53"/>
      <c r="N376" s="53"/>
      <c r="O376" s="53"/>
      <c r="P376" s="53"/>
      <c r="Q376" s="53"/>
      <c r="R376" s="53"/>
      <c r="S376" s="53"/>
      <c r="T376" s="53"/>
      <c r="U376" s="53"/>
      <c r="V376" s="53"/>
      <c r="W376" s="53"/>
      <c r="X376" s="53"/>
      <c r="Y376" s="53"/>
      <c r="Z376" s="53"/>
    </row>
    <row r="377" spans="1:26" ht="12" customHeight="1">
      <c r="A377" s="53"/>
      <c r="B377" s="328"/>
      <c r="C377" s="53"/>
      <c r="D377" s="371" t="s">
        <v>276</v>
      </c>
      <c r="E377" s="366">
        <v>84</v>
      </c>
      <c r="F377" s="367">
        <v>87</v>
      </c>
      <c r="G377" s="367">
        <v>89</v>
      </c>
      <c r="H377" s="367">
        <v>91</v>
      </c>
      <c r="I377" s="367">
        <v>93</v>
      </c>
      <c r="J377" s="367">
        <v>95</v>
      </c>
      <c r="K377" s="53"/>
      <c r="L377" s="53"/>
      <c r="M377" s="53"/>
      <c r="N377" s="53"/>
      <c r="O377" s="53"/>
      <c r="P377" s="53"/>
      <c r="Q377" s="53"/>
      <c r="R377" s="53"/>
      <c r="S377" s="53"/>
      <c r="T377" s="53"/>
      <c r="U377" s="53"/>
      <c r="V377" s="53"/>
      <c r="W377" s="53"/>
      <c r="X377" s="53"/>
      <c r="Y377" s="53"/>
      <c r="Z377" s="53"/>
    </row>
    <row r="378" spans="1:26" ht="12" customHeight="1">
      <c r="A378" s="53"/>
      <c r="B378" s="328"/>
      <c r="C378" s="53"/>
      <c r="D378" s="371" t="s">
        <v>317</v>
      </c>
      <c r="E378" s="366">
        <v>347</v>
      </c>
      <c r="F378" s="367">
        <v>266</v>
      </c>
      <c r="G378" s="367">
        <v>272</v>
      </c>
      <c r="H378" s="367">
        <v>277</v>
      </c>
      <c r="I378" s="367">
        <v>283</v>
      </c>
      <c r="J378" s="367">
        <v>289</v>
      </c>
      <c r="K378" s="53"/>
      <c r="L378" s="53"/>
      <c r="M378" s="53"/>
      <c r="N378" s="53"/>
      <c r="O378" s="53"/>
      <c r="P378" s="53"/>
      <c r="Q378" s="53"/>
      <c r="R378" s="53"/>
      <c r="S378" s="53"/>
      <c r="T378" s="53"/>
      <c r="U378" s="53"/>
      <c r="V378" s="53"/>
      <c r="W378" s="53"/>
      <c r="X378" s="53"/>
      <c r="Y378" s="53"/>
      <c r="Z378" s="53"/>
    </row>
    <row r="379" spans="1:26" ht="12" customHeight="1">
      <c r="A379" s="53"/>
      <c r="B379" s="328"/>
      <c r="C379" s="53"/>
      <c r="D379" s="371" t="s">
        <v>318</v>
      </c>
      <c r="E379" s="366">
        <v>15</v>
      </c>
      <c r="F379" s="366" t="s">
        <v>313</v>
      </c>
      <c r="G379" s="366" t="s">
        <v>313</v>
      </c>
      <c r="H379" s="366" t="s">
        <v>313</v>
      </c>
      <c r="I379" s="366" t="s">
        <v>313</v>
      </c>
      <c r="J379" s="366" t="s">
        <v>313</v>
      </c>
      <c r="K379" s="53"/>
      <c r="L379" s="53"/>
      <c r="M379" s="53"/>
      <c r="N379" s="53"/>
      <c r="O379" s="53"/>
      <c r="P379" s="53"/>
      <c r="Q379" s="53"/>
      <c r="R379" s="53"/>
      <c r="S379" s="53"/>
      <c r="T379" s="53"/>
      <c r="U379" s="53"/>
      <c r="V379" s="53"/>
      <c r="W379" s="53"/>
      <c r="X379" s="53"/>
      <c r="Y379" s="53"/>
      <c r="Z379" s="53"/>
    </row>
    <row r="380" spans="1:26" ht="12" customHeight="1">
      <c r="A380" s="53"/>
      <c r="B380" s="53"/>
      <c r="C380" s="328"/>
      <c r="D380" s="314"/>
      <c r="E380" s="3"/>
      <c r="F380" s="53"/>
      <c r="G380" s="53"/>
      <c r="H380" s="53"/>
      <c r="I380" s="53"/>
      <c r="J380" s="53"/>
      <c r="K380" s="53"/>
      <c r="L380" s="53"/>
      <c r="M380" s="53"/>
      <c r="N380" s="53"/>
      <c r="O380" s="53"/>
      <c r="P380" s="53"/>
      <c r="Q380" s="53"/>
      <c r="R380" s="53"/>
      <c r="S380" s="53"/>
      <c r="T380" s="53"/>
      <c r="U380" s="53"/>
      <c r="V380" s="53"/>
      <c r="W380" s="53"/>
      <c r="X380" s="53"/>
      <c r="Y380" s="53"/>
      <c r="Z380" s="53"/>
    </row>
    <row r="381" spans="1:26" ht="12" customHeight="1">
      <c r="A381" s="53"/>
      <c r="B381" s="53"/>
      <c r="C381" s="328"/>
      <c r="D381" s="314"/>
      <c r="E381" s="3"/>
      <c r="F381" s="53"/>
      <c r="G381" s="53"/>
      <c r="H381" s="53"/>
      <c r="I381" s="53"/>
      <c r="J381" s="53"/>
      <c r="K381" s="53"/>
      <c r="L381" s="53"/>
      <c r="M381" s="53"/>
      <c r="N381" s="53"/>
      <c r="O381" s="53"/>
      <c r="P381" s="53"/>
      <c r="Q381" s="53"/>
      <c r="R381" s="53"/>
      <c r="S381" s="53"/>
      <c r="T381" s="53"/>
      <c r="U381" s="53"/>
      <c r="V381" s="53"/>
      <c r="W381" s="53"/>
      <c r="X381" s="53"/>
      <c r="Y381" s="53"/>
      <c r="Z381" s="53"/>
    </row>
    <row r="382" spans="1:26" ht="12" customHeight="1">
      <c r="A382" s="53"/>
      <c r="B382" s="53"/>
      <c r="C382" s="328"/>
      <c r="D382" s="314"/>
      <c r="E382" s="3"/>
      <c r="F382" s="53"/>
      <c r="G382" s="53"/>
      <c r="H382" s="53"/>
      <c r="I382" s="53"/>
      <c r="J382" s="53"/>
      <c r="K382" s="53"/>
      <c r="L382" s="53"/>
      <c r="M382" s="53"/>
      <c r="N382" s="53"/>
      <c r="O382" s="53"/>
      <c r="P382" s="53"/>
      <c r="Q382" s="53"/>
      <c r="R382" s="53"/>
      <c r="S382" s="53"/>
      <c r="T382" s="53"/>
      <c r="U382" s="53"/>
      <c r="V382" s="53"/>
      <c r="W382" s="53"/>
      <c r="X382" s="53"/>
      <c r="Y382" s="53"/>
      <c r="Z382" s="53"/>
    </row>
    <row r="383" spans="1:26" ht="12" customHeight="1">
      <c r="A383" s="53"/>
      <c r="B383" s="53"/>
      <c r="C383" s="53"/>
      <c r="D383" s="314"/>
      <c r="E383" s="3"/>
      <c r="F383" s="53"/>
      <c r="G383" s="53"/>
      <c r="H383" s="53"/>
      <c r="I383" s="53"/>
      <c r="J383" s="53"/>
      <c r="K383" s="53"/>
      <c r="L383" s="53"/>
      <c r="M383" s="53"/>
      <c r="N383" s="53"/>
      <c r="O383" s="53"/>
      <c r="P383" s="53"/>
      <c r="Q383" s="53"/>
      <c r="R383" s="53"/>
      <c r="S383" s="53"/>
      <c r="T383" s="53"/>
      <c r="U383" s="53"/>
      <c r="V383" s="53"/>
      <c r="W383" s="53"/>
      <c r="X383" s="53"/>
      <c r="Y383" s="53"/>
      <c r="Z383" s="53"/>
    </row>
    <row r="384" spans="1:26" ht="12" customHeight="1">
      <c r="A384" s="53"/>
      <c r="B384" s="53"/>
      <c r="C384" s="314"/>
      <c r="D384" s="3"/>
      <c r="E384" s="3"/>
      <c r="F384" s="3"/>
      <c r="G384" s="3"/>
      <c r="H384" s="3"/>
      <c r="I384" s="3"/>
      <c r="J384" s="3"/>
      <c r="K384" s="53"/>
      <c r="L384" s="53"/>
      <c r="M384" s="53"/>
      <c r="N384" s="53"/>
      <c r="O384" s="53"/>
      <c r="P384" s="53"/>
      <c r="Q384" s="53"/>
      <c r="R384" s="53"/>
      <c r="S384" s="53"/>
      <c r="T384" s="53"/>
      <c r="U384" s="53"/>
      <c r="V384" s="53"/>
      <c r="W384" s="53"/>
      <c r="X384" s="53"/>
      <c r="Y384" s="53"/>
      <c r="Z384" s="53"/>
    </row>
    <row r="385" spans="1:26" ht="12" customHeight="1">
      <c r="A385" s="53"/>
      <c r="B385" s="328"/>
      <c r="C385" s="328"/>
      <c r="D385" s="314"/>
      <c r="E385" s="3"/>
      <c r="F385" s="53"/>
      <c r="G385" s="53"/>
      <c r="H385" s="53"/>
      <c r="I385" s="53"/>
      <c r="J385" s="53"/>
      <c r="K385" s="53"/>
      <c r="L385" s="53"/>
      <c r="M385" s="53"/>
      <c r="N385" s="53"/>
      <c r="O385" s="53"/>
      <c r="P385" s="53"/>
      <c r="Q385" s="53"/>
      <c r="R385" s="53"/>
      <c r="S385" s="53"/>
      <c r="T385" s="53"/>
      <c r="U385" s="53"/>
      <c r="V385" s="53"/>
      <c r="W385" s="53"/>
      <c r="X385" s="53"/>
      <c r="Y385" s="53"/>
      <c r="Z385" s="53"/>
    </row>
    <row r="386" spans="1:26" ht="12" customHeight="1">
      <c r="A386" s="53"/>
      <c r="B386" s="328"/>
      <c r="C386" s="328"/>
      <c r="D386" s="314"/>
      <c r="E386" s="3"/>
      <c r="F386" s="53"/>
      <c r="G386" s="53"/>
      <c r="H386" s="53"/>
      <c r="I386" s="53"/>
      <c r="J386" s="53"/>
      <c r="K386" s="53"/>
      <c r="L386" s="53"/>
      <c r="M386" s="53"/>
      <c r="N386" s="53"/>
      <c r="O386" s="53"/>
      <c r="P386" s="53"/>
      <c r="Q386" s="53"/>
      <c r="R386" s="53"/>
      <c r="S386" s="53"/>
      <c r="T386" s="53"/>
      <c r="U386" s="53"/>
      <c r="V386" s="53"/>
      <c r="W386" s="53"/>
      <c r="X386" s="53"/>
      <c r="Y386" s="53"/>
      <c r="Z386" s="53"/>
    </row>
    <row r="387" spans="1:26" ht="12" customHeight="1">
      <c r="A387" s="53"/>
      <c r="B387" s="328"/>
      <c r="C387" s="328"/>
      <c r="D387" s="314"/>
      <c r="E387" s="3"/>
      <c r="F387" s="53"/>
      <c r="G387" s="53"/>
      <c r="H387" s="53"/>
      <c r="I387" s="53"/>
      <c r="J387" s="53"/>
      <c r="K387" s="53"/>
      <c r="L387" s="53"/>
      <c r="M387" s="53"/>
      <c r="N387" s="53"/>
      <c r="O387" s="53"/>
      <c r="P387" s="53"/>
      <c r="Q387" s="53"/>
      <c r="R387" s="53"/>
      <c r="S387" s="53"/>
      <c r="T387" s="53"/>
      <c r="U387" s="53"/>
      <c r="V387" s="53"/>
      <c r="W387" s="53"/>
      <c r="X387" s="53"/>
      <c r="Y387" s="53"/>
      <c r="Z387" s="53"/>
    </row>
    <row r="388" spans="1:26" ht="12" customHeight="1">
      <c r="A388" s="53"/>
      <c r="B388" s="328"/>
      <c r="C388" s="328"/>
      <c r="D388" s="314"/>
      <c r="E388" s="3"/>
      <c r="F388" s="53"/>
      <c r="G388" s="53"/>
      <c r="H388" s="53"/>
      <c r="I388" s="53"/>
      <c r="J388" s="53"/>
      <c r="K388" s="53"/>
      <c r="L388" s="53"/>
      <c r="M388" s="53"/>
      <c r="N388" s="53"/>
      <c r="O388" s="53"/>
      <c r="P388" s="53"/>
      <c r="Q388" s="53"/>
      <c r="R388" s="53"/>
      <c r="S388" s="53"/>
      <c r="T388" s="53"/>
      <c r="U388" s="53"/>
      <c r="V388" s="53"/>
      <c r="W388" s="53"/>
      <c r="X388" s="53"/>
      <c r="Y388" s="53"/>
      <c r="Z388" s="53"/>
    </row>
    <row r="389" spans="1:26" ht="12" customHeight="1">
      <c r="A389" s="53"/>
      <c r="B389" s="328"/>
      <c r="C389" s="328"/>
      <c r="D389" s="314"/>
      <c r="E389" s="3"/>
      <c r="F389" s="53"/>
      <c r="G389" s="53"/>
      <c r="H389" s="53"/>
      <c r="I389" s="53"/>
      <c r="J389" s="53"/>
      <c r="K389" s="53"/>
      <c r="L389" s="53"/>
      <c r="M389" s="53"/>
      <c r="N389" s="53"/>
      <c r="O389" s="53"/>
      <c r="P389" s="53"/>
      <c r="Q389" s="53"/>
      <c r="R389" s="53"/>
      <c r="S389" s="53"/>
      <c r="T389" s="53"/>
      <c r="U389" s="53"/>
      <c r="V389" s="53"/>
      <c r="W389" s="53"/>
      <c r="X389" s="53"/>
      <c r="Y389" s="53"/>
      <c r="Z389" s="53"/>
    </row>
    <row r="390" spans="1:26" ht="12" customHeight="1">
      <c r="A390" s="53"/>
      <c r="B390" s="328"/>
      <c r="C390" s="328"/>
      <c r="D390" s="314"/>
      <c r="E390" s="3"/>
      <c r="F390" s="53"/>
      <c r="G390" s="53"/>
      <c r="H390" s="53"/>
      <c r="I390" s="53"/>
      <c r="J390" s="53"/>
      <c r="K390" s="53"/>
      <c r="L390" s="53"/>
      <c r="M390" s="53"/>
      <c r="N390" s="53"/>
      <c r="O390" s="53"/>
      <c r="P390" s="53"/>
      <c r="Q390" s="53"/>
      <c r="R390" s="53"/>
      <c r="S390" s="53"/>
      <c r="T390" s="53"/>
      <c r="U390" s="53"/>
      <c r="V390" s="53"/>
      <c r="W390" s="53"/>
      <c r="X390" s="53"/>
      <c r="Y390" s="53"/>
      <c r="Z390" s="53"/>
    </row>
    <row r="391" spans="1:26" ht="12" customHeight="1">
      <c r="A391" s="53"/>
      <c r="B391" s="328"/>
      <c r="C391" s="328"/>
      <c r="D391" s="314"/>
      <c r="E391" s="3"/>
      <c r="F391" s="53"/>
      <c r="G391" s="53"/>
      <c r="H391" s="53"/>
      <c r="I391" s="53"/>
      <c r="J391" s="53"/>
      <c r="K391" s="53"/>
      <c r="L391" s="53"/>
      <c r="M391" s="53"/>
      <c r="N391" s="53"/>
      <c r="O391" s="53"/>
      <c r="P391" s="53"/>
      <c r="Q391" s="53"/>
      <c r="R391" s="53"/>
      <c r="S391" s="53"/>
      <c r="T391" s="53"/>
      <c r="U391" s="53"/>
      <c r="V391" s="53"/>
      <c r="W391" s="53"/>
      <c r="X391" s="53"/>
      <c r="Y391" s="53"/>
      <c r="Z391" s="53"/>
    </row>
    <row r="392" spans="1:26" ht="12" customHeight="1">
      <c r="A392" s="53"/>
      <c r="B392" s="328"/>
      <c r="C392" s="328"/>
      <c r="D392" s="314"/>
      <c r="E392" s="3"/>
      <c r="F392" s="53"/>
      <c r="G392" s="53"/>
      <c r="H392" s="53"/>
      <c r="I392" s="53"/>
      <c r="J392" s="53"/>
      <c r="K392" s="53"/>
      <c r="L392" s="53"/>
      <c r="M392" s="53"/>
      <c r="N392" s="53"/>
      <c r="O392" s="53"/>
      <c r="P392" s="53"/>
      <c r="Q392" s="53"/>
      <c r="R392" s="53"/>
      <c r="S392" s="53"/>
      <c r="T392" s="53"/>
      <c r="U392" s="53"/>
      <c r="V392" s="53"/>
      <c r="W392" s="53"/>
      <c r="X392" s="53"/>
      <c r="Y392" s="53"/>
      <c r="Z392" s="53"/>
    </row>
    <row r="393" spans="1:26" ht="12" customHeight="1">
      <c r="A393" s="53"/>
      <c r="B393" s="53"/>
      <c r="C393" s="328"/>
      <c r="D393" s="314"/>
      <c r="E393" s="3"/>
      <c r="F393" s="53"/>
      <c r="G393" s="53"/>
      <c r="H393" s="53"/>
      <c r="I393" s="53"/>
      <c r="J393" s="53"/>
      <c r="K393" s="53"/>
      <c r="L393" s="53"/>
      <c r="M393" s="53"/>
      <c r="N393" s="53"/>
      <c r="O393" s="53"/>
      <c r="P393" s="53"/>
      <c r="Q393" s="53"/>
      <c r="R393" s="53"/>
      <c r="S393" s="53"/>
      <c r="T393" s="53"/>
      <c r="U393" s="53"/>
      <c r="V393" s="53"/>
      <c r="W393" s="53"/>
      <c r="X393" s="53"/>
      <c r="Y393" s="53"/>
      <c r="Z393" s="53"/>
    </row>
    <row r="394" spans="1:26" ht="12" customHeight="1">
      <c r="A394" s="53"/>
      <c r="B394" s="53"/>
      <c r="C394" s="328"/>
      <c r="D394" s="314"/>
      <c r="E394" s="3"/>
      <c r="F394" s="53"/>
      <c r="G394" s="53"/>
      <c r="H394" s="53"/>
      <c r="I394" s="53"/>
      <c r="J394" s="53"/>
      <c r="K394" s="53"/>
      <c r="L394" s="53"/>
      <c r="M394" s="53"/>
      <c r="N394" s="53"/>
      <c r="O394" s="53"/>
      <c r="P394" s="53"/>
      <c r="Q394" s="53"/>
      <c r="R394" s="53"/>
      <c r="S394" s="53"/>
      <c r="T394" s="53"/>
      <c r="U394" s="53"/>
      <c r="V394" s="53"/>
      <c r="W394" s="53"/>
      <c r="X394" s="53"/>
      <c r="Y394" s="53"/>
      <c r="Z394" s="53"/>
    </row>
    <row r="395" spans="1:26" ht="12" customHeight="1">
      <c r="A395" s="53"/>
      <c r="B395" s="53"/>
      <c r="C395" s="328"/>
      <c r="D395" s="314"/>
      <c r="E395" s="3"/>
      <c r="F395" s="53"/>
      <c r="G395" s="53"/>
      <c r="H395" s="53"/>
      <c r="I395" s="53"/>
      <c r="J395" s="53"/>
      <c r="K395" s="53"/>
      <c r="L395" s="53"/>
      <c r="M395" s="53"/>
      <c r="N395" s="53"/>
      <c r="O395" s="53"/>
      <c r="P395" s="53"/>
      <c r="Q395" s="53"/>
      <c r="R395" s="53"/>
      <c r="S395" s="53"/>
      <c r="T395" s="53"/>
      <c r="U395" s="53"/>
      <c r="V395" s="53"/>
      <c r="W395" s="53"/>
      <c r="X395" s="53"/>
      <c r="Y395" s="53"/>
      <c r="Z395" s="53"/>
    </row>
    <row r="396" spans="1:26" ht="12" customHeight="1">
      <c r="A396" s="53"/>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2" customHeight="1">
      <c r="A397" s="53"/>
      <c r="B397" s="53"/>
      <c r="C397" s="314"/>
      <c r="D397" s="3"/>
      <c r="E397" s="3"/>
      <c r="F397" s="3"/>
      <c r="G397" s="3"/>
      <c r="H397" s="3"/>
      <c r="I397" s="3"/>
      <c r="J397" s="3"/>
      <c r="K397" s="53"/>
      <c r="L397" s="53"/>
      <c r="M397" s="53"/>
      <c r="N397" s="53"/>
      <c r="O397" s="53"/>
      <c r="P397" s="53"/>
      <c r="Q397" s="53"/>
      <c r="R397" s="53"/>
      <c r="S397" s="53"/>
      <c r="T397" s="53"/>
      <c r="U397" s="53"/>
      <c r="V397" s="53"/>
      <c r="W397" s="53"/>
      <c r="X397" s="53"/>
      <c r="Y397" s="53"/>
      <c r="Z397" s="53"/>
    </row>
    <row r="398" spans="1:26" ht="12" customHeight="1">
      <c r="A398" s="53"/>
      <c r="B398" s="328"/>
      <c r="C398" s="328"/>
      <c r="D398" s="314"/>
      <c r="E398" s="3"/>
      <c r="F398" s="53"/>
      <c r="G398" s="53"/>
      <c r="H398" s="53"/>
      <c r="I398" s="53"/>
      <c r="J398" s="53"/>
      <c r="K398" s="53"/>
      <c r="L398" s="53"/>
      <c r="M398" s="53"/>
      <c r="N398" s="53"/>
      <c r="O398" s="53"/>
      <c r="P398" s="53"/>
      <c r="Q398" s="53"/>
      <c r="R398" s="53"/>
      <c r="S398" s="53"/>
      <c r="T398" s="53"/>
      <c r="U398" s="53"/>
      <c r="V398" s="53"/>
      <c r="W398" s="53"/>
      <c r="X398" s="53"/>
      <c r="Y398" s="53"/>
      <c r="Z398" s="53"/>
    </row>
    <row r="399" spans="1:26" ht="12" customHeight="1">
      <c r="A399" s="53"/>
      <c r="B399" s="328"/>
      <c r="C399" s="328"/>
      <c r="D399" s="314"/>
      <c r="E399" s="3"/>
      <c r="F399" s="53"/>
      <c r="G399" s="53"/>
      <c r="H399" s="53"/>
      <c r="I399" s="53"/>
      <c r="J399" s="53"/>
      <c r="K399" s="53"/>
      <c r="L399" s="53"/>
      <c r="M399" s="53"/>
      <c r="N399" s="53"/>
      <c r="O399" s="53"/>
      <c r="P399" s="53"/>
      <c r="Q399" s="53"/>
      <c r="R399" s="53"/>
      <c r="S399" s="53"/>
      <c r="T399" s="53"/>
      <c r="U399" s="53"/>
      <c r="V399" s="53"/>
      <c r="W399" s="53"/>
      <c r="X399" s="53"/>
      <c r="Y399" s="53"/>
      <c r="Z399" s="53"/>
    </row>
    <row r="400" spans="1:26" ht="12" customHeight="1">
      <c r="A400" s="53"/>
      <c r="B400" s="328"/>
      <c r="C400" s="328"/>
      <c r="D400" s="314"/>
      <c r="E400" s="3"/>
      <c r="F400" s="53"/>
      <c r="G400" s="53"/>
      <c r="H400" s="53"/>
      <c r="I400" s="53"/>
      <c r="J400" s="53"/>
      <c r="K400" s="53"/>
      <c r="L400" s="53"/>
      <c r="M400" s="53"/>
      <c r="N400" s="53"/>
      <c r="O400" s="53"/>
      <c r="P400" s="53"/>
      <c r="Q400" s="53"/>
      <c r="R400" s="53"/>
      <c r="S400" s="53"/>
      <c r="T400" s="53"/>
      <c r="U400" s="53"/>
      <c r="V400" s="53"/>
      <c r="W400" s="53"/>
      <c r="X400" s="53"/>
      <c r="Y400" s="53"/>
      <c r="Z400" s="53"/>
    </row>
    <row r="401" spans="1:26" ht="12" customHeight="1">
      <c r="A401" s="53"/>
      <c r="B401" s="328"/>
      <c r="C401" s="328"/>
      <c r="D401" s="314"/>
      <c r="E401" s="3"/>
      <c r="F401" s="53"/>
      <c r="G401" s="53"/>
      <c r="H401" s="53"/>
      <c r="I401" s="53"/>
      <c r="J401" s="53"/>
      <c r="K401" s="53"/>
      <c r="L401" s="53"/>
      <c r="M401" s="53"/>
      <c r="N401" s="53"/>
      <c r="O401" s="53"/>
      <c r="P401" s="53"/>
      <c r="Q401" s="53"/>
      <c r="R401" s="53"/>
      <c r="S401" s="53"/>
      <c r="T401" s="53"/>
      <c r="U401" s="53"/>
      <c r="V401" s="53"/>
      <c r="W401" s="53"/>
      <c r="X401" s="53"/>
      <c r="Y401" s="53"/>
      <c r="Z401" s="53"/>
    </row>
    <row r="402" spans="1:26" ht="12" customHeight="1">
      <c r="A402" s="53"/>
      <c r="B402" s="328"/>
      <c r="C402" s="328"/>
      <c r="D402" s="314"/>
      <c r="E402" s="3"/>
      <c r="F402" s="53"/>
      <c r="G402" s="53"/>
      <c r="H402" s="53"/>
      <c r="I402" s="53"/>
      <c r="J402" s="53"/>
      <c r="K402" s="53"/>
      <c r="L402" s="53"/>
      <c r="M402" s="53"/>
      <c r="N402" s="53"/>
      <c r="O402" s="53"/>
      <c r="P402" s="53"/>
      <c r="Q402" s="53"/>
      <c r="R402" s="53"/>
      <c r="S402" s="53"/>
      <c r="T402" s="53"/>
      <c r="U402" s="53"/>
      <c r="V402" s="53"/>
      <c r="W402" s="53"/>
      <c r="X402" s="53"/>
      <c r="Y402" s="53"/>
      <c r="Z402" s="53"/>
    </row>
    <row r="403" spans="1:26" ht="12" customHeight="1">
      <c r="A403" s="53"/>
      <c r="B403" s="328"/>
      <c r="C403" s="328"/>
      <c r="D403" s="314"/>
      <c r="E403" s="3"/>
      <c r="F403" s="53"/>
      <c r="G403" s="53"/>
      <c r="H403" s="53"/>
      <c r="I403" s="53"/>
      <c r="J403" s="53"/>
      <c r="K403" s="53"/>
      <c r="L403" s="53"/>
      <c r="M403" s="53"/>
      <c r="N403" s="53"/>
      <c r="O403" s="53"/>
      <c r="P403" s="53"/>
      <c r="Q403" s="53"/>
      <c r="R403" s="53"/>
      <c r="S403" s="53"/>
      <c r="T403" s="53"/>
      <c r="U403" s="53"/>
      <c r="V403" s="53"/>
      <c r="W403" s="53"/>
      <c r="X403" s="53"/>
      <c r="Y403" s="53"/>
      <c r="Z403" s="53"/>
    </row>
    <row r="404" spans="1:26" ht="12" customHeight="1">
      <c r="A404" s="53"/>
      <c r="B404" s="328"/>
      <c r="C404" s="328"/>
      <c r="D404" s="314"/>
      <c r="E404" s="3"/>
      <c r="F404" s="53"/>
      <c r="G404" s="53"/>
      <c r="H404" s="53"/>
      <c r="I404" s="53"/>
      <c r="J404" s="53"/>
      <c r="K404" s="53"/>
      <c r="L404" s="53"/>
      <c r="M404" s="53"/>
      <c r="N404" s="53"/>
      <c r="O404" s="53"/>
      <c r="P404" s="53"/>
      <c r="Q404" s="53"/>
      <c r="R404" s="53"/>
      <c r="S404" s="53"/>
      <c r="T404" s="53"/>
      <c r="U404" s="53"/>
      <c r="V404" s="53"/>
      <c r="W404" s="53"/>
      <c r="X404" s="53"/>
      <c r="Y404" s="53"/>
      <c r="Z404" s="53"/>
    </row>
    <row r="405" spans="1:26" ht="12" customHeight="1">
      <c r="A405" s="53"/>
      <c r="B405" s="328"/>
      <c r="C405" s="328"/>
      <c r="D405" s="314"/>
      <c r="E405" s="3"/>
      <c r="F405" s="53"/>
      <c r="G405" s="53"/>
      <c r="H405" s="53"/>
      <c r="I405" s="53"/>
      <c r="J405" s="53"/>
      <c r="K405" s="53"/>
      <c r="L405" s="53"/>
      <c r="M405" s="53"/>
      <c r="N405" s="53"/>
      <c r="O405" s="53"/>
      <c r="P405" s="53"/>
      <c r="Q405" s="53"/>
      <c r="R405" s="53"/>
      <c r="S405" s="53"/>
      <c r="T405" s="53"/>
      <c r="U405" s="53"/>
      <c r="V405" s="53"/>
      <c r="W405" s="53"/>
      <c r="X405" s="53"/>
      <c r="Y405" s="53"/>
      <c r="Z405" s="53"/>
    </row>
    <row r="406" spans="1:26" ht="12" customHeight="1">
      <c r="A406" s="53"/>
      <c r="B406" s="53"/>
      <c r="C406" s="328"/>
      <c r="D406" s="314"/>
      <c r="E406" s="3"/>
      <c r="F406" s="53"/>
      <c r="G406" s="53"/>
      <c r="H406" s="53"/>
      <c r="I406" s="53"/>
      <c r="J406" s="53"/>
      <c r="K406" s="53"/>
      <c r="L406" s="53"/>
      <c r="M406" s="53"/>
      <c r="N406" s="53"/>
      <c r="O406" s="53"/>
      <c r="P406" s="53"/>
      <c r="Q406" s="53"/>
      <c r="R406" s="53"/>
      <c r="S406" s="53"/>
      <c r="T406" s="53"/>
      <c r="U406" s="53"/>
      <c r="V406" s="53"/>
      <c r="W406" s="53"/>
      <c r="X406" s="53"/>
      <c r="Y406" s="53"/>
      <c r="Z406" s="53"/>
    </row>
    <row r="407" spans="1:26" ht="12" customHeight="1">
      <c r="A407" s="53"/>
      <c r="B407" s="53"/>
      <c r="C407" s="328"/>
      <c r="D407" s="314"/>
      <c r="E407" s="3"/>
      <c r="F407" s="53"/>
      <c r="G407" s="53"/>
      <c r="H407" s="53"/>
      <c r="I407" s="53"/>
      <c r="J407" s="53"/>
      <c r="K407" s="53"/>
      <c r="L407" s="53"/>
      <c r="M407" s="53"/>
      <c r="N407" s="53"/>
      <c r="O407" s="53"/>
      <c r="P407" s="53"/>
      <c r="Q407" s="53"/>
      <c r="R407" s="53"/>
      <c r="S407" s="53"/>
      <c r="T407" s="53"/>
      <c r="U407" s="53"/>
      <c r="V407" s="53"/>
      <c r="W407" s="53"/>
      <c r="X407" s="53"/>
      <c r="Y407" s="53"/>
      <c r="Z407" s="53"/>
    </row>
    <row r="408" spans="1:26" ht="12" customHeight="1">
      <c r="A408" s="53"/>
      <c r="B408" s="53"/>
      <c r="C408" s="328"/>
      <c r="D408" s="314"/>
      <c r="E408" s="3"/>
      <c r="F408" s="53"/>
      <c r="G408" s="53"/>
      <c r="H408" s="53"/>
      <c r="I408" s="53"/>
      <c r="J408" s="53"/>
      <c r="K408" s="53"/>
      <c r="L408" s="53"/>
      <c r="M408" s="53"/>
      <c r="N408" s="53"/>
      <c r="O408" s="53"/>
      <c r="P408" s="53"/>
      <c r="Q408" s="53"/>
      <c r="R408" s="53"/>
      <c r="S408" s="53"/>
      <c r="T408" s="53"/>
      <c r="U408" s="53"/>
      <c r="V408" s="53"/>
      <c r="W408" s="53"/>
      <c r="X408" s="53"/>
      <c r="Y408" s="53"/>
      <c r="Z408" s="53"/>
    </row>
    <row r="409" spans="1:26" ht="12" customHeight="1">
      <c r="A409" s="53"/>
      <c r="B409" s="53"/>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2" customHeight="1">
      <c r="A410" s="53"/>
      <c r="B410" s="53"/>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2" customHeight="1">
      <c r="A411" s="53"/>
      <c r="B411" s="53"/>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2" customHeight="1">
      <c r="A412" s="53"/>
      <c r="B412" s="53"/>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2" customHeight="1">
      <c r="A413" s="53"/>
      <c r="B413" s="53"/>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2" customHeight="1">
      <c r="A414" s="53"/>
      <c r="B414" s="53"/>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2" customHeight="1">
      <c r="A415" s="53"/>
      <c r="B415" s="53"/>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2" customHeight="1">
      <c r="A416" s="53"/>
      <c r="B416" s="53"/>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2" customHeight="1">
      <c r="A417" s="53"/>
      <c r="B417" s="53"/>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2" customHeight="1">
      <c r="A418" s="53"/>
      <c r="B418" s="53"/>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2" customHeight="1">
      <c r="A419" s="53"/>
      <c r="B419" s="53"/>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2" customHeight="1">
      <c r="A420" s="53"/>
      <c r="B420" s="53"/>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2" customHeight="1">
      <c r="A421" s="53"/>
      <c r="B421" s="53"/>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2" customHeight="1">
      <c r="A422" s="53"/>
      <c r="B422" s="53"/>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2" customHeight="1">
      <c r="A423" s="53"/>
      <c r="B423" s="53"/>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2" customHeight="1">
      <c r="A424" s="53"/>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2" customHeight="1">
      <c r="A425" s="53"/>
      <c r="B425" s="53"/>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2" customHeight="1">
      <c r="A426" s="53"/>
      <c r="B426" s="53"/>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2" customHeight="1">
      <c r="A427" s="53"/>
      <c r="B427" s="53"/>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2" customHeight="1">
      <c r="A428" s="53"/>
      <c r="B428" s="53"/>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2" customHeight="1">
      <c r="A429" s="53"/>
      <c r="B429" s="53"/>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2" customHeight="1">
      <c r="A430" s="53"/>
      <c r="B430" s="53"/>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2" customHeight="1">
      <c r="A431" s="53"/>
      <c r="B431" s="53"/>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2" customHeight="1">
      <c r="A432" s="53"/>
      <c r="B432" s="53"/>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2" customHeight="1">
      <c r="A433" s="53"/>
      <c r="B433" s="53"/>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2" customHeight="1">
      <c r="A434" s="53"/>
      <c r="B434" s="53"/>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2" customHeight="1">
      <c r="A435" s="53"/>
      <c r="B435" s="53"/>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2" customHeight="1">
      <c r="A436" s="53"/>
      <c r="B436" s="53"/>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2" customHeight="1">
      <c r="A437" s="53"/>
      <c r="B437" s="53"/>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2" customHeight="1">
      <c r="A438" s="53"/>
      <c r="B438" s="53"/>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2" customHeight="1">
      <c r="A439" s="53"/>
      <c r="B439" s="53"/>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2" customHeight="1">
      <c r="A440" s="53"/>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2" customHeight="1">
      <c r="A441" s="53"/>
      <c r="B441" s="53"/>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2" customHeight="1">
      <c r="A442" s="53"/>
      <c r="B442" s="53"/>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2" customHeight="1">
      <c r="A443" s="53"/>
      <c r="B443" s="53"/>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2" customHeight="1">
      <c r="A444" s="53"/>
      <c r="B444" s="53"/>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2" customHeight="1">
      <c r="A445" s="53"/>
      <c r="B445" s="53"/>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2" customHeight="1">
      <c r="A446" s="53"/>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2" customHeight="1">
      <c r="A447" s="53"/>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2" customHeight="1">
      <c r="A448" s="53"/>
      <c r="B448" s="53"/>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2" customHeight="1">
      <c r="A449" s="53"/>
      <c r="B449" s="53"/>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2" customHeight="1">
      <c r="A450" s="53"/>
      <c r="B450" s="53"/>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2" customHeight="1">
      <c r="A451" s="53"/>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2" customHeight="1">
      <c r="A452" s="53"/>
      <c r="B452" s="53"/>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2" customHeight="1">
      <c r="A453" s="53"/>
      <c r="B453" s="53"/>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2" customHeight="1">
      <c r="A454" s="53"/>
      <c r="B454" s="53"/>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2" customHeight="1">
      <c r="A455" s="53"/>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2" customHeight="1">
      <c r="A456" s="53"/>
      <c r="B456" s="53"/>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2" customHeight="1">
      <c r="A457" s="53"/>
      <c r="B457" s="53"/>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2" customHeight="1">
      <c r="A458" s="53"/>
      <c r="B458" s="53"/>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2" customHeight="1">
      <c r="A459" s="53"/>
      <c r="B459" s="53"/>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2" customHeight="1">
      <c r="A460" s="53"/>
      <c r="B460" s="53"/>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2" customHeight="1">
      <c r="A461" s="53"/>
      <c r="B461" s="53"/>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2" customHeight="1">
      <c r="A462" s="53"/>
      <c r="B462" s="53"/>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2" customHeight="1">
      <c r="A463" s="53"/>
      <c r="B463" s="53"/>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2" customHeight="1">
      <c r="A464" s="53"/>
      <c r="B464" s="53"/>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2" customHeight="1">
      <c r="A465" s="53"/>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2" customHeight="1">
      <c r="A466" s="53"/>
      <c r="B466" s="53"/>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2" customHeight="1">
      <c r="A467" s="53"/>
      <c r="B467" s="53"/>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2" customHeight="1">
      <c r="A468" s="53"/>
      <c r="B468" s="53"/>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2" customHeight="1">
      <c r="A469" s="53"/>
      <c r="B469" s="53"/>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2" customHeight="1">
      <c r="A470" s="53"/>
      <c r="B470" s="53"/>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2" customHeight="1">
      <c r="A471" s="53"/>
      <c r="B471" s="53"/>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2" customHeight="1">
      <c r="A472" s="53"/>
      <c r="B472" s="53"/>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2" customHeight="1">
      <c r="A473" s="53"/>
      <c r="B473" s="53"/>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2" customHeight="1">
      <c r="A474" s="53"/>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2" customHeight="1">
      <c r="A475" s="53"/>
      <c r="B475" s="53"/>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2" customHeight="1">
      <c r="A476" s="53"/>
      <c r="B476" s="53"/>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2" customHeight="1">
      <c r="A477" s="53"/>
      <c r="B477" s="53"/>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2" customHeight="1">
      <c r="A478" s="53"/>
      <c r="B478" s="53"/>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2" customHeight="1">
      <c r="A479" s="53"/>
      <c r="B479" s="53"/>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2" customHeight="1">
      <c r="A480" s="53"/>
      <c r="B480" s="53"/>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2" customHeight="1">
      <c r="A481" s="53"/>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2" customHeight="1">
      <c r="A482" s="53"/>
      <c r="B482" s="53"/>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2" customHeight="1">
      <c r="A483" s="53"/>
      <c r="B483" s="53"/>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2" customHeight="1">
      <c r="A484" s="53"/>
      <c r="B484" s="53"/>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2" customHeight="1">
      <c r="A485" s="53"/>
      <c r="B485" s="53"/>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2" customHeight="1">
      <c r="A486" s="53"/>
      <c r="B486" s="53"/>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2" customHeight="1">
      <c r="A487" s="53"/>
      <c r="B487" s="53"/>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2" customHeight="1">
      <c r="A488" s="53"/>
      <c r="B488" s="53"/>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2" customHeight="1">
      <c r="A489" s="53"/>
      <c r="B489" s="53"/>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2" customHeight="1">
      <c r="A490" s="53"/>
      <c r="B490" s="53"/>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2" customHeight="1">
      <c r="A491" s="53"/>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2" customHeight="1">
      <c r="A492" s="53"/>
      <c r="B492" s="53"/>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2" customHeight="1">
      <c r="A493" s="53"/>
      <c r="B493" s="53"/>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2" customHeight="1">
      <c r="A494" s="53"/>
      <c r="B494" s="53"/>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2" customHeight="1">
      <c r="A495" s="53"/>
      <c r="B495" s="53"/>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2" customHeight="1">
      <c r="A496" s="53"/>
      <c r="B496" s="53"/>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2" customHeight="1">
      <c r="A497" s="53"/>
      <c r="B497" s="53"/>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2" customHeight="1">
      <c r="A498" s="53"/>
      <c r="B498" s="53"/>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2" customHeight="1">
      <c r="A499" s="53"/>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2" customHeight="1">
      <c r="A500" s="53"/>
      <c r="B500" s="53"/>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2" customHeight="1">
      <c r="A501" s="53"/>
      <c r="B501" s="53"/>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2" customHeight="1">
      <c r="A502" s="53"/>
      <c r="B502" s="53"/>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2" customHeight="1">
      <c r="A503" s="53"/>
      <c r="B503" s="53"/>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2" customHeight="1">
      <c r="A504" s="53"/>
      <c r="B504" s="53"/>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2" customHeight="1">
      <c r="A505" s="53"/>
      <c r="B505" s="53"/>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2" customHeight="1">
      <c r="A506" s="53"/>
      <c r="B506" s="53"/>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2" customHeight="1">
      <c r="A507" s="53"/>
      <c r="B507" s="53"/>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2" customHeight="1">
      <c r="A508" s="53"/>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2" customHeight="1">
      <c r="A509" s="53"/>
      <c r="B509" s="53"/>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2" customHeight="1">
      <c r="A510" s="53"/>
      <c r="B510" s="53"/>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2" customHeight="1">
      <c r="A511" s="53"/>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2" customHeight="1">
      <c r="A512" s="53"/>
      <c r="B512" s="53"/>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2" customHeight="1">
      <c r="A513" s="53"/>
      <c r="B513" s="53"/>
      <c r="C513" s="5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 customHeight="1">
      <c r="A514" s="53"/>
      <c r="B514" s="53"/>
      <c r="C514" s="5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 customHeight="1">
      <c r="A515" s="53"/>
      <c r="B515" s="53"/>
      <c r="C515" s="5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 customHeight="1">
      <c r="A516" s="53"/>
      <c r="B516" s="53"/>
      <c r="C516" s="5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 customHeight="1">
      <c r="A517" s="53"/>
      <c r="B517" s="53"/>
      <c r="C517" s="5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 customHeight="1">
      <c r="A518" s="53"/>
      <c r="B518" s="53"/>
      <c r="C518" s="5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 customHeight="1">
      <c r="A519" s="53"/>
      <c r="B519" s="53"/>
      <c r="C519" s="5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 customHeight="1">
      <c r="A520" s="53"/>
      <c r="B520" s="53"/>
      <c r="C520" s="5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 customHeight="1">
      <c r="A521" s="53"/>
      <c r="B521" s="53"/>
      <c r="C521" s="5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 customHeight="1">
      <c r="A522" s="53"/>
      <c r="B522" s="53"/>
      <c r="C522" s="5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 customHeight="1">
      <c r="A523" s="53"/>
      <c r="B523" s="53"/>
      <c r="C523" s="5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 customHeight="1">
      <c r="A524" s="53"/>
      <c r="B524" s="53"/>
      <c r="C524" s="5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 customHeight="1">
      <c r="A525" s="53"/>
      <c r="B525" s="53"/>
      <c r="C525" s="5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 customHeight="1">
      <c r="A526" s="53"/>
      <c r="B526" s="53"/>
      <c r="C526" s="5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 customHeight="1">
      <c r="A527" s="53"/>
      <c r="B527" s="53"/>
      <c r="C527" s="5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 customHeight="1">
      <c r="A528" s="53"/>
      <c r="B528" s="53"/>
      <c r="C528" s="5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 customHeight="1">
      <c r="A529" s="53"/>
      <c r="B529" s="53"/>
      <c r="C529" s="5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 customHeight="1">
      <c r="A530" s="53"/>
      <c r="B530" s="53"/>
      <c r="C530" s="5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 customHeight="1">
      <c r="A531" s="53"/>
      <c r="B531" s="53"/>
      <c r="C531" s="5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 customHeight="1">
      <c r="A532" s="53"/>
      <c r="B532" s="53"/>
      <c r="C532" s="5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 customHeight="1">
      <c r="A533" s="53"/>
      <c r="B533" s="53"/>
      <c r="C533" s="5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 customHeight="1">
      <c r="A534" s="53"/>
      <c r="B534" s="53"/>
      <c r="C534" s="5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 customHeight="1">
      <c r="A535" s="53"/>
      <c r="B535" s="53"/>
      <c r="C535" s="5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 customHeight="1">
      <c r="A536" s="53"/>
      <c r="B536" s="53"/>
      <c r="C536" s="5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 customHeight="1">
      <c r="A537" s="53"/>
      <c r="B537" s="53"/>
      <c r="C537" s="5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 customHeight="1">
      <c r="A538" s="53"/>
      <c r="B538" s="53"/>
      <c r="C538" s="5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 customHeight="1">
      <c r="A539" s="53"/>
      <c r="B539" s="53"/>
      <c r="C539" s="5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 customHeight="1">
      <c r="A540" s="53"/>
      <c r="B540" s="53"/>
      <c r="C540" s="5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 customHeight="1">
      <c r="A541" s="53"/>
      <c r="B541" s="53"/>
      <c r="C541" s="5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 customHeight="1">
      <c r="A542" s="53"/>
      <c r="B542" s="53"/>
      <c r="C542" s="5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 customHeight="1">
      <c r="A543" s="53"/>
      <c r="B543" s="53"/>
      <c r="C543" s="5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 customHeight="1">
      <c r="A544" s="53"/>
      <c r="B544" s="53"/>
      <c r="C544" s="5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 customHeight="1">
      <c r="A545" s="53"/>
      <c r="B545" s="53"/>
      <c r="C545" s="5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 customHeight="1">
      <c r="A546" s="53"/>
      <c r="B546" s="53"/>
      <c r="C546" s="5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 customHeight="1">
      <c r="A547" s="53"/>
      <c r="B547" s="53"/>
      <c r="C547" s="5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 customHeight="1">
      <c r="A548" s="53"/>
      <c r="B548" s="53"/>
      <c r="C548" s="5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 customHeight="1">
      <c r="A549" s="53"/>
      <c r="B549" s="53"/>
      <c r="C549" s="5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 customHeight="1">
      <c r="A550" s="53"/>
      <c r="B550" s="53"/>
      <c r="C550" s="5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 customHeight="1">
      <c r="A551" s="53"/>
      <c r="B551" s="53"/>
      <c r="C551" s="5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 customHeight="1">
      <c r="A552" s="53"/>
      <c r="B552" s="53"/>
      <c r="C552" s="5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 customHeight="1">
      <c r="A553" s="53"/>
      <c r="B553" s="53"/>
      <c r="C553" s="5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 customHeight="1">
      <c r="A554" s="53"/>
      <c r="B554" s="53"/>
      <c r="C554" s="5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 customHeight="1">
      <c r="A555" s="53"/>
      <c r="B555" s="53"/>
      <c r="C555" s="5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 customHeight="1">
      <c r="A556" s="53"/>
      <c r="B556" s="53"/>
      <c r="C556" s="5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 customHeight="1">
      <c r="A557" s="53"/>
      <c r="B557" s="53"/>
      <c r="C557" s="5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 customHeight="1">
      <c r="A558" s="53"/>
      <c r="B558" s="53"/>
      <c r="C558" s="5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 customHeight="1">
      <c r="A559" s="53"/>
      <c r="B559" s="53"/>
      <c r="C559" s="5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 customHeight="1">
      <c r="A560" s="53"/>
      <c r="B560" s="53"/>
      <c r="C560" s="5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 customHeight="1">
      <c r="A561" s="53"/>
      <c r="B561" s="53"/>
      <c r="C561" s="5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 customHeight="1">
      <c r="A562" s="53"/>
      <c r="B562" s="53"/>
      <c r="C562" s="5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 customHeight="1">
      <c r="A563" s="53"/>
      <c r="B563" s="53"/>
      <c r="C563" s="5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 customHeight="1">
      <c r="A564" s="53"/>
      <c r="B564" s="53"/>
      <c r="C564" s="5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 customHeight="1">
      <c r="A565" s="53"/>
      <c r="B565" s="53"/>
      <c r="C565" s="5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 customHeight="1">
      <c r="A566" s="53"/>
      <c r="B566" s="53"/>
      <c r="C566" s="5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 customHeight="1">
      <c r="A567" s="53"/>
      <c r="B567" s="53"/>
      <c r="C567" s="5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 customHeight="1">
      <c r="A568" s="53"/>
      <c r="B568" s="53"/>
      <c r="C568" s="5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 customHeight="1">
      <c r="A569" s="53"/>
      <c r="B569" s="53"/>
      <c r="C569" s="5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 customHeight="1">
      <c r="A570" s="53"/>
      <c r="B570" s="53"/>
      <c r="C570" s="5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 customHeight="1">
      <c r="A571" s="53"/>
      <c r="B571" s="53"/>
      <c r="C571" s="5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 customHeight="1">
      <c r="A572" s="53"/>
      <c r="B572" s="53"/>
      <c r="C572" s="5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 customHeight="1">
      <c r="A573" s="53"/>
      <c r="B573" s="53"/>
      <c r="C573" s="5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 customHeight="1">
      <c r="A574" s="53"/>
      <c r="B574" s="53"/>
      <c r="C574" s="5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 customHeight="1">
      <c r="A575" s="53"/>
      <c r="B575" s="53"/>
      <c r="C575" s="5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 customHeight="1">
      <c r="A576" s="53"/>
      <c r="B576" s="53"/>
      <c r="C576" s="5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 customHeight="1">
      <c r="A577" s="53"/>
      <c r="B577" s="53"/>
      <c r="C577" s="5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 customHeight="1">
      <c r="A578" s="53"/>
      <c r="B578" s="53"/>
      <c r="C578" s="5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 customHeight="1">
      <c r="A579" s="53"/>
      <c r="B579" s="53"/>
      <c r="C579" s="5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row r="581" spans="1:26" ht="15.75" customHeight="1"/>
    <row r="582" spans="1:26" ht="15.75" customHeight="1"/>
    <row r="583" spans="1:26" ht="15.75" customHeight="1"/>
    <row r="584" spans="1:26" ht="15.75" customHeight="1"/>
    <row r="585" spans="1:26" ht="15.75" customHeight="1"/>
    <row r="586" spans="1:26" ht="15.75" customHeight="1"/>
    <row r="587" spans="1:26" ht="15.75" customHeight="1"/>
    <row r="588" spans="1:26" ht="15.75" customHeight="1"/>
    <row r="589" spans="1:26" ht="15.75" customHeight="1"/>
    <row r="590" spans="1:26" ht="15.75" customHeight="1"/>
    <row r="591" spans="1:26" ht="15.75" customHeight="1"/>
    <row r="592" spans="1:26"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pageMargins left="0.70866141732283472" right="0.70866141732283472" top="0.74803149606299213" bottom="0.74803149606299213" header="0" footer="0"/>
  <pageSetup orientation="landscape"/>
  <rowBreaks count="1" manualBreakCount="1">
    <brk id="26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1000"/>
  <sheetViews>
    <sheetView showGridLines="0" workbookViewId="0">
      <pane ySplit="14" topLeftCell="A15" activePane="bottomLeft" state="frozen"/>
      <selection pane="bottomLeft" activeCell="B16" sqref="B16"/>
    </sheetView>
  </sheetViews>
  <sheetFormatPr defaultColWidth="12.5703125" defaultRowHeight="15" customHeight="1"/>
  <cols>
    <col min="1" max="1" width="2.140625" customWidth="1"/>
    <col min="2" max="2" width="26.42578125" customWidth="1"/>
    <col min="3" max="3" width="6.28515625" customWidth="1"/>
    <col min="4" max="4" width="11.42578125" customWidth="1"/>
    <col min="5" max="5" width="1.42578125" customWidth="1"/>
    <col min="6" max="6" width="10.42578125" customWidth="1"/>
    <col min="7" max="7" width="8" customWidth="1"/>
    <col min="8" max="8" width="9.28515625" customWidth="1"/>
    <col min="9" max="9" width="1.28515625" customWidth="1"/>
    <col min="10" max="10" width="10.42578125" customWidth="1"/>
    <col min="11" max="11" width="8" customWidth="1"/>
    <col min="12" max="12" width="8.28515625" customWidth="1"/>
    <col min="13" max="13" width="2" customWidth="1"/>
    <col min="14" max="14" width="9.42578125" customWidth="1"/>
    <col min="15" max="15" width="10" customWidth="1"/>
    <col min="16" max="16" width="0.7109375" customWidth="1"/>
    <col min="17" max="17" width="10.42578125" customWidth="1"/>
    <col min="18" max="18" width="8" customWidth="1"/>
    <col min="19" max="19" width="8.28515625" customWidth="1"/>
    <col min="20" max="20" width="2" customWidth="1"/>
    <col min="21" max="21" width="9.42578125" customWidth="1"/>
    <col min="22" max="22" width="10" customWidth="1"/>
    <col min="23" max="23" width="0.85546875" customWidth="1"/>
    <col min="24" max="24" width="10.42578125" customWidth="1"/>
    <col min="25" max="25" width="8" customWidth="1"/>
    <col min="26" max="26" width="8.28515625" customWidth="1"/>
    <col min="27" max="27" width="2.85546875" customWidth="1"/>
    <col min="28" max="28" width="9.42578125" customWidth="1"/>
    <col min="29" max="29" width="10" customWidth="1"/>
    <col min="30" max="30" width="0.42578125" customWidth="1"/>
    <col min="31" max="31" width="10.42578125" customWidth="1"/>
    <col min="32" max="32" width="8" customWidth="1"/>
    <col min="33" max="33" width="8.28515625" customWidth="1"/>
    <col min="34" max="34" width="0.85546875" customWidth="1"/>
    <col min="35" max="35" width="9.42578125" customWidth="1"/>
    <col min="36" max="36" width="10" customWidth="1"/>
    <col min="37" max="37" width="1.140625" customWidth="1"/>
    <col min="38" max="38" width="10.42578125" customWidth="1"/>
    <col min="39" max="39" width="8" customWidth="1"/>
    <col min="40" max="40" width="8.28515625" customWidth="1"/>
    <col min="41" max="41" width="1" customWidth="1"/>
    <col min="42" max="42" width="9.42578125" customWidth="1"/>
    <col min="43" max="43" width="10" customWidth="1"/>
    <col min="44" max="44" width="12.42578125" customWidth="1"/>
  </cols>
  <sheetData>
    <row r="1" spans="1:44" ht="12" customHeight="1">
      <c r="A1" s="3"/>
      <c r="B1" s="3"/>
      <c r="C1" s="3"/>
      <c r="D1" s="3"/>
      <c r="E1" s="3"/>
      <c r="F1" s="3"/>
      <c r="G1" s="3"/>
      <c r="H1" s="3"/>
      <c r="I1" s="3"/>
      <c r="J1" s="3"/>
      <c r="K1" s="3"/>
      <c r="L1" s="3"/>
      <c r="M1" s="3"/>
      <c r="N1" s="3"/>
      <c r="O1" s="3"/>
      <c r="P1" s="3"/>
      <c r="Q1" s="3"/>
      <c r="R1" s="3"/>
      <c r="S1" s="628" t="s">
        <v>319</v>
      </c>
      <c r="T1" s="629"/>
      <c r="U1" s="629"/>
      <c r="V1" s="629"/>
      <c r="W1" s="629"/>
      <c r="X1" s="629"/>
      <c r="Y1" s="630"/>
      <c r="Z1" s="3"/>
      <c r="AA1" s="3"/>
      <c r="AB1" s="3"/>
      <c r="AC1" s="3"/>
      <c r="AD1" s="3"/>
      <c r="AE1" s="3"/>
      <c r="AF1" s="3"/>
      <c r="AG1" s="3"/>
      <c r="AH1" s="3"/>
      <c r="AI1" s="3"/>
      <c r="AJ1" s="3"/>
      <c r="AK1" s="3"/>
      <c r="AL1" s="3"/>
      <c r="AM1" s="3"/>
      <c r="AN1" s="3"/>
      <c r="AO1" s="3"/>
      <c r="AP1" s="3"/>
      <c r="AQ1" s="3"/>
      <c r="AR1" s="3"/>
    </row>
    <row r="2" spans="1:44" ht="12" customHeight="1">
      <c r="A2" s="53"/>
      <c r="B2" s="53"/>
      <c r="C2" s="373"/>
      <c r="D2" s="373"/>
      <c r="E2" s="373"/>
      <c r="F2" s="373" t="s">
        <v>320</v>
      </c>
      <c r="G2" s="373"/>
      <c r="H2" s="373"/>
      <c r="J2" s="53"/>
      <c r="K2" s="53"/>
      <c r="L2" s="53"/>
      <c r="M2" s="53"/>
      <c r="N2" s="53"/>
      <c r="O2" s="53"/>
      <c r="P2" s="53"/>
      <c r="Q2" s="53"/>
      <c r="R2" s="53"/>
      <c r="S2" s="374">
        <v>1</v>
      </c>
      <c r="T2" s="631" t="s">
        <v>321</v>
      </c>
      <c r="U2" s="632"/>
      <c r="V2" s="632"/>
      <c r="W2" s="632"/>
      <c r="X2" s="632"/>
      <c r="Y2" s="633"/>
      <c r="Z2" s="53"/>
      <c r="AA2" s="53"/>
      <c r="AB2" s="53"/>
      <c r="AC2" s="53"/>
      <c r="AD2" s="53"/>
      <c r="AE2" s="53"/>
      <c r="AF2" s="53"/>
      <c r="AG2" s="53"/>
      <c r="AH2" s="53"/>
      <c r="AI2" s="53"/>
      <c r="AJ2" s="53"/>
      <c r="AK2" s="53"/>
      <c r="AL2" s="53"/>
      <c r="AM2" s="53"/>
      <c r="AN2" s="53"/>
      <c r="AO2" s="53"/>
      <c r="AP2" s="53"/>
      <c r="AQ2" s="53"/>
    </row>
    <row r="3" spans="1:44" ht="12" customHeight="1">
      <c r="A3" s="53"/>
      <c r="B3" s="53"/>
      <c r="C3" s="373"/>
      <c r="D3" s="373"/>
      <c r="E3" s="373"/>
      <c r="F3" s="373" t="s">
        <v>322</v>
      </c>
      <c r="G3" s="373"/>
      <c r="H3" s="37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row>
    <row r="4" spans="1:44" ht="12" customHeight="1">
      <c r="A4" s="53"/>
      <c r="B4" s="53"/>
      <c r="C4" s="53"/>
      <c r="D4" s="53"/>
      <c r="E4" s="53"/>
      <c r="F4" s="53"/>
      <c r="G4" s="53"/>
      <c r="H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row>
    <row r="5" spans="1:44" ht="12" customHeight="1">
      <c r="A5" s="53"/>
      <c r="B5" s="53"/>
      <c r="C5" s="53"/>
      <c r="D5" s="53"/>
      <c r="E5" s="53"/>
      <c r="F5" s="53"/>
      <c r="G5" s="53"/>
      <c r="H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row>
    <row r="6" spans="1:44" ht="12" customHeight="1">
      <c r="A6" s="53"/>
      <c r="B6" s="327" t="s">
        <v>323</v>
      </c>
      <c r="C6" s="53"/>
      <c r="D6" s="375" t="s">
        <v>247</v>
      </c>
      <c r="E6" s="375"/>
      <c r="F6" s="376"/>
      <c r="G6" s="376"/>
      <c r="H6" s="376"/>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3"/>
    </row>
    <row r="7" spans="1:44" ht="12" customHeight="1">
      <c r="A7" s="53"/>
      <c r="B7" s="377"/>
      <c r="C7" s="53"/>
      <c r="D7" s="378"/>
      <c r="E7" s="378"/>
      <c r="F7" s="378"/>
      <c r="G7" s="378"/>
      <c r="H7" s="378"/>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row>
    <row r="8" spans="1:44" ht="12" customHeight="1">
      <c r="A8" s="53"/>
      <c r="B8" s="327" t="s">
        <v>324</v>
      </c>
      <c r="C8" s="53"/>
      <c r="D8" s="379" t="s">
        <v>325</v>
      </c>
      <c r="E8" s="378"/>
      <c r="F8" s="378"/>
      <c r="G8" s="378"/>
      <c r="H8" s="378"/>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row>
    <row r="9" spans="1:44" ht="12" customHeight="1">
      <c r="A9" s="53"/>
      <c r="B9" s="377"/>
      <c r="C9" s="53"/>
      <c r="D9" s="378"/>
      <c r="E9" s="378"/>
      <c r="F9" s="378"/>
      <c r="G9" s="378"/>
      <c r="H9" s="378"/>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row>
    <row r="10" spans="1:44" ht="12" customHeight="1">
      <c r="A10" s="53"/>
      <c r="B10" s="53"/>
      <c r="C10" s="53"/>
      <c r="D10" s="314" t="s">
        <v>326</v>
      </c>
      <c r="E10" s="314"/>
      <c r="F10" s="380">
        <v>100</v>
      </c>
      <c r="G10" s="314" t="s">
        <v>327</v>
      </c>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row>
    <row r="11" spans="1:44" ht="12" customHeight="1">
      <c r="A11" s="53"/>
      <c r="B11" s="53"/>
      <c r="C11" s="53"/>
      <c r="D11" s="53"/>
      <c r="E11" s="53"/>
      <c r="F11" s="381">
        <v>4</v>
      </c>
      <c r="G11" s="381"/>
      <c r="H11" s="381" t="str">
        <f>F12</f>
        <v>2025F</v>
      </c>
      <c r="I11" s="381"/>
      <c r="J11" s="381">
        <v>5</v>
      </c>
      <c r="K11" s="381"/>
      <c r="L11" s="381" t="str">
        <f>J12</f>
        <v>2026F</v>
      </c>
      <c r="M11" s="381"/>
      <c r="N11" s="381"/>
      <c r="O11" s="381" t="str">
        <f>L11&amp;"%"</f>
        <v>2026F%</v>
      </c>
      <c r="P11" s="381"/>
      <c r="Q11" s="381">
        <v>6</v>
      </c>
      <c r="R11" s="381"/>
      <c r="S11" s="381" t="str">
        <f>Q12</f>
        <v>2027F</v>
      </c>
      <c r="T11" s="381"/>
      <c r="U11" s="381"/>
      <c r="V11" s="381" t="str">
        <f>S11&amp;"%"</f>
        <v>2027F%</v>
      </c>
      <c r="W11" s="381"/>
      <c r="X11" s="381">
        <v>7</v>
      </c>
      <c r="Y11" s="381"/>
      <c r="Z11" s="381" t="str">
        <f>X12</f>
        <v>2028F</v>
      </c>
      <c r="AA11" s="381"/>
      <c r="AB11" s="381"/>
      <c r="AC11" s="381" t="str">
        <f>Z11&amp;"%"</f>
        <v>2028F%</v>
      </c>
      <c r="AD11" s="381"/>
      <c r="AE11" s="381">
        <v>8</v>
      </c>
      <c r="AF11" s="381"/>
      <c r="AG11" s="381" t="str">
        <f>AE12</f>
        <v>2029F</v>
      </c>
      <c r="AH11" s="381"/>
      <c r="AI11" s="381"/>
      <c r="AJ11" s="381" t="str">
        <f>AG11&amp;"%"</f>
        <v>2029F%</v>
      </c>
      <c r="AK11" s="381"/>
      <c r="AL11" s="381">
        <v>9</v>
      </c>
      <c r="AM11" s="381"/>
      <c r="AN11" s="381" t="str">
        <f>AL12</f>
        <v>2030F</v>
      </c>
      <c r="AO11" s="381"/>
      <c r="AP11" s="381"/>
      <c r="AQ11" s="381" t="str">
        <f>AN11&amp;"%"</f>
        <v>2030F%</v>
      </c>
    </row>
    <row r="12" spans="1:44" ht="12" customHeight="1">
      <c r="A12" s="53"/>
      <c r="B12" s="53"/>
      <c r="C12" s="53"/>
      <c r="D12" s="314"/>
      <c r="E12" s="314"/>
      <c r="F12" s="620" t="s">
        <v>243</v>
      </c>
      <c r="G12" s="586"/>
      <c r="H12" s="587"/>
      <c r="I12" s="53"/>
      <c r="J12" s="620" t="s">
        <v>2</v>
      </c>
      <c r="K12" s="586"/>
      <c r="L12" s="587"/>
      <c r="M12" s="53"/>
      <c r="N12" s="621" t="str">
        <f>"Impact "&amp;F12&amp;" vs "&amp;J12</f>
        <v>Impact 2025F vs 2026F</v>
      </c>
      <c r="O12" s="587"/>
      <c r="P12" s="53"/>
      <c r="Q12" s="620" t="s">
        <v>3</v>
      </c>
      <c r="R12" s="586"/>
      <c r="S12" s="587"/>
      <c r="T12" s="53"/>
      <c r="U12" s="621" t="str">
        <f>"Impact "&amp;J12&amp;" vs "&amp;Q12</f>
        <v>Impact 2026F vs 2027F</v>
      </c>
      <c r="V12" s="587"/>
      <c r="W12" s="53"/>
      <c r="X12" s="620" t="s">
        <v>4</v>
      </c>
      <c r="Y12" s="586"/>
      <c r="Z12" s="587"/>
      <c r="AA12" s="53"/>
      <c r="AB12" s="621" t="str">
        <f>"Impact "&amp;Q12&amp;" vs "&amp;X12</f>
        <v>Impact 2027F vs 2028F</v>
      </c>
      <c r="AC12" s="587"/>
      <c r="AD12" s="53"/>
      <c r="AE12" s="620" t="s">
        <v>5</v>
      </c>
      <c r="AF12" s="586"/>
      <c r="AG12" s="587"/>
      <c r="AH12" s="53"/>
      <c r="AI12" s="621" t="str">
        <f>"Impact "&amp;X12&amp;" vs "&amp;AE12</f>
        <v>Impact 2028F vs 2029F</v>
      </c>
      <c r="AJ12" s="587"/>
      <c r="AK12" s="317"/>
      <c r="AL12" s="620" t="s">
        <v>6</v>
      </c>
      <c r="AM12" s="586"/>
      <c r="AN12" s="587"/>
      <c r="AO12" s="53"/>
      <c r="AP12" s="621" t="str">
        <f>"Impact "&amp;AE12&amp;" vs "&amp;AL12</f>
        <v>Impact 2029F vs 2030F</v>
      </c>
      <c r="AQ12" s="587"/>
    </row>
    <row r="13" spans="1:44" ht="12" customHeight="1">
      <c r="A13" s="53"/>
      <c r="B13" s="53"/>
      <c r="C13" s="53"/>
      <c r="D13" s="634" t="s">
        <v>328</v>
      </c>
      <c r="E13" s="317"/>
      <c r="F13" s="383" t="s">
        <v>329</v>
      </c>
      <c r="G13" s="384" t="s">
        <v>330</v>
      </c>
      <c r="H13" s="385" t="s">
        <v>331</v>
      </c>
      <c r="I13" s="53"/>
      <c r="J13" s="383" t="s">
        <v>329</v>
      </c>
      <c r="K13" s="384" t="s">
        <v>330</v>
      </c>
      <c r="L13" s="385" t="s">
        <v>331</v>
      </c>
      <c r="M13" s="53"/>
      <c r="N13" s="622" t="s">
        <v>332</v>
      </c>
      <c r="O13" s="624" t="s">
        <v>333</v>
      </c>
      <c r="P13" s="53"/>
      <c r="Q13" s="383" t="s">
        <v>329</v>
      </c>
      <c r="R13" s="384" t="s">
        <v>330</v>
      </c>
      <c r="S13" s="385" t="s">
        <v>331</v>
      </c>
      <c r="T13" s="53"/>
      <c r="U13" s="622" t="s">
        <v>332</v>
      </c>
      <c r="V13" s="624" t="s">
        <v>333</v>
      </c>
      <c r="W13" s="53"/>
      <c r="X13" s="383" t="s">
        <v>329</v>
      </c>
      <c r="Y13" s="384" t="s">
        <v>330</v>
      </c>
      <c r="Z13" s="385" t="s">
        <v>331</v>
      </c>
      <c r="AA13" s="53"/>
      <c r="AB13" s="622" t="s">
        <v>332</v>
      </c>
      <c r="AC13" s="624" t="s">
        <v>333</v>
      </c>
      <c r="AD13" s="53"/>
      <c r="AE13" s="383" t="s">
        <v>329</v>
      </c>
      <c r="AF13" s="384" t="s">
        <v>330</v>
      </c>
      <c r="AG13" s="385" t="s">
        <v>331</v>
      </c>
      <c r="AH13" s="53"/>
      <c r="AI13" s="622" t="s">
        <v>332</v>
      </c>
      <c r="AJ13" s="624" t="s">
        <v>333</v>
      </c>
      <c r="AK13" s="382"/>
      <c r="AL13" s="383" t="s">
        <v>329</v>
      </c>
      <c r="AM13" s="384" t="s">
        <v>330</v>
      </c>
      <c r="AN13" s="385" t="s">
        <v>331</v>
      </c>
      <c r="AO13" s="53"/>
      <c r="AP13" s="622" t="s">
        <v>332</v>
      </c>
      <c r="AQ13" s="624" t="s">
        <v>333</v>
      </c>
    </row>
    <row r="14" spans="1:44" ht="12" customHeight="1">
      <c r="A14" s="53"/>
      <c r="B14" s="53"/>
      <c r="C14" s="53"/>
      <c r="D14" s="616"/>
      <c r="E14" s="317"/>
      <c r="F14" s="386" t="s">
        <v>334</v>
      </c>
      <c r="G14" s="387"/>
      <c r="H14" s="388" t="s">
        <v>334</v>
      </c>
      <c r="I14" s="53"/>
      <c r="J14" s="386" t="s">
        <v>334</v>
      </c>
      <c r="K14" s="387"/>
      <c r="L14" s="388" t="s">
        <v>334</v>
      </c>
      <c r="M14" s="53"/>
      <c r="N14" s="623"/>
      <c r="O14" s="625"/>
      <c r="P14" s="53"/>
      <c r="Q14" s="386" t="s">
        <v>334</v>
      </c>
      <c r="R14" s="387"/>
      <c r="S14" s="388" t="s">
        <v>334</v>
      </c>
      <c r="T14" s="53"/>
      <c r="U14" s="623"/>
      <c r="V14" s="625"/>
      <c r="W14" s="53"/>
      <c r="X14" s="386" t="s">
        <v>334</v>
      </c>
      <c r="Y14" s="387"/>
      <c r="Z14" s="388" t="s">
        <v>334</v>
      </c>
      <c r="AA14" s="53"/>
      <c r="AB14" s="623"/>
      <c r="AC14" s="625"/>
      <c r="AD14" s="53"/>
      <c r="AE14" s="386" t="s">
        <v>334</v>
      </c>
      <c r="AF14" s="387"/>
      <c r="AG14" s="388" t="s">
        <v>334</v>
      </c>
      <c r="AH14" s="53"/>
      <c r="AI14" s="623"/>
      <c r="AJ14" s="625"/>
      <c r="AK14" s="382"/>
      <c r="AL14" s="386" t="s">
        <v>334</v>
      </c>
      <c r="AM14" s="387"/>
      <c r="AN14" s="388" t="s">
        <v>334</v>
      </c>
      <c r="AO14" s="53"/>
      <c r="AP14" s="623"/>
      <c r="AQ14" s="625"/>
    </row>
    <row r="15" spans="1:44" ht="12" customHeight="1">
      <c r="A15" s="53"/>
      <c r="B15" s="328" t="s">
        <v>246</v>
      </c>
      <c r="C15" s="389" t="str">
        <f t="shared" ref="C15:C28" si="0">D$6&amp;"."&amp;B15</f>
        <v>Residential.Monthly Service Charge</v>
      </c>
      <c r="D15" s="390" t="s">
        <v>335</v>
      </c>
      <c r="E15" s="328"/>
      <c r="F15" s="391">
        <f>IFERROR(VLOOKUP($C15,'Proposed Rates'!$B:$J,F$11,FALSE),0)</f>
        <v>34.26</v>
      </c>
      <c r="G15" s="392">
        <f t="shared" ref="G15:G28" si="1">IF($D15="Monthly",1,IF($D15="per KWH",$F$10,0))</f>
        <v>1</v>
      </c>
      <c r="H15" s="393">
        <f t="shared" ref="H15:H28" si="2">G15*F15</f>
        <v>34.26</v>
      </c>
      <c r="I15" s="53"/>
      <c r="J15" s="391">
        <f>IFERROR(VLOOKUP($C15,'Proposed Rates'!$B:$J,J$11,FALSE),0)</f>
        <v>39.200000000000003</v>
      </c>
      <c r="K15" s="392">
        <f t="shared" ref="K15:K28" si="3">IF($D15="Monthly",1,IF($D15="per KWH",$F$10,0))</f>
        <v>1</v>
      </c>
      <c r="L15" s="394">
        <f t="shared" ref="L15:L28" si="4">K15*J15</f>
        <v>39.200000000000003</v>
      </c>
      <c r="M15" s="138"/>
      <c r="N15" s="395">
        <f t="shared" ref="N15:N48" si="5">L15-H15</f>
        <v>4.9400000000000048</v>
      </c>
      <c r="O15" s="396">
        <f t="shared" ref="O15:O48" si="6">IF((H15)=0,"",(N15/H15))</f>
        <v>0.14419147694103926</v>
      </c>
      <c r="P15" s="53"/>
      <c r="Q15" s="391">
        <f>IFERROR(VLOOKUP($C15,'Proposed Rates'!$B:$J,Q$11,FALSE),0)</f>
        <v>41.1</v>
      </c>
      <c r="R15" s="392">
        <f t="shared" ref="R15:R28" si="7">IF($D15="Monthly",1,IF($D15="per KWH",$F$10,0))</f>
        <v>1</v>
      </c>
      <c r="S15" s="394">
        <f t="shared" ref="S15:S28" si="8">R15*Q15</f>
        <v>41.1</v>
      </c>
      <c r="T15" s="138"/>
      <c r="U15" s="395">
        <f t="shared" ref="U15:U48" si="9">S15-L15</f>
        <v>1.8999999999999986</v>
      </c>
      <c r="V15" s="396">
        <f t="shared" ref="V15:V48" si="10">IF((L15)=0,"",(U15/L15))</f>
        <v>4.8469387755102004E-2</v>
      </c>
      <c r="W15" s="53"/>
      <c r="X15" s="391">
        <f>IFERROR(VLOOKUP($C15,'Proposed Rates'!$B:$J,X$11,FALSE),0)</f>
        <v>43.93</v>
      </c>
      <c r="Y15" s="392">
        <f t="shared" ref="Y15:Y28" si="11">IF($D15="Monthly",1,IF($D15="per KWH",$F$10,0))</f>
        <v>1</v>
      </c>
      <c r="Z15" s="394">
        <f t="shared" ref="Z15:Z28" si="12">Y15*X15</f>
        <v>43.93</v>
      </c>
      <c r="AA15" s="138"/>
      <c r="AB15" s="395">
        <f t="shared" ref="AB15:AB48" si="13">Z15-S15</f>
        <v>2.8299999999999983</v>
      </c>
      <c r="AC15" s="396">
        <f t="shared" ref="AC15:AC48" si="14">IF((S15)=0,"",(AB15/S15))</f>
        <v>6.8856447688564429E-2</v>
      </c>
      <c r="AD15" s="53"/>
      <c r="AE15" s="391">
        <f>IFERROR(VLOOKUP($C15,'Proposed Rates'!$B:$J,AE$11,FALSE),0)</f>
        <v>45.42</v>
      </c>
      <c r="AF15" s="392">
        <f t="shared" ref="AF15:AF28" si="15">IF($D15="Monthly",1,IF($D15="per KWH",$F$10,0))</f>
        <v>1</v>
      </c>
      <c r="AG15" s="394">
        <f t="shared" ref="AG15:AG28" si="16">AF15*AE15</f>
        <v>45.42</v>
      </c>
      <c r="AH15" s="138"/>
      <c r="AI15" s="395">
        <f t="shared" ref="AI15:AI48" si="17">AG15-Z15</f>
        <v>1.490000000000002</v>
      </c>
      <c r="AJ15" s="396">
        <f t="shared" ref="AJ15:AJ48" si="18">IF((Z15)=0,"",(AI15/Z15))</f>
        <v>3.3917596175734165E-2</v>
      </c>
      <c r="AK15" s="397"/>
      <c r="AL15" s="391">
        <f>IFERROR(VLOOKUP($C15,'Proposed Rates'!$B:$J,AL$11,FALSE),0)</f>
        <v>46.78</v>
      </c>
      <c r="AM15" s="392">
        <f t="shared" ref="AM15:AM28" si="19">IF($D15="Monthly",1,IF($D15="per KWH",$F$10,0))</f>
        <v>1</v>
      </c>
      <c r="AN15" s="394">
        <f t="shared" ref="AN15:AN28" si="20">AM15*AL15</f>
        <v>46.78</v>
      </c>
      <c r="AO15" s="138"/>
      <c r="AP15" s="395">
        <f t="shared" ref="AP15:AP48" si="21">AN15-AG15</f>
        <v>1.3599999999999994</v>
      </c>
      <c r="AQ15" s="396">
        <f t="shared" ref="AQ15:AQ48" si="22">IF((AG15)=0,"",(AP15/AG15))</f>
        <v>2.9942756494936138E-2</v>
      </c>
    </row>
    <row r="16" spans="1:44" ht="12" customHeight="1">
      <c r="A16" s="53"/>
      <c r="B16" s="328" t="s">
        <v>336</v>
      </c>
      <c r="C16" s="389" t="str">
        <f t="shared" si="0"/>
        <v>Residential.Smart Meter Rate Adder</v>
      </c>
      <c r="D16" s="390" t="s">
        <v>335</v>
      </c>
      <c r="E16" s="328"/>
      <c r="F16" s="391">
        <f>IFERROR(VLOOKUP($C16,'Proposed Rates'!$B:$J,F$11,FALSE),0)</f>
        <v>0</v>
      </c>
      <c r="G16" s="392">
        <f t="shared" si="1"/>
        <v>1</v>
      </c>
      <c r="H16" s="393">
        <f t="shared" si="2"/>
        <v>0</v>
      </c>
      <c r="I16" s="53"/>
      <c r="J16" s="391">
        <f>IFERROR(VLOOKUP($C16,'Proposed Rates'!$B:$J,J$11,FALSE),0)</f>
        <v>0</v>
      </c>
      <c r="K16" s="392">
        <f t="shared" si="3"/>
        <v>1</v>
      </c>
      <c r="L16" s="394">
        <f t="shared" si="4"/>
        <v>0</v>
      </c>
      <c r="M16" s="138"/>
      <c r="N16" s="395">
        <f t="shared" si="5"/>
        <v>0</v>
      </c>
      <c r="O16" s="396" t="str">
        <f t="shared" si="6"/>
        <v/>
      </c>
      <c r="P16" s="53"/>
      <c r="Q16" s="391">
        <f>IFERROR(VLOOKUP($C16,'Proposed Rates'!$B:$J,Q$11,FALSE),0)</f>
        <v>0</v>
      </c>
      <c r="R16" s="392">
        <f t="shared" si="7"/>
        <v>1</v>
      </c>
      <c r="S16" s="394">
        <f t="shared" si="8"/>
        <v>0</v>
      </c>
      <c r="T16" s="138"/>
      <c r="U16" s="395">
        <f t="shared" si="9"/>
        <v>0</v>
      </c>
      <c r="V16" s="396" t="str">
        <f t="shared" si="10"/>
        <v/>
      </c>
      <c r="W16" s="53"/>
      <c r="X16" s="391">
        <f>IFERROR(VLOOKUP($C16,'Proposed Rates'!$B:$J,X$11,FALSE),0)</f>
        <v>0</v>
      </c>
      <c r="Y16" s="392">
        <f t="shared" si="11"/>
        <v>1</v>
      </c>
      <c r="Z16" s="394">
        <f t="shared" si="12"/>
        <v>0</v>
      </c>
      <c r="AA16" s="138"/>
      <c r="AB16" s="395">
        <f t="shared" si="13"/>
        <v>0</v>
      </c>
      <c r="AC16" s="396" t="str">
        <f t="shared" si="14"/>
        <v/>
      </c>
      <c r="AD16" s="53"/>
      <c r="AE16" s="391">
        <f>IFERROR(VLOOKUP($C16,'Proposed Rates'!$B:$J,AE$11,FALSE),0)</f>
        <v>0</v>
      </c>
      <c r="AF16" s="392">
        <f t="shared" si="15"/>
        <v>1</v>
      </c>
      <c r="AG16" s="394">
        <f t="shared" si="16"/>
        <v>0</v>
      </c>
      <c r="AH16" s="138"/>
      <c r="AI16" s="395">
        <f t="shared" si="17"/>
        <v>0</v>
      </c>
      <c r="AJ16" s="396" t="str">
        <f t="shared" si="18"/>
        <v/>
      </c>
      <c r="AK16" s="397"/>
      <c r="AL16" s="391">
        <f>IFERROR(VLOOKUP($C16,'Proposed Rates'!$B:$J,AL$11,FALSE),0)</f>
        <v>0</v>
      </c>
      <c r="AM16" s="392">
        <f t="shared" si="19"/>
        <v>1</v>
      </c>
      <c r="AN16" s="394">
        <f t="shared" si="20"/>
        <v>0</v>
      </c>
      <c r="AO16" s="138"/>
      <c r="AP16" s="395">
        <f t="shared" si="21"/>
        <v>0</v>
      </c>
      <c r="AQ16" s="396" t="str">
        <f t="shared" si="22"/>
        <v/>
      </c>
    </row>
    <row r="17" spans="1:43" ht="12" customHeight="1">
      <c r="A17" s="53"/>
      <c r="B17" s="398" t="str">
        <f>'Proposed Rates'!C115</f>
        <v>Rate Rider Calculation for Forgone Revenue - variable</v>
      </c>
      <c r="C17" s="389" t="str">
        <f t="shared" si="0"/>
        <v>Residential.Rate Rider Calculation for Forgone Revenue - variable</v>
      </c>
      <c r="D17" s="390" t="s">
        <v>337</v>
      </c>
      <c r="E17" s="328"/>
      <c r="F17" s="391">
        <f>IFERROR(VLOOKUP($C17,'Proposed Rates'!$B:$J,F$11,FALSE),0)</f>
        <v>0</v>
      </c>
      <c r="G17" s="392">
        <f t="shared" si="1"/>
        <v>100</v>
      </c>
      <c r="H17" s="393">
        <f t="shared" si="2"/>
        <v>0</v>
      </c>
      <c r="I17" s="53"/>
      <c r="J17" s="391">
        <f>IFERROR(VLOOKUP($C17,'Proposed Rates'!$B:$J,J$11,FALSE),0)</f>
        <v>0</v>
      </c>
      <c r="K17" s="392">
        <f t="shared" si="3"/>
        <v>100</v>
      </c>
      <c r="L17" s="394">
        <f t="shared" si="4"/>
        <v>0</v>
      </c>
      <c r="M17" s="138"/>
      <c r="N17" s="395">
        <f t="shared" si="5"/>
        <v>0</v>
      </c>
      <c r="O17" s="396" t="str">
        <f t="shared" si="6"/>
        <v/>
      </c>
      <c r="P17" s="53"/>
      <c r="Q17" s="391">
        <f>IFERROR(VLOOKUP($C17,'Proposed Rates'!$B:$J,Q$11,FALSE),0)</f>
        <v>0</v>
      </c>
      <c r="R17" s="392">
        <f t="shared" si="7"/>
        <v>100</v>
      </c>
      <c r="S17" s="394">
        <f t="shared" si="8"/>
        <v>0</v>
      </c>
      <c r="T17" s="138"/>
      <c r="U17" s="395">
        <f t="shared" si="9"/>
        <v>0</v>
      </c>
      <c r="V17" s="396" t="str">
        <f t="shared" si="10"/>
        <v/>
      </c>
      <c r="W17" s="53"/>
      <c r="X17" s="391">
        <f>IFERROR(VLOOKUP($C17,'Proposed Rates'!$B:$J,X$11,FALSE),0)</f>
        <v>0</v>
      </c>
      <c r="Y17" s="392">
        <f t="shared" si="11"/>
        <v>100</v>
      </c>
      <c r="Z17" s="394">
        <f t="shared" si="12"/>
        <v>0</v>
      </c>
      <c r="AA17" s="138"/>
      <c r="AB17" s="395">
        <f t="shared" si="13"/>
        <v>0</v>
      </c>
      <c r="AC17" s="396" t="str">
        <f t="shared" si="14"/>
        <v/>
      </c>
      <c r="AD17" s="53"/>
      <c r="AE17" s="391">
        <f>IFERROR(VLOOKUP($C17,'Proposed Rates'!$B:$J,AE$11,FALSE),0)</f>
        <v>0</v>
      </c>
      <c r="AF17" s="392">
        <f t="shared" si="15"/>
        <v>100</v>
      </c>
      <c r="AG17" s="394">
        <f t="shared" si="16"/>
        <v>0</v>
      </c>
      <c r="AH17" s="138"/>
      <c r="AI17" s="395">
        <f t="shared" si="17"/>
        <v>0</v>
      </c>
      <c r="AJ17" s="396" t="str">
        <f t="shared" si="18"/>
        <v/>
      </c>
      <c r="AK17" s="397"/>
      <c r="AL17" s="391">
        <f>IFERROR(VLOOKUP($C17,'Proposed Rates'!$B:$J,AL$11,FALSE),0)</f>
        <v>0</v>
      </c>
      <c r="AM17" s="392">
        <f t="shared" si="19"/>
        <v>100</v>
      </c>
      <c r="AN17" s="394">
        <f t="shared" si="20"/>
        <v>0</v>
      </c>
      <c r="AO17" s="138"/>
      <c r="AP17" s="395">
        <f t="shared" si="21"/>
        <v>0</v>
      </c>
      <c r="AQ17" s="396" t="str">
        <f t="shared" si="22"/>
        <v/>
      </c>
    </row>
    <row r="18" spans="1:43" ht="12" customHeight="1">
      <c r="A18" s="53"/>
      <c r="B18" s="398" t="str">
        <f>'Proposed Rates'!C128</f>
        <v>Rate Rider Calculation for Forgone Revenue - fixed</v>
      </c>
      <c r="C18" s="389" t="str">
        <f t="shared" si="0"/>
        <v>Residential.Rate Rider Calculation for Forgone Revenue - fixed</v>
      </c>
      <c r="D18" s="390" t="s">
        <v>335</v>
      </c>
      <c r="E18" s="328"/>
      <c r="F18" s="391">
        <f>IFERROR(VLOOKUP($C18,'Proposed Rates'!$B:$J,F$11,FALSE),0)</f>
        <v>0</v>
      </c>
      <c r="G18" s="392">
        <f t="shared" si="1"/>
        <v>1</v>
      </c>
      <c r="H18" s="393">
        <f t="shared" si="2"/>
        <v>0</v>
      </c>
      <c r="I18" s="53"/>
      <c r="J18" s="391">
        <f>IFERROR(VLOOKUP($C18,'Proposed Rates'!$B:$J,J$11,FALSE),0)</f>
        <v>1.84</v>
      </c>
      <c r="K18" s="392">
        <f t="shared" si="3"/>
        <v>1</v>
      </c>
      <c r="L18" s="394">
        <f t="shared" si="4"/>
        <v>1.84</v>
      </c>
      <c r="M18" s="138"/>
      <c r="N18" s="395">
        <f t="shared" si="5"/>
        <v>1.84</v>
      </c>
      <c r="O18" s="396" t="str">
        <f t="shared" si="6"/>
        <v/>
      </c>
      <c r="P18" s="53"/>
      <c r="Q18" s="391">
        <f>IFERROR(VLOOKUP($C18,'Proposed Rates'!$B:$J,Q$11,FALSE),0)</f>
        <v>1.84</v>
      </c>
      <c r="R18" s="392">
        <f t="shared" si="7"/>
        <v>1</v>
      </c>
      <c r="S18" s="394">
        <f t="shared" si="8"/>
        <v>1.84</v>
      </c>
      <c r="T18" s="138"/>
      <c r="U18" s="395">
        <f t="shared" si="9"/>
        <v>0</v>
      </c>
      <c r="V18" s="396">
        <f t="shared" si="10"/>
        <v>0</v>
      </c>
      <c r="W18" s="53"/>
      <c r="X18" s="391">
        <f>IFERROR(VLOOKUP($C18,'Proposed Rates'!$B:$J,X$11,FALSE),0)</f>
        <v>0</v>
      </c>
      <c r="Y18" s="392">
        <f t="shared" si="11"/>
        <v>1</v>
      </c>
      <c r="Z18" s="394">
        <f t="shared" si="12"/>
        <v>0</v>
      </c>
      <c r="AA18" s="138"/>
      <c r="AB18" s="395">
        <f t="shared" si="13"/>
        <v>-1.84</v>
      </c>
      <c r="AC18" s="396">
        <f t="shared" si="14"/>
        <v>-1</v>
      </c>
      <c r="AD18" s="53"/>
      <c r="AE18" s="391">
        <f>IFERROR(VLOOKUP($C18,'Proposed Rates'!$B:$J,AE$11,FALSE),0)</f>
        <v>0</v>
      </c>
      <c r="AF18" s="392">
        <f t="shared" si="15"/>
        <v>1</v>
      </c>
      <c r="AG18" s="394">
        <f t="shared" si="16"/>
        <v>0</v>
      </c>
      <c r="AH18" s="138"/>
      <c r="AI18" s="395">
        <f t="shared" si="17"/>
        <v>0</v>
      </c>
      <c r="AJ18" s="396" t="str">
        <f t="shared" si="18"/>
        <v/>
      </c>
      <c r="AK18" s="397"/>
      <c r="AL18" s="391">
        <f>IFERROR(VLOOKUP($C18,'Proposed Rates'!$B:$J,AL$11,FALSE),0)</f>
        <v>0</v>
      </c>
      <c r="AM18" s="392">
        <f t="shared" si="19"/>
        <v>1</v>
      </c>
      <c r="AN18" s="394">
        <f t="shared" si="20"/>
        <v>0</v>
      </c>
      <c r="AO18" s="138"/>
      <c r="AP18" s="395">
        <f t="shared" si="21"/>
        <v>0</v>
      </c>
      <c r="AQ18" s="396" t="str">
        <f t="shared" si="22"/>
        <v/>
      </c>
    </row>
    <row r="19" spans="1:43" ht="12" customHeight="1">
      <c r="A19" s="53"/>
      <c r="B19" s="328" t="s">
        <v>62</v>
      </c>
      <c r="C19" s="389" t="str">
        <f t="shared" si="0"/>
        <v>Residential.Distribution Volumetric Rate</v>
      </c>
      <c r="D19" s="390" t="s">
        <v>337</v>
      </c>
      <c r="E19" s="328"/>
      <c r="F19" s="391">
        <f>IFERROR(VLOOKUP($C19,'Proposed Rates'!$B:$J,F$11,FALSE),0)</f>
        <v>0</v>
      </c>
      <c r="G19" s="392">
        <f t="shared" si="1"/>
        <v>100</v>
      </c>
      <c r="H19" s="393">
        <f t="shared" si="2"/>
        <v>0</v>
      </c>
      <c r="I19" s="53"/>
      <c r="J19" s="391">
        <f>IFERROR(VLOOKUP($C19,'Proposed Rates'!$B:$J,J$11,FALSE),0)</f>
        <v>0</v>
      </c>
      <c r="K19" s="392">
        <f t="shared" si="3"/>
        <v>100</v>
      </c>
      <c r="L19" s="394">
        <f t="shared" si="4"/>
        <v>0</v>
      </c>
      <c r="M19" s="138"/>
      <c r="N19" s="395">
        <f t="shared" si="5"/>
        <v>0</v>
      </c>
      <c r="O19" s="396" t="str">
        <f t="shared" si="6"/>
        <v/>
      </c>
      <c r="P19" s="53"/>
      <c r="Q19" s="391">
        <f>IFERROR(VLOOKUP($C19,'Proposed Rates'!$B:$J,Q$11,FALSE),0)</f>
        <v>0</v>
      </c>
      <c r="R19" s="392">
        <f t="shared" si="7"/>
        <v>100</v>
      </c>
      <c r="S19" s="394">
        <f t="shared" si="8"/>
        <v>0</v>
      </c>
      <c r="T19" s="138"/>
      <c r="U19" s="395">
        <f t="shared" si="9"/>
        <v>0</v>
      </c>
      <c r="V19" s="396" t="str">
        <f t="shared" si="10"/>
        <v/>
      </c>
      <c r="W19" s="53"/>
      <c r="X19" s="391">
        <f>IFERROR(VLOOKUP($C19,'Proposed Rates'!$B:$J,X$11,FALSE),0)</f>
        <v>0</v>
      </c>
      <c r="Y19" s="392">
        <f t="shared" si="11"/>
        <v>100</v>
      </c>
      <c r="Z19" s="394">
        <f t="shared" si="12"/>
        <v>0</v>
      </c>
      <c r="AA19" s="138"/>
      <c r="AB19" s="395">
        <f t="shared" si="13"/>
        <v>0</v>
      </c>
      <c r="AC19" s="396" t="str">
        <f t="shared" si="14"/>
        <v/>
      </c>
      <c r="AD19" s="53"/>
      <c r="AE19" s="391">
        <f>IFERROR(VLOOKUP($C19,'Proposed Rates'!$B:$J,AE$11,FALSE),0)</f>
        <v>0</v>
      </c>
      <c r="AF19" s="392">
        <f t="shared" si="15"/>
        <v>100</v>
      </c>
      <c r="AG19" s="394">
        <f t="shared" si="16"/>
        <v>0</v>
      </c>
      <c r="AH19" s="138"/>
      <c r="AI19" s="395">
        <f t="shared" si="17"/>
        <v>0</v>
      </c>
      <c r="AJ19" s="396" t="str">
        <f t="shared" si="18"/>
        <v/>
      </c>
      <c r="AK19" s="397"/>
      <c r="AL19" s="391">
        <f>IFERROR(VLOOKUP($C19,'Proposed Rates'!$B:$J,AL$11,FALSE),0)</f>
        <v>0</v>
      </c>
      <c r="AM19" s="392">
        <f t="shared" si="19"/>
        <v>100</v>
      </c>
      <c r="AN19" s="394">
        <f t="shared" si="20"/>
        <v>0</v>
      </c>
      <c r="AO19" s="138"/>
      <c r="AP19" s="395">
        <f t="shared" si="21"/>
        <v>0</v>
      </c>
      <c r="AQ19" s="396" t="str">
        <f t="shared" si="22"/>
        <v/>
      </c>
    </row>
    <row r="20" spans="1:43" ht="12" customHeight="1">
      <c r="A20" s="53"/>
      <c r="B20" s="328" t="s">
        <v>338</v>
      </c>
      <c r="C20" s="389" t="str">
        <f t="shared" si="0"/>
        <v>Residential.Smart Meter Disposition Rider</v>
      </c>
      <c r="D20" s="390" t="s">
        <v>337</v>
      </c>
      <c r="E20" s="328"/>
      <c r="F20" s="391">
        <f>IFERROR(VLOOKUP($C20,'Proposed Rates'!$B:$J,F$11,FALSE),0)</f>
        <v>0</v>
      </c>
      <c r="G20" s="392">
        <f t="shared" si="1"/>
        <v>100</v>
      </c>
      <c r="H20" s="393">
        <f t="shared" si="2"/>
        <v>0</v>
      </c>
      <c r="I20" s="53"/>
      <c r="J20" s="391">
        <f>IFERROR(VLOOKUP($C20,'Proposed Rates'!$B:$J,J$11,FALSE),0)</f>
        <v>0</v>
      </c>
      <c r="K20" s="392">
        <f t="shared" si="3"/>
        <v>100</v>
      </c>
      <c r="L20" s="394">
        <f t="shared" si="4"/>
        <v>0</v>
      </c>
      <c r="M20" s="138"/>
      <c r="N20" s="395">
        <f t="shared" si="5"/>
        <v>0</v>
      </c>
      <c r="O20" s="396" t="str">
        <f t="shared" si="6"/>
        <v/>
      </c>
      <c r="P20" s="53"/>
      <c r="Q20" s="391">
        <f>IFERROR(VLOOKUP($C20,'Proposed Rates'!$B:$J,Q$11,FALSE),0)</f>
        <v>0</v>
      </c>
      <c r="R20" s="392">
        <f t="shared" si="7"/>
        <v>100</v>
      </c>
      <c r="S20" s="394">
        <f t="shared" si="8"/>
        <v>0</v>
      </c>
      <c r="T20" s="138"/>
      <c r="U20" s="395">
        <f t="shared" si="9"/>
        <v>0</v>
      </c>
      <c r="V20" s="396" t="str">
        <f t="shared" si="10"/>
        <v/>
      </c>
      <c r="W20" s="53"/>
      <c r="X20" s="391">
        <f>IFERROR(VLOOKUP($C20,'Proposed Rates'!$B:$J,X$11,FALSE),0)</f>
        <v>0</v>
      </c>
      <c r="Y20" s="392">
        <f t="shared" si="11"/>
        <v>100</v>
      </c>
      <c r="Z20" s="394">
        <f t="shared" si="12"/>
        <v>0</v>
      </c>
      <c r="AA20" s="138"/>
      <c r="AB20" s="395">
        <f t="shared" si="13"/>
        <v>0</v>
      </c>
      <c r="AC20" s="396" t="str">
        <f t="shared" si="14"/>
        <v/>
      </c>
      <c r="AD20" s="53"/>
      <c r="AE20" s="391">
        <f>IFERROR(VLOOKUP($C20,'Proposed Rates'!$B:$J,AE$11,FALSE),0)</f>
        <v>0</v>
      </c>
      <c r="AF20" s="392">
        <f t="shared" si="15"/>
        <v>100</v>
      </c>
      <c r="AG20" s="394">
        <f t="shared" si="16"/>
        <v>0</v>
      </c>
      <c r="AH20" s="138"/>
      <c r="AI20" s="395">
        <f t="shared" si="17"/>
        <v>0</v>
      </c>
      <c r="AJ20" s="396" t="str">
        <f t="shared" si="18"/>
        <v/>
      </c>
      <c r="AK20" s="397"/>
      <c r="AL20" s="391">
        <f>IFERROR(VLOOKUP($C20,'Proposed Rates'!$B:$J,AL$11,FALSE),0)</f>
        <v>0</v>
      </c>
      <c r="AM20" s="392">
        <f t="shared" si="19"/>
        <v>100</v>
      </c>
      <c r="AN20" s="394">
        <f t="shared" si="20"/>
        <v>0</v>
      </c>
      <c r="AO20" s="138"/>
      <c r="AP20" s="395">
        <f t="shared" si="21"/>
        <v>0</v>
      </c>
      <c r="AQ20" s="396" t="str">
        <f t="shared" si="22"/>
        <v/>
      </c>
    </row>
    <row r="21" spans="1:43" ht="12" customHeight="1">
      <c r="A21" s="53"/>
      <c r="B21" s="328" t="s">
        <v>269</v>
      </c>
      <c r="C21" s="389" t="str">
        <f t="shared" si="0"/>
        <v>Residential.LRAM Rate Rider</v>
      </c>
      <c r="D21" s="390" t="s">
        <v>335</v>
      </c>
      <c r="E21" s="328"/>
      <c r="F21" s="391">
        <f>'Proposed Rates'!E77+'Proposed Rates'!E90</f>
        <v>0.25</v>
      </c>
      <c r="G21" s="392">
        <f t="shared" si="1"/>
        <v>1</v>
      </c>
      <c r="H21" s="393">
        <f t="shared" si="2"/>
        <v>0.25</v>
      </c>
      <c r="I21" s="53"/>
      <c r="J21" s="391">
        <f>'Proposed Rates'!F77+'Proposed Rates'!F90</f>
        <v>0</v>
      </c>
      <c r="K21" s="392">
        <f t="shared" si="3"/>
        <v>1</v>
      </c>
      <c r="L21" s="394">
        <f t="shared" si="4"/>
        <v>0</v>
      </c>
      <c r="M21" s="138"/>
      <c r="N21" s="395">
        <f t="shared" si="5"/>
        <v>-0.25</v>
      </c>
      <c r="O21" s="396">
        <f t="shared" si="6"/>
        <v>-1</v>
      </c>
      <c r="P21" s="53"/>
      <c r="Q21" s="391">
        <f>'Proposed Rates'!G77+'Proposed Rates'!G90</f>
        <v>0</v>
      </c>
      <c r="R21" s="392">
        <f t="shared" si="7"/>
        <v>1</v>
      </c>
      <c r="S21" s="394">
        <f t="shared" si="8"/>
        <v>0</v>
      </c>
      <c r="T21" s="138"/>
      <c r="U21" s="395">
        <f t="shared" si="9"/>
        <v>0</v>
      </c>
      <c r="V21" s="396" t="str">
        <f t="shared" si="10"/>
        <v/>
      </c>
      <c r="W21" s="53"/>
      <c r="X21" s="391">
        <f>IFERROR(VLOOKUP($C21,'Proposed Rates'!$B:$J,X$11,FALSE),0)</f>
        <v>0</v>
      </c>
      <c r="Y21" s="392">
        <f t="shared" si="11"/>
        <v>1</v>
      </c>
      <c r="Z21" s="394">
        <f t="shared" si="12"/>
        <v>0</v>
      </c>
      <c r="AA21" s="138"/>
      <c r="AB21" s="395">
        <f t="shared" si="13"/>
        <v>0</v>
      </c>
      <c r="AC21" s="396" t="str">
        <f t="shared" si="14"/>
        <v/>
      </c>
      <c r="AD21" s="53"/>
      <c r="AE21" s="391">
        <f>IFERROR(VLOOKUP($C21,'Proposed Rates'!$B:$J,AE$11,FALSE),0)</f>
        <v>0</v>
      </c>
      <c r="AF21" s="392">
        <f t="shared" si="15"/>
        <v>1</v>
      </c>
      <c r="AG21" s="394">
        <f t="shared" si="16"/>
        <v>0</v>
      </c>
      <c r="AH21" s="138"/>
      <c r="AI21" s="395">
        <f t="shared" si="17"/>
        <v>0</v>
      </c>
      <c r="AJ21" s="396" t="str">
        <f t="shared" si="18"/>
        <v/>
      </c>
      <c r="AK21" s="397"/>
      <c r="AL21" s="391">
        <f>IFERROR(VLOOKUP($C21,'Proposed Rates'!$B:$J,AL$11,FALSE),0)</f>
        <v>0</v>
      </c>
      <c r="AM21" s="392">
        <f t="shared" si="19"/>
        <v>1</v>
      </c>
      <c r="AN21" s="394">
        <f t="shared" si="20"/>
        <v>0</v>
      </c>
      <c r="AO21" s="138"/>
      <c r="AP21" s="395">
        <f t="shared" si="21"/>
        <v>0</v>
      </c>
      <c r="AQ21" s="396" t="str">
        <f t="shared" si="22"/>
        <v/>
      </c>
    </row>
    <row r="22" spans="1:43" ht="12" customHeight="1">
      <c r="A22" s="53"/>
      <c r="B22" s="398" t="s">
        <v>265</v>
      </c>
      <c r="C22" s="389" t="str">
        <f t="shared" si="0"/>
        <v>Residential.Deferral/Variance Account Disposition Rate Rider Group 2</v>
      </c>
      <c r="D22" s="390" t="s">
        <v>335</v>
      </c>
      <c r="E22" s="328"/>
      <c r="F22" s="391">
        <f>IFERROR(VLOOKUP($C22,'Proposed Rates'!$B:$J,F$11,FALSE),0)</f>
        <v>0</v>
      </c>
      <c r="G22" s="392">
        <f t="shared" si="1"/>
        <v>1</v>
      </c>
      <c r="H22" s="393">
        <f t="shared" si="2"/>
        <v>0</v>
      </c>
      <c r="I22" s="53"/>
      <c r="J22" s="391">
        <f>IFERROR(VLOOKUP($C22,'Proposed Rates'!$B:$J,J$11,FALSE),0)</f>
        <v>-1.19</v>
      </c>
      <c r="K22" s="392">
        <f t="shared" si="3"/>
        <v>1</v>
      </c>
      <c r="L22" s="394">
        <f t="shared" si="4"/>
        <v>-1.19</v>
      </c>
      <c r="M22" s="138"/>
      <c r="N22" s="395">
        <f t="shared" si="5"/>
        <v>-1.19</v>
      </c>
      <c r="O22" s="396" t="str">
        <f t="shared" si="6"/>
        <v/>
      </c>
      <c r="P22" s="53"/>
      <c r="Q22" s="391">
        <f>IFERROR(VLOOKUP($C22,'Proposed Rates'!$B:$J,Q$11,FALSE),0)</f>
        <v>0</v>
      </c>
      <c r="R22" s="392">
        <f t="shared" si="7"/>
        <v>1</v>
      </c>
      <c r="S22" s="394">
        <f t="shared" si="8"/>
        <v>0</v>
      </c>
      <c r="T22" s="138"/>
      <c r="U22" s="395">
        <f t="shared" si="9"/>
        <v>1.19</v>
      </c>
      <c r="V22" s="396">
        <f t="shared" si="10"/>
        <v>-1</v>
      </c>
      <c r="W22" s="53"/>
      <c r="X22" s="391">
        <f>IFERROR(VLOOKUP($C22,'Proposed Rates'!$B:$J,X$11,FALSE),0)</f>
        <v>0</v>
      </c>
      <c r="Y22" s="392">
        <f t="shared" si="11"/>
        <v>1</v>
      </c>
      <c r="Z22" s="394">
        <f t="shared" si="12"/>
        <v>0</v>
      </c>
      <c r="AA22" s="138"/>
      <c r="AB22" s="395">
        <f t="shared" si="13"/>
        <v>0</v>
      </c>
      <c r="AC22" s="396" t="str">
        <f t="shared" si="14"/>
        <v/>
      </c>
      <c r="AD22" s="53"/>
      <c r="AE22" s="391">
        <f>IFERROR(VLOOKUP($C22,'Proposed Rates'!$B:$J,AE$11,FALSE),0)</f>
        <v>0</v>
      </c>
      <c r="AF22" s="392">
        <f t="shared" si="15"/>
        <v>1</v>
      </c>
      <c r="AG22" s="394">
        <f t="shared" si="16"/>
        <v>0</v>
      </c>
      <c r="AH22" s="138"/>
      <c r="AI22" s="395">
        <f t="shared" si="17"/>
        <v>0</v>
      </c>
      <c r="AJ22" s="396" t="str">
        <f t="shared" si="18"/>
        <v/>
      </c>
      <c r="AK22" s="397"/>
      <c r="AL22" s="391">
        <f>IFERROR(VLOOKUP($C22,'Proposed Rates'!$B:$J,AL$11,FALSE),0)</f>
        <v>0</v>
      </c>
      <c r="AM22" s="392">
        <f t="shared" si="19"/>
        <v>1</v>
      </c>
      <c r="AN22" s="394">
        <f t="shared" si="20"/>
        <v>0</v>
      </c>
      <c r="AO22" s="138"/>
      <c r="AP22" s="395">
        <f t="shared" si="21"/>
        <v>0</v>
      </c>
      <c r="AQ22" s="396" t="str">
        <f t="shared" si="22"/>
        <v/>
      </c>
    </row>
    <row r="23" spans="1:43" ht="12" customHeight="1">
      <c r="A23" s="53"/>
      <c r="B23" s="398"/>
      <c r="C23" s="389" t="str">
        <f t="shared" si="0"/>
        <v>Residential.</v>
      </c>
      <c r="D23" s="390"/>
      <c r="E23" s="328"/>
      <c r="F23" s="391">
        <f>IFERROR(VLOOKUP($C23,'Proposed Rates'!$B:$J,F$11,FALSE),0)</f>
        <v>0</v>
      </c>
      <c r="G23" s="392">
        <f t="shared" si="1"/>
        <v>0</v>
      </c>
      <c r="H23" s="393">
        <f t="shared" si="2"/>
        <v>0</v>
      </c>
      <c r="I23" s="53"/>
      <c r="J23" s="391">
        <f>IFERROR(VLOOKUP($C23,'Proposed Rates'!$B:$J,J$11,FALSE),0)</f>
        <v>0</v>
      </c>
      <c r="K23" s="392">
        <f t="shared" si="3"/>
        <v>0</v>
      </c>
      <c r="L23" s="394">
        <f t="shared" si="4"/>
        <v>0</v>
      </c>
      <c r="M23" s="138"/>
      <c r="N23" s="395">
        <f t="shared" si="5"/>
        <v>0</v>
      </c>
      <c r="O23" s="396" t="str">
        <f t="shared" si="6"/>
        <v/>
      </c>
      <c r="P23" s="53"/>
      <c r="Q23" s="391">
        <f>IFERROR(VLOOKUP($C23,'Proposed Rates'!$B:$J,Q$11,FALSE),0)</f>
        <v>0</v>
      </c>
      <c r="R23" s="392">
        <f t="shared" si="7"/>
        <v>0</v>
      </c>
      <c r="S23" s="394">
        <f t="shared" si="8"/>
        <v>0</v>
      </c>
      <c r="T23" s="138"/>
      <c r="U23" s="395">
        <f t="shared" si="9"/>
        <v>0</v>
      </c>
      <c r="V23" s="396" t="str">
        <f t="shared" si="10"/>
        <v/>
      </c>
      <c r="W23" s="53"/>
      <c r="X23" s="391">
        <f>IFERROR(VLOOKUP($C23,'Proposed Rates'!$B:$J,X$11,FALSE),0)</f>
        <v>0</v>
      </c>
      <c r="Y23" s="392">
        <f t="shared" si="11"/>
        <v>0</v>
      </c>
      <c r="Z23" s="394">
        <f t="shared" si="12"/>
        <v>0</v>
      </c>
      <c r="AA23" s="138"/>
      <c r="AB23" s="395">
        <f t="shared" si="13"/>
        <v>0</v>
      </c>
      <c r="AC23" s="396" t="str">
        <f t="shared" si="14"/>
        <v/>
      </c>
      <c r="AD23" s="53"/>
      <c r="AE23" s="391">
        <f>IFERROR(VLOOKUP($C23,'Proposed Rates'!$B:$J,AE$11,FALSE),0)</f>
        <v>0</v>
      </c>
      <c r="AF23" s="392">
        <f t="shared" si="15"/>
        <v>0</v>
      </c>
      <c r="AG23" s="394">
        <f t="shared" si="16"/>
        <v>0</v>
      </c>
      <c r="AH23" s="138"/>
      <c r="AI23" s="395">
        <f t="shared" si="17"/>
        <v>0</v>
      </c>
      <c r="AJ23" s="396" t="str">
        <f t="shared" si="18"/>
        <v/>
      </c>
      <c r="AK23" s="397"/>
      <c r="AL23" s="391">
        <f>IFERROR(VLOOKUP($C23,'Proposed Rates'!$B:$J,AL$11,FALSE),0)</f>
        <v>0</v>
      </c>
      <c r="AM23" s="392">
        <f t="shared" si="19"/>
        <v>0</v>
      </c>
      <c r="AN23" s="394">
        <f t="shared" si="20"/>
        <v>0</v>
      </c>
      <c r="AO23" s="138"/>
      <c r="AP23" s="395">
        <f t="shared" si="21"/>
        <v>0</v>
      </c>
      <c r="AQ23" s="396" t="str">
        <f t="shared" si="22"/>
        <v/>
      </c>
    </row>
    <row r="24" spans="1:43" ht="12" customHeight="1">
      <c r="A24" s="53"/>
      <c r="B24" s="398"/>
      <c r="C24" s="389" t="str">
        <f t="shared" si="0"/>
        <v>Residential.</v>
      </c>
      <c r="D24" s="390"/>
      <c r="E24" s="328"/>
      <c r="F24" s="391">
        <f>IFERROR(VLOOKUP($C24,'Proposed Rates'!$B:$J,F$11,FALSE),0)</f>
        <v>0</v>
      </c>
      <c r="G24" s="392">
        <f t="shared" si="1"/>
        <v>0</v>
      </c>
      <c r="H24" s="393">
        <f t="shared" si="2"/>
        <v>0</v>
      </c>
      <c r="I24" s="53"/>
      <c r="J24" s="391">
        <f>IFERROR(VLOOKUP($C24,'Proposed Rates'!$B:$J,J$11,FALSE),0)</f>
        <v>0</v>
      </c>
      <c r="K24" s="392">
        <f t="shared" si="3"/>
        <v>0</v>
      </c>
      <c r="L24" s="394">
        <f t="shared" si="4"/>
        <v>0</v>
      </c>
      <c r="M24" s="138"/>
      <c r="N24" s="395">
        <f t="shared" si="5"/>
        <v>0</v>
      </c>
      <c r="O24" s="396" t="str">
        <f t="shared" si="6"/>
        <v/>
      </c>
      <c r="P24" s="53"/>
      <c r="Q24" s="391">
        <f>IFERROR(VLOOKUP($C24,'Proposed Rates'!$B:$J,Q$11,FALSE),0)</f>
        <v>0</v>
      </c>
      <c r="R24" s="392">
        <f t="shared" si="7"/>
        <v>0</v>
      </c>
      <c r="S24" s="394">
        <f t="shared" si="8"/>
        <v>0</v>
      </c>
      <c r="T24" s="138"/>
      <c r="U24" s="395">
        <f t="shared" si="9"/>
        <v>0</v>
      </c>
      <c r="V24" s="396" t="str">
        <f t="shared" si="10"/>
        <v/>
      </c>
      <c r="W24" s="53"/>
      <c r="X24" s="391">
        <f>IFERROR(VLOOKUP($C24,'Proposed Rates'!$B:$J,X$11,FALSE),0)</f>
        <v>0</v>
      </c>
      <c r="Y24" s="392">
        <f t="shared" si="11"/>
        <v>0</v>
      </c>
      <c r="Z24" s="394">
        <f t="shared" si="12"/>
        <v>0</v>
      </c>
      <c r="AA24" s="138"/>
      <c r="AB24" s="395">
        <f t="shared" si="13"/>
        <v>0</v>
      </c>
      <c r="AC24" s="396" t="str">
        <f t="shared" si="14"/>
        <v/>
      </c>
      <c r="AD24" s="53"/>
      <c r="AE24" s="391">
        <f>IFERROR(VLOOKUP($C24,'Proposed Rates'!$B:$J,AE$11,FALSE),0)</f>
        <v>0</v>
      </c>
      <c r="AF24" s="392">
        <f t="shared" si="15"/>
        <v>0</v>
      </c>
      <c r="AG24" s="394">
        <f t="shared" si="16"/>
        <v>0</v>
      </c>
      <c r="AH24" s="138"/>
      <c r="AI24" s="395">
        <f t="shared" si="17"/>
        <v>0</v>
      </c>
      <c r="AJ24" s="396" t="str">
        <f t="shared" si="18"/>
        <v/>
      </c>
      <c r="AK24" s="397"/>
      <c r="AL24" s="391">
        <f>IFERROR(VLOOKUP($C24,'Proposed Rates'!$B:$J,AL$11,FALSE),0)</f>
        <v>0</v>
      </c>
      <c r="AM24" s="392">
        <f t="shared" si="19"/>
        <v>0</v>
      </c>
      <c r="AN24" s="394">
        <f t="shared" si="20"/>
        <v>0</v>
      </c>
      <c r="AO24" s="138"/>
      <c r="AP24" s="395">
        <f t="shared" si="21"/>
        <v>0</v>
      </c>
      <c r="AQ24" s="396" t="str">
        <f t="shared" si="22"/>
        <v/>
      </c>
    </row>
    <row r="25" spans="1:43" ht="12" customHeight="1">
      <c r="A25" s="53"/>
      <c r="B25" s="398"/>
      <c r="C25" s="389" t="str">
        <f t="shared" si="0"/>
        <v>Residential.</v>
      </c>
      <c r="D25" s="390"/>
      <c r="E25" s="328"/>
      <c r="F25" s="391">
        <f>IFERROR(VLOOKUP($C25,'Proposed Rates'!$B:$J,F$11,FALSE),0)</f>
        <v>0</v>
      </c>
      <c r="G25" s="392">
        <f t="shared" si="1"/>
        <v>0</v>
      </c>
      <c r="H25" s="393">
        <f t="shared" si="2"/>
        <v>0</v>
      </c>
      <c r="I25" s="53"/>
      <c r="J25" s="391">
        <f>IFERROR(VLOOKUP($C25,'Proposed Rates'!$B:$J,J$11,FALSE),0)</f>
        <v>0</v>
      </c>
      <c r="K25" s="392">
        <f t="shared" si="3"/>
        <v>0</v>
      </c>
      <c r="L25" s="394">
        <f t="shared" si="4"/>
        <v>0</v>
      </c>
      <c r="M25" s="138"/>
      <c r="N25" s="395">
        <f t="shared" si="5"/>
        <v>0</v>
      </c>
      <c r="O25" s="396" t="str">
        <f t="shared" si="6"/>
        <v/>
      </c>
      <c r="P25" s="53"/>
      <c r="Q25" s="391">
        <f>IFERROR(VLOOKUP($C25,'Proposed Rates'!$B:$J,Q$11,FALSE),0)</f>
        <v>0</v>
      </c>
      <c r="R25" s="392">
        <f t="shared" si="7"/>
        <v>0</v>
      </c>
      <c r="S25" s="394">
        <f t="shared" si="8"/>
        <v>0</v>
      </c>
      <c r="T25" s="138"/>
      <c r="U25" s="395">
        <f t="shared" si="9"/>
        <v>0</v>
      </c>
      <c r="V25" s="396" t="str">
        <f t="shared" si="10"/>
        <v/>
      </c>
      <c r="W25" s="53"/>
      <c r="X25" s="391">
        <f>IFERROR(VLOOKUP($C25,'Proposed Rates'!$B:$J,X$11,FALSE),0)</f>
        <v>0</v>
      </c>
      <c r="Y25" s="392">
        <f t="shared" si="11"/>
        <v>0</v>
      </c>
      <c r="Z25" s="394">
        <f t="shared" si="12"/>
        <v>0</v>
      </c>
      <c r="AA25" s="138"/>
      <c r="AB25" s="395">
        <f t="shared" si="13"/>
        <v>0</v>
      </c>
      <c r="AC25" s="396" t="str">
        <f t="shared" si="14"/>
        <v/>
      </c>
      <c r="AD25" s="53"/>
      <c r="AE25" s="391">
        <f>IFERROR(VLOOKUP($C25,'Proposed Rates'!$B:$J,AE$11,FALSE),0)</f>
        <v>0</v>
      </c>
      <c r="AF25" s="392">
        <f t="shared" si="15"/>
        <v>0</v>
      </c>
      <c r="AG25" s="394">
        <f t="shared" si="16"/>
        <v>0</v>
      </c>
      <c r="AH25" s="138"/>
      <c r="AI25" s="395">
        <f t="shared" si="17"/>
        <v>0</v>
      </c>
      <c r="AJ25" s="396" t="str">
        <f t="shared" si="18"/>
        <v/>
      </c>
      <c r="AK25" s="397"/>
      <c r="AL25" s="391">
        <f>IFERROR(VLOOKUP($C25,'Proposed Rates'!$B:$J,AL$11,FALSE),0)</f>
        <v>0</v>
      </c>
      <c r="AM25" s="392">
        <f t="shared" si="19"/>
        <v>0</v>
      </c>
      <c r="AN25" s="394">
        <f t="shared" si="20"/>
        <v>0</v>
      </c>
      <c r="AO25" s="138"/>
      <c r="AP25" s="395">
        <f t="shared" si="21"/>
        <v>0</v>
      </c>
      <c r="AQ25" s="396" t="str">
        <f t="shared" si="22"/>
        <v/>
      </c>
    </row>
    <row r="26" spans="1:43" ht="12" customHeight="1">
      <c r="A26" s="53"/>
      <c r="B26" s="398"/>
      <c r="C26" s="389" t="str">
        <f t="shared" si="0"/>
        <v>Residential.</v>
      </c>
      <c r="D26" s="390"/>
      <c r="E26" s="328"/>
      <c r="F26" s="391">
        <f>IFERROR(VLOOKUP($C26,'Proposed Rates'!$B:$J,F$11,FALSE),0)</f>
        <v>0</v>
      </c>
      <c r="G26" s="392">
        <f t="shared" si="1"/>
        <v>0</v>
      </c>
      <c r="H26" s="393">
        <f t="shared" si="2"/>
        <v>0</v>
      </c>
      <c r="I26" s="53"/>
      <c r="J26" s="391">
        <f>IFERROR(VLOOKUP($C26,'Proposed Rates'!$B:$J,J$11,FALSE),0)</f>
        <v>0</v>
      </c>
      <c r="K26" s="392">
        <f t="shared" si="3"/>
        <v>0</v>
      </c>
      <c r="L26" s="394">
        <f t="shared" si="4"/>
        <v>0</v>
      </c>
      <c r="M26" s="138"/>
      <c r="N26" s="395">
        <f t="shared" si="5"/>
        <v>0</v>
      </c>
      <c r="O26" s="396" t="str">
        <f t="shared" si="6"/>
        <v/>
      </c>
      <c r="P26" s="53"/>
      <c r="Q26" s="391">
        <f>IFERROR(VLOOKUP($C26,'Proposed Rates'!$B:$J,Q$11,FALSE),0)</f>
        <v>0</v>
      </c>
      <c r="R26" s="392">
        <f t="shared" si="7"/>
        <v>0</v>
      </c>
      <c r="S26" s="394">
        <f t="shared" si="8"/>
        <v>0</v>
      </c>
      <c r="T26" s="138"/>
      <c r="U26" s="395">
        <f t="shared" si="9"/>
        <v>0</v>
      </c>
      <c r="V26" s="396" t="str">
        <f t="shared" si="10"/>
        <v/>
      </c>
      <c r="W26" s="53"/>
      <c r="X26" s="391">
        <f>IFERROR(VLOOKUP($C26,'Proposed Rates'!$B:$J,X$11,FALSE),0)</f>
        <v>0</v>
      </c>
      <c r="Y26" s="392">
        <f t="shared" si="11"/>
        <v>0</v>
      </c>
      <c r="Z26" s="394">
        <f t="shared" si="12"/>
        <v>0</v>
      </c>
      <c r="AA26" s="138"/>
      <c r="AB26" s="395">
        <f t="shared" si="13"/>
        <v>0</v>
      </c>
      <c r="AC26" s="396" t="str">
        <f t="shared" si="14"/>
        <v/>
      </c>
      <c r="AD26" s="53"/>
      <c r="AE26" s="391">
        <f>IFERROR(VLOOKUP($C26,'Proposed Rates'!$B:$J,AE$11,FALSE),0)</f>
        <v>0</v>
      </c>
      <c r="AF26" s="392">
        <f t="shared" si="15"/>
        <v>0</v>
      </c>
      <c r="AG26" s="394">
        <f t="shared" si="16"/>
        <v>0</v>
      </c>
      <c r="AH26" s="138"/>
      <c r="AI26" s="395">
        <f t="shared" si="17"/>
        <v>0</v>
      </c>
      <c r="AJ26" s="396" t="str">
        <f t="shared" si="18"/>
        <v/>
      </c>
      <c r="AK26" s="397"/>
      <c r="AL26" s="391">
        <f>IFERROR(VLOOKUP($C26,'Proposed Rates'!$B:$J,AL$11,FALSE),0)</f>
        <v>0</v>
      </c>
      <c r="AM26" s="392">
        <f t="shared" si="19"/>
        <v>0</v>
      </c>
      <c r="AN26" s="394">
        <f t="shared" si="20"/>
        <v>0</v>
      </c>
      <c r="AO26" s="138"/>
      <c r="AP26" s="395">
        <f t="shared" si="21"/>
        <v>0</v>
      </c>
      <c r="AQ26" s="396" t="str">
        <f t="shared" si="22"/>
        <v/>
      </c>
    </row>
    <row r="27" spans="1:43" ht="12" customHeight="1">
      <c r="A27" s="53"/>
      <c r="B27" s="398"/>
      <c r="C27" s="389" t="str">
        <f t="shared" si="0"/>
        <v>Residential.</v>
      </c>
      <c r="D27" s="390"/>
      <c r="E27" s="328"/>
      <c r="F27" s="391">
        <f>IFERROR(VLOOKUP($C27,'Proposed Rates'!$B:$J,F$11,FALSE),0)</f>
        <v>0</v>
      </c>
      <c r="G27" s="392">
        <f t="shared" si="1"/>
        <v>0</v>
      </c>
      <c r="H27" s="393">
        <f t="shared" si="2"/>
        <v>0</v>
      </c>
      <c r="I27" s="53"/>
      <c r="J27" s="391">
        <f>IFERROR(VLOOKUP($C27,'Proposed Rates'!$B:$J,J$11,FALSE),0)</f>
        <v>0</v>
      </c>
      <c r="K27" s="392">
        <f t="shared" si="3"/>
        <v>0</v>
      </c>
      <c r="L27" s="394">
        <f t="shared" si="4"/>
        <v>0</v>
      </c>
      <c r="M27" s="138"/>
      <c r="N27" s="395">
        <f t="shared" si="5"/>
        <v>0</v>
      </c>
      <c r="O27" s="396" t="str">
        <f t="shared" si="6"/>
        <v/>
      </c>
      <c r="P27" s="53"/>
      <c r="Q27" s="391">
        <f>IFERROR(VLOOKUP($C27,'Proposed Rates'!$B:$J,Q$11,FALSE),0)</f>
        <v>0</v>
      </c>
      <c r="R27" s="392">
        <f t="shared" si="7"/>
        <v>0</v>
      </c>
      <c r="S27" s="394">
        <f t="shared" si="8"/>
        <v>0</v>
      </c>
      <c r="T27" s="138"/>
      <c r="U27" s="395">
        <f t="shared" si="9"/>
        <v>0</v>
      </c>
      <c r="V27" s="396" t="str">
        <f t="shared" si="10"/>
        <v/>
      </c>
      <c r="W27" s="53"/>
      <c r="X27" s="391">
        <f>IFERROR(VLOOKUP($C27,'Proposed Rates'!$B:$J,X$11,FALSE),0)</f>
        <v>0</v>
      </c>
      <c r="Y27" s="392">
        <f t="shared" si="11"/>
        <v>0</v>
      </c>
      <c r="Z27" s="394">
        <f t="shared" si="12"/>
        <v>0</v>
      </c>
      <c r="AA27" s="138"/>
      <c r="AB27" s="395">
        <f t="shared" si="13"/>
        <v>0</v>
      </c>
      <c r="AC27" s="396" t="str">
        <f t="shared" si="14"/>
        <v/>
      </c>
      <c r="AD27" s="53"/>
      <c r="AE27" s="391">
        <f>IFERROR(VLOOKUP($C27,'Proposed Rates'!$B:$J,AE$11,FALSE),0)</f>
        <v>0</v>
      </c>
      <c r="AF27" s="392">
        <f t="shared" si="15"/>
        <v>0</v>
      </c>
      <c r="AG27" s="394">
        <f t="shared" si="16"/>
        <v>0</v>
      </c>
      <c r="AH27" s="138"/>
      <c r="AI27" s="395">
        <f t="shared" si="17"/>
        <v>0</v>
      </c>
      <c r="AJ27" s="396" t="str">
        <f t="shared" si="18"/>
        <v/>
      </c>
      <c r="AK27" s="397"/>
      <c r="AL27" s="391">
        <f>IFERROR(VLOOKUP($C27,'Proposed Rates'!$B:$J,AL$11,FALSE),0)</f>
        <v>0</v>
      </c>
      <c r="AM27" s="392">
        <f t="shared" si="19"/>
        <v>0</v>
      </c>
      <c r="AN27" s="394">
        <f t="shared" si="20"/>
        <v>0</v>
      </c>
      <c r="AO27" s="138"/>
      <c r="AP27" s="395">
        <f t="shared" si="21"/>
        <v>0</v>
      </c>
      <c r="AQ27" s="396" t="str">
        <f t="shared" si="22"/>
        <v/>
      </c>
    </row>
    <row r="28" spans="1:43" ht="12" customHeight="1">
      <c r="A28" s="53"/>
      <c r="B28" s="398"/>
      <c r="C28" s="389" t="str">
        <f t="shared" si="0"/>
        <v>Residential.</v>
      </c>
      <c r="D28" s="390"/>
      <c r="E28" s="328"/>
      <c r="F28" s="391">
        <f>IFERROR(VLOOKUP($C28,'Proposed Rates'!$B:$J,F$11,FALSE),0)</f>
        <v>0</v>
      </c>
      <c r="G28" s="392">
        <f t="shared" si="1"/>
        <v>0</v>
      </c>
      <c r="H28" s="393">
        <f t="shared" si="2"/>
        <v>0</v>
      </c>
      <c r="I28" s="53"/>
      <c r="J28" s="391">
        <f>IFERROR(VLOOKUP($C28,'Proposed Rates'!$B:$J,J$11,FALSE),0)</f>
        <v>0</v>
      </c>
      <c r="K28" s="392">
        <f t="shared" si="3"/>
        <v>0</v>
      </c>
      <c r="L28" s="394">
        <f t="shared" si="4"/>
        <v>0</v>
      </c>
      <c r="M28" s="138"/>
      <c r="N28" s="395">
        <f t="shared" si="5"/>
        <v>0</v>
      </c>
      <c r="O28" s="396" t="str">
        <f t="shared" si="6"/>
        <v/>
      </c>
      <c r="P28" s="53"/>
      <c r="Q28" s="391">
        <f>IFERROR(VLOOKUP($C28,'Proposed Rates'!$B:$J,Q$11,FALSE),0)</f>
        <v>0</v>
      </c>
      <c r="R28" s="392">
        <f t="shared" si="7"/>
        <v>0</v>
      </c>
      <c r="S28" s="394">
        <f t="shared" si="8"/>
        <v>0</v>
      </c>
      <c r="T28" s="138"/>
      <c r="U28" s="395">
        <f t="shared" si="9"/>
        <v>0</v>
      </c>
      <c r="V28" s="396" t="str">
        <f t="shared" si="10"/>
        <v/>
      </c>
      <c r="W28" s="53"/>
      <c r="X28" s="391">
        <f>IFERROR(VLOOKUP($C28,'Proposed Rates'!$B:$J,X$11,FALSE),0)</f>
        <v>0</v>
      </c>
      <c r="Y28" s="392">
        <f t="shared" si="11"/>
        <v>0</v>
      </c>
      <c r="Z28" s="394">
        <f t="shared" si="12"/>
        <v>0</v>
      </c>
      <c r="AA28" s="138"/>
      <c r="AB28" s="395">
        <f t="shared" si="13"/>
        <v>0</v>
      </c>
      <c r="AC28" s="396" t="str">
        <f t="shared" si="14"/>
        <v/>
      </c>
      <c r="AD28" s="53"/>
      <c r="AE28" s="391">
        <f>IFERROR(VLOOKUP($C28,'Proposed Rates'!$B:$J,AE$11,FALSE),0)</f>
        <v>0</v>
      </c>
      <c r="AF28" s="392">
        <f t="shared" si="15"/>
        <v>0</v>
      </c>
      <c r="AG28" s="394">
        <f t="shared" si="16"/>
        <v>0</v>
      </c>
      <c r="AH28" s="138"/>
      <c r="AI28" s="395">
        <f t="shared" si="17"/>
        <v>0</v>
      </c>
      <c r="AJ28" s="396" t="str">
        <f t="shared" si="18"/>
        <v/>
      </c>
      <c r="AK28" s="397"/>
      <c r="AL28" s="391">
        <f>IFERROR(VLOOKUP($C28,'Proposed Rates'!$B:$J,AL$11,FALSE),0)</f>
        <v>0</v>
      </c>
      <c r="AM28" s="392">
        <f t="shared" si="19"/>
        <v>0</v>
      </c>
      <c r="AN28" s="394">
        <f t="shared" si="20"/>
        <v>0</v>
      </c>
      <c r="AO28" s="138"/>
      <c r="AP28" s="395">
        <f t="shared" si="21"/>
        <v>0</v>
      </c>
      <c r="AQ28" s="396" t="str">
        <f t="shared" si="22"/>
        <v/>
      </c>
    </row>
    <row r="29" spans="1:43" ht="12" customHeight="1">
      <c r="A29" s="314"/>
      <c r="B29" s="399" t="s">
        <v>339</v>
      </c>
      <c r="C29" s="400"/>
      <c r="D29" s="400"/>
      <c r="E29" s="400"/>
      <c r="F29" s="401"/>
      <c r="G29" s="402"/>
      <c r="H29" s="403">
        <f>SUM(H15:H28)</f>
        <v>34.51</v>
      </c>
      <c r="I29" s="314"/>
      <c r="J29" s="401"/>
      <c r="K29" s="402"/>
      <c r="L29" s="403">
        <f>SUM(L15:L28)</f>
        <v>39.850000000000009</v>
      </c>
      <c r="M29" s="404"/>
      <c r="N29" s="405">
        <f t="shared" si="5"/>
        <v>5.3400000000000105</v>
      </c>
      <c r="O29" s="406">
        <f t="shared" si="6"/>
        <v>0.15473775717183458</v>
      </c>
      <c r="P29" s="314"/>
      <c r="Q29" s="401"/>
      <c r="R29" s="402"/>
      <c r="S29" s="403">
        <f>SUM(S15:S28)</f>
        <v>42.940000000000005</v>
      </c>
      <c r="T29" s="404"/>
      <c r="U29" s="405">
        <f t="shared" si="9"/>
        <v>3.0899999999999963</v>
      </c>
      <c r="V29" s="406">
        <f t="shared" si="10"/>
        <v>7.7540777917189357E-2</v>
      </c>
      <c r="W29" s="314"/>
      <c r="X29" s="401"/>
      <c r="Y29" s="402"/>
      <c r="Z29" s="403">
        <f>SUM(Z15:Z28)</f>
        <v>43.93</v>
      </c>
      <c r="AA29" s="404"/>
      <c r="AB29" s="405">
        <f t="shared" si="13"/>
        <v>0.98999999999999488</v>
      </c>
      <c r="AC29" s="406">
        <f t="shared" si="14"/>
        <v>2.3055426176059497E-2</v>
      </c>
      <c r="AD29" s="314"/>
      <c r="AE29" s="401"/>
      <c r="AF29" s="402"/>
      <c r="AG29" s="403">
        <f>SUM(AG15:AG28)</f>
        <v>45.42</v>
      </c>
      <c r="AH29" s="404"/>
      <c r="AI29" s="405">
        <f t="shared" si="17"/>
        <v>1.490000000000002</v>
      </c>
      <c r="AJ29" s="406">
        <f t="shared" si="18"/>
        <v>3.3917596175734165E-2</v>
      </c>
      <c r="AK29" s="407"/>
      <c r="AL29" s="401"/>
      <c r="AM29" s="402"/>
      <c r="AN29" s="403">
        <f>SUM(AN15:AN28)</f>
        <v>46.78</v>
      </c>
      <c r="AO29" s="404"/>
      <c r="AP29" s="405">
        <f t="shared" si="21"/>
        <v>1.3599999999999994</v>
      </c>
      <c r="AQ29" s="406">
        <f t="shared" si="22"/>
        <v>2.9942756494936138E-2</v>
      </c>
    </row>
    <row r="30" spans="1:43" ht="12" customHeight="1">
      <c r="A30" s="53"/>
      <c r="B30" s="398" t="s">
        <v>262</v>
      </c>
      <c r="C30" s="389" t="str">
        <f t="shared" ref="C30:C36" si="23">D$6&amp;"."&amp;B30</f>
        <v>Residential.DVA Disposition Rate Rider Group 1 -2025</v>
      </c>
      <c r="D30" s="390" t="s">
        <v>337</v>
      </c>
      <c r="E30" s="328"/>
      <c r="F30" s="408">
        <f>IFERROR(VLOOKUP($C30,'Proposed Rates'!$B:$J,F$11,FALSE),0)</f>
        <v>-2.0000000000000001E-4</v>
      </c>
      <c r="G30" s="409">
        <f t="shared" ref="G30:G33" si="24">IF($D30="Monthly",1,IF($D30="per KWH",$F$10,0))</f>
        <v>100</v>
      </c>
      <c r="H30" s="410">
        <f t="shared" ref="H30:H36" si="25">G30*F30</f>
        <v>-0.02</v>
      </c>
      <c r="I30" s="53"/>
      <c r="J30" s="408">
        <f>IFERROR(VLOOKUP($C30,'Proposed Rates'!$B:$J,J$11,FALSE),0)</f>
        <v>-1E-3</v>
      </c>
      <c r="K30" s="409">
        <f t="shared" ref="K30:K33" si="26">IF($D30="Monthly",1,IF($D30="per KWH",$F$10,0))</f>
        <v>100</v>
      </c>
      <c r="L30" s="394">
        <f t="shared" ref="L30:L36" si="27">K30*J30</f>
        <v>-0.1</v>
      </c>
      <c r="M30" s="138"/>
      <c r="N30" s="395">
        <f t="shared" si="5"/>
        <v>-0.08</v>
      </c>
      <c r="O30" s="396">
        <f t="shared" si="6"/>
        <v>4</v>
      </c>
      <c r="P30" s="53"/>
      <c r="Q30" s="408">
        <f>IFERROR(VLOOKUP($C30,'Proposed Rates'!$B:$J,Q$11,FALSE),0)</f>
        <v>0</v>
      </c>
      <c r="R30" s="409">
        <f t="shared" ref="R30:R33" si="28">IF($D30="Monthly",1,IF($D30="per KWH",$F$10,0))</f>
        <v>100</v>
      </c>
      <c r="S30" s="394">
        <f t="shared" ref="S30:S36" si="29">R30*Q30</f>
        <v>0</v>
      </c>
      <c r="T30" s="138"/>
      <c r="U30" s="395">
        <f t="shared" si="9"/>
        <v>0.1</v>
      </c>
      <c r="V30" s="396">
        <f t="shared" si="10"/>
        <v>-1</v>
      </c>
      <c r="W30" s="53"/>
      <c r="X30" s="408">
        <f>IFERROR(VLOOKUP($C30,'Proposed Rates'!$B:$J,X$11,FALSE),0)</f>
        <v>0</v>
      </c>
      <c r="Y30" s="409">
        <f t="shared" ref="Y30:Y33" si="30">IF($D30="Monthly",1,IF($D30="per KWH",$F$10,0))</f>
        <v>100</v>
      </c>
      <c r="Z30" s="394">
        <f t="shared" ref="Z30:Z36" si="31">Y30*X30</f>
        <v>0</v>
      </c>
      <c r="AA30" s="138"/>
      <c r="AB30" s="395">
        <f t="shared" si="13"/>
        <v>0</v>
      </c>
      <c r="AC30" s="396" t="str">
        <f t="shared" si="14"/>
        <v/>
      </c>
      <c r="AD30" s="53"/>
      <c r="AE30" s="408">
        <f>IFERROR(VLOOKUP($C30,'Proposed Rates'!$B:$J,AE$11,FALSE),0)</f>
        <v>0</v>
      </c>
      <c r="AF30" s="409">
        <f t="shared" ref="AF30:AF33" si="32">IF($D30="Monthly",1,IF($D30="per KWH",$F$10,0))</f>
        <v>100</v>
      </c>
      <c r="AG30" s="394">
        <f t="shared" ref="AG30:AG36" si="33">AF30*AE30</f>
        <v>0</v>
      </c>
      <c r="AH30" s="138"/>
      <c r="AI30" s="395">
        <f t="shared" si="17"/>
        <v>0</v>
      </c>
      <c r="AJ30" s="396" t="str">
        <f t="shared" si="18"/>
        <v/>
      </c>
      <c r="AK30" s="397"/>
      <c r="AL30" s="408">
        <f>IFERROR(VLOOKUP($C30,'Proposed Rates'!$B:$J,AL$11,FALSE),0)</f>
        <v>0</v>
      </c>
      <c r="AM30" s="409">
        <f t="shared" ref="AM30:AM33" si="34">IF($D30="Monthly",1,IF($D30="per KWH",$F$10,0))</f>
        <v>100</v>
      </c>
      <c r="AN30" s="394">
        <f t="shared" ref="AN30:AN36" si="35">AM30*AL30</f>
        <v>0</v>
      </c>
      <c r="AO30" s="138"/>
      <c r="AP30" s="395">
        <f t="shared" si="21"/>
        <v>0</v>
      </c>
      <c r="AQ30" s="396" t="str">
        <f t="shared" si="22"/>
        <v/>
      </c>
    </row>
    <row r="31" spans="1:43" ht="12" customHeight="1">
      <c r="A31" s="53"/>
      <c r="B31" s="398" t="s">
        <v>264</v>
      </c>
      <c r="C31" s="389" t="str">
        <f t="shared" si="23"/>
        <v>Residential.DVA Disposition Rate Rider Group 1 - 2024</v>
      </c>
      <c r="D31" s="390" t="s">
        <v>337</v>
      </c>
      <c r="E31" s="328"/>
      <c r="F31" s="408">
        <f>IFERROR(VLOOKUP($C31,'Proposed Rates'!$B:$J,F$11,FALSE),0)</f>
        <v>0</v>
      </c>
      <c r="G31" s="409">
        <f t="shared" si="24"/>
        <v>100</v>
      </c>
      <c r="H31" s="410">
        <f t="shared" si="25"/>
        <v>0</v>
      </c>
      <c r="I31" s="53"/>
      <c r="J31" s="408">
        <f>IFERROR(VLOOKUP($C31,'Proposed Rates'!$B:$J,J$11,FALSE),0)</f>
        <v>0</v>
      </c>
      <c r="K31" s="409">
        <f t="shared" si="26"/>
        <v>100</v>
      </c>
      <c r="L31" s="394">
        <f t="shared" si="27"/>
        <v>0</v>
      </c>
      <c r="M31" s="138"/>
      <c r="N31" s="395">
        <f t="shared" si="5"/>
        <v>0</v>
      </c>
      <c r="O31" s="396" t="str">
        <f t="shared" si="6"/>
        <v/>
      </c>
      <c r="P31" s="53"/>
      <c r="Q31" s="408">
        <f>IFERROR(VLOOKUP($C31,'Proposed Rates'!$B:$J,Q$11,FALSE),0)</f>
        <v>0</v>
      </c>
      <c r="R31" s="409">
        <f t="shared" si="28"/>
        <v>100</v>
      </c>
      <c r="S31" s="394">
        <f t="shared" si="29"/>
        <v>0</v>
      </c>
      <c r="T31" s="138"/>
      <c r="U31" s="395">
        <f t="shared" si="9"/>
        <v>0</v>
      </c>
      <c r="V31" s="396" t="str">
        <f t="shared" si="10"/>
        <v/>
      </c>
      <c r="W31" s="53"/>
      <c r="X31" s="408">
        <f>IFERROR(VLOOKUP($C31,'Proposed Rates'!$B:$J,X$11,FALSE),0)</f>
        <v>0</v>
      </c>
      <c r="Y31" s="409">
        <f t="shared" si="30"/>
        <v>100</v>
      </c>
      <c r="Z31" s="394">
        <f t="shared" si="31"/>
        <v>0</v>
      </c>
      <c r="AA31" s="138"/>
      <c r="AB31" s="395">
        <f t="shared" si="13"/>
        <v>0</v>
      </c>
      <c r="AC31" s="396" t="str">
        <f t="shared" si="14"/>
        <v/>
      </c>
      <c r="AD31" s="53"/>
      <c r="AE31" s="408">
        <f>IFERROR(VLOOKUP($C31,'Proposed Rates'!$B:$J,AE$11,FALSE),0)</f>
        <v>0</v>
      </c>
      <c r="AF31" s="409">
        <f t="shared" si="32"/>
        <v>100</v>
      </c>
      <c r="AG31" s="394">
        <f t="shared" si="33"/>
        <v>0</v>
      </c>
      <c r="AH31" s="138"/>
      <c r="AI31" s="395">
        <f t="shared" si="17"/>
        <v>0</v>
      </c>
      <c r="AJ31" s="396" t="str">
        <f t="shared" si="18"/>
        <v/>
      </c>
      <c r="AK31" s="397"/>
      <c r="AL31" s="408">
        <f>IFERROR(VLOOKUP($C31,'Proposed Rates'!$B:$J,AL$11,FALSE),0)</f>
        <v>0</v>
      </c>
      <c r="AM31" s="409">
        <f t="shared" si="34"/>
        <v>100</v>
      </c>
      <c r="AN31" s="394">
        <f t="shared" si="35"/>
        <v>0</v>
      </c>
      <c r="AO31" s="138"/>
      <c r="AP31" s="395">
        <f t="shared" si="21"/>
        <v>0</v>
      </c>
      <c r="AQ31" s="396" t="str">
        <f t="shared" si="22"/>
        <v/>
      </c>
    </row>
    <row r="32" spans="1:43" ht="12" customHeight="1">
      <c r="A32" s="53"/>
      <c r="B32" s="398" t="s">
        <v>272</v>
      </c>
      <c r="C32" s="389" t="str">
        <f t="shared" si="23"/>
        <v>Residential.CBR Class B Rate Riders</v>
      </c>
      <c r="D32" s="390" t="s">
        <v>337</v>
      </c>
      <c r="E32" s="328"/>
      <c r="F32" s="408">
        <f>IFERROR(VLOOKUP($C32,'Proposed Rates'!$B:$J,F$11,FALSE),0)</f>
        <v>2.0000000000000001E-4</v>
      </c>
      <c r="G32" s="409">
        <f t="shared" si="24"/>
        <v>100</v>
      </c>
      <c r="H32" s="394">
        <f t="shared" si="25"/>
        <v>0.02</v>
      </c>
      <c r="I32" s="53"/>
      <c r="J32" s="408">
        <f>IFERROR(VLOOKUP($C32,'Proposed Rates'!$B:$J,J$11,FALSE),0)</f>
        <v>6.9999999999999999E-4</v>
      </c>
      <c r="K32" s="409">
        <f t="shared" si="26"/>
        <v>100</v>
      </c>
      <c r="L32" s="394">
        <f t="shared" si="27"/>
        <v>6.9999999999999993E-2</v>
      </c>
      <c r="M32" s="411"/>
      <c r="N32" s="395">
        <f t="shared" si="5"/>
        <v>4.9999999999999989E-2</v>
      </c>
      <c r="O32" s="396">
        <f t="shared" si="6"/>
        <v>2.4999999999999996</v>
      </c>
      <c r="P32" s="53"/>
      <c r="Q32" s="408">
        <f>IFERROR(VLOOKUP($C32,'Proposed Rates'!$B:$J,Q$11,FALSE),0)</f>
        <v>0</v>
      </c>
      <c r="R32" s="409">
        <f t="shared" si="28"/>
        <v>100</v>
      </c>
      <c r="S32" s="394">
        <f t="shared" si="29"/>
        <v>0</v>
      </c>
      <c r="T32" s="411"/>
      <c r="U32" s="395">
        <f t="shared" si="9"/>
        <v>-6.9999999999999993E-2</v>
      </c>
      <c r="V32" s="396">
        <f t="shared" si="10"/>
        <v>-1</v>
      </c>
      <c r="W32" s="53"/>
      <c r="X32" s="408">
        <f>IFERROR(VLOOKUP($C32,'Proposed Rates'!$B:$J,X$11,FALSE),0)</f>
        <v>0</v>
      </c>
      <c r="Y32" s="409">
        <f t="shared" si="30"/>
        <v>100</v>
      </c>
      <c r="Z32" s="394">
        <f t="shared" si="31"/>
        <v>0</v>
      </c>
      <c r="AA32" s="411"/>
      <c r="AB32" s="395">
        <f t="shared" si="13"/>
        <v>0</v>
      </c>
      <c r="AC32" s="396" t="str">
        <f t="shared" si="14"/>
        <v/>
      </c>
      <c r="AD32" s="53"/>
      <c r="AE32" s="408">
        <f>IFERROR(VLOOKUP($C32,'Proposed Rates'!$B:$J,AE$11,FALSE),0)</f>
        <v>0</v>
      </c>
      <c r="AF32" s="409">
        <f t="shared" si="32"/>
        <v>100</v>
      </c>
      <c r="AG32" s="394">
        <f t="shared" si="33"/>
        <v>0</v>
      </c>
      <c r="AH32" s="411"/>
      <c r="AI32" s="395">
        <f t="shared" si="17"/>
        <v>0</v>
      </c>
      <c r="AJ32" s="396" t="str">
        <f t="shared" si="18"/>
        <v/>
      </c>
      <c r="AK32" s="397"/>
      <c r="AL32" s="408">
        <f>IFERROR(VLOOKUP($C32,'Proposed Rates'!$B:$J,AL$11,FALSE),0)</f>
        <v>0</v>
      </c>
      <c r="AM32" s="409">
        <f t="shared" si="34"/>
        <v>100</v>
      </c>
      <c r="AN32" s="394">
        <f t="shared" si="35"/>
        <v>0</v>
      </c>
      <c r="AO32" s="411"/>
      <c r="AP32" s="395">
        <f t="shared" si="21"/>
        <v>0</v>
      </c>
      <c r="AQ32" s="396" t="str">
        <f t="shared" si="22"/>
        <v/>
      </c>
    </row>
    <row r="33" spans="1:43" ht="12" customHeight="1">
      <c r="A33" s="53"/>
      <c r="B33" s="398" t="s">
        <v>340</v>
      </c>
      <c r="C33" s="389" t="str">
        <f t="shared" si="23"/>
        <v>Residential.GA Disposition Rate Rider-NonRPP</v>
      </c>
      <c r="D33" s="390" t="s">
        <v>337</v>
      </c>
      <c r="E33" s="328"/>
      <c r="F33" s="408">
        <f>IFERROR(VLOOKUP($C33,'Proposed Rates'!$B:$J,F$11,FALSE),0)</f>
        <v>0</v>
      </c>
      <c r="G33" s="409">
        <f t="shared" si="24"/>
        <v>100</v>
      </c>
      <c r="H33" s="394">
        <f t="shared" si="25"/>
        <v>0</v>
      </c>
      <c r="I33" s="53"/>
      <c r="J33" s="408">
        <f>IFERROR(VLOOKUP($C33,'Proposed Rates'!$B:$J,J$11,FALSE),0)</f>
        <v>0</v>
      </c>
      <c r="K33" s="409">
        <f t="shared" si="26"/>
        <v>100</v>
      </c>
      <c r="L33" s="394">
        <f t="shared" si="27"/>
        <v>0</v>
      </c>
      <c r="M33" s="411"/>
      <c r="N33" s="395">
        <f t="shared" si="5"/>
        <v>0</v>
      </c>
      <c r="O33" s="396" t="str">
        <f t="shared" si="6"/>
        <v/>
      </c>
      <c r="P33" s="53"/>
      <c r="Q33" s="408">
        <f>IFERROR(VLOOKUP($C33,'Proposed Rates'!$B:$J,Q$11,FALSE),0)</f>
        <v>0</v>
      </c>
      <c r="R33" s="409">
        <f t="shared" si="28"/>
        <v>100</v>
      </c>
      <c r="S33" s="394">
        <f t="shared" si="29"/>
        <v>0</v>
      </c>
      <c r="T33" s="411"/>
      <c r="U33" s="395">
        <f t="shared" si="9"/>
        <v>0</v>
      </c>
      <c r="V33" s="396" t="str">
        <f t="shared" si="10"/>
        <v/>
      </c>
      <c r="W33" s="53"/>
      <c r="X33" s="408">
        <f>IFERROR(VLOOKUP($C33,'Proposed Rates'!$B:$J,X$11,FALSE),0)</f>
        <v>0</v>
      </c>
      <c r="Y33" s="409">
        <f t="shared" si="30"/>
        <v>100</v>
      </c>
      <c r="Z33" s="394">
        <f t="shared" si="31"/>
        <v>0</v>
      </c>
      <c r="AA33" s="411"/>
      <c r="AB33" s="395">
        <f t="shared" si="13"/>
        <v>0</v>
      </c>
      <c r="AC33" s="396" t="str">
        <f t="shared" si="14"/>
        <v/>
      </c>
      <c r="AD33" s="53"/>
      <c r="AE33" s="408">
        <f>IFERROR(VLOOKUP($C33,'Proposed Rates'!$B:$J,AE$11,FALSE),0)</f>
        <v>0</v>
      </c>
      <c r="AF33" s="409">
        <f t="shared" si="32"/>
        <v>100</v>
      </c>
      <c r="AG33" s="394">
        <f t="shared" si="33"/>
        <v>0</v>
      </c>
      <c r="AH33" s="411"/>
      <c r="AI33" s="395">
        <f t="shared" si="17"/>
        <v>0</v>
      </c>
      <c r="AJ33" s="396" t="str">
        <f t="shared" si="18"/>
        <v/>
      </c>
      <c r="AK33" s="397"/>
      <c r="AL33" s="408">
        <f>IFERROR(VLOOKUP($C33,'Proposed Rates'!$B:$J,AL$11,FALSE),0)</f>
        <v>0</v>
      </c>
      <c r="AM33" s="409">
        <f t="shared" si="34"/>
        <v>100</v>
      </c>
      <c r="AN33" s="394">
        <f t="shared" si="35"/>
        <v>0</v>
      </c>
      <c r="AO33" s="411"/>
      <c r="AP33" s="395">
        <f t="shared" si="21"/>
        <v>0</v>
      </c>
      <c r="AQ33" s="396" t="str">
        <f t="shared" si="22"/>
        <v/>
      </c>
    </row>
    <row r="34" spans="1:43" ht="12" customHeight="1">
      <c r="A34" s="53"/>
      <c r="B34" s="328" t="s">
        <v>300</v>
      </c>
      <c r="C34" s="389" t="str">
        <f t="shared" si="23"/>
        <v>Residential.Low Voltage Service Charge</v>
      </c>
      <c r="D34" s="390" t="s">
        <v>337</v>
      </c>
      <c r="E34" s="328"/>
      <c r="F34" s="412">
        <f>IFERROR(VLOOKUP($C34,'Proposed Rates'!$B:$J,F$11,FALSE),0)</f>
        <v>5.0000000000000002E-5</v>
      </c>
      <c r="G34" s="413">
        <f>$F$10*(1+F$63)</f>
        <v>103.38000000000001</v>
      </c>
      <c r="H34" s="394">
        <f t="shared" si="25"/>
        <v>5.1690000000000009E-3</v>
      </c>
      <c r="I34" s="53"/>
      <c r="J34" s="412">
        <f>IFERROR(VLOOKUP($C34,'Proposed Rates'!$B:$J,J$11,FALSE),0)</f>
        <v>6.9999999999999994E-5</v>
      </c>
      <c r="K34" s="413">
        <f>$F$10*(1+J$63)</f>
        <v>103.32</v>
      </c>
      <c r="L34" s="394">
        <f t="shared" si="27"/>
        <v>7.2323999999999991E-3</v>
      </c>
      <c r="M34" s="138"/>
      <c r="N34" s="395">
        <f t="shared" si="5"/>
        <v>2.0633999999999982E-3</v>
      </c>
      <c r="O34" s="396">
        <f t="shared" si="6"/>
        <v>0.39918746372605879</v>
      </c>
      <c r="P34" s="53"/>
      <c r="Q34" s="412">
        <f>IFERROR(VLOOKUP($C34,'Proposed Rates'!$B:$J,Q$11,FALSE),0)</f>
        <v>6.9999999999999994E-5</v>
      </c>
      <c r="R34" s="413">
        <f>$F$10*(1+Q$63)</f>
        <v>103.32</v>
      </c>
      <c r="S34" s="394">
        <f t="shared" si="29"/>
        <v>7.2323999999999991E-3</v>
      </c>
      <c r="T34" s="138"/>
      <c r="U34" s="395">
        <f t="shared" si="9"/>
        <v>0</v>
      </c>
      <c r="V34" s="396">
        <f t="shared" si="10"/>
        <v>0</v>
      </c>
      <c r="W34" s="53"/>
      <c r="X34" s="412">
        <f>IFERROR(VLOOKUP($C34,'Proposed Rates'!$B:$J,X$11,FALSE),0)</f>
        <v>8.0000000000000007E-5</v>
      </c>
      <c r="Y34" s="413">
        <f>$F$10*(1+X$63)</f>
        <v>103.32</v>
      </c>
      <c r="Z34" s="394">
        <f t="shared" si="31"/>
        <v>8.2655999999999997E-3</v>
      </c>
      <c r="AA34" s="138"/>
      <c r="AB34" s="395">
        <f t="shared" si="13"/>
        <v>1.0332000000000006E-3</v>
      </c>
      <c r="AC34" s="396">
        <f t="shared" si="14"/>
        <v>0.14285714285714296</v>
      </c>
      <c r="AD34" s="53"/>
      <c r="AE34" s="412">
        <f>IFERROR(VLOOKUP($C34,'Proposed Rates'!$B:$J,AE$11,FALSE),0)</f>
        <v>8.0000000000000007E-5</v>
      </c>
      <c r="AF34" s="413">
        <f>$F$10*(1+AE$63)</f>
        <v>103.32</v>
      </c>
      <c r="AG34" s="394">
        <f t="shared" si="33"/>
        <v>8.2655999999999997E-3</v>
      </c>
      <c r="AH34" s="138"/>
      <c r="AI34" s="395">
        <f t="shared" si="17"/>
        <v>0</v>
      </c>
      <c r="AJ34" s="396">
        <f t="shared" si="18"/>
        <v>0</v>
      </c>
      <c r="AK34" s="397"/>
      <c r="AL34" s="412">
        <f>IFERROR(VLOOKUP($C34,'Proposed Rates'!$B:$J,AL$11,FALSE),0)</f>
        <v>8.0000000000000007E-5</v>
      </c>
      <c r="AM34" s="413">
        <f>$F$10*(1+AL$63)</f>
        <v>103.32</v>
      </c>
      <c r="AN34" s="394">
        <f t="shared" si="35"/>
        <v>8.2655999999999997E-3</v>
      </c>
      <c r="AO34" s="138"/>
      <c r="AP34" s="395">
        <f t="shared" si="21"/>
        <v>0</v>
      </c>
      <c r="AQ34" s="396">
        <f t="shared" si="22"/>
        <v>0</v>
      </c>
    </row>
    <row r="35" spans="1:43" ht="12" customHeight="1">
      <c r="A35" s="53"/>
      <c r="B35" s="328" t="s">
        <v>341</v>
      </c>
      <c r="C35" s="389" t="str">
        <f t="shared" si="23"/>
        <v>Residential.Line Losses on Cost of Power</v>
      </c>
      <c r="D35" s="390" t="s">
        <v>337</v>
      </c>
      <c r="E35" s="328"/>
      <c r="F35" s="414">
        <f>'Proposed Rates'!$K$256*F$44+'Proposed Rates'!$K$257*F$45+'Proposed Rates'!$K$258*F$46</f>
        <v>0.12752000000000002</v>
      </c>
      <c r="G35" s="415">
        <f>$F$10*(1+F$63)-$F$10</f>
        <v>3.3800000000000097</v>
      </c>
      <c r="H35" s="394">
        <f t="shared" si="25"/>
        <v>0.43101760000000133</v>
      </c>
      <c r="I35" s="53"/>
      <c r="J35" s="414">
        <f>'Proposed Rates'!$K$256*J$44+'Proposed Rates'!$K$257*J$45+'Proposed Rates'!$K$258*J$46</f>
        <v>0.12752000000000002</v>
      </c>
      <c r="K35" s="415">
        <f>$F$10*(1+J$63)-$F$10</f>
        <v>3.3199999999999932</v>
      </c>
      <c r="L35" s="394">
        <f t="shared" si="27"/>
        <v>0.4233663999999992</v>
      </c>
      <c r="M35" s="138"/>
      <c r="N35" s="395">
        <f t="shared" si="5"/>
        <v>-7.6512000000021341E-3</v>
      </c>
      <c r="O35" s="396">
        <f t="shared" si="6"/>
        <v>-1.7751479289945724E-2</v>
      </c>
      <c r="P35" s="53"/>
      <c r="Q35" s="414">
        <f>'Proposed Rates'!$K$256*Q$44+'Proposed Rates'!$K$257*Q$45+'Proposed Rates'!$K$258*Q$46</f>
        <v>0.12752000000000002</v>
      </c>
      <c r="R35" s="415">
        <f>$F$10*(1+Q$63)-$F$10</f>
        <v>3.3199999999999932</v>
      </c>
      <c r="S35" s="394">
        <f t="shared" si="29"/>
        <v>0.4233663999999992</v>
      </c>
      <c r="T35" s="138"/>
      <c r="U35" s="395">
        <f t="shared" si="9"/>
        <v>0</v>
      </c>
      <c r="V35" s="396">
        <f t="shared" si="10"/>
        <v>0</v>
      </c>
      <c r="W35" s="53"/>
      <c r="X35" s="414">
        <f>'Proposed Rates'!$K$256*X$44+'Proposed Rates'!$K$257*X$45+'Proposed Rates'!$K$258*X$46</f>
        <v>0.12752000000000002</v>
      </c>
      <c r="Y35" s="415">
        <f>$F$10*(1+X$63)-$F$10</f>
        <v>3.3199999999999932</v>
      </c>
      <c r="Z35" s="394">
        <f t="shared" si="31"/>
        <v>0.4233663999999992</v>
      </c>
      <c r="AA35" s="138"/>
      <c r="AB35" s="395">
        <f t="shared" si="13"/>
        <v>0</v>
      </c>
      <c r="AC35" s="396">
        <f t="shared" si="14"/>
        <v>0</v>
      </c>
      <c r="AD35" s="53"/>
      <c r="AE35" s="414">
        <f>'Proposed Rates'!$K$256*AE$44+'Proposed Rates'!$K$257*AE$45+'Proposed Rates'!$K$258*AE$46</f>
        <v>0.12752000000000002</v>
      </c>
      <c r="AF35" s="415">
        <f>$F$10*(1+AE$63)-$F$10</f>
        <v>3.3199999999999932</v>
      </c>
      <c r="AG35" s="394">
        <f t="shared" si="33"/>
        <v>0.4233663999999992</v>
      </c>
      <c r="AH35" s="138"/>
      <c r="AI35" s="395">
        <f t="shared" si="17"/>
        <v>0</v>
      </c>
      <c r="AJ35" s="396">
        <f t="shared" si="18"/>
        <v>0</v>
      </c>
      <c r="AK35" s="397"/>
      <c r="AL35" s="414">
        <f>'Proposed Rates'!$K$256*AL$44+'Proposed Rates'!$K$257*AL$45+'Proposed Rates'!$K$258*AL$46</f>
        <v>0.12752000000000002</v>
      </c>
      <c r="AM35" s="415">
        <f>$F$10*(1+AL$63)-$F$10</f>
        <v>3.3199999999999932</v>
      </c>
      <c r="AN35" s="394">
        <f t="shared" si="35"/>
        <v>0.4233663999999992</v>
      </c>
      <c r="AO35" s="138"/>
      <c r="AP35" s="395">
        <f t="shared" si="21"/>
        <v>0</v>
      </c>
      <c r="AQ35" s="396">
        <f t="shared" si="22"/>
        <v>0</v>
      </c>
    </row>
    <row r="36" spans="1:43" ht="12" customHeight="1">
      <c r="A36" s="53"/>
      <c r="B36" s="328" t="s">
        <v>302</v>
      </c>
      <c r="C36" s="389" t="str">
        <f t="shared" si="23"/>
        <v>Residential.Smart Meter Entity Charge</v>
      </c>
      <c r="D36" s="390" t="s">
        <v>335</v>
      </c>
      <c r="E36" s="328"/>
      <c r="F36" s="391">
        <f>IFERROR(VLOOKUP($C36,'Proposed Rates'!$B:$J,F$11,FALSE),0)</f>
        <v>0.42</v>
      </c>
      <c r="G36" s="409">
        <f>IF($D36="Monthly",1,IF($D36="per KWH",$F$10,0))</f>
        <v>1</v>
      </c>
      <c r="H36" s="394">
        <f t="shared" si="25"/>
        <v>0.42</v>
      </c>
      <c r="I36" s="53"/>
      <c r="J36" s="391">
        <f>IFERROR(VLOOKUP($C36,'Proposed Rates'!$B:$J,J$11,FALSE),0)</f>
        <v>0.42</v>
      </c>
      <c r="K36" s="409">
        <f>IF($D36="Monthly",1,IF($D36="per KWH",$F$10,0))</f>
        <v>1</v>
      </c>
      <c r="L36" s="394">
        <f t="shared" si="27"/>
        <v>0.42</v>
      </c>
      <c r="M36" s="138"/>
      <c r="N36" s="395">
        <f t="shared" si="5"/>
        <v>0</v>
      </c>
      <c r="O36" s="396">
        <f t="shared" si="6"/>
        <v>0</v>
      </c>
      <c r="P36" s="53"/>
      <c r="Q36" s="391">
        <f>IFERROR(VLOOKUP($C36,'Proposed Rates'!$B:$J,Q$11,FALSE),0)</f>
        <v>0.42</v>
      </c>
      <c r="R36" s="409">
        <f>IF($D36="Monthly",1,IF($D36="per KWH",$F$10,0))</f>
        <v>1</v>
      </c>
      <c r="S36" s="394">
        <f t="shared" si="29"/>
        <v>0.42</v>
      </c>
      <c r="T36" s="138"/>
      <c r="U36" s="395">
        <f t="shared" si="9"/>
        <v>0</v>
      </c>
      <c r="V36" s="396">
        <f t="shared" si="10"/>
        <v>0</v>
      </c>
      <c r="W36" s="53"/>
      <c r="X36" s="391">
        <f>IFERROR(VLOOKUP($C36,'Proposed Rates'!$B:$J,X$11,FALSE),0)</f>
        <v>0.43</v>
      </c>
      <c r="Y36" s="409">
        <f>IF($D36="Monthly",1,IF($D36="per KWH",$F$10,0))</f>
        <v>1</v>
      </c>
      <c r="Z36" s="394">
        <f t="shared" si="31"/>
        <v>0.43</v>
      </c>
      <c r="AA36" s="138"/>
      <c r="AB36" s="395">
        <f t="shared" si="13"/>
        <v>1.0000000000000009E-2</v>
      </c>
      <c r="AC36" s="396">
        <f t="shared" si="14"/>
        <v>2.3809523809523832E-2</v>
      </c>
      <c r="AD36" s="53"/>
      <c r="AE36" s="391">
        <f>IFERROR(VLOOKUP($C36,'Proposed Rates'!$B:$J,AE$11,FALSE),0)</f>
        <v>0.44</v>
      </c>
      <c r="AF36" s="409">
        <f>IF($D36="Monthly",1,IF($D36="per KWH",$F$10,0))</f>
        <v>1</v>
      </c>
      <c r="AG36" s="394">
        <f t="shared" si="33"/>
        <v>0.44</v>
      </c>
      <c r="AH36" s="138"/>
      <c r="AI36" s="395">
        <f t="shared" si="17"/>
        <v>1.0000000000000009E-2</v>
      </c>
      <c r="AJ36" s="396">
        <f t="shared" si="18"/>
        <v>2.3255813953488393E-2</v>
      </c>
      <c r="AK36" s="397"/>
      <c r="AL36" s="391">
        <f>IFERROR(VLOOKUP($C36,'Proposed Rates'!$B:$J,AL$11,FALSE),0)</f>
        <v>0.45</v>
      </c>
      <c r="AM36" s="409">
        <f>IF($D36="Monthly",1,IF($D36="per KWH",$F$10,0))</f>
        <v>1</v>
      </c>
      <c r="AN36" s="394">
        <f t="shared" si="35"/>
        <v>0.45</v>
      </c>
      <c r="AO36" s="138"/>
      <c r="AP36" s="395">
        <f t="shared" si="21"/>
        <v>1.0000000000000009E-2</v>
      </c>
      <c r="AQ36" s="396">
        <f t="shared" si="22"/>
        <v>2.2727272727272749E-2</v>
      </c>
    </row>
    <row r="37" spans="1:43" ht="12" customHeight="1">
      <c r="A37" s="53"/>
      <c r="B37" s="399" t="s">
        <v>342</v>
      </c>
      <c r="C37" s="416"/>
      <c r="D37" s="416"/>
      <c r="E37" s="416"/>
      <c r="F37" s="417"/>
      <c r="G37" s="418"/>
      <c r="H37" s="403">
        <f>SUM(H30:H36)+H29</f>
        <v>35.366186599999999</v>
      </c>
      <c r="I37" s="53"/>
      <c r="J37" s="417"/>
      <c r="K37" s="418"/>
      <c r="L37" s="403">
        <f>SUM(L30:L36)+L29</f>
        <v>40.670598800000008</v>
      </c>
      <c r="M37" s="419"/>
      <c r="N37" s="405">
        <f t="shared" si="5"/>
        <v>5.3044122000000087</v>
      </c>
      <c r="O37" s="406">
        <f t="shared" si="6"/>
        <v>0.14998541573040303</v>
      </c>
      <c r="P37" s="53"/>
      <c r="Q37" s="417"/>
      <c r="R37" s="418"/>
      <c r="S37" s="403">
        <f>SUM(S30:S36)+S29</f>
        <v>43.790598800000005</v>
      </c>
      <c r="T37" s="419"/>
      <c r="U37" s="405">
        <f t="shared" si="9"/>
        <v>3.1199999999999974</v>
      </c>
      <c r="V37" s="406">
        <f t="shared" si="10"/>
        <v>7.6713893870674871E-2</v>
      </c>
      <c r="W37" s="53"/>
      <c r="X37" s="417"/>
      <c r="Y37" s="418"/>
      <c r="Z37" s="403">
        <f>SUM(Z30:Z36)+Z29</f>
        <v>44.791632</v>
      </c>
      <c r="AA37" s="419"/>
      <c r="AB37" s="405">
        <f t="shared" si="13"/>
        <v>1.0010331999999948</v>
      </c>
      <c r="AC37" s="406">
        <f t="shared" si="14"/>
        <v>2.2859545825621247E-2</v>
      </c>
      <c r="AD37" s="53"/>
      <c r="AE37" s="417"/>
      <c r="AF37" s="418"/>
      <c r="AG37" s="403">
        <f>SUM(AG30:AG36)+AG29</f>
        <v>46.291632</v>
      </c>
      <c r="AH37" s="419"/>
      <c r="AI37" s="405">
        <f t="shared" si="17"/>
        <v>1.5</v>
      </c>
      <c r="AJ37" s="406">
        <f t="shared" si="18"/>
        <v>3.3488398011485718E-2</v>
      </c>
      <c r="AK37" s="407"/>
      <c r="AL37" s="417"/>
      <c r="AM37" s="418"/>
      <c r="AN37" s="403">
        <f>SUM(AN30:AN36)+AN29</f>
        <v>47.661631999999997</v>
      </c>
      <c r="AO37" s="419"/>
      <c r="AP37" s="405">
        <f t="shared" si="21"/>
        <v>1.3699999999999974</v>
      </c>
      <c r="AQ37" s="406">
        <f t="shared" si="22"/>
        <v>2.95949816588881E-2</v>
      </c>
    </row>
    <row r="38" spans="1:43" ht="12" customHeight="1">
      <c r="A38" s="53"/>
      <c r="B38" s="138" t="s">
        <v>285</v>
      </c>
      <c r="C38" s="389" t="str">
        <f t="shared" ref="C38:C39" si="36">D$6&amp;"."&amp;B38</f>
        <v>Residential.RTSR - Network</v>
      </c>
      <c r="D38" s="420" t="s">
        <v>337</v>
      </c>
      <c r="E38" s="138"/>
      <c r="F38" s="408">
        <f>IFERROR(VLOOKUP($C38,'Proposed Rates'!$B:$J,F$11,FALSE),0)</f>
        <v>1.26E-2</v>
      </c>
      <c r="G38" s="413">
        <f t="shared" ref="G38:G39" si="37">$F$10*(1+F$63)</f>
        <v>103.38000000000001</v>
      </c>
      <c r="H38" s="394">
        <f t="shared" ref="H38:H39" si="38">G38*F38</f>
        <v>1.3025880000000001</v>
      </c>
      <c r="I38" s="53"/>
      <c r="J38" s="408">
        <f>IFERROR(VLOOKUP($C38,'Proposed Rates'!$B:$J,J$11,FALSE),0)</f>
        <v>1.38E-2</v>
      </c>
      <c r="K38" s="413">
        <f t="shared" ref="K38:K39" si="39">$F$10*(1+J$63)</f>
        <v>103.32</v>
      </c>
      <c r="L38" s="394">
        <f t="shared" ref="L38:L39" si="40">K38*J38</f>
        <v>1.425816</v>
      </c>
      <c r="M38" s="138"/>
      <c r="N38" s="395">
        <f t="shared" si="5"/>
        <v>0.12322799999999989</v>
      </c>
      <c r="O38" s="396">
        <f t="shared" si="6"/>
        <v>9.4602437608821741E-2</v>
      </c>
      <c r="P38" s="53"/>
      <c r="Q38" s="408">
        <f>IFERROR(VLOOKUP($C38,'Proposed Rates'!$B:$J,Q$11,FALSE),0)</f>
        <v>1.38E-2</v>
      </c>
      <c r="R38" s="413">
        <f t="shared" ref="R38:R39" si="41">$F$10*(1+Q$63)</f>
        <v>103.32</v>
      </c>
      <c r="S38" s="394">
        <f t="shared" ref="S38:S39" si="42">R38*Q38</f>
        <v>1.425816</v>
      </c>
      <c r="T38" s="138"/>
      <c r="U38" s="395">
        <f t="shared" si="9"/>
        <v>0</v>
      </c>
      <c r="V38" s="396">
        <f t="shared" si="10"/>
        <v>0</v>
      </c>
      <c r="W38" s="53"/>
      <c r="X38" s="408">
        <f>IFERROR(VLOOKUP($C38,'Proposed Rates'!$B:$J,X$11,FALSE),0)</f>
        <v>1.38E-2</v>
      </c>
      <c r="Y38" s="413">
        <f t="shared" ref="Y38:Y39" si="43">$F$10*(1+X$63)</f>
        <v>103.32</v>
      </c>
      <c r="Z38" s="394">
        <f t="shared" ref="Z38:Z39" si="44">Y38*X38</f>
        <v>1.425816</v>
      </c>
      <c r="AA38" s="138"/>
      <c r="AB38" s="395">
        <f t="shared" si="13"/>
        <v>0</v>
      </c>
      <c r="AC38" s="396">
        <f t="shared" si="14"/>
        <v>0</v>
      </c>
      <c r="AD38" s="53"/>
      <c r="AE38" s="408">
        <f>IFERROR(VLOOKUP($C38,'Proposed Rates'!$B:$J,AE$11,FALSE),0)</f>
        <v>1.38E-2</v>
      </c>
      <c r="AF38" s="413">
        <f t="shared" ref="AF38:AF39" si="45">$F$10*(1+AE$63)</f>
        <v>103.32</v>
      </c>
      <c r="AG38" s="394">
        <f t="shared" ref="AG38:AG39" si="46">AF38*AE38</f>
        <v>1.425816</v>
      </c>
      <c r="AH38" s="138"/>
      <c r="AI38" s="395">
        <f t="shared" si="17"/>
        <v>0</v>
      </c>
      <c r="AJ38" s="396">
        <f t="shared" si="18"/>
        <v>0</v>
      </c>
      <c r="AK38" s="397"/>
      <c r="AL38" s="408">
        <f>IFERROR(VLOOKUP($C38,'Proposed Rates'!$B:$J,AL$11,FALSE),0)</f>
        <v>1.38E-2</v>
      </c>
      <c r="AM38" s="413">
        <f t="shared" ref="AM38:AM39" si="47">$F$10*(1+AL$63)</f>
        <v>103.32</v>
      </c>
      <c r="AN38" s="394">
        <f t="shared" ref="AN38:AN39" si="48">AM38*AL38</f>
        <v>1.425816</v>
      </c>
      <c r="AO38" s="138"/>
      <c r="AP38" s="395">
        <f t="shared" si="21"/>
        <v>0</v>
      </c>
      <c r="AQ38" s="396">
        <f t="shared" si="22"/>
        <v>0</v>
      </c>
    </row>
    <row r="39" spans="1:43" ht="12" customHeight="1">
      <c r="A39" s="53"/>
      <c r="B39" s="138" t="s">
        <v>288</v>
      </c>
      <c r="C39" s="389" t="str">
        <f t="shared" si="36"/>
        <v>Residential.RTSR - Line and Transformation Connection</v>
      </c>
      <c r="D39" s="420" t="s">
        <v>337</v>
      </c>
      <c r="E39" s="138"/>
      <c r="F39" s="408">
        <f>IFERROR(VLOOKUP($C39,'Proposed Rates'!$B:$J,F$11,FALSE),0)</f>
        <v>7.1999999999999998E-3</v>
      </c>
      <c r="G39" s="413">
        <f t="shared" si="37"/>
        <v>103.38000000000001</v>
      </c>
      <c r="H39" s="394">
        <f t="shared" si="38"/>
        <v>0.744336</v>
      </c>
      <c r="I39" s="53"/>
      <c r="J39" s="408">
        <f>IFERROR(VLOOKUP($C39,'Proposed Rates'!$B:$J,J$11,FALSE),0)</f>
        <v>7.7999999999999996E-3</v>
      </c>
      <c r="K39" s="413">
        <f t="shared" si="39"/>
        <v>103.32</v>
      </c>
      <c r="L39" s="394">
        <f t="shared" si="40"/>
        <v>0.80589599999999995</v>
      </c>
      <c r="M39" s="138"/>
      <c r="N39" s="395">
        <f t="shared" si="5"/>
        <v>6.1559999999999948E-2</v>
      </c>
      <c r="O39" s="396">
        <f t="shared" si="6"/>
        <v>8.2704585026117161E-2</v>
      </c>
      <c r="P39" s="53"/>
      <c r="Q39" s="408">
        <f>IFERROR(VLOOKUP($C39,'Proposed Rates'!$B:$J,Q$11,FALSE),0)</f>
        <v>7.7999999999999996E-3</v>
      </c>
      <c r="R39" s="413">
        <f t="shared" si="41"/>
        <v>103.32</v>
      </c>
      <c r="S39" s="394">
        <f t="shared" si="42"/>
        <v>0.80589599999999995</v>
      </c>
      <c r="T39" s="138"/>
      <c r="U39" s="395">
        <f t="shared" si="9"/>
        <v>0</v>
      </c>
      <c r="V39" s="396">
        <f t="shared" si="10"/>
        <v>0</v>
      </c>
      <c r="W39" s="53"/>
      <c r="X39" s="408">
        <f>IFERROR(VLOOKUP($C39,'Proposed Rates'!$B:$J,X$11,FALSE),0)</f>
        <v>7.7999999999999996E-3</v>
      </c>
      <c r="Y39" s="413">
        <f t="shared" si="43"/>
        <v>103.32</v>
      </c>
      <c r="Z39" s="394">
        <f t="shared" si="44"/>
        <v>0.80589599999999995</v>
      </c>
      <c r="AA39" s="138"/>
      <c r="AB39" s="395">
        <f t="shared" si="13"/>
        <v>0</v>
      </c>
      <c r="AC39" s="396">
        <f t="shared" si="14"/>
        <v>0</v>
      </c>
      <c r="AD39" s="53"/>
      <c r="AE39" s="408">
        <f>IFERROR(VLOOKUP($C39,'Proposed Rates'!$B:$J,AE$11,FALSE),0)</f>
        <v>7.7999999999999996E-3</v>
      </c>
      <c r="AF39" s="413">
        <f t="shared" si="45"/>
        <v>103.32</v>
      </c>
      <c r="AG39" s="394">
        <f t="shared" si="46"/>
        <v>0.80589599999999995</v>
      </c>
      <c r="AH39" s="138"/>
      <c r="AI39" s="395">
        <f t="shared" si="17"/>
        <v>0</v>
      </c>
      <c r="AJ39" s="396">
        <f t="shared" si="18"/>
        <v>0</v>
      </c>
      <c r="AK39" s="397"/>
      <c r="AL39" s="408">
        <f>IFERROR(VLOOKUP($C39,'Proposed Rates'!$B:$J,AL$11,FALSE),0)</f>
        <v>7.7999999999999996E-3</v>
      </c>
      <c r="AM39" s="413">
        <f t="shared" si="47"/>
        <v>103.32</v>
      </c>
      <c r="AN39" s="394">
        <f t="shared" si="48"/>
        <v>0.80589599999999995</v>
      </c>
      <c r="AO39" s="138"/>
      <c r="AP39" s="395">
        <f t="shared" si="21"/>
        <v>0</v>
      </c>
      <c r="AQ39" s="396">
        <f t="shared" si="22"/>
        <v>0</v>
      </c>
    </row>
    <row r="40" spans="1:43" ht="12" customHeight="1">
      <c r="A40" s="53"/>
      <c r="B40" s="399" t="s">
        <v>343</v>
      </c>
      <c r="C40" s="421"/>
      <c r="D40" s="421"/>
      <c r="E40" s="421"/>
      <c r="F40" s="422"/>
      <c r="G40" s="423"/>
      <c r="H40" s="403">
        <f>SUM(H37:H39)</f>
        <v>37.413110599999996</v>
      </c>
      <c r="I40" s="53"/>
      <c r="J40" s="422"/>
      <c r="K40" s="423"/>
      <c r="L40" s="403">
        <f>SUM(L37:L39)</f>
        <v>42.902310800000002</v>
      </c>
      <c r="M40" s="404"/>
      <c r="N40" s="405">
        <f t="shared" si="5"/>
        <v>5.4892002000000062</v>
      </c>
      <c r="O40" s="406">
        <f t="shared" si="6"/>
        <v>0.14671862649132433</v>
      </c>
      <c r="P40" s="53"/>
      <c r="Q40" s="422"/>
      <c r="R40" s="423"/>
      <c r="S40" s="403">
        <f>SUM(S37:S39)</f>
        <v>46.0223108</v>
      </c>
      <c r="T40" s="404"/>
      <c r="U40" s="405">
        <f t="shared" si="9"/>
        <v>3.1199999999999974</v>
      </c>
      <c r="V40" s="406">
        <f t="shared" si="10"/>
        <v>7.2723355498137812E-2</v>
      </c>
      <c r="W40" s="53"/>
      <c r="X40" s="422"/>
      <c r="Y40" s="423"/>
      <c r="Z40" s="403">
        <f>SUM(Z37:Z39)</f>
        <v>47.023343999999994</v>
      </c>
      <c r="AA40" s="404"/>
      <c r="AB40" s="405">
        <f t="shared" si="13"/>
        <v>1.0010331999999948</v>
      </c>
      <c r="AC40" s="406">
        <f t="shared" si="14"/>
        <v>2.1751041670858364E-2</v>
      </c>
      <c r="AD40" s="53"/>
      <c r="AE40" s="422"/>
      <c r="AF40" s="423"/>
      <c r="AG40" s="403">
        <f>SUM(AG37:AG39)</f>
        <v>48.523343999999994</v>
      </c>
      <c r="AH40" s="404"/>
      <c r="AI40" s="405">
        <f t="shared" si="17"/>
        <v>1.5</v>
      </c>
      <c r="AJ40" s="406">
        <f t="shared" si="18"/>
        <v>3.1899049969734188E-2</v>
      </c>
      <c r="AK40" s="407"/>
      <c r="AL40" s="422"/>
      <c r="AM40" s="423"/>
      <c r="AN40" s="403">
        <f>SUM(AN37:AN39)</f>
        <v>49.893343999999992</v>
      </c>
      <c r="AO40" s="404"/>
      <c r="AP40" s="405">
        <f t="shared" si="21"/>
        <v>1.3699999999999974</v>
      </c>
      <c r="AQ40" s="406">
        <f t="shared" si="22"/>
        <v>2.8233833183467272E-2</v>
      </c>
    </row>
    <row r="41" spans="1:43" ht="12" customHeight="1">
      <c r="A41" s="53"/>
      <c r="B41" s="328" t="s">
        <v>289</v>
      </c>
      <c r="C41" s="389" t="str">
        <f t="shared" ref="C41:C48" si="49">D$6&amp;"."&amp;B41</f>
        <v>Residential.Wholesale Market Service Charge (WMSC)</v>
      </c>
      <c r="D41" s="390" t="s">
        <v>337</v>
      </c>
      <c r="E41" s="328"/>
      <c r="F41" s="408">
        <f>IFERROR(VLOOKUP($C41,'Proposed Rates'!$B:$J,F$11,FALSE),0)</f>
        <v>4.4999999999999997E-3</v>
      </c>
      <c r="G41" s="413">
        <f t="shared" ref="G41:G42" si="50">$F$10*(1+F$63)</f>
        <v>103.38000000000001</v>
      </c>
      <c r="H41" s="394">
        <f t="shared" ref="H41:H48" si="51">G41*F41</f>
        <v>0.46521000000000001</v>
      </c>
      <c r="I41" s="53"/>
      <c r="J41" s="408">
        <f>IFERROR(VLOOKUP($C41,'Proposed Rates'!$B:$J,J$11,FALSE),0)</f>
        <v>4.7000000000000002E-3</v>
      </c>
      <c r="K41" s="413">
        <f t="shared" ref="K41:K42" si="52">$F$10*(1+J$63)</f>
        <v>103.32</v>
      </c>
      <c r="L41" s="394">
        <f t="shared" ref="L41:L48" si="53">K41*J41</f>
        <v>0.48560399999999998</v>
      </c>
      <c r="M41" s="138"/>
      <c r="N41" s="395">
        <f t="shared" si="5"/>
        <v>2.0393999999999968E-2</v>
      </c>
      <c r="O41" s="396">
        <f t="shared" si="6"/>
        <v>4.3838266589282186E-2</v>
      </c>
      <c r="P41" s="53"/>
      <c r="Q41" s="408">
        <f>IFERROR(VLOOKUP($C41,'Proposed Rates'!$B:$J,Q$11,FALSE),0)</f>
        <v>4.7000000000000002E-3</v>
      </c>
      <c r="R41" s="413">
        <f t="shared" ref="R41:R42" si="54">$F$10*(1+Q$63)</f>
        <v>103.32</v>
      </c>
      <c r="S41" s="394">
        <f t="shared" ref="S41:S48" si="55">R41*Q41</f>
        <v>0.48560399999999998</v>
      </c>
      <c r="T41" s="138"/>
      <c r="U41" s="395">
        <f t="shared" si="9"/>
        <v>0</v>
      </c>
      <c r="V41" s="396">
        <f t="shared" si="10"/>
        <v>0</v>
      </c>
      <c r="W41" s="53"/>
      <c r="X41" s="408">
        <f>IFERROR(VLOOKUP($C41,'Proposed Rates'!$B:$J,X$11,FALSE),0)</f>
        <v>4.7000000000000002E-3</v>
      </c>
      <c r="Y41" s="413">
        <f t="shared" ref="Y41:Y42" si="56">$F$10*(1+X$63)</f>
        <v>103.32</v>
      </c>
      <c r="Z41" s="394">
        <f t="shared" ref="Z41:Z48" si="57">Y41*X41</f>
        <v>0.48560399999999998</v>
      </c>
      <c r="AA41" s="138"/>
      <c r="AB41" s="395">
        <f t="shared" si="13"/>
        <v>0</v>
      </c>
      <c r="AC41" s="396">
        <f t="shared" si="14"/>
        <v>0</v>
      </c>
      <c r="AD41" s="53"/>
      <c r="AE41" s="408">
        <f>IFERROR(VLOOKUP($C41,'Proposed Rates'!$B:$J,AE$11,FALSE),0)</f>
        <v>4.7000000000000002E-3</v>
      </c>
      <c r="AF41" s="413">
        <f t="shared" ref="AF41:AF42" si="58">$F$10*(1+AE$63)</f>
        <v>103.32</v>
      </c>
      <c r="AG41" s="394">
        <f t="shared" ref="AG41:AG48" si="59">AF41*AE41</f>
        <v>0.48560399999999998</v>
      </c>
      <c r="AH41" s="138"/>
      <c r="AI41" s="395">
        <f t="shared" si="17"/>
        <v>0</v>
      </c>
      <c r="AJ41" s="396">
        <f t="shared" si="18"/>
        <v>0</v>
      </c>
      <c r="AK41" s="397"/>
      <c r="AL41" s="408">
        <f>IFERROR(VLOOKUP($C41,'Proposed Rates'!$B:$J,AL$11,FALSE),0)</f>
        <v>4.7000000000000002E-3</v>
      </c>
      <c r="AM41" s="413">
        <f t="shared" ref="AM41:AM42" si="60">$F$10*(1+AL$63)</f>
        <v>103.32</v>
      </c>
      <c r="AN41" s="394">
        <f t="shared" ref="AN41:AN48" si="61">AM41*AL41</f>
        <v>0.48560399999999998</v>
      </c>
      <c r="AO41" s="138"/>
      <c r="AP41" s="395">
        <f t="shared" si="21"/>
        <v>0</v>
      </c>
      <c r="AQ41" s="396">
        <f t="shared" si="22"/>
        <v>0</v>
      </c>
    </row>
    <row r="42" spans="1:43" ht="12" customHeight="1">
      <c r="A42" s="53"/>
      <c r="B42" s="328" t="s">
        <v>290</v>
      </c>
      <c r="C42" s="389" t="str">
        <f t="shared" si="49"/>
        <v>Residential.Rural and Remote Rate Protection (RRRP)</v>
      </c>
      <c r="D42" s="390" t="s">
        <v>337</v>
      </c>
      <c r="E42" s="328"/>
      <c r="F42" s="408">
        <f>IFERROR(VLOOKUP($C42,'Proposed Rates'!$B:$J,F$11,FALSE),0)</f>
        <v>1.5E-3</v>
      </c>
      <c r="G42" s="413">
        <f t="shared" si="50"/>
        <v>103.38000000000001</v>
      </c>
      <c r="H42" s="394">
        <f t="shared" si="51"/>
        <v>0.15507000000000001</v>
      </c>
      <c r="I42" s="53"/>
      <c r="J42" s="408">
        <f>IFERROR(VLOOKUP($C42,'Proposed Rates'!$B:$J,J$11,FALSE),0)</f>
        <v>5.9999999999999995E-4</v>
      </c>
      <c r="K42" s="413">
        <f t="shared" si="52"/>
        <v>103.32</v>
      </c>
      <c r="L42" s="394">
        <f t="shared" si="53"/>
        <v>6.1991999999999992E-2</v>
      </c>
      <c r="M42" s="138"/>
      <c r="N42" s="395">
        <f t="shared" si="5"/>
        <v>-9.3078000000000022E-2</v>
      </c>
      <c r="O42" s="396">
        <f t="shared" si="6"/>
        <v>-0.600232153221126</v>
      </c>
      <c r="P42" s="53"/>
      <c r="Q42" s="408">
        <f>IFERROR(VLOOKUP($C42,'Proposed Rates'!$B:$J,Q$11,FALSE),0)</f>
        <v>5.9999999999999995E-4</v>
      </c>
      <c r="R42" s="413">
        <f t="shared" si="54"/>
        <v>103.32</v>
      </c>
      <c r="S42" s="394">
        <f t="shared" si="55"/>
        <v>6.1991999999999992E-2</v>
      </c>
      <c r="T42" s="138"/>
      <c r="U42" s="395">
        <f t="shared" si="9"/>
        <v>0</v>
      </c>
      <c r="V42" s="396">
        <f t="shared" si="10"/>
        <v>0</v>
      </c>
      <c r="W42" s="53"/>
      <c r="X42" s="408">
        <f>IFERROR(VLOOKUP($C42,'Proposed Rates'!$B:$J,X$11,FALSE),0)</f>
        <v>5.9999999999999995E-4</v>
      </c>
      <c r="Y42" s="413">
        <f t="shared" si="56"/>
        <v>103.32</v>
      </c>
      <c r="Z42" s="394">
        <f t="shared" si="57"/>
        <v>6.1991999999999992E-2</v>
      </c>
      <c r="AA42" s="138"/>
      <c r="AB42" s="395">
        <f t="shared" si="13"/>
        <v>0</v>
      </c>
      <c r="AC42" s="396">
        <f t="shared" si="14"/>
        <v>0</v>
      </c>
      <c r="AD42" s="53"/>
      <c r="AE42" s="408">
        <f>IFERROR(VLOOKUP($C42,'Proposed Rates'!$B:$J,AE$11,FALSE),0)</f>
        <v>5.9999999999999995E-4</v>
      </c>
      <c r="AF42" s="413">
        <f t="shared" si="58"/>
        <v>103.32</v>
      </c>
      <c r="AG42" s="394">
        <f t="shared" si="59"/>
        <v>6.1991999999999992E-2</v>
      </c>
      <c r="AH42" s="138"/>
      <c r="AI42" s="395">
        <f t="shared" si="17"/>
        <v>0</v>
      </c>
      <c r="AJ42" s="396">
        <f t="shared" si="18"/>
        <v>0</v>
      </c>
      <c r="AK42" s="397"/>
      <c r="AL42" s="408">
        <f>IFERROR(VLOOKUP($C42,'Proposed Rates'!$B:$J,AL$11,FALSE),0)</f>
        <v>5.9999999999999995E-4</v>
      </c>
      <c r="AM42" s="413">
        <f t="shared" si="60"/>
        <v>103.32</v>
      </c>
      <c r="AN42" s="394">
        <f t="shared" si="61"/>
        <v>6.1991999999999992E-2</v>
      </c>
      <c r="AO42" s="138"/>
      <c r="AP42" s="395">
        <f t="shared" si="21"/>
        <v>0</v>
      </c>
      <c r="AQ42" s="396">
        <f t="shared" si="22"/>
        <v>0</v>
      </c>
    </row>
    <row r="43" spans="1:43" ht="12" customHeight="1">
      <c r="A43" s="53"/>
      <c r="B43" s="328" t="s">
        <v>291</v>
      </c>
      <c r="C43" s="389" t="str">
        <f t="shared" si="49"/>
        <v>Residential.Standard Supply Service Charge</v>
      </c>
      <c r="D43" s="390" t="s">
        <v>335</v>
      </c>
      <c r="E43" s="328"/>
      <c r="F43" s="408">
        <f>IFERROR(VLOOKUP($C43,'Proposed Rates'!$B:$J,F$11,FALSE),0)</f>
        <v>0.25</v>
      </c>
      <c r="G43" s="409">
        <f>IF($D43="Monthly",1,IF($D43="per KWH",$F$10,0))</f>
        <v>1</v>
      </c>
      <c r="H43" s="394">
        <f t="shared" si="51"/>
        <v>0.25</v>
      </c>
      <c r="I43" s="53"/>
      <c r="J43" s="408">
        <f>IFERROR(VLOOKUP($C43,'Proposed Rates'!$B:$J,J$11,FALSE),0)</f>
        <v>0.25</v>
      </c>
      <c r="K43" s="409">
        <f>IF($D43="Monthly",1,IF($D43="per KWH",$F$10,0))</f>
        <v>1</v>
      </c>
      <c r="L43" s="394">
        <f t="shared" si="53"/>
        <v>0.25</v>
      </c>
      <c r="M43" s="138"/>
      <c r="N43" s="395">
        <f t="shared" si="5"/>
        <v>0</v>
      </c>
      <c r="O43" s="396">
        <f t="shared" si="6"/>
        <v>0</v>
      </c>
      <c r="P43" s="53"/>
      <c r="Q43" s="408">
        <f>IFERROR(VLOOKUP($C43,'Proposed Rates'!$B:$J,Q$11,FALSE),0)</f>
        <v>0.25</v>
      </c>
      <c r="R43" s="409">
        <f>IF($D43="Monthly",1,IF($D43="per KWH",$F$10,0))</f>
        <v>1</v>
      </c>
      <c r="S43" s="394">
        <f t="shared" si="55"/>
        <v>0.25</v>
      </c>
      <c r="T43" s="138"/>
      <c r="U43" s="395">
        <f t="shared" si="9"/>
        <v>0</v>
      </c>
      <c r="V43" s="396">
        <f t="shared" si="10"/>
        <v>0</v>
      </c>
      <c r="W43" s="53"/>
      <c r="X43" s="408">
        <f>IFERROR(VLOOKUP($C43,'Proposed Rates'!$B:$J,X$11,FALSE),0)</f>
        <v>0.25</v>
      </c>
      <c r="Y43" s="409">
        <f>IF($D43="Monthly",1,IF($D43="per KWH",$F$10,0))</f>
        <v>1</v>
      </c>
      <c r="Z43" s="394">
        <f t="shared" si="57"/>
        <v>0.25</v>
      </c>
      <c r="AA43" s="138"/>
      <c r="AB43" s="395">
        <f t="shared" si="13"/>
        <v>0</v>
      </c>
      <c r="AC43" s="396">
        <f t="shared" si="14"/>
        <v>0</v>
      </c>
      <c r="AD43" s="53"/>
      <c r="AE43" s="408">
        <f>IFERROR(VLOOKUP($C43,'Proposed Rates'!$B:$J,AE$11,FALSE),0)</f>
        <v>0.25</v>
      </c>
      <c r="AF43" s="409">
        <f>IF($D43="Monthly",1,IF($D43="per KWH",$F$10,0))</f>
        <v>1</v>
      </c>
      <c r="AG43" s="394">
        <f t="shared" si="59"/>
        <v>0.25</v>
      </c>
      <c r="AH43" s="138"/>
      <c r="AI43" s="395">
        <f t="shared" si="17"/>
        <v>0</v>
      </c>
      <c r="AJ43" s="396">
        <f t="shared" si="18"/>
        <v>0</v>
      </c>
      <c r="AK43" s="397"/>
      <c r="AL43" s="408">
        <f>IFERROR(VLOOKUP($C43,'Proposed Rates'!$B:$J,AL$11,FALSE),0)</f>
        <v>0.25</v>
      </c>
      <c r="AM43" s="409">
        <f>IF($D43="Monthly",1,IF($D43="per KWH",$F$10,0))</f>
        <v>1</v>
      </c>
      <c r="AN43" s="394">
        <f t="shared" si="61"/>
        <v>0.25</v>
      </c>
      <c r="AO43" s="138"/>
      <c r="AP43" s="395">
        <f t="shared" si="21"/>
        <v>0</v>
      </c>
      <c r="AQ43" s="396">
        <f t="shared" si="22"/>
        <v>0</v>
      </c>
    </row>
    <row r="44" spans="1:43" ht="12" customHeight="1">
      <c r="A44" s="53"/>
      <c r="B44" s="328" t="s">
        <v>293</v>
      </c>
      <c r="C44" s="389" t="str">
        <f t="shared" si="49"/>
        <v>Residential.TOU - Off Peak</v>
      </c>
      <c r="D44" s="390" t="s">
        <v>337</v>
      </c>
      <c r="E44" s="328"/>
      <c r="F44" s="424">
        <f>VLOOKUP($B44,'Proposed Rates'!$D$255:$J$261,+F$11-2,FALSE)</f>
        <v>9.8000000000000004E-2</v>
      </c>
      <c r="G44" s="415">
        <f>$F$10*'Proposed Rates'!$K$256</f>
        <v>64</v>
      </c>
      <c r="H44" s="394">
        <f t="shared" si="51"/>
        <v>6.2720000000000002</v>
      </c>
      <c r="I44" s="53"/>
      <c r="J44" s="424">
        <f>VLOOKUP($B44,'Proposed Rates'!$D$255:$J$261,+J$11-2,FALSE)</f>
        <v>9.8000000000000004E-2</v>
      </c>
      <c r="K44" s="415">
        <f>$F$10*'Proposed Rates'!$K$256</f>
        <v>64</v>
      </c>
      <c r="L44" s="394">
        <f t="shared" si="53"/>
        <v>6.2720000000000002</v>
      </c>
      <c r="M44" s="138"/>
      <c r="N44" s="395">
        <f t="shared" si="5"/>
        <v>0</v>
      </c>
      <c r="O44" s="396">
        <f t="shared" si="6"/>
        <v>0</v>
      </c>
      <c r="P44" s="53"/>
      <c r="Q44" s="424">
        <f>VLOOKUP($B44,'Proposed Rates'!$D$255:$J$261,+Q$11-2,FALSE)</f>
        <v>9.8000000000000004E-2</v>
      </c>
      <c r="R44" s="415">
        <f>$F$10*'Proposed Rates'!$K$256</f>
        <v>64</v>
      </c>
      <c r="S44" s="394">
        <f t="shared" si="55"/>
        <v>6.2720000000000002</v>
      </c>
      <c r="T44" s="138"/>
      <c r="U44" s="395">
        <f t="shared" si="9"/>
        <v>0</v>
      </c>
      <c r="V44" s="396">
        <f t="shared" si="10"/>
        <v>0</v>
      </c>
      <c r="W44" s="53"/>
      <c r="X44" s="424">
        <f>VLOOKUP($B44,'Proposed Rates'!$D$255:$J$261,+X$11-2,FALSE)</f>
        <v>9.8000000000000004E-2</v>
      </c>
      <c r="Y44" s="415">
        <f>$F$10*'Proposed Rates'!$K$256</f>
        <v>64</v>
      </c>
      <c r="Z44" s="394">
        <f t="shared" si="57"/>
        <v>6.2720000000000002</v>
      </c>
      <c r="AA44" s="138"/>
      <c r="AB44" s="395">
        <f t="shared" si="13"/>
        <v>0</v>
      </c>
      <c r="AC44" s="396">
        <f t="shared" si="14"/>
        <v>0</v>
      </c>
      <c r="AD44" s="53"/>
      <c r="AE44" s="424">
        <f>VLOOKUP($B44,'Proposed Rates'!$D$255:$J$261,+AE$11-2,FALSE)</f>
        <v>9.8000000000000004E-2</v>
      </c>
      <c r="AF44" s="415">
        <f>$F$10*'Proposed Rates'!$K$256</f>
        <v>64</v>
      </c>
      <c r="AG44" s="394">
        <f t="shared" si="59"/>
        <v>6.2720000000000002</v>
      </c>
      <c r="AH44" s="138"/>
      <c r="AI44" s="395">
        <f t="shared" si="17"/>
        <v>0</v>
      </c>
      <c r="AJ44" s="396">
        <f t="shared" si="18"/>
        <v>0</v>
      </c>
      <c r="AK44" s="397"/>
      <c r="AL44" s="424">
        <f>VLOOKUP($B44,'Proposed Rates'!$D$255:$J$261,+AL$11-2,FALSE)</f>
        <v>9.8000000000000004E-2</v>
      </c>
      <c r="AM44" s="415">
        <f>$F$10*'Proposed Rates'!$K$256</f>
        <v>64</v>
      </c>
      <c r="AN44" s="394">
        <f t="shared" si="61"/>
        <v>6.2720000000000002</v>
      </c>
      <c r="AO44" s="138"/>
      <c r="AP44" s="395">
        <f t="shared" si="21"/>
        <v>0</v>
      </c>
      <c r="AQ44" s="396">
        <f t="shared" si="22"/>
        <v>0</v>
      </c>
    </row>
    <row r="45" spans="1:43" ht="12" customHeight="1">
      <c r="A45" s="53"/>
      <c r="B45" s="328" t="s">
        <v>294</v>
      </c>
      <c r="C45" s="389" t="str">
        <f t="shared" si="49"/>
        <v>Residential.TOU - Mid Peak</v>
      </c>
      <c r="D45" s="390" t="s">
        <v>337</v>
      </c>
      <c r="E45" s="328"/>
      <c r="F45" s="424">
        <f>VLOOKUP($B45,'Proposed Rates'!$D$255:$J$261,+F$11-2,FALSE)</f>
        <v>0.157</v>
      </c>
      <c r="G45" s="415">
        <f>$F$10*'Proposed Rates'!$K$257</f>
        <v>18</v>
      </c>
      <c r="H45" s="394">
        <f t="shared" si="51"/>
        <v>2.8260000000000001</v>
      </c>
      <c r="I45" s="53"/>
      <c r="J45" s="424">
        <f>VLOOKUP($B45,'Proposed Rates'!$D$255:$J$261,+J$11-2,FALSE)</f>
        <v>0.157</v>
      </c>
      <c r="K45" s="415">
        <f>$F$10*'Proposed Rates'!$K$257</f>
        <v>18</v>
      </c>
      <c r="L45" s="394">
        <f t="shared" si="53"/>
        <v>2.8260000000000001</v>
      </c>
      <c r="M45" s="138"/>
      <c r="N45" s="395">
        <f t="shared" si="5"/>
        <v>0</v>
      </c>
      <c r="O45" s="396">
        <f t="shared" si="6"/>
        <v>0</v>
      </c>
      <c r="P45" s="53"/>
      <c r="Q45" s="424">
        <f>VLOOKUP($B45,'Proposed Rates'!$D$255:$J$261,+Q$11-2,FALSE)</f>
        <v>0.157</v>
      </c>
      <c r="R45" s="415">
        <f>$F$10*'Proposed Rates'!$K$257</f>
        <v>18</v>
      </c>
      <c r="S45" s="394">
        <f t="shared" si="55"/>
        <v>2.8260000000000001</v>
      </c>
      <c r="T45" s="138"/>
      <c r="U45" s="395">
        <f t="shared" si="9"/>
        <v>0</v>
      </c>
      <c r="V45" s="396">
        <f t="shared" si="10"/>
        <v>0</v>
      </c>
      <c r="W45" s="53"/>
      <c r="X45" s="424">
        <f>VLOOKUP($B45,'Proposed Rates'!$D$255:$J$261,+X$11-2,FALSE)</f>
        <v>0.157</v>
      </c>
      <c r="Y45" s="415">
        <f>$F$10*'Proposed Rates'!$K$257</f>
        <v>18</v>
      </c>
      <c r="Z45" s="394">
        <f t="shared" si="57"/>
        <v>2.8260000000000001</v>
      </c>
      <c r="AA45" s="138"/>
      <c r="AB45" s="395">
        <f t="shared" si="13"/>
        <v>0</v>
      </c>
      <c r="AC45" s="396">
        <f t="shared" si="14"/>
        <v>0</v>
      </c>
      <c r="AD45" s="53"/>
      <c r="AE45" s="424">
        <f>VLOOKUP($B45,'Proposed Rates'!$D$255:$J$261,+AE$11-2,FALSE)</f>
        <v>0.157</v>
      </c>
      <c r="AF45" s="415">
        <f>$F$10*'Proposed Rates'!$K$257</f>
        <v>18</v>
      </c>
      <c r="AG45" s="394">
        <f t="shared" si="59"/>
        <v>2.8260000000000001</v>
      </c>
      <c r="AH45" s="138"/>
      <c r="AI45" s="395">
        <f t="shared" si="17"/>
        <v>0</v>
      </c>
      <c r="AJ45" s="396">
        <f t="shared" si="18"/>
        <v>0</v>
      </c>
      <c r="AK45" s="397"/>
      <c r="AL45" s="424">
        <f>VLOOKUP($B45,'Proposed Rates'!$D$255:$J$261,+AL$11-2,FALSE)</f>
        <v>0.157</v>
      </c>
      <c r="AM45" s="415">
        <f>$F$10*'Proposed Rates'!$K$257</f>
        <v>18</v>
      </c>
      <c r="AN45" s="394">
        <f t="shared" si="61"/>
        <v>2.8260000000000001</v>
      </c>
      <c r="AO45" s="138"/>
      <c r="AP45" s="395">
        <f t="shared" si="21"/>
        <v>0</v>
      </c>
      <c r="AQ45" s="396">
        <f t="shared" si="22"/>
        <v>0</v>
      </c>
    </row>
    <row r="46" spans="1:43" ht="12" customHeight="1">
      <c r="A46" s="53"/>
      <c r="B46" s="53" t="s">
        <v>295</v>
      </c>
      <c r="C46" s="389" t="str">
        <f t="shared" si="49"/>
        <v>Residential.TOU - On Peak</v>
      </c>
      <c r="D46" s="390" t="s">
        <v>337</v>
      </c>
      <c r="E46" s="328"/>
      <c r="F46" s="424">
        <f>VLOOKUP($B46,'Proposed Rates'!$D$255:$J$261,+F$11-2,FALSE)</f>
        <v>0.20300000000000001</v>
      </c>
      <c r="G46" s="415">
        <f>$F$10*'Proposed Rates'!$K$258</f>
        <v>18</v>
      </c>
      <c r="H46" s="394">
        <f t="shared" si="51"/>
        <v>3.6540000000000004</v>
      </c>
      <c r="I46" s="53"/>
      <c r="J46" s="424">
        <f>VLOOKUP($B46,'Proposed Rates'!$D$255:$J$261,+J$11-2,FALSE)</f>
        <v>0.20300000000000001</v>
      </c>
      <c r="K46" s="415">
        <f>$F$10*'Proposed Rates'!$K$258</f>
        <v>18</v>
      </c>
      <c r="L46" s="394">
        <f t="shared" si="53"/>
        <v>3.6540000000000004</v>
      </c>
      <c r="M46" s="138"/>
      <c r="N46" s="395">
        <f t="shared" si="5"/>
        <v>0</v>
      </c>
      <c r="O46" s="396">
        <f t="shared" si="6"/>
        <v>0</v>
      </c>
      <c r="P46" s="53"/>
      <c r="Q46" s="424">
        <f>VLOOKUP($B46,'Proposed Rates'!$D$255:$J$261,+Q$11-2,FALSE)</f>
        <v>0.20300000000000001</v>
      </c>
      <c r="R46" s="415">
        <f>$F$10*'Proposed Rates'!$K$258</f>
        <v>18</v>
      </c>
      <c r="S46" s="394">
        <f t="shared" si="55"/>
        <v>3.6540000000000004</v>
      </c>
      <c r="T46" s="138"/>
      <c r="U46" s="395">
        <f t="shared" si="9"/>
        <v>0</v>
      </c>
      <c r="V46" s="396">
        <f t="shared" si="10"/>
        <v>0</v>
      </c>
      <c r="W46" s="53"/>
      <c r="X46" s="424">
        <f>VLOOKUP($B46,'Proposed Rates'!$D$255:$J$261,+X$11-2,FALSE)</f>
        <v>0.20300000000000001</v>
      </c>
      <c r="Y46" s="415">
        <f>$F$10*'Proposed Rates'!$K$258</f>
        <v>18</v>
      </c>
      <c r="Z46" s="394">
        <f t="shared" si="57"/>
        <v>3.6540000000000004</v>
      </c>
      <c r="AA46" s="138"/>
      <c r="AB46" s="395">
        <f t="shared" si="13"/>
        <v>0</v>
      </c>
      <c r="AC46" s="396">
        <f t="shared" si="14"/>
        <v>0</v>
      </c>
      <c r="AD46" s="53"/>
      <c r="AE46" s="424">
        <f>VLOOKUP($B46,'Proposed Rates'!$D$255:$J$261,+AE$11-2,FALSE)</f>
        <v>0.20300000000000001</v>
      </c>
      <c r="AF46" s="415">
        <f>$F$10*'Proposed Rates'!$K$258</f>
        <v>18</v>
      </c>
      <c r="AG46" s="394">
        <f t="shared" si="59"/>
        <v>3.6540000000000004</v>
      </c>
      <c r="AH46" s="138"/>
      <c r="AI46" s="395">
        <f t="shared" si="17"/>
        <v>0</v>
      </c>
      <c r="AJ46" s="396">
        <f t="shared" si="18"/>
        <v>0</v>
      </c>
      <c r="AK46" s="397"/>
      <c r="AL46" s="424">
        <f>VLOOKUP($B46,'Proposed Rates'!$D$255:$J$261,+AL$11-2,FALSE)</f>
        <v>0.20300000000000001</v>
      </c>
      <c r="AM46" s="415">
        <f>$F$10*'Proposed Rates'!$K$258</f>
        <v>18</v>
      </c>
      <c r="AN46" s="394">
        <f t="shared" si="61"/>
        <v>3.6540000000000004</v>
      </c>
      <c r="AO46" s="138"/>
      <c r="AP46" s="395">
        <f t="shared" si="21"/>
        <v>0</v>
      </c>
      <c r="AQ46" s="396">
        <f t="shared" si="22"/>
        <v>0</v>
      </c>
    </row>
    <row r="47" spans="1:43" ht="12" customHeight="1">
      <c r="A47" s="53"/>
      <c r="B47" s="328" t="s">
        <v>296</v>
      </c>
      <c r="C47" s="389" t="str">
        <f t="shared" si="49"/>
        <v>Residential.Energy - RPP - Tier 1</v>
      </c>
      <c r="D47" s="390" t="s">
        <v>337</v>
      </c>
      <c r="E47" s="328"/>
      <c r="F47" s="424">
        <f>VLOOKUP($B47,'Proposed Rates'!$D$255:$J$261,+F$11-2,FALSE)</f>
        <v>0.12</v>
      </c>
      <c r="G47" s="425">
        <f>IF(AND($S$2=1, $F$10&gt;=600), 600, IF(AND($S$2=1, AND($F$10&lt;600, $F$10&gt;=0)), $F$10, IF(AND($S$2=2, $F$10&gt;=1000), 1000, IF(AND($S$2=2, AND($F$10&lt;1000, $F$10&gt;=0)), $F$10))))</f>
        <v>100</v>
      </c>
      <c r="H47" s="394">
        <f t="shared" si="51"/>
        <v>12</v>
      </c>
      <c r="I47" s="53"/>
      <c r="J47" s="426">
        <f>VLOOKUP($B47,'Proposed Rates'!$D$255:$J$261,+J$11-2,FALSE)</f>
        <v>0.12</v>
      </c>
      <c r="K47" s="425">
        <f>IF(AND($S$2=1, $F$10&gt;=600), 600, IF(AND($S$2=1, AND($F$10&lt;600, $F$10&gt;=0)), $F$10, IF(AND($S$2=2, $F$10&gt;=1000), 1000, IF(AND($S$2=2, AND($F$10&lt;1000, $F$10&gt;=0)), $F$10))))</f>
        <v>100</v>
      </c>
      <c r="L47" s="394">
        <f t="shared" si="53"/>
        <v>12</v>
      </c>
      <c r="M47" s="138"/>
      <c r="N47" s="395">
        <f t="shared" si="5"/>
        <v>0</v>
      </c>
      <c r="O47" s="396">
        <f t="shared" si="6"/>
        <v>0</v>
      </c>
      <c r="P47" s="53"/>
      <c r="Q47" s="424">
        <f>VLOOKUP($B47,'Proposed Rates'!$D$255:$J$261,+Q$11-2,FALSE)</f>
        <v>0.12</v>
      </c>
      <c r="R47" s="425">
        <f>IF(AND($S$2=1, $F$10&gt;=600), 600, IF(AND($S$2=1, AND($F$10&lt;600, $F$10&gt;=0)), $F$10, IF(AND($S$2=2, $F$10&gt;=1000), 1000, IF(AND($S$2=2, AND($F$10&lt;1000, $F$10&gt;=0)), $F$10))))</f>
        <v>100</v>
      </c>
      <c r="S47" s="394">
        <f t="shared" si="55"/>
        <v>12</v>
      </c>
      <c r="T47" s="138"/>
      <c r="U47" s="395">
        <f t="shared" si="9"/>
        <v>0</v>
      </c>
      <c r="V47" s="396">
        <f t="shared" si="10"/>
        <v>0</v>
      </c>
      <c r="W47" s="53"/>
      <c r="X47" s="424">
        <f>VLOOKUP($B47,'Proposed Rates'!$D$255:$J$261,+X$11-2,FALSE)</f>
        <v>0.12</v>
      </c>
      <c r="Y47" s="425">
        <f>IF(AND($S$2=1, $F$10&gt;=600), 600, IF(AND($S$2=1, AND($F$10&lt;600, $F$10&gt;=0)), $F$10, IF(AND($S$2=2, $F$10&gt;=1000), 1000, IF(AND($S$2=2, AND($F$10&lt;1000, $F$10&gt;=0)), $F$10))))</f>
        <v>100</v>
      </c>
      <c r="Z47" s="394">
        <f t="shared" si="57"/>
        <v>12</v>
      </c>
      <c r="AA47" s="138"/>
      <c r="AB47" s="395">
        <f t="shared" si="13"/>
        <v>0</v>
      </c>
      <c r="AC47" s="396">
        <f t="shared" si="14"/>
        <v>0</v>
      </c>
      <c r="AD47" s="53"/>
      <c r="AE47" s="424">
        <f>VLOOKUP($B47,'Proposed Rates'!$D$255:$J$261,+AE$11-2,FALSE)</f>
        <v>0.12</v>
      </c>
      <c r="AF47" s="425">
        <f>IF(AND($S$2=1, $F$10&gt;=600), 600, IF(AND($S$2=1, AND($F$10&lt;600, $F$10&gt;=0)), $F$10, IF(AND($S$2=2, $F$10&gt;=1000), 1000, IF(AND($S$2=2, AND($F$10&lt;1000, $F$10&gt;=0)), $F$10))))</f>
        <v>100</v>
      </c>
      <c r="AG47" s="394">
        <f t="shared" si="59"/>
        <v>12</v>
      </c>
      <c r="AH47" s="138"/>
      <c r="AI47" s="395">
        <f t="shared" si="17"/>
        <v>0</v>
      </c>
      <c r="AJ47" s="396">
        <f t="shared" si="18"/>
        <v>0</v>
      </c>
      <c r="AK47" s="397"/>
      <c r="AL47" s="424">
        <f>VLOOKUP($B47,'Proposed Rates'!$D$255:$J$261,+AL$11-2,FALSE)</f>
        <v>0.12</v>
      </c>
      <c r="AM47" s="425">
        <f>IF(AND($S$2=1, $F$10&gt;=600), 600, IF(AND($S$2=1, AND($F$10&lt;600, $F$10&gt;=0)), $F$10, IF(AND($S$2=2, $F$10&gt;=1000), 1000, IF(AND($S$2=2, AND($F$10&lt;1000, $F$10&gt;=0)), $F$10))))</f>
        <v>100</v>
      </c>
      <c r="AN47" s="394">
        <f t="shared" si="61"/>
        <v>12</v>
      </c>
      <c r="AO47" s="138"/>
      <c r="AP47" s="395">
        <f t="shared" si="21"/>
        <v>0</v>
      </c>
      <c r="AQ47" s="396">
        <f t="shared" si="22"/>
        <v>0</v>
      </c>
    </row>
    <row r="48" spans="1:43" ht="12" customHeight="1">
      <c r="A48" s="53"/>
      <c r="B48" s="328" t="s">
        <v>297</v>
      </c>
      <c r="C48" s="389" t="str">
        <f t="shared" si="49"/>
        <v>Residential.Energy - RPP - Tier 2</v>
      </c>
      <c r="D48" s="390" t="s">
        <v>337</v>
      </c>
      <c r="E48" s="328"/>
      <c r="F48" s="424">
        <f>VLOOKUP($B48,'Proposed Rates'!$D$255:$J$261,+F$11-2,FALSE)</f>
        <v>0.14199999999999999</v>
      </c>
      <c r="G48" s="427">
        <f>IF(AND($S$2=1, $F$10&gt;=600), $F$10-600, IF(AND($S$2=1, AND($F$10&lt;600, $F$10&gt;=0)), 0, IF(AND($S$2=2, $F$10&gt;=1000), $F$10-1000, IF(AND($S$2=2, AND($F$10&lt;1000, $F$10&gt;=0)), 0))))</f>
        <v>0</v>
      </c>
      <c r="H48" s="394">
        <f t="shared" si="51"/>
        <v>0</v>
      </c>
      <c r="I48" s="53"/>
      <c r="J48" s="426">
        <f>VLOOKUP($B48,'Proposed Rates'!$D$255:$J$261,+J$11-2,FALSE)</f>
        <v>0.14199999999999999</v>
      </c>
      <c r="K48" s="427">
        <f>IF(AND($S$2=1, $F$10&gt;=600), $F$10-600, IF(AND($S$2=1, AND($F$10&lt;600, $F$10&gt;=0)), 0, IF(AND($S$2=2, $F$10&gt;=1000), $F$10-1000, IF(AND($S$2=2, AND($F$10&lt;1000, $F$10&gt;=0)), 0))))</f>
        <v>0</v>
      </c>
      <c r="L48" s="394">
        <f t="shared" si="53"/>
        <v>0</v>
      </c>
      <c r="M48" s="138"/>
      <c r="N48" s="395">
        <f t="shared" si="5"/>
        <v>0</v>
      </c>
      <c r="O48" s="396" t="str">
        <f t="shared" si="6"/>
        <v/>
      </c>
      <c r="P48" s="53"/>
      <c r="Q48" s="424">
        <f>VLOOKUP($B48,'Proposed Rates'!$D$255:$J$261,+Q$11-2,FALSE)</f>
        <v>0.14199999999999999</v>
      </c>
      <c r="R48" s="427">
        <f>IF(AND($S$2=1, $F$10&gt;=600), $F$10-600, IF(AND($S$2=1, AND($F$10&lt;600, $F$10&gt;=0)), 0, IF(AND($S$2=2, $F$10&gt;=1000), $F$10-1000, IF(AND($S$2=2, AND($F$10&lt;1000, $F$10&gt;=0)), 0))))</f>
        <v>0</v>
      </c>
      <c r="S48" s="394">
        <f t="shared" si="55"/>
        <v>0</v>
      </c>
      <c r="T48" s="138"/>
      <c r="U48" s="395">
        <f t="shared" si="9"/>
        <v>0</v>
      </c>
      <c r="V48" s="396" t="str">
        <f t="shared" si="10"/>
        <v/>
      </c>
      <c r="W48" s="53"/>
      <c r="X48" s="424">
        <f>VLOOKUP($B48,'Proposed Rates'!$D$255:$J$261,+X$11-2,FALSE)</f>
        <v>0.14199999999999999</v>
      </c>
      <c r="Y48" s="427">
        <f>IF(AND($S$2=1, $F$10&gt;=600), $F$10-600, IF(AND($S$2=1, AND($F$10&lt;600, $F$10&gt;=0)), 0, IF(AND($S$2=2, $F$10&gt;=1000), $F$10-1000, IF(AND($S$2=2, AND($F$10&lt;1000, $F$10&gt;=0)), 0))))</f>
        <v>0</v>
      </c>
      <c r="Z48" s="394">
        <f t="shared" si="57"/>
        <v>0</v>
      </c>
      <c r="AA48" s="138"/>
      <c r="AB48" s="395">
        <f t="shared" si="13"/>
        <v>0</v>
      </c>
      <c r="AC48" s="396" t="str">
        <f t="shared" si="14"/>
        <v/>
      </c>
      <c r="AD48" s="53"/>
      <c r="AE48" s="424">
        <f>VLOOKUP($B48,'Proposed Rates'!$D$255:$J$261,+AE$11-2,FALSE)</f>
        <v>0.14199999999999999</v>
      </c>
      <c r="AF48" s="427">
        <f>IF(AND($S$2=1, $F$10&gt;=600), $F$10-600, IF(AND($S$2=1, AND($F$10&lt;600, $F$10&gt;=0)), 0, IF(AND($S$2=2, $F$10&gt;=1000), $F$10-1000, IF(AND($S$2=2, AND($F$10&lt;1000, $F$10&gt;=0)), 0))))</f>
        <v>0</v>
      </c>
      <c r="AG48" s="394">
        <f t="shared" si="59"/>
        <v>0</v>
      </c>
      <c r="AH48" s="138"/>
      <c r="AI48" s="395">
        <f t="shared" si="17"/>
        <v>0</v>
      </c>
      <c r="AJ48" s="396" t="str">
        <f t="shared" si="18"/>
        <v/>
      </c>
      <c r="AK48" s="397"/>
      <c r="AL48" s="424">
        <f>VLOOKUP($B48,'Proposed Rates'!$D$255:$J$261,+AL$11-2,FALSE)</f>
        <v>0.14199999999999999</v>
      </c>
      <c r="AM48" s="427">
        <f>IF(AND($S$2=1, $F$10&gt;=600), $F$10-600, IF(AND($S$2=1, AND($F$10&lt;600, $F$10&gt;=0)), 0, IF(AND($S$2=2, $F$10&gt;=1000), $F$10-1000, IF(AND($S$2=2, AND($F$10&lt;1000, $F$10&gt;=0)), 0))))</f>
        <v>0</v>
      </c>
      <c r="AN48" s="394">
        <f t="shared" si="61"/>
        <v>0</v>
      </c>
      <c r="AO48" s="138"/>
      <c r="AP48" s="395">
        <f t="shared" si="21"/>
        <v>0</v>
      </c>
      <c r="AQ48" s="396" t="str">
        <f t="shared" si="22"/>
        <v/>
      </c>
    </row>
    <row r="49" spans="1:43" ht="12" customHeight="1">
      <c r="A49" s="53"/>
      <c r="B49" s="428"/>
      <c r="C49" s="429"/>
      <c r="D49" s="429"/>
      <c r="E49" s="429"/>
      <c r="F49" s="430"/>
      <c r="G49" s="431"/>
      <c r="H49" s="432"/>
      <c r="I49" s="53"/>
      <c r="J49" s="430"/>
      <c r="K49" s="433"/>
      <c r="L49" s="432"/>
      <c r="M49" s="434"/>
      <c r="N49" s="435"/>
      <c r="O49" s="436"/>
      <c r="P49" s="53"/>
      <c r="Q49" s="430"/>
      <c r="R49" s="431"/>
      <c r="S49" s="432"/>
      <c r="T49" s="434"/>
      <c r="U49" s="435"/>
      <c r="V49" s="436"/>
      <c r="W49" s="53"/>
      <c r="X49" s="430"/>
      <c r="Y49" s="431"/>
      <c r="Z49" s="432"/>
      <c r="AA49" s="434"/>
      <c r="AB49" s="435"/>
      <c r="AC49" s="436"/>
      <c r="AD49" s="53"/>
      <c r="AE49" s="430"/>
      <c r="AF49" s="431"/>
      <c r="AG49" s="432"/>
      <c r="AH49" s="434"/>
      <c r="AI49" s="435"/>
      <c r="AJ49" s="436"/>
      <c r="AK49" s="437"/>
      <c r="AL49" s="430"/>
      <c r="AM49" s="431"/>
      <c r="AN49" s="432"/>
      <c r="AO49" s="434"/>
      <c r="AP49" s="435"/>
      <c r="AQ49" s="436"/>
    </row>
    <row r="50" spans="1:43" ht="12" customHeight="1">
      <c r="A50" s="53"/>
      <c r="B50" s="438" t="s">
        <v>344</v>
      </c>
      <c r="C50" s="328"/>
      <c r="D50" s="328"/>
      <c r="E50" s="328"/>
      <c r="F50" s="439"/>
      <c r="G50" s="440"/>
      <c r="H50" s="441">
        <f>SUM(H41:H46,H40)</f>
        <v>51.035390599999999</v>
      </c>
      <c r="I50" s="53"/>
      <c r="J50" s="440"/>
      <c r="K50" s="440"/>
      <c r="L50" s="442">
        <f>SUM(L41:L46,L40)</f>
        <v>56.451906800000003</v>
      </c>
      <c r="M50" s="443"/>
      <c r="N50" s="442">
        <f t="shared" ref="N50:N54" si="62">L50-H50</f>
        <v>5.4165162000000038</v>
      </c>
      <c r="O50" s="444">
        <f t="shared" ref="O50:O54" si="63">IF((H50)=0,"",(N50/H50))</f>
        <v>0.10613255108505046</v>
      </c>
      <c r="P50" s="53"/>
      <c r="Q50" s="440"/>
      <c r="R50" s="440"/>
      <c r="S50" s="442">
        <f>SUM(S41:S46,S40)</f>
        <v>59.571906800000001</v>
      </c>
      <c r="T50" s="443"/>
      <c r="U50" s="442">
        <f t="shared" ref="U50:U54" si="64">S50-L50</f>
        <v>3.1199999999999974</v>
      </c>
      <c r="V50" s="444">
        <f t="shared" ref="V50:V54" si="65">IF((L50)=0,"",(U50/L50))</f>
        <v>5.5268283692411914E-2</v>
      </c>
      <c r="W50" s="53"/>
      <c r="X50" s="440"/>
      <c r="Y50" s="440"/>
      <c r="Z50" s="442">
        <f>SUM(Z41:Z46,Z40)</f>
        <v>60.572939999999996</v>
      </c>
      <c r="AA50" s="443"/>
      <c r="AB50" s="442">
        <f t="shared" ref="AB50:AB54" si="66">Z50-S50</f>
        <v>1.0010331999999948</v>
      </c>
      <c r="AC50" s="444">
        <f t="shared" ref="AC50:AC54" si="67">IF((S50)=0,"",(AB50/S50))</f>
        <v>1.6803779730616156E-2</v>
      </c>
      <c r="AD50" s="53"/>
      <c r="AE50" s="440"/>
      <c r="AF50" s="440"/>
      <c r="AG50" s="442">
        <f>SUM(AG41:AG46,AG40)</f>
        <v>62.072939999999996</v>
      </c>
      <c r="AH50" s="443"/>
      <c r="AI50" s="442">
        <f t="shared" ref="AI50:AI54" si="68">AG50-Z50</f>
        <v>1.5</v>
      </c>
      <c r="AJ50" s="444">
        <f t="shared" ref="AJ50:AJ54" si="69">IF((Z50)=0,"",(AI50/Z50))</f>
        <v>2.4763533023161831E-2</v>
      </c>
      <c r="AK50" s="445"/>
      <c r="AL50" s="440"/>
      <c r="AM50" s="440"/>
      <c r="AN50" s="442">
        <f>SUM(AN41:AN46,AN40)</f>
        <v>63.442939999999993</v>
      </c>
      <c r="AO50" s="443"/>
      <c r="AP50" s="442">
        <f t="shared" ref="AP50:AP54" si="70">AN50-AG50</f>
        <v>1.3699999999999974</v>
      </c>
      <c r="AQ50" s="444">
        <f t="shared" ref="AQ50:AQ54" si="71">IF((AG50)=0,"",(AP50/AG50))</f>
        <v>2.2070808954755446E-2</v>
      </c>
    </row>
    <row r="51" spans="1:43" ht="12" customHeight="1">
      <c r="A51" s="53"/>
      <c r="B51" s="446" t="s">
        <v>345</v>
      </c>
      <c r="C51" s="328"/>
      <c r="D51" s="328"/>
      <c r="E51" s="328"/>
      <c r="F51" s="439">
        <v>0.13</v>
      </c>
      <c r="G51" s="411"/>
      <c r="H51" s="394">
        <f>H50*F51</f>
        <v>6.6346007780000003</v>
      </c>
      <c r="I51" s="53"/>
      <c r="J51" s="447">
        <v>0.13</v>
      </c>
      <c r="K51" s="411"/>
      <c r="L51" s="394">
        <f>L50*J51</f>
        <v>7.3387478840000009</v>
      </c>
      <c r="M51" s="138"/>
      <c r="N51" s="395">
        <f t="shared" si="62"/>
        <v>0.70414710600000063</v>
      </c>
      <c r="O51" s="396">
        <f t="shared" si="63"/>
        <v>0.10613255108505047</v>
      </c>
      <c r="P51" s="53"/>
      <c r="Q51" s="447">
        <v>0.13</v>
      </c>
      <c r="R51" s="411"/>
      <c r="S51" s="394">
        <f>S50*Q51</f>
        <v>7.7443478840000006</v>
      </c>
      <c r="T51" s="138"/>
      <c r="U51" s="395">
        <f t="shared" si="64"/>
        <v>0.40559999999999974</v>
      </c>
      <c r="V51" s="396">
        <f t="shared" si="65"/>
        <v>5.5268283692411921E-2</v>
      </c>
      <c r="W51" s="53"/>
      <c r="X51" s="447">
        <v>0.13</v>
      </c>
      <c r="Y51" s="411"/>
      <c r="Z51" s="394">
        <f>Z50*X51</f>
        <v>7.8744822000000001</v>
      </c>
      <c r="AA51" s="138"/>
      <c r="AB51" s="395">
        <f t="shared" si="66"/>
        <v>0.13013431599999947</v>
      </c>
      <c r="AC51" s="396">
        <f t="shared" si="67"/>
        <v>1.6803779730616173E-2</v>
      </c>
      <c r="AD51" s="53"/>
      <c r="AE51" s="447">
        <v>0.13</v>
      </c>
      <c r="AF51" s="411"/>
      <c r="AG51" s="394">
        <f>AG50*AE51</f>
        <v>8.0694821999999995</v>
      </c>
      <c r="AH51" s="138"/>
      <c r="AI51" s="395">
        <f t="shared" si="68"/>
        <v>0.1949999999999994</v>
      </c>
      <c r="AJ51" s="396">
        <f t="shared" si="69"/>
        <v>2.4763533023161751E-2</v>
      </c>
      <c r="AK51" s="397"/>
      <c r="AL51" s="447">
        <v>0.13</v>
      </c>
      <c r="AM51" s="411"/>
      <c r="AN51" s="394">
        <f>AN50*AL51</f>
        <v>8.2475822000000001</v>
      </c>
      <c r="AO51" s="138"/>
      <c r="AP51" s="395">
        <f t="shared" si="70"/>
        <v>0.17810000000000059</v>
      </c>
      <c r="AQ51" s="396">
        <f t="shared" si="71"/>
        <v>2.207080895475556E-2</v>
      </c>
    </row>
    <row r="52" spans="1:43" ht="12" customHeight="1">
      <c r="A52" s="53"/>
      <c r="B52" s="448" t="s">
        <v>346</v>
      </c>
      <c r="C52" s="328"/>
      <c r="D52" s="328"/>
      <c r="E52" s="328"/>
      <c r="F52" s="449"/>
      <c r="G52" s="411"/>
      <c r="H52" s="394">
        <f>H50+H51</f>
        <v>57.669991377999999</v>
      </c>
      <c r="I52" s="53"/>
      <c r="J52" s="411"/>
      <c r="K52" s="411"/>
      <c r="L52" s="394">
        <f>L50+L51</f>
        <v>63.790654684000003</v>
      </c>
      <c r="M52" s="138"/>
      <c r="N52" s="395">
        <f t="shared" si="62"/>
        <v>6.1206633060000044</v>
      </c>
      <c r="O52" s="396">
        <f t="shared" si="63"/>
        <v>0.10613255108505046</v>
      </c>
      <c r="P52" s="53"/>
      <c r="Q52" s="411"/>
      <c r="R52" s="411"/>
      <c r="S52" s="394">
        <f>S50+S51</f>
        <v>67.316254684</v>
      </c>
      <c r="T52" s="138"/>
      <c r="U52" s="395">
        <f t="shared" si="64"/>
        <v>3.5255999999999972</v>
      </c>
      <c r="V52" s="396">
        <f t="shared" si="65"/>
        <v>5.5268283692411914E-2</v>
      </c>
      <c r="W52" s="53"/>
      <c r="X52" s="411"/>
      <c r="Y52" s="411"/>
      <c r="Z52" s="394">
        <f>Z50+Z51</f>
        <v>68.447422199999991</v>
      </c>
      <c r="AA52" s="138"/>
      <c r="AB52" s="395">
        <f t="shared" si="66"/>
        <v>1.1311675159999908</v>
      </c>
      <c r="AC52" s="396">
        <f t="shared" si="67"/>
        <v>1.6803779730616107E-2</v>
      </c>
      <c r="AD52" s="53"/>
      <c r="AE52" s="411"/>
      <c r="AF52" s="411"/>
      <c r="AG52" s="394">
        <f>AG50+AG51</f>
        <v>70.142422199999999</v>
      </c>
      <c r="AH52" s="138"/>
      <c r="AI52" s="395">
        <f t="shared" si="68"/>
        <v>1.6950000000000074</v>
      </c>
      <c r="AJ52" s="396">
        <f t="shared" si="69"/>
        <v>2.4763533023161938E-2</v>
      </c>
      <c r="AK52" s="397"/>
      <c r="AL52" s="411"/>
      <c r="AM52" s="411"/>
      <c r="AN52" s="394">
        <f>AN50+AN51</f>
        <v>71.69052219999999</v>
      </c>
      <c r="AO52" s="138"/>
      <c r="AP52" s="395">
        <f t="shared" si="70"/>
        <v>1.5480999999999909</v>
      </c>
      <c r="AQ52" s="396">
        <f t="shared" si="71"/>
        <v>2.2070808954755355E-2</v>
      </c>
    </row>
    <row r="53" spans="1:43" ht="12" customHeight="1">
      <c r="A53" s="53"/>
      <c r="B53" s="626" t="s">
        <v>304</v>
      </c>
      <c r="C53" s="616"/>
      <c r="D53" s="616"/>
      <c r="E53" s="328"/>
      <c r="F53" s="450">
        <f>'Proposed Rates'!E293</f>
        <v>0.23499999999999999</v>
      </c>
      <c r="G53" s="411"/>
      <c r="H53" s="451">
        <f>F53*H50</f>
        <v>11.993316791</v>
      </c>
      <c r="I53" s="53"/>
      <c r="J53" s="452">
        <f>'Proposed Rates'!F293</f>
        <v>0.23499999999999999</v>
      </c>
      <c r="K53" s="411"/>
      <c r="L53" s="451">
        <f>J53*L50</f>
        <v>13.266198098</v>
      </c>
      <c r="M53" s="138"/>
      <c r="N53" s="451">
        <f t="shared" si="62"/>
        <v>1.2728813070000005</v>
      </c>
      <c r="O53" s="453">
        <f t="shared" si="63"/>
        <v>0.10613255108505042</v>
      </c>
      <c r="P53" s="53"/>
      <c r="Q53" s="452">
        <f>'Proposed Rates'!G293</f>
        <v>0.23499999999999999</v>
      </c>
      <c r="R53" s="411"/>
      <c r="S53" s="451">
        <f>Q53*S50</f>
        <v>13.999398097999999</v>
      </c>
      <c r="T53" s="138"/>
      <c r="U53" s="451">
        <f t="shared" si="64"/>
        <v>0.7331999999999983</v>
      </c>
      <c r="V53" s="453">
        <f t="shared" si="65"/>
        <v>5.5268283692411831E-2</v>
      </c>
      <c r="W53" s="53"/>
      <c r="X53" s="452">
        <f>'Proposed Rates'!H293</f>
        <v>0.23499999999999999</v>
      </c>
      <c r="Y53" s="411"/>
      <c r="Z53" s="451">
        <f>X53*Z50</f>
        <v>14.234640899999999</v>
      </c>
      <c r="AA53" s="138"/>
      <c r="AB53" s="451">
        <f t="shared" si="66"/>
        <v>0.23524280200000014</v>
      </c>
      <c r="AC53" s="453">
        <f t="shared" si="67"/>
        <v>1.6803779730616256E-2</v>
      </c>
      <c r="AD53" s="53"/>
      <c r="AE53" s="452">
        <f>'Proposed Rates'!I293</f>
        <v>0.23499999999999999</v>
      </c>
      <c r="AF53" s="411"/>
      <c r="AG53" s="451">
        <f>AE53*AG50</f>
        <v>14.587140899999998</v>
      </c>
      <c r="AH53" s="138"/>
      <c r="AI53" s="451">
        <f t="shared" si="68"/>
        <v>0.35249999999999915</v>
      </c>
      <c r="AJ53" s="453">
        <f t="shared" si="69"/>
        <v>2.4763533023161768E-2</v>
      </c>
      <c r="AK53" s="454"/>
      <c r="AL53" s="452">
        <f>'Proposed Rates'!J293</f>
        <v>0.23499999999999999</v>
      </c>
      <c r="AM53" s="411"/>
      <c r="AN53" s="451">
        <f>AL53*AN50</f>
        <v>14.909090899999997</v>
      </c>
      <c r="AO53" s="138"/>
      <c r="AP53" s="451">
        <f t="shared" si="70"/>
        <v>0.32194999999999929</v>
      </c>
      <c r="AQ53" s="453">
        <f t="shared" si="71"/>
        <v>2.2070808954755442E-2</v>
      </c>
    </row>
    <row r="54" spans="1:43" ht="12" customHeight="1">
      <c r="A54" s="53"/>
      <c r="B54" s="627" t="s">
        <v>347</v>
      </c>
      <c r="C54" s="608"/>
      <c r="D54" s="600"/>
      <c r="E54" s="455"/>
      <c r="F54" s="456"/>
      <c r="G54" s="457"/>
      <c r="H54" s="458">
        <f>H52-H53</f>
        <v>45.676674587000001</v>
      </c>
      <c r="I54" s="53"/>
      <c r="J54" s="457"/>
      <c r="K54" s="457"/>
      <c r="L54" s="458">
        <f>L52-L53</f>
        <v>50.524456585999999</v>
      </c>
      <c r="M54" s="459"/>
      <c r="N54" s="460">
        <f t="shared" si="62"/>
        <v>4.8477819989999986</v>
      </c>
      <c r="O54" s="461">
        <f t="shared" si="63"/>
        <v>0.10613255108505035</v>
      </c>
      <c r="P54" s="53"/>
      <c r="Q54" s="457"/>
      <c r="R54" s="457"/>
      <c r="S54" s="458">
        <f>S52-S53</f>
        <v>53.316856586</v>
      </c>
      <c r="T54" s="459"/>
      <c r="U54" s="460">
        <f t="shared" si="64"/>
        <v>2.7924000000000007</v>
      </c>
      <c r="V54" s="461">
        <f t="shared" si="65"/>
        <v>5.5268283692411976E-2</v>
      </c>
      <c r="W54" s="53"/>
      <c r="X54" s="457"/>
      <c r="Y54" s="457"/>
      <c r="Z54" s="458">
        <f>Z52-Z53</f>
        <v>54.212781299999989</v>
      </c>
      <c r="AA54" s="459"/>
      <c r="AB54" s="460">
        <f t="shared" si="66"/>
        <v>0.89592471399998885</v>
      </c>
      <c r="AC54" s="461">
        <f t="shared" si="67"/>
        <v>1.6803779730616034E-2</v>
      </c>
      <c r="AD54" s="53"/>
      <c r="AE54" s="457"/>
      <c r="AF54" s="457"/>
      <c r="AG54" s="458">
        <f>AG52-AG53</f>
        <v>55.555281300000004</v>
      </c>
      <c r="AH54" s="459"/>
      <c r="AI54" s="460">
        <f t="shared" si="68"/>
        <v>1.3425000000000153</v>
      </c>
      <c r="AJ54" s="461">
        <f t="shared" si="69"/>
        <v>2.4763533023162115E-2</v>
      </c>
      <c r="AK54" s="462"/>
      <c r="AL54" s="457"/>
      <c r="AM54" s="457"/>
      <c r="AN54" s="458">
        <f>AN52-AN53</f>
        <v>56.781431299999994</v>
      </c>
      <c r="AO54" s="459"/>
      <c r="AP54" s="460">
        <f t="shared" si="70"/>
        <v>1.2261499999999899</v>
      </c>
      <c r="AQ54" s="461">
        <f t="shared" si="71"/>
        <v>2.2070808954755303E-2</v>
      </c>
    </row>
    <row r="55" spans="1:43" ht="12" customHeight="1">
      <c r="A55" s="53"/>
      <c r="B55" s="428"/>
      <c r="C55" s="429"/>
      <c r="D55" s="429"/>
      <c r="E55" s="429"/>
      <c r="F55" s="430"/>
      <c r="G55" s="431"/>
      <c r="H55" s="432"/>
      <c r="I55" s="53"/>
      <c r="J55" s="430"/>
      <c r="K55" s="431"/>
      <c r="L55" s="432"/>
      <c r="M55" s="434"/>
      <c r="N55" s="435"/>
      <c r="O55" s="436"/>
      <c r="P55" s="53"/>
      <c r="Q55" s="430"/>
      <c r="R55" s="431"/>
      <c r="S55" s="432"/>
      <c r="T55" s="434"/>
      <c r="U55" s="435"/>
      <c r="V55" s="436"/>
      <c r="W55" s="53"/>
      <c r="X55" s="430"/>
      <c r="Y55" s="431"/>
      <c r="Z55" s="432"/>
      <c r="AA55" s="434"/>
      <c r="AB55" s="435"/>
      <c r="AC55" s="436"/>
      <c r="AD55" s="53"/>
      <c r="AE55" s="430"/>
      <c r="AF55" s="431"/>
      <c r="AG55" s="432"/>
      <c r="AH55" s="434"/>
      <c r="AI55" s="435"/>
      <c r="AJ55" s="436"/>
      <c r="AK55" s="437"/>
      <c r="AL55" s="430"/>
      <c r="AM55" s="431"/>
      <c r="AN55" s="432"/>
      <c r="AO55" s="434"/>
      <c r="AP55" s="435"/>
      <c r="AQ55" s="436"/>
    </row>
    <row r="56" spans="1:43" ht="12" customHeight="1">
      <c r="A56" s="53"/>
      <c r="B56" s="438" t="s">
        <v>348</v>
      </c>
      <c r="C56" s="328"/>
      <c r="D56" s="328"/>
      <c r="E56" s="328"/>
      <c r="F56" s="439"/>
      <c r="G56" s="440"/>
      <c r="H56" s="441">
        <f>SUM(H47:H48,H40,H41:H43)</f>
        <v>50.283390599999997</v>
      </c>
      <c r="I56" s="53"/>
      <c r="J56" s="440"/>
      <c r="K56" s="440"/>
      <c r="L56" s="442">
        <f>SUM(L47:L48,L40,L41:L43)</f>
        <v>55.699906800000001</v>
      </c>
      <c r="M56" s="443"/>
      <c r="N56" s="442">
        <f t="shared" ref="N56:N60" si="72">L56-H56</f>
        <v>5.4165162000000038</v>
      </c>
      <c r="O56" s="444">
        <f t="shared" ref="O56:O60" si="73">IF((H56)=0,"",(N56/H56))</f>
        <v>0.10771978849015811</v>
      </c>
      <c r="P56" s="53"/>
      <c r="Q56" s="440"/>
      <c r="R56" s="440"/>
      <c r="S56" s="442">
        <f>SUM(S47:S48,S40,S41:S43)</f>
        <v>58.819906799999998</v>
      </c>
      <c r="T56" s="443"/>
      <c r="U56" s="442">
        <f t="shared" ref="U56:U60" si="74">S56-L56</f>
        <v>3.1199999999999974</v>
      </c>
      <c r="V56" s="444">
        <f t="shared" ref="V56:V60" si="75">IF((L56)=0,"",(U56/L56))</f>
        <v>5.6014456383255515E-2</v>
      </c>
      <c r="W56" s="53"/>
      <c r="X56" s="440"/>
      <c r="Y56" s="440"/>
      <c r="Z56" s="442">
        <f>SUM(Z47:Z48,Z40,Z41:Z43)</f>
        <v>59.820939999999993</v>
      </c>
      <c r="AA56" s="443"/>
      <c r="AB56" s="442">
        <f t="shared" ref="AB56:AB60" si="76">Z56-S56</f>
        <v>1.0010331999999948</v>
      </c>
      <c r="AC56" s="444">
        <f t="shared" ref="AC56:AC60" si="77">IF((S56)=0,"",(AB56/S56))</f>
        <v>1.7018612481038389E-2</v>
      </c>
      <c r="AD56" s="53"/>
      <c r="AE56" s="440"/>
      <c r="AF56" s="440"/>
      <c r="AG56" s="442">
        <f>SUM(AG47:AG48,AG40,AG41:AG43)</f>
        <v>61.320939999999993</v>
      </c>
      <c r="AH56" s="443"/>
      <c r="AI56" s="442">
        <f t="shared" ref="AI56:AI60" si="78">AG56-Z56</f>
        <v>1.5</v>
      </c>
      <c r="AJ56" s="444">
        <f t="shared" ref="AJ56:AJ60" si="79">IF((Z56)=0,"",(AI56/Z56))</f>
        <v>2.5074831655938542E-2</v>
      </c>
      <c r="AK56" s="445"/>
      <c r="AL56" s="440"/>
      <c r="AM56" s="440"/>
      <c r="AN56" s="442">
        <f>SUM(AN47:AN48,AN40,AN41:AN43)</f>
        <v>62.690939999999991</v>
      </c>
      <c r="AO56" s="443"/>
      <c r="AP56" s="442">
        <f t="shared" ref="AP56:AP60" si="80">AN56-AG56</f>
        <v>1.3699999999999974</v>
      </c>
      <c r="AQ56" s="444">
        <f t="shared" ref="AQ56:AQ60" si="81">IF((AG56)=0,"",(AP56/AG56))</f>
        <v>2.234147095592464E-2</v>
      </c>
    </row>
    <row r="57" spans="1:43" ht="12" customHeight="1">
      <c r="A57" s="53"/>
      <c r="B57" s="446" t="s">
        <v>345</v>
      </c>
      <c r="C57" s="328"/>
      <c r="D57" s="328"/>
      <c r="E57" s="328"/>
      <c r="F57" s="439">
        <v>0.13</v>
      </c>
      <c r="G57" s="447"/>
      <c r="H57" s="394">
        <f>H56*F57</f>
        <v>6.5368407780000002</v>
      </c>
      <c r="I57" s="53"/>
      <c r="J57" s="439">
        <v>0.13</v>
      </c>
      <c r="K57" s="447"/>
      <c r="L57" s="394">
        <f>L56*J57</f>
        <v>7.2409878839999999</v>
      </c>
      <c r="M57" s="138"/>
      <c r="N57" s="395">
        <f t="shared" si="72"/>
        <v>0.70414710599999975</v>
      </c>
      <c r="O57" s="396">
        <f t="shared" si="73"/>
        <v>0.10771978849015798</v>
      </c>
      <c r="P57" s="53"/>
      <c r="Q57" s="439">
        <v>0.13</v>
      </c>
      <c r="R57" s="447"/>
      <c r="S57" s="394">
        <f>S56*Q57</f>
        <v>7.6465878839999997</v>
      </c>
      <c r="T57" s="138"/>
      <c r="U57" s="395">
        <f t="shared" si="74"/>
        <v>0.40559999999999974</v>
      </c>
      <c r="V57" s="396">
        <f t="shared" si="75"/>
        <v>5.6014456383255529E-2</v>
      </c>
      <c r="W57" s="53"/>
      <c r="X57" s="439">
        <v>0.13</v>
      </c>
      <c r="Y57" s="447"/>
      <c r="Z57" s="394">
        <f>Z56*X57</f>
        <v>7.7767221999999991</v>
      </c>
      <c r="AA57" s="138"/>
      <c r="AB57" s="395">
        <f t="shared" si="76"/>
        <v>0.13013431599999947</v>
      </c>
      <c r="AC57" s="396">
        <f t="shared" si="77"/>
        <v>1.7018612481038409E-2</v>
      </c>
      <c r="AD57" s="53"/>
      <c r="AE57" s="439">
        <v>0.13</v>
      </c>
      <c r="AF57" s="447"/>
      <c r="AG57" s="394">
        <f>AG56*AE57</f>
        <v>7.9717221999999994</v>
      </c>
      <c r="AH57" s="138"/>
      <c r="AI57" s="395">
        <f t="shared" si="78"/>
        <v>0.19500000000000028</v>
      </c>
      <c r="AJ57" s="396">
        <f t="shared" si="79"/>
        <v>2.507483165593858E-2</v>
      </c>
      <c r="AK57" s="397"/>
      <c r="AL57" s="439">
        <v>0.13</v>
      </c>
      <c r="AM57" s="447"/>
      <c r="AN57" s="394">
        <f>AN56*AL57</f>
        <v>8.1498221999999991</v>
      </c>
      <c r="AO57" s="138"/>
      <c r="AP57" s="395">
        <f t="shared" si="80"/>
        <v>0.1780999999999997</v>
      </c>
      <c r="AQ57" s="396">
        <f t="shared" si="81"/>
        <v>2.2341470955924644E-2</v>
      </c>
    </row>
    <row r="58" spans="1:43" ht="12" customHeight="1">
      <c r="A58" s="53"/>
      <c r="B58" s="448" t="s">
        <v>349</v>
      </c>
      <c r="C58" s="328"/>
      <c r="D58" s="328"/>
      <c r="E58" s="328"/>
      <c r="F58" s="449"/>
      <c r="G58" s="411"/>
      <c r="H58" s="394">
        <f>H56+H57</f>
        <v>56.820231377999995</v>
      </c>
      <c r="I58" s="53"/>
      <c r="J58" s="411"/>
      <c r="K58" s="411"/>
      <c r="L58" s="394">
        <f>L56+L57</f>
        <v>62.940894684</v>
      </c>
      <c r="M58" s="138"/>
      <c r="N58" s="395">
        <f t="shared" si="72"/>
        <v>6.1206633060000044</v>
      </c>
      <c r="O58" s="396">
        <f t="shared" si="73"/>
        <v>0.10771978849015811</v>
      </c>
      <c r="P58" s="53"/>
      <c r="Q58" s="411"/>
      <c r="R58" s="411"/>
      <c r="S58" s="394">
        <f>S56+S57</f>
        <v>66.466494683999997</v>
      </c>
      <c r="T58" s="138"/>
      <c r="U58" s="395">
        <f t="shared" si="74"/>
        <v>3.5255999999999972</v>
      </c>
      <c r="V58" s="396">
        <f t="shared" si="75"/>
        <v>5.6014456383255522E-2</v>
      </c>
      <c r="W58" s="53"/>
      <c r="X58" s="411"/>
      <c r="Y58" s="411"/>
      <c r="Z58" s="394">
        <f>Z56+Z57</f>
        <v>67.597662199999988</v>
      </c>
      <c r="AA58" s="138"/>
      <c r="AB58" s="395">
        <f t="shared" si="76"/>
        <v>1.1311675159999908</v>
      </c>
      <c r="AC58" s="396">
        <f t="shared" si="77"/>
        <v>1.701861248103834E-2</v>
      </c>
      <c r="AD58" s="53"/>
      <c r="AE58" s="411"/>
      <c r="AF58" s="411"/>
      <c r="AG58" s="394">
        <f>AG56+AG57</f>
        <v>69.292662199999995</v>
      </c>
      <c r="AH58" s="138"/>
      <c r="AI58" s="395">
        <f t="shared" si="78"/>
        <v>1.6950000000000074</v>
      </c>
      <c r="AJ58" s="396">
        <f t="shared" si="79"/>
        <v>2.5074831655938653E-2</v>
      </c>
      <c r="AK58" s="397"/>
      <c r="AL58" s="411"/>
      <c r="AM58" s="411"/>
      <c r="AN58" s="394">
        <f>AN56+AN57</f>
        <v>70.840762199999986</v>
      </c>
      <c r="AO58" s="138"/>
      <c r="AP58" s="395">
        <f t="shared" si="80"/>
        <v>1.5480999999999909</v>
      </c>
      <c r="AQ58" s="396">
        <f t="shared" si="81"/>
        <v>2.234147095592455E-2</v>
      </c>
    </row>
    <row r="59" spans="1:43" ht="12" customHeight="1">
      <c r="A59" s="53"/>
      <c r="B59" s="626" t="s">
        <v>304</v>
      </c>
      <c r="C59" s="616"/>
      <c r="D59" s="616"/>
      <c r="E59" s="328"/>
      <c r="F59" s="450">
        <f>F53</f>
        <v>0.23499999999999999</v>
      </c>
      <c r="G59" s="411"/>
      <c r="H59" s="451">
        <f>F59*H56</f>
        <v>11.816596790999998</v>
      </c>
      <c r="I59" s="53"/>
      <c r="J59" s="452">
        <f>J53</f>
        <v>0.23499999999999999</v>
      </c>
      <c r="K59" s="411"/>
      <c r="L59" s="451">
        <f>J59*L56</f>
        <v>13.089478097999999</v>
      </c>
      <c r="M59" s="138"/>
      <c r="N59" s="451">
        <f t="shared" si="72"/>
        <v>1.2728813070000005</v>
      </c>
      <c r="O59" s="453">
        <f t="shared" si="73"/>
        <v>0.10771978849015808</v>
      </c>
      <c r="P59" s="53"/>
      <c r="Q59" s="452">
        <f>Q53</f>
        <v>0.23499999999999999</v>
      </c>
      <c r="R59" s="411"/>
      <c r="S59" s="451">
        <f>Q59*S56</f>
        <v>13.822678097999999</v>
      </c>
      <c r="T59" s="138"/>
      <c r="U59" s="451">
        <f t="shared" si="74"/>
        <v>0.73320000000000007</v>
      </c>
      <c r="V59" s="453">
        <f t="shared" si="75"/>
        <v>5.6014456383255577E-2</v>
      </c>
      <c r="W59" s="53"/>
      <c r="X59" s="452">
        <f>X53</f>
        <v>0.23499999999999999</v>
      </c>
      <c r="Y59" s="411"/>
      <c r="Z59" s="451">
        <f>X59*Z56</f>
        <v>14.057920899999997</v>
      </c>
      <c r="AA59" s="138"/>
      <c r="AB59" s="451">
        <f t="shared" si="76"/>
        <v>0.23524280199999836</v>
      </c>
      <c r="AC59" s="453">
        <f t="shared" si="77"/>
        <v>1.7018612481038361E-2</v>
      </c>
      <c r="AD59" s="53"/>
      <c r="AE59" s="452">
        <f>AE53</f>
        <v>0.23499999999999999</v>
      </c>
      <c r="AF59" s="411"/>
      <c r="AG59" s="451">
        <f>AE59*AG56</f>
        <v>14.410420899999998</v>
      </c>
      <c r="AH59" s="138"/>
      <c r="AI59" s="451">
        <f t="shared" si="78"/>
        <v>0.35250000000000092</v>
      </c>
      <c r="AJ59" s="453">
        <f t="shared" si="79"/>
        <v>2.5074831655938611E-2</v>
      </c>
      <c r="AK59" s="454"/>
      <c r="AL59" s="452">
        <f>AL53</f>
        <v>0.23499999999999999</v>
      </c>
      <c r="AM59" s="411"/>
      <c r="AN59" s="451">
        <f>AL59*AN56</f>
        <v>14.732370899999998</v>
      </c>
      <c r="AO59" s="138"/>
      <c r="AP59" s="451">
        <f t="shared" si="80"/>
        <v>0.32194999999999929</v>
      </c>
      <c r="AQ59" s="453">
        <f t="shared" si="81"/>
        <v>2.2341470955924633E-2</v>
      </c>
    </row>
    <row r="60" spans="1:43" ht="12" customHeight="1">
      <c r="A60" s="53"/>
      <c r="B60" s="627" t="s">
        <v>350</v>
      </c>
      <c r="C60" s="608"/>
      <c r="D60" s="600"/>
      <c r="E60" s="455"/>
      <c r="F60" s="463"/>
      <c r="G60" s="464"/>
      <c r="H60" s="465">
        <f>H58-H59</f>
        <v>45.003634586999993</v>
      </c>
      <c r="I60" s="53"/>
      <c r="J60" s="464"/>
      <c r="K60" s="464"/>
      <c r="L60" s="465">
        <f>L58-L59</f>
        <v>49.851416585999999</v>
      </c>
      <c r="M60" s="466"/>
      <c r="N60" s="467">
        <f t="shared" si="72"/>
        <v>4.8477819990000057</v>
      </c>
      <c r="O60" s="468">
        <f t="shared" si="73"/>
        <v>0.10771978849015816</v>
      </c>
      <c r="P60" s="53"/>
      <c r="Q60" s="464"/>
      <c r="R60" s="464"/>
      <c r="S60" s="465">
        <f>S58-S59</f>
        <v>52.643816586</v>
      </c>
      <c r="T60" s="466"/>
      <c r="U60" s="467">
        <f t="shared" si="74"/>
        <v>2.7924000000000007</v>
      </c>
      <c r="V60" s="468">
        <f t="shared" si="75"/>
        <v>5.6014456383255577E-2</v>
      </c>
      <c r="W60" s="53"/>
      <c r="X60" s="464"/>
      <c r="Y60" s="464"/>
      <c r="Z60" s="465">
        <f>Z58-Z59</f>
        <v>53.539741299999989</v>
      </c>
      <c r="AA60" s="466"/>
      <c r="AB60" s="467">
        <f t="shared" si="76"/>
        <v>0.89592471399998885</v>
      </c>
      <c r="AC60" s="468">
        <f t="shared" si="77"/>
        <v>1.7018612481038267E-2</v>
      </c>
      <c r="AD60" s="53"/>
      <c r="AE60" s="464"/>
      <c r="AF60" s="464"/>
      <c r="AG60" s="465">
        <f>AG58-AG59</f>
        <v>54.882241299999997</v>
      </c>
      <c r="AH60" s="466"/>
      <c r="AI60" s="467">
        <f t="shared" si="78"/>
        <v>1.3425000000000082</v>
      </c>
      <c r="AJ60" s="468">
        <f t="shared" si="79"/>
        <v>2.5074831655938698E-2</v>
      </c>
      <c r="AK60" s="462"/>
      <c r="AL60" s="464"/>
      <c r="AM60" s="464"/>
      <c r="AN60" s="465">
        <f>AN58-AN59</f>
        <v>56.108391299999987</v>
      </c>
      <c r="AO60" s="466"/>
      <c r="AP60" s="467">
        <f t="shared" si="80"/>
        <v>1.2261499999999899</v>
      </c>
      <c r="AQ60" s="468">
        <f t="shared" si="81"/>
        <v>2.2341470955924498E-2</v>
      </c>
    </row>
    <row r="61" spans="1:43" ht="12" customHeight="1">
      <c r="A61" s="53"/>
      <c r="B61" s="428"/>
      <c r="C61" s="429"/>
      <c r="D61" s="429"/>
      <c r="E61" s="429"/>
      <c r="F61" s="469"/>
      <c r="G61" s="470"/>
      <c r="H61" s="435"/>
      <c r="I61" s="53"/>
      <c r="J61" s="469"/>
      <c r="K61" s="470"/>
      <c r="L61" s="435"/>
      <c r="M61" s="434"/>
      <c r="N61" s="471"/>
      <c r="O61" s="436"/>
      <c r="P61" s="53"/>
      <c r="Q61" s="469"/>
      <c r="R61" s="470"/>
      <c r="S61" s="435"/>
      <c r="T61" s="434"/>
      <c r="U61" s="471"/>
      <c r="V61" s="436"/>
      <c r="W61" s="53"/>
      <c r="X61" s="469"/>
      <c r="Y61" s="470"/>
      <c r="Z61" s="435"/>
      <c r="AA61" s="434"/>
      <c r="AB61" s="471"/>
      <c r="AC61" s="436"/>
      <c r="AD61" s="53"/>
      <c r="AE61" s="469"/>
      <c r="AF61" s="470"/>
      <c r="AG61" s="435"/>
      <c r="AH61" s="434"/>
      <c r="AI61" s="471"/>
      <c r="AJ61" s="436"/>
      <c r="AK61" s="437"/>
      <c r="AL61" s="469"/>
      <c r="AM61" s="470"/>
      <c r="AN61" s="435"/>
      <c r="AO61" s="434"/>
      <c r="AP61" s="471"/>
      <c r="AQ61" s="436"/>
    </row>
    <row r="62" spans="1:43" ht="12" customHeight="1">
      <c r="A62" s="53"/>
      <c r="B62" s="53"/>
      <c r="C62" s="53"/>
      <c r="D62" s="53"/>
      <c r="E62" s="53"/>
      <c r="F62" s="53"/>
      <c r="G62" s="53"/>
      <c r="H62" s="196"/>
      <c r="I62" s="53"/>
      <c r="J62" s="53"/>
      <c r="K62" s="53"/>
      <c r="L62" s="196"/>
      <c r="M62" s="53"/>
      <c r="N62" s="53"/>
      <c r="O62" s="53"/>
      <c r="P62" s="53"/>
      <c r="Q62" s="53"/>
      <c r="R62" s="53"/>
      <c r="S62" s="196"/>
      <c r="T62" s="53"/>
      <c r="U62" s="53"/>
      <c r="V62" s="53"/>
      <c r="W62" s="53"/>
      <c r="X62" s="53"/>
      <c r="Y62" s="53"/>
      <c r="Z62" s="196"/>
      <c r="AA62" s="53"/>
      <c r="AB62" s="53"/>
      <c r="AC62" s="53"/>
      <c r="AD62" s="53"/>
      <c r="AE62" s="53"/>
      <c r="AF62" s="53"/>
      <c r="AG62" s="196"/>
      <c r="AH62" s="53"/>
      <c r="AI62" s="53"/>
      <c r="AJ62" s="53"/>
      <c r="AK62" s="53"/>
      <c r="AL62" s="53"/>
      <c r="AM62" s="53"/>
      <c r="AN62" s="196"/>
      <c r="AO62" s="53"/>
      <c r="AP62" s="53"/>
      <c r="AQ62" s="53"/>
    </row>
    <row r="63" spans="1:43" ht="12" customHeight="1">
      <c r="A63" s="53"/>
      <c r="B63" s="314" t="s">
        <v>351</v>
      </c>
      <c r="C63" s="53"/>
      <c r="D63" s="53"/>
      <c r="E63" s="53"/>
      <c r="F63" s="472">
        <f>'Proposed Rates'!$E$306</f>
        <v>3.3799999999999997E-2</v>
      </c>
      <c r="G63" s="53"/>
      <c r="H63" s="53"/>
      <c r="I63" s="53"/>
      <c r="J63" s="472">
        <f>'Proposed Rates'!$F$306</f>
        <v>3.32E-2</v>
      </c>
      <c r="K63" s="53"/>
      <c r="L63" s="53"/>
      <c r="M63" s="53"/>
      <c r="N63" s="53"/>
      <c r="O63" s="53"/>
      <c r="P63" s="53"/>
      <c r="Q63" s="472">
        <f>'Proposed Rates'!$G$306</f>
        <v>3.32E-2</v>
      </c>
      <c r="R63" s="53"/>
      <c r="S63" s="53"/>
      <c r="T63" s="53"/>
      <c r="U63" s="53"/>
      <c r="V63" s="53"/>
      <c r="W63" s="53"/>
      <c r="X63" s="472">
        <f>'Proposed Rates'!$H$306</f>
        <v>3.32E-2</v>
      </c>
      <c r="Y63" s="53"/>
      <c r="Z63" s="53"/>
      <c r="AA63" s="53"/>
      <c r="AB63" s="53"/>
      <c r="AC63" s="53"/>
      <c r="AD63" s="53"/>
      <c r="AE63" s="472">
        <f>'Proposed Rates'!$I$306</f>
        <v>3.32E-2</v>
      </c>
      <c r="AF63" s="53"/>
      <c r="AG63" s="53"/>
      <c r="AH63" s="53"/>
      <c r="AI63" s="53"/>
      <c r="AJ63" s="53"/>
      <c r="AK63" s="53"/>
      <c r="AL63" s="472">
        <f>'Proposed Rates'!$J$306</f>
        <v>3.32E-2</v>
      </c>
      <c r="AM63" s="53"/>
      <c r="AN63" s="53"/>
      <c r="AO63" s="53"/>
      <c r="AP63" s="53"/>
      <c r="AQ63" s="53"/>
    </row>
    <row r="64" spans="1:43" ht="12" customHeight="1">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row>
    <row r="65" spans="1:43" ht="12" customHeight="1">
      <c r="A65" s="473" t="s">
        <v>352</v>
      </c>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row>
    <row r="66" spans="1:43" ht="12" customHeight="1">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row>
    <row r="67" spans="1:43" ht="12" customHeight="1">
      <c r="A67" s="53" t="s">
        <v>353</v>
      </c>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row>
    <row r="68" spans="1:43" ht="12" customHeight="1">
      <c r="A68" s="53" t="s">
        <v>354</v>
      </c>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row>
    <row r="69" spans="1:43" ht="12" customHeight="1">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row>
    <row r="70" spans="1:43" ht="12" customHeight="1">
      <c r="A70" s="53" t="s">
        <v>355</v>
      </c>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row>
    <row r="71" spans="1:43" ht="12" customHeight="1">
      <c r="A71" s="53" t="s">
        <v>356</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row>
    <row r="72" spans="1:43" ht="12" customHeight="1">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row>
    <row r="73" spans="1:43" ht="12" customHeight="1">
      <c r="A73" s="53" t="s">
        <v>357</v>
      </c>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row>
    <row r="74" spans="1:43" ht="12" customHeight="1">
      <c r="A74" s="53" t="s">
        <v>358</v>
      </c>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row>
    <row r="75" spans="1:43" ht="12" customHeight="1">
      <c r="A75" s="53" t="s">
        <v>359</v>
      </c>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row>
    <row r="76" spans="1:43" ht="12" customHeight="1">
      <c r="A76" s="53" t="s">
        <v>360</v>
      </c>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row>
    <row r="77" spans="1:43" ht="12" customHeight="1">
      <c r="A77" s="53" t="s">
        <v>361</v>
      </c>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row>
    <row r="78" spans="1:43" ht="12" customHeight="1">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row>
    <row r="79" spans="1:43" ht="12" customHeight="1">
      <c r="A79" s="474"/>
      <c r="B79" s="53" t="s">
        <v>362</v>
      </c>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row>
    <row r="80" spans="1:43" ht="12" customHeight="1">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row>
    <row r="81" spans="1:43" ht="12" customHeight="1">
      <c r="A81" s="53"/>
      <c r="B81" s="53" t="s">
        <v>363</v>
      </c>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row>
    <row r="82" spans="1:43" ht="12" customHeight="1">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row>
    <row r="83" spans="1:43" ht="12" customHeight="1">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row>
    <row r="84" spans="1:43" ht="12" customHeight="1">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row>
    <row r="85" spans="1:43" ht="12" customHeight="1">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row>
    <row r="86" spans="1:43" ht="12" customHeight="1">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row>
    <row r="87" spans="1:43" ht="12" customHeight="1">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row>
    <row r="88" spans="1:43" ht="12" customHeight="1">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row>
    <row r="89" spans="1:43" ht="12" customHeight="1">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row>
    <row r="90" spans="1:43" ht="12" customHeight="1">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row>
    <row r="91" spans="1:43" ht="12" customHeight="1">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row>
    <row r="92" spans="1:43" ht="12" customHeight="1">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row>
    <row r="93" spans="1:43" ht="12" customHeight="1">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row>
    <row r="94" spans="1:43" ht="12" customHeight="1">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row>
    <row r="95" spans="1:43" ht="12" customHeight="1">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row>
    <row r="96" spans="1:43" ht="12" customHeight="1">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row>
    <row r="97" spans="1:43" ht="12" customHeight="1">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row>
    <row r="98" spans="1:43" ht="12" customHeight="1">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c r="AO98" s="53"/>
      <c r="AP98" s="53"/>
      <c r="AQ98" s="53"/>
    </row>
    <row r="99" spans="1:43" ht="12" customHeight="1">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row>
    <row r="100" spans="1:43" ht="12" customHeight="1">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c r="AO100" s="53"/>
      <c r="AP100" s="53"/>
      <c r="AQ100" s="53"/>
    </row>
    <row r="101" spans="1:43" ht="12" customHeight="1">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row>
    <row r="102" spans="1:43" ht="12" customHeight="1">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c r="AO102" s="53"/>
      <c r="AP102" s="53"/>
      <c r="AQ102" s="53"/>
    </row>
    <row r="103" spans="1:43" ht="12" customHeight="1">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row>
    <row r="104" spans="1:43" ht="12" customHeight="1">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row>
    <row r="105" spans="1:43" ht="12" customHeight="1">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53"/>
      <c r="AO105" s="53"/>
      <c r="AP105" s="53"/>
      <c r="AQ105" s="53"/>
    </row>
    <row r="106" spans="1:43" ht="12" customHeight="1">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row>
    <row r="107" spans="1:43" ht="12" customHeight="1">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row>
    <row r="108" spans="1:43" ht="12" customHeight="1">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row>
    <row r="109" spans="1:43" ht="12" customHeight="1">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row>
    <row r="110" spans="1:43" ht="12" customHeight="1">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row>
    <row r="111" spans="1:43" ht="12" customHeight="1">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row>
    <row r="112" spans="1:43" ht="12" customHeight="1">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row>
    <row r="113" spans="1:43" ht="12" customHeight="1">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53"/>
      <c r="AO113" s="53"/>
      <c r="AP113" s="53"/>
      <c r="AQ113" s="53"/>
    </row>
    <row r="114" spans="1:43" ht="12" customHeight="1">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row>
    <row r="115" spans="1:43" ht="12" customHeight="1">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53"/>
      <c r="AO115" s="53"/>
      <c r="AP115" s="53"/>
      <c r="AQ115" s="53"/>
    </row>
    <row r="116" spans="1:43" ht="12" customHeight="1">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53"/>
      <c r="AO116" s="53"/>
      <c r="AP116" s="53"/>
      <c r="AQ116" s="53"/>
    </row>
    <row r="117" spans="1:43" ht="12" customHeight="1">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53"/>
      <c r="AO117" s="53"/>
      <c r="AP117" s="53"/>
      <c r="AQ117" s="53"/>
    </row>
    <row r="118" spans="1:43" ht="12" customHeight="1">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row>
    <row r="119" spans="1:43" ht="12" customHeight="1">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53"/>
      <c r="AO119" s="53"/>
      <c r="AP119" s="53"/>
      <c r="AQ119" s="53"/>
    </row>
    <row r="120" spans="1:43" ht="12" customHeight="1">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row>
    <row r="121" spans="1:43" ht="12" customHeight="1">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row>
    <row r="122" spans="1:43" ht="12" customHeight="1">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row>
    <row r="123" spans="1:43" ht="12" customHeight="1">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row>
    <row r="124" spans="1:43" ht="12" customHeight="1">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row>
    <row r="125" spans="1:43" ht="12" customHeight="1">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row>
    <row r="126" spans="1:43" ht="12" customHeight="1">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row>
    <row r="127" spans="1:43" ht="12" customHeight="1">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row>
    <row r="128" spans="1:43" ht="12" customHeight="1">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row>
    <row r="129" spans="1:43" ht="12" customHeight="1">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row>
    <row r="130" spans="1:43" ht="12" customHeight="1">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row>
    <row r="131" spans="1:43" ht="12" customHeight="1">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row>
    <row r="132" spans="1:43" ht="12" customHeight="1">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row>
    <row r="133" spans="1:43" ht="12" customHeight="1">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row>
    <row r="134" spans="1:43" ht="12" customHeight="1">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row>
    <row r="135" spans="1:43" ht="12" customHeight="1">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row>
    <row r="136" spans="1:43" ht="12" customHeight="1">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row>
    <row r="137" spans="1:43" ht="12" customHeight="1">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row>
    <row r="138" spans="1:43" ht="12" customHeight="1">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row>
    <row r="139" spans="1:43" ht="12" customHeight="1">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row>
    <row r="140" spans="1:43" ht="12" customHeight="1">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row>
    <row r="141" spans="1:43" ht="12" customHeight="1">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row>
    <row r="142" spans="1:43" ht="12" customHeight="1">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row>
    <row r="143" spans="1:43" ht="12" customHeight="1">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53"/>
      <c r="AO143" s="53"/>
      <c r="AP143" s="53"/>
      <c r="AQ143" s="53"/>
    </row>
    <row r="144" spans="1:43" ht="12" customHeight="1">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row>
    <row r="145" spans="1:43" ht="12" customHeight="1">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53"/>
      <c r="AO145" s="53"/>
      <c r="AP145" s="53"/>
      <c r="AQ145" s="53"/>
    </row>
    <row r="146" spans="1:43" ht="12" customHeight="1">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53"/>
      <c r="AO146" s="53"/>
      <c r="AP146" s="53"/>
      <c r="AQ146" s="53"/>
    </row>
    <row r="147" spans="1:43" ht="12" customHeight="1">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53"/>
      <c r="AO147" s="53"/>
      <c r="AP147" s="53"/>
      <c r="AQ147" s="53"/>
    </row>
    <row r="148" spans="1:43" ht="12" customHeight="1">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row>
    <row r="149" spans="1:43" ht="12" customHeight="1">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53"/>
      <c r="AO149" s="53"/>
      <c r="AP149" s="53"/>
      <c r="AQ149" s="53"/>
    </row>
    <row r="150" spans="1:43" ht="12" customHeight="1">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53"/>
      <c r="AO150" s="53"/>
      <c r="AP150" s="53"/>
      <c r="AQ150" s="53"/>
    </row>
    <row r="151" spans="1:43" ht="12" customHeight="1">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row>
    <row r="152" spans="1:43" ht="12" customHeight="1">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row>
    <row r="153" spans="1:43" ht="12" customHeight="1">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row>
    <row r="154" spans="1:43" ht="12" customHeight="1">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53"/>
      <c r="AO154" s="53"/>
      <c r="AP154" s="53"/>
      <c r="AQ154" s="53"/>
    </row>
    <row r="155" spans="1:43" ht="12" customHeight="1">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53"/>
      <c r="AO155" s="53"/>
      <c r="AP155" s="53"/>
      <c r="AQ155" s="53"/>
    </row>
    <row r="156" spans="1:43" ht="12" customHeight="1">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53"/>
      <c r="AO156" s="53"/>
      <c r="AP156" s="53"/>
      <c r="AQ156" s="53"/>
    </row>
    <row r="157" spans="1:43" ht="12" customHeight="1">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53"/>
      <c r="AO157" s="53"/>
      <c r="AP157" s="53"/>
      <c r="AQ157" s="53"/>
    </row>
    <row r="158" spans="1:43" ht="12" customHeight="1">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53"/>
      <c r="AO158" s="53"/>
      <c r="AP158" s="53"/>
      <c r="AQ158" s="53"/>
    </row>
    <row r="159" spans="1:43" ht="12" customHeight="1">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53"/>
      <c r="AO159" s="53"/>
      <c r="AP159" s="53"/>
      <c r="AQ159" s="53"/>
    </row>
    <row r="160" spans="1:43" ht="12" customHeight="1">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row>
    <row r="161" spans="1:43" ht="12" customHeight="1">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row>
    <row r="162" spans="1:43" ht="12" customHeight="1">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53"/>
      <c r="AO162" s="53"/>
      <c r="AP162" s="53"/>
      <c r="AQ162" s="53"/>
    </row>
    <row r="163" spans="1:43" ht="12" customHeight="1">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53"/>
      <c r="AO163" s="53"/>
      <c r="AP163" s="53"/>
      <c r="AQ163" s="53"/>
    </row>
    <row r="164" spans="1:43" ht="12" customHeight="1">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53"/>
      <c r="AO164" s="53"/>
      <c r="AP164" s="53"/>
      <c r="AQ164" s="53"/>
    </row>
    <row r="165" spans="1:43" ht="12" customHeight="1">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53"/>
      <c r="AO165" s="53"/>
      <c r="AP165" s="53"/>
      <c r="AQ165" s="53"/>
    </row>
    <row r="166" spans="1:43" ht="12" customHeight="1">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53"/>
      <c r="AO166" s="53"/>
      <c r="AP166" s="53"/>
      <c r="AQ166" s="53"/>
    </row>
    <row r="167" spans="1:43" ht="12" customHeight="1">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53"/>
      <c r="AO167" s="53"/>
      <c r="AP167" s="53"/>
      <c r="AQ167" s="53"/>
    </row>
    <row r="168" spans="1:43" ht="12" customHeight="1">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53"/>
      <c r="AO168" s="53"/>
      <c r="AP168" s="53"/>
      <c r="AQ168" s="53"/>
    </row>
    <row r="169" spans="1:43" ht="12" customHeight="1">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row>
    <row r="170" spans="1:43" ht="12" customHeight="1">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53"/>
      <c r="AO170" s="53"/>
      <c r="AP170" s="53"/>
      <c r="AQ170" s="53"/>
    </row>
    <row r="171" spans="1:43" ht="12" customHeight="1">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53"/>
      <c r="AO171" s="53"/>
      <c r="AP171" s="53"/>
      <c r="AQ171" s="53"/>
    </row>
    <row r="172" spans="1:43" ht="12" customHeight="1">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53"/>
      <c r="AO172" s="53"/>
      <c r="AP172" s="53"/>
      <c r="AQ172" s="53"/>
    </row>
    <row r="173" spans="1:43" ht="12" customHeight="1">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53"/>
      <c r="AO173" s="53"/>
      <c r="AP173" s="53"/>
      <c r="AQ173" s="53"/>
    </row>
    <row r="174" spans="1:43" ht="12" customHeight="1">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row>
    <row r="175" spans="1:43" ht="12" customHeight="1">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row>
    <row r="176" spans="1:43" ht="12" customHeight="1">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row>
    <row r="177" spans="1:43" ht="12" customHeight="1">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53"/>
      <c r="AO177" s="53"/>
      <c r="AP177" s="53"/>
      <c r="AQ177" s="53"/>
    </row>
    <row r="178" spans="1:43" ht="12" customHeight="1">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53"/>
      <c r="AO178" s="53"/>
      <c r="AP178" s="53"/>
      <c r="AQ178" s="53"/>
    </row>
    <row r="179" spans="1:43" ht="12" customHeight="1">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row>
    <row r="180" spans="1:43" ht="12" customHeight="1">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c r="AP180" s="53"/>
      <c r="AQ180" s="53"/>
    </row>
    <row r="181" spans="1:43" ht="12" customHeight="1">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row>
    <row r="182" spans="1:43" ht="12" customHeight="1">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row>
    <row r="183" spans="1:43" ht="12" customHeight="1">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row>
    <row r="184" spans="1:43" ht="12" customHeight="1">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row>
    <row r="185" spans="1:43" ht="12" customHeight="1">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53"/>
      <c r="AO185" s="53"/>
      <c r="AP185" s="53"/>
      <c r="AQ185" s="53"/>
    </row>
    <row r="186" spans="1:43" ht="12" customHeight="1">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row>
    <row r="187" spans="1:43" ht="12" customHeight="1">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53"/>
      <c r="AO187" s="53"/>
      <c r="AP187" s="53"/>
      <c r="AQ187" s="53"/>
    </row>
    <row r="188" spans="1:43" ht="12" customHeight="1">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row>
    <row r="189" spans="1:43" ht="12" customHeight="1">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row>
    <row r="190" spans="1:43" ht="12" customHeight="1">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row>
    <row r="191" spans="1:43" ht="12" customHeight="1">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row>
    <row r="192" spans="1:43" ht="12" customHeight="1">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row>
    <row r="193" spans="1:43" ht="12" customHeight="1">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row>
    <row r="194" spans="1:43" ht="12" customHeight="1">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53"/>
      <c r="AO194" s="53"/>
      <c r="AP194" s="53"/>
      <c r="AQ194" s="53"/>
    </row>
    <row r="195" spans="1:43" ht="12" customHeight="1">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row>
    <row r="196" spans="1:43" ht="12" customHeight="1">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row>
    <row r="197" spans="1:43" ht="12" customHeight="1">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53"/>
      <c r="AO197" s="53"/>
      <c r="AP197" s="53"/>
      <c r="AQ197" s="53"/>
    </row>
    <row r="198" spans="1:43" ht="12" customHeight="1">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53"/>
      <c r="AO198" s="53"/>
      <c r="AP198" s="53"/>
      <c r="AQ198" s="53"/>
    </row>
    <row r="199" spans="1:43" ht="12" customHeight="1">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53"/>
      <c r="AO199" s="53"/>
      <c r="AP199" s="53"/>
      <c r="AQ199" s="53"/>
    </row>
    <row r="200" spans="1:43" ht="12" customHeight="1">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53"/>
      <c r="AO200" s="53"/>
      <c r="AP200" s="53"/>
      <c r="AQ200" s="53"/>
    </row>
    <row r="201" spans="1:43" ht="12" customHeight="1">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53"/>
      <c r="AO201" s="53"/>
      <c r="AP201" s="53"/>
      <c r="AQ201" s="53"/>
    </row>
    <row r="202" spans="1:43" ht="12" customHeight="1">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row>
    <row r="203" spans="1:43" ht="12" customHeight="1">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53"/>
      <c r="AO203" s="53"/>
      <c r="AP203" s="53"/>
      <c r="AQ203" s="53"/>
    </row>
    <row r="204" spans="1:43" ht="12" customHeight="1">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53"/>
      <c r="AO204" s="53"/>
      <c r="AP204" s="53"/>
      <c r="AQ204" s="53"/>
    </row>
    <row r="205" spans="1:43" ht="12" customHeight="1">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c r="AP205" s="53"/>
      <c r="AQ205" s="53"/>
    </row>
    <row r="206" spans="1:43" ht="12" customHeight="1">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53"/>
      <c r="AO206" s="53"/>
      <c r="AP206" s="53"/>
      <c r="AQ206" s="53"/>
    </row>
    <row r="207" spans="1:43" ht="12" customHeight="1">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53"/>
      <c r="AO207" s="53"/>
      <c r="AP207" s="53"/>
      <c r="AQ207" s="53"/>
    </row>
    <row r="208" spans="1:43" ht="12" customHeight="1">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53"/>
      <c r="AO208" s="53"/>
      <c r="AP208" s="53"/>
      <c r="AQ208" s="53"/>
    </row>
    <row r="209" spans="1:43" ht="12" customHeight="1">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53"/>
      <c r="AO209" s="53"/>
      <c r="AP209" s="53"/>
      <c r="AQ209" s="53"/>
    </row>
    <row r="210" spans="1:43" ht="12" customHeight="1">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53"/>
      <c r="AO210" s="53"/>
      <c r="AP210" s="53"/>
      <c r="AQ210" s="53"/>
    </row>
    <row r="211" spans="1:43" ht="12" customHeight="1">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53"/>
      <c r="AO211" s="53"/>
      <c r="AP211" s="53"/>
      <c r="AQ211" s="53"/>
    </row>
    <row r="212" spans="1:43" ht="12" customHeight="1">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53"/>
      <c r="AO212" s="53"/>
      <c r="AP212" s="53"/>
      <c r="AQ212" s="53"/>
    </row>
    <row r="213" spans="1:43" ht="12" customHeight="1">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53"/>
      <c r="AO213" s="53"/>
      <c r="AP213" s="53"/>
      <c r="AQ213" s="53"/>
    </row>
    <row r="214" spans="1:43" ht="12" customHeight="1">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53"/>
      <c r="AO214" s="53"/>
      <c r="AP214" s="53"/>
      <c r="AQ214" s="53"/>
    </row>
    <row r="215" spans="1:43" ht="12" customHeight="1">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53"/>
      <c r="AO215" s="53"/>
      <c r="AP215" s="53"/>
      <c r="AQ215" s="53"/>
    </row>
    <row r="216" spans="1:43" ht="12" customHeight="1">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53"/>
      <c r="AO216" s="53"/>
      <c r="AP216" s="53"/>
      <c r="AQ216" s="53"/>
    </row>
    <row r="217" spans="1:43" ht="12" customHeight="1">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53"/>
      <c r="AO217" s="53"/>
      <c r="AP217" s="53"/>
      <c r="AQ217" s="53"/>
    </row>
    <row r="218" spans="1:43" ht="12" customHeight="1">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row>
    <row r="219" spans="1:43" ht="12" customHeight="1">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c r="AA219" s="53"/>
      <c r="AB219" s="53"/>
      <c r="AC219" s="53"/>
      <c r="AD219" s="53"/>
      <c r="AE219" s="53"/>
      <c r="AF219" s="53"/>
      <c r="AG219" s="53"/>
      <c r="AH219" s="53"/>
      <c r="AI219" s="53"/>
      <c r="AJ219" s="53"/>
      <c r="AK219" s="53"/>
      <c r="AL219" s="53"/>
      <c r="AM219" s="53"/>
      <c r="AN219" s="53"/>
      <c r="AO219" s="53"/>
      <c r="AP219" s="53"/>
      <c r="AQ219" s="53"/>
    </row>
    <row r="220" spans="1:43" ht="12" customHeight="1">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row>
    <row r="221" spans="1:43" ht="12" customHeight="1">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53"/>
      <c r="AH221" s="53"/>
      <c r="AI221" s="53"/>
      <c r="AJ221" s="53"/>
      <c r="AK221" s="53"/>
      <c r="AL221" s="53"/>
      <c r="AM221" s="53"/>
      <c r="AN221" s="53"/>
      <c r="AO221" s="53"/>
      <c r="AP221" s="53"/>
      <c r="AQ221" s="53"/>
    </row>
    <row r="222" spans="1:43" ht="12" customHeight="1">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53"/>
      <c r="AH222" s="53"/>
      <c r="AI222" s="53"/>
      <c r="AJ222" s="53"/>
      <c r="AK222" s="53"/>
      <c r="AL222" s="53"/>
      <c r="AM222" s="53"/>
      <c r="AN222" s="53"/>
      <c r="AO222" s="53"/>
      <c r="AP222" s="53"/>
      <c r="AQ222" s="53"/>
    </row>
    <row r="223" spans="1:43" ht="12" customHeight="1">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53"/>
      <c r="AH223" s="53"/>
      <c r="AI223" s="53"/>
      <c r="AJ223" s="53"/>
      <c r="AK223" s="53"/>
      <c r="AL223" s="53"/>
      <c r="AM223" s="53"/>
      <c r="AN223" s="53"/>
      <c r="AO223" s="53"/>
      <c r="AP223" s="53"/>
      <c r="AQ223" s="53"/>
    </row>
    <row r="224" spans="1:43" ht="12" customHeight="1">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c r="AA224" s="53"/>
      <c r="AB224" s="53"/>
      <c r="AC224" s="53"/>
      <c r="AD224" s="53"/>
      <c r="AE224" s="53"/>
      <c r="AF224" s="53"/>
      <c r="AG224" s="53"/>
      <c r="AH224" s="53"/>
      <c r="AI224" s="53"/>
      <c r="AJ224" s="53"/>
      <c r="AK224" s="53"/>
      <c r="AL224" s="53"/>
      <c r="AM224" s="53"/>
      <c r="AN224" s="53"/>
      <c r="AO224" s="53"/>
      <c r="AP224" s="53"/>
      <c r="AQ224" s="53"/>
    </row>
    <row r="225" spans="1:43" ht="12" customHeight="1">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c r="AA225" s="53"/>
      <c r="AB225" s="53"/>
      <c r="AC225" s="53"/>
      <c r="AD225" s="53"/>
      <c r="AE225" s="53"/>
      <c r="AF225" s="53"/>
      <c r="AG225" s="53"/>
      <c r="AH225" s="53"/>
      <c r="AI225" s="53"/>
      <c r="AJ225" s="53"/>
      <c r="AK225" s="53"/>
      <c r="AL225" s="53"/>
      <c r="AM225" s="53"/>
      <c r="AN225" s="53"/>
      <c r="AO225" s="53"/>
      <c r="AP225" s="53"/>
      <c r="AQ225" s="53"/>
    </row>
    <row r="226" spans="1:43" ht="12" customHeight="1">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row>
    <row r="227" spans="1:43" ht="12" customHeight="1">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c r="AA227" s="53"/>
      <c r="AB227" s="53"/>
      <c r="AC227" s="53"/>
      <c r="AD227" s="53"/>
      <c r="AE227" s="53"/>
      <c r="AF227" s="53"/>
      <c r="AG227" s="53"/>
      <c r="AH227" s="53"/>
      <c r="AI227" s="53"/>
      <c r="AJ227" s="53"/>
      <c r="AK227" s="53"/>
      <c r="AL227" s="53"/>
      <c r="AM227" s="53"/>
      <c r="AN227" s="53"/>
      <c r="AO227" s="53"/>
      <c r="AP227" s="53"/>
      <c r="AQ227" s="53"/>
    </row>
    <row r="228" spans="1:43" ht="12" customHeight="1">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c r="AA228" s="53"/>
      <c r="AB228" s="53"/>
      <c r="AC228" s="53"/>
      <c r="AD228" s="53"/>
      <c r="AE228" s="53"/>
      <c r="AF228" s="53"/>
      <c r="AG228" s="53"/>
      <c r="AH228" s="53"/>
      <c r="AI228" s="53"/>
      <c r="AJ228" s="53"/>
      <c r="AK228" s="53"/>
      <c r="AL228" s="53"/>
      <c r="AM228" s="53"/>
      <c r="AN228" s="53"/>
      <c r="AO228" s="53"/>
      <c r="AP228" s="53"/>
      <c r="AQ228" s="53"/>
    </row>
    <row r="229" spans="1:43" ht="12" customHeight="1">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G229" s="53"/>
      <c r="AH229" s="53"/>
      <c r="AI229" s="53"/>
      <c r="AJ229" s="53"/>
      <c r="AK229" s="53"/>
      <c r="AL229" s="53"/>
      <c r="AM229" s="53"/>
      <c r="AN229" s="53"/>
      <c r="AO229" s="53"/>
      <c r="AP229" s="53"/>
      <c r="AQ229" s="53"/>
    </row>
    <row r="230" spans="1:43" ht="12" customHeight="1">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c r="AA230" s="53"/>
      <c r="AB230" s="53"/>
      <c r="AC230" s="53"/>
      <c r="AD230" s="53"/>
      <c r="AE230" s="53"/>
      <c r="AF230" s="53"/>
      <c r="AG230" s="53"/>
      <c r="AH230" s="53"/>
      <c r="AI230" s="53"/>
      <c r="AJ230" s="53"/>
      <c r="AK230" s="53"/>
      <c r="AL230" s="53"/>
      <c r="AM230" s="53"/>
      <c r="AN230" s="53"/>
      <c r="AO230" s="53"/>
      <c r="AP230" s="53"/>
      <c r="AQ230" s="53"/>
    </row>
    <row r="231" spans="1:43" ht="12" customHeight="1">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3"/>
      <c r="AG231" s="53"/>
      <c r="AH231" s="53"/>
      <c r="AI231" s="53"/>
      <c r="AJ231" s="53"/>
      <c r="AK231" s="53"/>
      <c r="AL231" s="53"/>
      <c r="AM231" s="53"/>
      <c r="AN231" s="53"/>
      <c r="AO231" s="53"/>
      <c r="AP231" s="53"/>
      <c r="AQ231" s="53"/>
    </row>
    <row r="232" spans="1:43" ht="12" customHeight="1">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c r="AA232" s="53"/>
      <c r="AB232" s="53"/>
      <c r="AC232" s="53"/>
      <c r="AD232" s="53"/>
      <c r="AE232" s="53"/>
      <c r="AF232" s="53"/>
      <c r="AG232" s="53"/>
      <c r="AH232" s="53"/>
      <c r="AI232" s="53"/>
      <c r="AJ232" s="53"/>
      <c r="AK232" s="53"/>
      <c r="AL232" s="53"/>
      <c r="AM232" s="53"/>
      <c r="AN232" s="53"/>
      <c r="AO232" s="53"/>
      <c r="AP232" s="53"/>
      <c r="AQ232" s="53"/>
    </row>
    <row r="233" spans="1:43" ht="12" customHeight="1">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c r="AA233" s="53"/>
      <c r="AB233" s="53"/>
      <c r="AC233" s="53"/>
      <c r="AD233" s="53"/>
      <c r="AE233" s="53"/>
      <c r="AF233" s="53"/>
      <c r="AG233" s="53"/>
      <c r="AH233" s="53"/>
      <c r="AI233" s="53"/>
      <c r="AJ233" s="53"/>
      <c r="AK233" s="53"/>
      <c r="AL233" s="53"/>
      <c r="AM233" s="53"/>
      <c r="AN233" s="53"/>
      <c r="AO233" s="53"/>
      <c r="AP233" s="53"/>
      <c r="AQ233" s="53"/>
    </row>
    <row r="234" spans="1:43" ht="12" customHeight="1">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row>
    <row r="235" spans="1:43" ht="12" customHeight="1">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c r="AA235" s="53"/>
      <c r="AB235" s="53"/>
      <c r="AC235" s="53"/>
      <c r="AD235" s="53"/>
      <c r="AE235" s="53"/>
      <c r="AF235" s="53"/>
      <c r="AG235" s="53"/>
      <c r="AH235" s="53"/>
      <c r="AI235" s="53"/>
      <c r="AJ235" s="53"/>
      <c r="AK235" s="53"/>
      <c r="AL235" s="53"/>
      <c r="AM235" s="53"/>
      <c r="AN235" s="53"/>
      <c r="AO235" s="53"/>
      <c r="AP235" s="53"/>
      <c r="AQ235" s="53"/>
    </row>
    <row r="236" spans="1:43" ht="12" customHeight="1">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c r="AA236" s="53"/>
      <c r="AB236" s="53"/>
      <c r="AC236" s="53"/>
      <c r="AD236" s="53"/>
      <c r="AE236" s="53"/>
      <c r="AF236" s="53"/>
      <c r="AG236" s="53"/>
      <c r="AH236" s="53"/>
      <c r="AI236" s="53"/>
      <c r="AJ236" s="53"/>
      <c r="AK236" s="53"/>
      <c r="AL236" s="53"/>
      <c r="AM236" s="53"/>
      <c r="AN236" s="53"/>
      <c r="AO236" s="53"/>
      <c r="AP236" s="53"/>
      <c r="AQ236" s="53"/>
    </row>
    <row r="237" spans="1:43" ht="12" customHeight="1">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row>
    <row r="238" spans="1:43" ht="12" customHeight="1">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c r="AA238" s="53"/>
      <c r="AB238" s="53"/>
      <c r="AC238" s="53"/>
      <c r="AD238" s="53"/>
      <c r="AE238" s="53"/>
      <c r="AF238" s="53"/>
      <c r="AG238" s="53"/>
      <c r="AH238" s="53"/>
      <c r="AI238" s="53"/>
      <c r="AJ238" s="53"/>
      <c r="AK238" s="53"/>
      <c r="AL238" s="53"/>
      <c r="AM238" s="53"/>
      <c r="AN238" s="53"/>
      <c r="AO238" s="53"/>
      <c r="AP238" s="53"/>
      <c r="AQ238" s="53"/>
    </row>
    <row r="239" spans="1:43" ht="12" customHeight="1">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c r="AA239" s="53"/>
      <c r="AB239" s="53"/>
      <c r="AC239" s="53"/>
      <c r="AD239" s="53"/>
      <c r="AE239" s="53"/>
      <c r="AF239" s="53"/>
      <c r="AG239" s="53"/>
      <c r="AH239" s="53"/>
      <c r="AI239" s="53"/>
      <c r="AJ239" s="53"/>
      <c r="AK239" s="53"/>
      <c r="AL239" s="53"/>
      <c r="AM239" s="53"/>
      <c r="AN239" s="53"/>
      <c r="AO239" s="53"/>
      <c r="AP239" s="53"/>
      <c r="AQ239" s="53"/>
    </row>
    <row r="240" spans="1:43" ht="12" customHeight="1">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c r="AA240" s="53"/>
      <c r="AB240" s="53"/>
      <c r="AC240" s="53"/>
      <c r="AD240" s="53"/>
      <c r="AE240" s="53"/>
      <c r="AF240" s="53"/>
      <c r="AG240" s="53"/>
      <c r="AH240" s="53"/>
      <c r="AI240" s="53"/>
      <c r="AJ240" s="53"/>
      <c r="AK240" s="53"/>
      <c r="AL240" s="53"/>
      <c r="AM240" s="53"/>
      <c r="AN240" s="53"/>
      <c r="AO240" s="53"/>
      <c r="AP240" s="53"/>
      <c r="AQ240" s="53"/>
    </row>
    <row r="241" spans="1:43" ht="12" customHeight="1">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c r="AA241" s="53"/>
      <c r="AB241" s="53"/>
      <c r="AC241" s="53"/>
      <c r="AD241" s="53"/>
      <c r="AE241" s="53"/>
      <c r="AF241" s="53"/>
      <c r="AG241" s="53"/>
      <c r="AH241" s="53"/>
      <c r="AI241" s="53"/>
      <c r="AJ241" s="53"/>
      <c r="AK241" s="53"/>
      <c r="AL241" s="53"/>
      <c r="AM241" s="53"/>
      <c r="AN241" s="53"/>
      <c r="AO241" s="53"/>
      <c r="AP241" s="53"/>
      <c r="AQ241" s="53"/>
    </row>
    <row r="242" spans="1:43" ht="12" customHeight="1">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c r="AL242" s="53"/>
      <c r="AM242" s="53"/>
      <c r="AN242" s="53"/>
      <c r="AO242" s="53"/>
      <c r="AP242" s="53"/>
      <c r="AQ242" s="53"/>
    </row>
    <row r="243" spans="1:43" ht="12" customHeight="1">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row>
    <row r="244" spans="1:43" ht="12" customHeight="1">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row>
    <row r="245" spans="1:43" ht="12" customHeight="1">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row>
    <row r="246" spans="1:43" ht="12" customHeight="1">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c r="AA246" s="53"/>
      <c r="AB246" s="53"/>
      <c r="AC246" s="53"/>
      <c r="AD246" s="53"/>
      <c r="AE246" s="53"/>
      <c r="AF246" s="53"/>
      <c r="AG246" s="53"/>
      <c r="AH246" s="53"/>
      <c r="AI246" s="53"/>
      <c r="AJ246" s="53"/>
      <c r="AK246" s="53"/>
      <c r="AL246" s="53"/>
      <c r="AM246" s="53"/>
      <c r="AN246" s="53"/>
      <c r="AO246" s="53"/>
      <c r="AP246" s="53"/>
      <c r="AQ246" s="53"/>
    </row>
    <row r="247" spans="1:43" ht="12" customHeight="1">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row>
    <row r="248" spans="1:43" ht="12" customHeight="1">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c r="AA248" s="53"/>
      <c r="AB248" s="53"/>
      <c r="AC248" s="53"/>
      <c r="AD248" s="53"/>
      <c r="AE248" s="53"/>
      <c r="AF248" s="53"/>
      <c r="AG248" s="53"/>
      <c r="AH248" s="53"/>
      <c r="AI248" s="53"/>
      <c r="AJ248" s="53"/>
      <c r="AK248" s="53"/>
      <c r="AL248" s="53"/>
      <c r="AM248" s="53"/>
      <c r="AN248" s="53"/>
      <c r="AO248" s="53"/>
      <c r="AP248" s="53"/>
      <c r="AQ248" s="53"/>
    </row>
    <row r="249" spans="1:43" ht="12" customHeight="1">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c r="AL249" s="53"/>
      <c r="AM249" s="53"/>
      <c r="AN249" s="53"/>
      <c r="AO249" s="53"/>
      <c r="AP249" s="53"/>
      <c r="AQ249" s="53"/>
    </row>
    <row r="250" spans="1:43" ht="12" customHeight="1">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c r="AA250" s="53"/>
      <c r="AB250" s="53"/>
      <c r="AC250" s="53"/>
      <c r="AD250" s="53"/>
      <c r="AE250" s="53"/>
      <c r="AF250" s="53"/>
      <c r="AG250" s="53"/>
      <c r="AH250" s="53"/>
      <c r="AI250" s="53"/>
      <c r="AJ250" s="53"/>
      <c r="AK250" s="53"/>
      <c r="AL250" s="53"/>
      <c r="AM250" s="53"/>
      <c r="AN250" s="53"/>
      <c r="AO250" s="53"/>
      <c r="AP250" s="53"/>
      <c r="AQ250" s="53"/>
    </row>
    <row r="251" spans="1:43" ht="12" customHeight="1">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c r="AA251" s="53"/>
      <c r="AB251" s="53"/>
      <c r="AC251" s="53"/>
      <c r="AD251" s="53"/>
      <c r="AE251" s="53"/>
      <c r="AF251" s="53"/>
      <c r="AG251" s="53"/>
      <c r="AH251" s="53"/>
      <c r="AI251" s="53"/>
      <c r="AJ251" s="53"/>
      <c r="AK251" s="53"/>
      <c r="AL251" s="53"/>
      <c r="AM251" s="53"/>
      <c r="AN251" s="53"/>
      <c r="AO251" s="53"/>
      <c r="AP251" s="53"/>
      <c r="AQ251" s="53"/>
    </row>
    <row r="252" spans="1:43" ht="12" customHeight="1">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3"/>
      <c r="AG252" s="53"/>
      <c r="AH252" s="53"/>
      <c r="AI252" s="53"/>
      <c r="AJ252" s="53"/>
      <c r="AK252" s="53"/>
      <c r="AL252" s="53"/>
      <c r="AM252" s="53"/>
      <c r="AN252" s="53"/>
      <c r="AO252" s="53"/>
      <c r="AP252" s="53"/>
      <c r="AQ252" s="53"/>
    </row>
    <row r="253" spans="1:43" ht="12" customHeight="1">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c r="AA253" s="53"/>
      <c r="AB253" s="53"/>
      <c r="AC253" s="53"/>
      <c r="AD253" s="53"/>
      <c r="AE253" s="53"/>
      <c r="AF253" s="53"/>
      <c r="AG253" s="53"/>
      <c r="AH253" s="53"/>
      <c r="AI253" s="53"/>
      <c r="AJ253" s="53"/>
      <c r="AK253" s="53"/>
      <c r="AL253" s="53"/>
      <c r="AM253" s="53"/>
      <c r="AN253" s="53"/>
      <c r="AO253" s="53"/>
      <c r="AP253" s="53"/>
      <c r="AQ253" s="53"/>
    </row>
    <row r="254" spans="1:43" ht="12" customHeight="1">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c r="AA254" s="53"/>
      <c r="AB254" s="53"/>
      <c r="AC254" s="53"/>
      <c r="AD254" s="53"/>
      <c r="AE254" s="53"/>
      <c r="AF254" s="53"/>
      <c r="AG254" s="53"/>
      <c r="AH254" s="53"/>
      <c r="AI254" s="53"/>
      <c r="AJ254" s="53"/>
      <c r="AK254" s="53"/>
      <c r="AL254" s="53"/>
      <c r="AM254" s="53"/>
      <c r="AN254" s="53"/>
      <c r="AO254" s="53"/>
      <c r="AP254" s="53"/>
      <c r="AQ254" s="53"/>
    </row>
    <row r="255" spans="1:43" ht="12" customHeight="1">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c r="AA255" s="53"/>
      <c r="AB255" s="53"/>
      <c r="AC255" s="53"/>
      <c r="AD255" s="53"/>
      <c r="AE255" s="53"/>
      <c r="AF255" s="53"/>
      <c r="AG255" s="53"/>
      <c r="AH255" s="53"/>
      <c r="AI255" s="53"/>
      <c r="AJ255" s="53"/>
      <c r="AK255" s="53"/>
      <c r="AL255" s="53"/>
      <c r="AM255" s="53"/>
      <c r="AN255" s="53"/>
      <c r="AO255" s="53"/>
      <c r="AP255" s="53"/>
      <c r="AQ255" s="53"/>
    </row>
    <row r="256" spans="1:43" ht="12" customHeight="1">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c r="AA256" s="53"/>
      <c r="AB256" s="53"/>
      <c r="AC256" s="53"/>
      <c r="AD256" s="53"/>
      <c r="AE256" s="53"/>
      <c r="AF256" s="53"/>
      <c r="AG256" s="53"/>
      <c r="AH256" s="53"/>
      <c r="AI256" s="53"/>
      <c r="AJ256" s="53"/>
      <c r="AK256" s="53"/>
      <c r="AL256" s="53"/>
      <c r="AM256" s="53"/>
      <c r="AN256" s="53"/>
      <c r="AO256" s="53"/>
      <c r="AP256" s="53"/>
      <c r="AQ256" s="53"/>
    </row>
    <row r="257" spans="1:43" ht="12" customHeight="1">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c r="AA257" s="53"/>
      <c r="AB257" s="53"/>
      <c r="AC257" s="53"/>
      <c r="AD257" s="53"/>
      <c r="AE257" s="53"/>
      <c r="AF257" s="53"/>
      <c r="AG257" s="53"/>
      <c r="AH257" s="53"/>
      <c r="AI257" s="53"/>
      <c r="AJ257" s="53"/>
      <c r="AK257" s="53"/>
      <c r="AL257" s="53"/>
      <c r="AM257" s="53"/>
      <c r="AN257" s="53"/>
      <c r="AO257" s="53"/>
      <c r="AP257" s="53"/>
      <c r="AQ257" s="53"/>
    </row>
    <row r="258" spans="1:43" ht="12" customHeight="1">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c r="AA258" s="53"/>
      <c r="AB258" s="53"/>
      <c r="AC258" s="53"/>
      <c r="AD258" s="53"/>
      <c r="AE258" s="53"/>
      <c r="AF258" s="53"/>
      <c r="AG258" s="53"/>
      <c r="AH258" s="53"/>
      <c r="AI258" s="53"/>
      <c r="AJ258" s="53"/>
      <c r="AK258" s="53"/>
      <c r="AL258" s="53"/>
      <c r="AM258" s="53"/>
      <c r="AN258" s="53"/>
      <c r="AO258" s="53"/>
      <c r="AP258" s="53"/>
      <c r="AQ258" s="53"/>
    </row>
    <row r="259" spans="1:43" ht="12" customHeight="1">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c r="AA259" s="53"/>
      <c r="AB259" s="53"/>
      <c r="AC259" s="53"/>
      <c r="AD259" s="53"/>
      <c r="AE259" s="53"/>
      <c r="AF259" s="53"/>
      <c r="AG259" s="53"/>
      <c r="AH259" s="53"/>
      <c r="AI259" s="53"/>
      <c r="AJ259" s="53"/>
      <c r="AK259" s="53"/>
      <c r="AL259" s="53"/>
      <c r="AM259" s="53"/>
      <c r="AN259" s="53"/>
      <c r="AO259" s="53"/>
      <c r="AP259" s="53"/>
      <c r="AQ259" s="53"/>
    </row>
    <row r="260" spans="1:43" ht="12" customHeight="1">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c r="AA260" s="53"/>
      <c r="AB260" s="53"/>
      <c r="AC260" s="53"/>
      <c r="AD260" s="53"/>
      <c r="AE260" s="53"/>
      <c r="AF260" s="53"/>
      <c r="AG260" s="53"/>
      <c r="AH260" s="53"/>
      <c r="AI260" s="53"/>
      <c r="AJ260" s="53"/>
      <c r="AK260" s="53"/>
      <c r="AL260" s="53"/>
      <c r="AM260" s="53"/>
      <c r="AN260" s="53"/>
      <c r="AO260" s="53"/>
      <c r="AP260" s="53"/>
      <c r="AQ260" s="53"/>
    </row>
    <row r="261" spans="1:43" ht="12" customHeight="1">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c r="AA261" s="53"/>
      <c r="AB261" s="53"/>
      <c r="AC261" s="53"/>
      <c r="AD261" s="53"/>
      <c r="AE261" s="53"/>
      <c r="AF261" s="53"/>
      <c r="AG261" s="53"/>
      <c r="AH261" s="53"/>
      <c r="AI261" s="53"/>
      <c r="AJ261" s="53"/>
      <c r="AK261" s="53"/>
      <c r="AL261" s="53"/>
      <c r="AM261" s="53"/>
      <c r="AN261" s="53"/>
      <c r="AO261" s="53"/>
      <c r="AP261" s="53"/>
      <c r="AQ261" s="53"/>
    </row>
    <row r="262" spans="1:43" ht="12" customHeight="1">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c r="AA262" s="53"/>
      <c r="AB262" s="53"/>
      <c r="AC262" s="53"/>
      <c r="AD262" s="53"/>
      <c r="AE262" s="53"/>
      <c r="AF262" s="53"/>
      <c r="AG262" s="53"/>
      <c r="AH262" s="53"/>
      <c r="AI262" s="53"/>
      <c r="AJ262" s="53"/>
      <c r="AK262" s="53"/>
      <c r="AL262" s="53"/>
      <c r="AM262" s="53"/>
      <c r="AN262" s="53"/>
      <c r="AO262" s="53"/>
      <c r="AP262" s="53"/>
      <c r="AQ262" s="53"/>
    </row>
    <row r="263" spans="1:43" ht="12" customHeight="1">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row>
    <row r="264" spans="1:43" ht="12" customHeight="1">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c r="AA264" s="53"/>
      <c r="AB264" s="53"/>
      <c r="AC264" s="53"/>
      <c r="AD264" s="53"/>
      <c r="AE264" s="53"/>
      <c r="AF264" s="53"/>
      <c r="AG264" s="53"/>
      <c r="AH264" s="53"/>
      <c r="AI264" s="53"/>
      <c r="AJ264" s="53"/>
      <c r="AK264" s="53"/>
      <c r="AL264" s="53"/>
      <c r="AM264" s="53"/>
      <c r="AN264" s="53"/>
      <c r="AO264" s="53"/>
      <c r="AP264" s="53"/>
      <c r="AQ264" s="53"/>
    </row>
    <row r="265" spans="1:43" ht="12" customHeight="1">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c r="AA265" s="53"/>
      <c r="AB265" s="53"/>
      <c r="AC265" s="53"/>
      <c r="AD265" s="53"/>
      <c r="AE265" s="53"/>
      <c r="AF265" s="53"/>
      <c r="AG265" s="53"/>
      <c r="AH265" s="53"/>
      <c r="AI265" s="53"/>
      <c r="AJ265" s="53"/>
      <c r="AK265" s="53"/>
      <c r="AL265" s="53"/>
      <c r="AM265" s="53"/>
      <c r="AN265" s="53"/>
      <c r="AO265" s="53"/>
      <c r="AP265" s="53"/>
      <c r="AQ265" s="53"/>
    </row>
    <row r="266" spans="1:43" ht="12" customHeight="1">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row>
    <row r="267" spans="1:43" ht="12" customHeight="1">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c r="AA267" s="53"/>
      <c r="AB267" s="53"/>
      <c r="AC267" s="53"/>
      <c r="AD267" s="53"/>
      <c r="AE267" s="53"/>
      <c r="AF267" s="53"/>
      <c r="AG267" s="53"/>
      <c r="AH267" s="53"/>
      <c r="AI267" s="53"/>
      <c r="AJ267" s="53"/>
      <c r="AK267" s="53"/>
      <c r="AL267" s="53"/>
      <c r="AM267" s="53"/>
      <c r="AN267" s="53"/>
      <c r="AO267" s="53"/>
      <c r="AP267" s="53"/>
      <c r="AQ267" s="53"/>
    </row>
    <row r="268" spans="1:43" ht="12" customHeight="1">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3"/>
      <c r="AG268" s="53"/>
      <c r="AH268" s="53"/>
      <c r="AI268" s="53"/>
      <c r="AJ268" s="53"/>
      <c r="AK268" s="53"/>
      <c r="AL268" s="53"/>
      <c r="AM268" s="53"/>
      <c r="AN268" s="53"/>
      <c r="AO268" s="53"/>
      <c r="AP268" s="53"/>
      <c r="AQ268" s="53"/>
    </row>
    <row r="269" spans="1:43" ht="12" customHeight="1">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row>
    <row r="270" spans="1:43" ht="12" customHeight="1">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c r="AA270" s="53"/>
      <c r="AB270" s="53"/>
      <c r="AC270" s="53"/>
      <c r="AD270" s="53"/>
      <c r="AE270" s="53"/>
      <c r="AF270" s="53"/>
      <c r="AG270" s="53"/>
      <c r="AH270" s="53"/>
      <c r="AI270" s="53"/>
      <c r="AJ270" s="53"/>
      <c r="AK270" s="53"/>
      <c r="AL270" s="53"/>
      <c r="AM270" s="53"/>
      <c r="AN270" s="53"/>
      <c r="AO270" s="53"/>
      <c r="AP270" s="53"/>
      <c r="AQ270" s="53"/>
    </row>
    <row r="271" spans="1:43" ht="12" customHeight="1">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c r="AA271" s="53"/>
      <c r="AB271" s="53"/>
      <c r="AC271" s="53"/>
      <c r="AD271" s="53"/>
      <c r="AE271" s="53"/>
      <c r="AF271" s="53"/>
      <c r="AG271" s="53"/>
      <c r="AH271" s="53"/>
      <c r="AI271" s="53"/>
      <c r="AJ271" s="53"/>
      <c r="AK271" s="53"/>
      <c r="AL271" s="53"/>
      <c r="AM271" s="53"/>
      <c r="AN271" s="53"/>
      <c r="AO271" s="53"/>
      <c r="AP271" s="53"/>
      <c r="AQ271" s="53"/>
    </row>
    <row r="272" spans="1:43" ht="12" customHeight="1">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c r="AA272" s="53"/>
      <c r="AB272" s="53"/>
      <c r="AC272" s="53"/>
      <c r="AD272" s="53"/>
      <c r="AE272" s="53"/>
      <c r="AF272" s="53"/>
      <c r="AG272" s="53"/>
      <c r="AH272" s="53"/>
      <c r="AI272" s="53"/>
      <c r="AJ272" s="53"/>
      <c r="AK272" s="53"/>
      <c r="AL272" s="53"/>
      <c r="AM272" s="53"/>
      <c r="AN272" s="53"/>
      <c r="AO272" s="53"/>
      <c r="AP272" s="53"/>
      <c r="AQ272" s="53"/>
    </row>
    <row r="273" spans="1:43" ht="12" customHeight="1">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c r="AA273" s="53"/>
      <c r="AB273" s="53"/>
      <c r="AC273" s="53"/>
      <c r="AD273" s="53"/>
      <c r="AE273" s="53"/>
      <c r="AF273" s="53"/>
      <c r="AG273" s="53"/>
      <c r="AH273" s="53"/>
      <c r="AI273" s="53"/>
      <c r="AJ273" s="53"/>
      <c r="AK273" s="53"/>
      <c r="AL273" s="53"/>
      <c r="AM273" s="53"/>
      <c r="AN273" s="53"/>
      <c r="AO273" s="53"/>
      <c r="AP273" s="53"/>
      <c r="AQ273" s="53"/>
    </row>
    <row r="274" spans="1:43" ht="12" customHeight="1">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c r="AA274" s="53"/>
      <c r="AB274" s="53"/>
      <c r="AC274" s="53"/>
      <c r="AD274" s="53"/>
      <c r="AE274" s="53"/>
      <c r="AF274" s="53"/>
      <c r="AG274" s="53"/>
      <c r="AH274" s="53"/>
      <c r="AI274" s="53"/>
      <c r="AJ274" s="53"/>
      <c r="AK274" s="53"/>
      <c r="AL274" s="53"/>
      <c r="AM274" s="53"/>
      <c r="AN274" s="53"/>
      <c r="AO274" s="53"/>
      <c r="AP274" s="53"/>
      <c r="AQ274" s="53"/>
    </row>
    <row r="275" spans="1:43" ht="12" customHeight="1">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c r="AA275" s="53"/>
      <c r="AB275" s="53"/>
      <c r="AC275" s="53"/>
      <c r="AD275" s="53"/>
      <c r="AE275" s="53"/>
      <c r="AF275" s="53"/>
      <c r="AG275" s="53"/>
      <c r="AH275" s="53"/>
      <c r="AI275" s="53"/>
      <c r="AJ275" s="53"/>
      <c r="AK275" s="53"/>
      <c r="AL275" s="53"/>
      <c r="AM275" s="53"/>
      <c r="AN275" s="53"/>
      <c r="AO275" s="53"/>
      <c r="AP275" s="53"/>
      <c r="AQ275" s="53"/>
    </row>
    <row r="276" spans="1:43" ht="12" customHeight="1">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c r="AA276" s="53"/>
      <c r="AB276" s="53"/>
      <c r="AC276" s="53"/>
      <c r="AD276" s="53"/>
      <c r="AE276" s="53"/>
      <c r="AF276" s="53"/>
      <c r="AG276" s="53"/>
      <c r="AH276" s="53"/>
      <c r="AI276" s="53"/>
      <c r="AJ276" s="53"/>
      <c r="AK276" s="53"/>
      <c r="AL276" s="53"/>
      <c r="AM276" s="53"/>
      <c r="AN276" s="53"/>
      <c r="AO276" s="53"/>
      <c r="AP276" s="53"/>
      <c r="AQ276" s="53"/>
    </row>
    <row r="277" spans="1:43" ht="12" customHeight="1">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c r="AA277" s="53"/>
      <c r="AB277" s="53"/>
      <c r="AC277" s="53"/>
      <c r="AD277" s="53"/>
      <c r="AE277" s="53"/>
      <c r="AF277" s="53"/>
      <c r="AG277" s="53"/>
      <c r="AH277" s="53"/>
      <c r="AI277" s="53"/>
      <c r="AJ277" s="53"/>
      <c r="AK277" s="53"/>
      <c r="AL277" s="53"/>
      <c r="AM277" s="53"/>
      <c r="AN277" s="53"/>
      <c r="AO277" s="53"/>
      <c r="AP277" s="53"/>
      <c r="AQ277" s="53"/>
    </row>
    <row r="278" spans="1:43" ht="12" customHeight="1">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c r="AA278" s="53"/>
      <c r="AB278" s="53"/>
      <c r="AC278" s="53"/>
      <c r="AD278" s="53"/>
      <c r="AE278" s="53"/>
      <c r="AF278" s="53"/>
      <c r="AG278" s="53"/>
      <c r="AH278" s="53"/>
      <c r="AI278" s="53"/>
      <c r="AJ278" s="53"/>
      <c r="AK278" s="53"/>
      <c r="AL278" s="53"/>
      <c r="AM278" s="53"/>
      <c r="AN278" s="53"/>
      <c r="AO278" s="53"/>
      <c r="AP278" s="53"/>
      <c r="AQ278" s="53"/>
    </row>
    <row r="279" spans="1:43" ht="12" customHeight="1">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c r="AA279" s="53"/>
      <c r="AB279" s="53"/>
      <c r="AC279" s="53"/>
      <c r="AD279" s="53"/>
      <c r="AE279" s="53"/>
      <c r="AF279" s="53"/>
      <c r="AG279" s="53"/>
      <c r="AH279" s="53"/>
      <c r="AI279" s="53"/>
      <c r="AJ279" s="53"/>
      <c r="AK279" s="53"/>
      <c r="AL279" s="53"/>
      <c r="AM279" s="53"/>
      <c r="AN279" s="53"/>
      <c r="AO279" s="53"/>
      <c r="AP279" s="53"/>
      <c r="AQ279" s="53"/>
    </row>
    <row r="280" spans="1:43" ht="12" customHeight="1">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c r="AA280" s="53"/>
      <c r="AB280" s="53"/>
      <c r="AC280" s="53"/>
      <c r="AD280" s="53"/>
      <c r="AE280" s="53"/>
      <c r="AF280" s="53"/>
      <c r="AG280" s="53"/>
      <c r="AH280" s="53"/>
      <c r="AI280" s="53"/>
      <c r="AJ280" s="53"/>
      <c r="AK280" s="53"/>
      <c r="AL280" s="53"/>
      <c r="AM280" s="53"/>
      <c r="AN280" s="53"/>
      <c r="AO280" s="53"/>
      <c r="AP280" s="53"/>
      <c r="AQ280" s="53"/>
    </row>
    <row r="281" spans="1:43" ht="12" customHeight="1">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c r="AA281" s="53"/>
      <c r="AB281" s="53"/>
      <c r="AC281" s="53"/>
      <c r="AD281" s="53"/>
      <c r="AE281" s="53"/>
      <c r="AF281" s="53"/>
      <c r="AG281" s="53"/>
      <c r="AH281" s="53"/>
      <c r="AI281" s="53"/>
      <c r="AJ281" s="53"/>
      <c r="AK281" s="53"/>
      <c r="AL281" s="53"/>
      <c r="AM281" s="53"/>
      <c r="AN281" s="53"/>
      <c r="AO281" s="53"/>
      <c r="AP281" s="53"/>
      <c r="AQ281" s="53"/>
    </row>
    <row r="282" spans="1:43" ht="15.75" customHeight="1"/>
    <row r="283" spans="1:43" ht="15.75" customHeight="1"/>
    <row r="284" spans="1:43" ht="15.75" customHeight="1"/>
    <row r="285" spans="1:43" ht="15.75" customHeight="1"/>
    <row r="286" spans="1:43" ht="15.75" customHeight="1"/>
    <row r="287" spans="1:43" ht="15.75" customHeight="1"/>
    <row r="288" spans="1:43"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S1:Y1"/>
    <mergeCell ref="T2:Y2"/>
    <mergeCell ref="F12:H12"/>
    <mergeCell ref="J12:L12"/>
    <mergeCell ref="Q12:S12"/>
    <mergeCell ref="U12:V12"/>
    <mergeCell ref="B54:D54"/>
    <mergeCell ref="B59:D59"/>
    <mergeCell ref="B60:D60"/>
    <mergeCell ref="U13:U14"/>
    <mergeCell ref="V13:V14"/>
    <mergeCell ref="D13:D14"/>
    <mergeCell ref="AP12:AQ12"/>
    <mergeCell ref="N12:O12"/>
    <mergeCell ref="N13:N14"/>
    <mergeCell ref="O13:O14"/>
    <mergeCell ref="B53:D53"/>
    <mergeCell ref="AB13:AB14"/>
    <mergeCell ref="AC13:AC14"/>
    <mergeCell ref="AI13:AI14"/>
    <mergeCell ref="AJ13:AJ14"/>
    <mergeCell ref="AP13:AP14"/>
    <mergeCell ref="AQ13:AQ14"/>
    <mergeCell ref="X12:Z12"/>
    <mergeCell ref="AB12:AC12"/>
    <mergeCell ref="AE12:AG12"/>
    <mergeCell ref="AI12:AJ12"/>
    <mergeCell ref="AL12:AN12"/>
  </mergeCells>
  <dataValidations count="3">
    <dataValidation type="list" allowBlank="1" showErrorMessage="1" sqref="D8" xr:uid="{00000000-0002-0000-0800-000000000000}">
      <formula1>"TOU,non-TOU"</formula1>
    </dataValidation>
    <dataValidation type="list" allowBlank="1" showErrorMessage="1" sqref="E15:E28 E30:E36 E38:E39 E41:E49 E55 E61" xr:uid="{00000000-0002-0000-0800-000001000000}">
      <formula1>#REF!</formula1>
    </dataValidation>
    <dataValidation type="list" allowBlank="1" showInputMessage="1" showErrorMessage="1" prompt="Select Charge Unit - monthly, per kWh, per kW" sqref="D15:D28 D30:D36 D38:D39 D41:D49 D55 D61" xr:uid="{00000000-0002-0000-0800-000002000000}">
      <formula1>"Monthly,per kWh,per kW"</formula1>
    </dataValidation>
  </dataValidations>
  <pageMargins left="0.74803149606299213" right="0.74803149606299213" top="0.98425196850393704" bottom="0.98425196850393704"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Summary</vt:lpstr>
      <vt:lpstr>2026</vt:lpstr>
      <vt:lpstr>Summary for future Impacts</vt:lpstr>
      <vt:lpstr>2027</vt:lpstr>
      <vt:lpstr>2028</vt:lpstr>
      <vt:lpstr>2029</vt:lpstr>
      <vt:lpstr>2030</vt:lpstr>
      <vt:lpstr>Proposed Rates</vt:lpstr>
      <vt:lpstr>Res (100)</vt:lpstr>
      <vt:lpstr>Res (232)</vt:lpstr>
      <vt:lpstr>Res (250)</vt:lpstr>
      <vt:lpstr>Res (500)</vt:lpstr>
      <vt:lpstr>Res (620)</vt:lpstr>
      <vt:lpstr>Res (640)</vt:lpstr>
      <vt:lpstr>Res (750)</vt:lpstr>
      <vt:lpstr>Res (1000)</vt:lpstr>
      <vt:lpstr>Res (1500)</vt:lpstr>
      <vt:lpstr>Res (2000)</vt:lpstr>
      <vt:lpstr>SC (1000)</vt:lpstr>
      <vt:lpstr>SC (2000)</vt:lpstr>
      <vt:lpstr>SC (2400)</vt:lpstr>
      <vt:lpstr>SC (5000)</vt:lpstr>
      <vt:lpstr>SC (10000)</vt:lpstr>
      <vt:lpstr>SC (15000)</vt:lpstr>
      <vt:lpstr>&gt;50 (100)</vt:lpstr>
      <vt:lpstr>&gt;50 (185)</vt:lpstr>
      <vt:lpstr>&gt;50 (250)</vt:lpstr>
      <vt:lpstr>&gt;50 (250) 51,000</vt:lpstr>
      <vt:lpstr>&gt;50 (500)</vt:lpstr>
      <vt:lpstr>&gt;50 (1000)</vt:lpstr>
      <vt:lpstr>&gt;1500(1925)</vt:lpstr>
      <vt:lpstr>&gt;1500(2500)</vt:lpstr>
      <vt:lpstr>&gt;1500(4000)</vt:lpstr>
      <vt:lpstr>LU(7500)</vt:lpstr>
      <vt:lpstr>LU(7900)</vt:lpstr>
      <vt:lpstr>LU(10000)</vt:lpstr>
      <vt:lpstr>SN (.4)</vt:lpstr>
      <vt:lpstr>StLght(1)</vt:lpstr>
      <vt:lpstr>StLght(50)</vt:lpstr>
      <vt:lpstr>StLght (4910)</vt:lpstr>
      <vt:lpstr>USL (470)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Ladouceur, Melissa</dc:creator>
  <cp:lastModifiedBy>Dugan, April</cp:lastModifiedBy>
  <dcterms:created xsi:type="dcterms:W3CDTF">2025-01-31T14:02:41Z</dcterms:created>
  <dcterms:modified xsi:type="dcterms:W3CDTF">2026-05-21T15:43:34Z</dcterms:modified>
</cp:coreProperties>
</file>