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ikUq6FyGA10lO13qKb3AltV_rbZvx6HV\"/>
    </mc:Choice>
  </mc:AlternateContent>
  <xr:revisionPtr revIDLastSave="0" documentId="13_ncr:1_{77AB493A-F254-4386-970E-8321CC1117CE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Foregeone Revenue RR" sheetId="1" r:id="rId1"/>
    <sheet name="Billing Determinan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+SOSdcgdQL+VEljbOoJeXa4ATFqf4pM2NH9Tw1pmtiI="/>
    </ext>
  </extLst>
</workbook>
</file>

<file path=xl/calcChain.xml><?xml version="1.0" encoding="utf-8"?>
<calcChain xmlns="http://schemas.openxmlformats.org/spreadsheetml/2006/main">
  <c r="J26" i="1" l="1"/>
  <c r="T26" i="1"/>
  <c r="S26" i="1"/>
  <c r="R26" i="1"/>
  <c r="N26" i="1"/>
  <c r="AA46" i="2"/>
  <c r="N46" i="2"/>
  <c r="AA45" i="2"/>
  <c r="N45" i="2"/>
  <c r="AA44" i="2"/>
  <c r="N44" i="2"/>
  <c r="AA43" i="2"/>
  <c r="N43" i="2"/>
  <c r="AA42" i="2"/>
  <c r="N42" i="2"/>
  <c r="AA41" i="2"/>
  <c r="N41" i="2"/>
  <c r="AA40" i="2"/>
  <c r="N40" i="2"/>
  <c r="AA39" i="2"/>
  <c r="N39" i="2"/>
  <c r="AA38" i="2"/>
  <c r="N38" i="2"/>
  <c r="AA37" i="2"/>
  <c r="N37" i="2"/>
  <c r="AA36" i="2"/>
  <c r="N36" i="2"/>
  <c r="F25" i="1"/>
  <c r="E25" i="1"/>
  <c r="D25" i="1"/>
  <c r="H25" i="1" s="1"/>
  <c r="J25" i="1" s="1"/>
  <c r="C25" i="1"/>
  <c r="G25" i="1" s="1"/>
  <c r="I25" i="1" s="1"/>
  <c r="G24" i="1"/>
  <c r="I24" i="1" s="1"/>
  <c r="F24" i="1"/>
  <c r="E24" i="1"/>
  <c r="D24" i="1"/>
  <c r="H24" i="1" s="1"/>
  <c r="J24" i="1" s="1"/>
  <c r="C24" i="1"/>
  <c r="F23" i="1"/>
  <c r="E23" i="1"/>
  <c r="D23" i="1"/>
  <c r="H23" i="1" s="1"/>
  <c r="J23" i="1" s="1"/>
  <c r="C23" i="1"/>
  <c r="G23" i="1" s="1"/>
  <c r="I23" i="1" s="1"/>
  <c r="I22" i="1"/>
  <c r="H22" i="1"/>
  <c r="J22" i="1" s="1"/>
  <c r="F22" i="1"/>
  <c r="E22" i="1"/>
  <c r="D22" i="1"/>
  <c r="C22" i="1"/>
  <c r="G22" i="1" s="1"/>
  <c r="J21" i="1"/>
  <c r="H21" i="1"/>
  <c r="F21" i="1"/>
  <c r="E21" i="1"/>
  <c r="D21" i="1"/>
  <c r="C21" i="1"/>
  <c r="G21" i="1" s="1"/>
  <c r="I21" i="1" s="1"/>
  <c r="J20" i="1"/>
  <c r="H20" i="1"/>
  <c r="F20" i="1"/>
  <c r="E20" i="1"/>
  <c r="D20" i="1"/>
  <c r="C20" i="1"/>
  <c r="G20" i="1" s="1"/>
  <c r="I20" i="1" s="1"/>
  <c r="G19" i="1"/>
  <c r="F19" i="1"/>
  <c r="H19" i="1" s="1"/>
  <c r="J19" i="1" s="1"/>
  <c r="E19" i="1"/>
  <c r="I19" i="1" s="1"/>
  <c r="D19" i="1"/>
  <c r="C19" i="1"/>
  <c r="J18" i="1"/>
  <c r="H18" i="1"/>
  <c r="F18" i="1"/>
  <c r="E18" i="1"/>
  <c r="D18" i="1"/>
  <c r="C18" i="1"/>
  <c r="G18" i="1" s="1"/>
  <c r="I18" i="1" s="1"/>
  <c r="F17" i="1"/>
  <c r="E17" i="1"/>
  <c r="D17" i="1"/>
  <c r="H17" i="1" s="1"/>
  <c r="J17" i="1" s="1"/>
  <c r="C17" i="1"/>
  <c r="G17" i="1" s="1"/>
  <c r="I17" i="1" s="1"/>
  <c r="F16" i="1"/>
  <c r="E16" i="1"/>
  <c r="I16" i="1" s="1"/>
  <c r="D16" i="1"/>
  <c r="C16" i="1"/>
  <c r="G16" i="1" s="1"/>
  <c r="I15" i="1"/>
  <c r="G15" i="1"/>
  <c r="F15" i="1"/>
  <c r="E15" i="1"/>
  <c r="D15" i="1"/>
  <c r="H15" i="1" s="1"/>
  <c r="J15" i="1" s="1"/>
  <c r="C15" i="1"/>
  <c r="F14" i="1"/>
  <c r="E14" i="1"/>
  <c r="D14" i="1"/>
  <c r="H14" i="1" s="1"/>
  <c r="J14" i="1" s="1"/>
  <c r="C14" i="1"/>
  <c r="G14" i="1" s="1"/>
  <c r="I14" i="1" s="1"/>
  <c r="H13" i="1"/>
  <c r="J13" i="1" s="1"/>
  <c r="G13" i="1"/>
  <c r="I13" i="1" s="1"/>
  <c r="F13" i="1"/>
  <c r="E13" i="1"/>
  <c r="D13" i="1"/>
  <c r="C13" i="1"/>
  <c r="F12" i="1"/>
  <c r="E12" i="1"/>
  <c r="D12" i="1"/>
  <c r="H12" i="1" s="1"/>
  <c r="J12" i="1" s="1"/>
  <c r="C12" i="1"/>
  <c r="G12" i="1" s="1"/>
  <c r="I12" i="1" s="1"/>
  <c r="L18" i="1" l="1"/>
  <c r="O18" i="1" s="1"/>
  <c r="K18" i="1"/>
  <c r="K25" i="1"/>
  <c r="L25" i="1"/>
  <c r="M25" i="1"/>
  <c r="K13" i="1"/>
  <c r="L13" i="1"/>
  <c r="O13" i="1" s="1"/>
  <c r="M15" i="1"/>
  <c r="P15" i="1" s="1"/>
  <c r="L15" i="1"/>
  <c r="O15" i="1" s="1"/>
  <c r="K15" i="1"/>
  <c r="M18" i="1"/>
  <c r="P18" i="1" s="1"/>
  <c r="L21" i="1"/>
  <c r="O21" i="1" s="1"/>
  <c r="K21" i="1"/>
  <c r="L23" i="1"/>
  <c r="K23" i="1"/>
  <c r="L14" i="1"/>
  <c r="O14" i="1" s="1"/>
  <c r="K14" i="1"/>
  <c r="L20" i="1"/>
  <c r="O20" i="1" s="1"/>
  <c r="K20" i="1"/>
  <c r="M20" i="1"/>
  <c r="P20" i="1" s="1"/>
  <c r="M22" i="1"/>
  <c r="P22" i="1" s="1"/>
  <c r="K22" i="1"/>
  <c r="M23" i="1"/>
  <c r="M17" i="1"/>
  <c r="P17" i="1" s="1"/>
  <c r="M13" i="1"/>
  <c r="P13" i="1" s="1"/>
  <c r="M14" i="1"/>
  <c r="P14" i="1" s="1"/>
  <c r="L12" i="1"/>
  <c r="O12" i="1" s="1"/>
  <c r="K12" i="1"/>
  <c r="L17" i="1"/>
  <c r="O17" i="1" s="1"/>
  <c r="K17" i="1"/>
  <c r="K19" i="1"/>
  <c r="L19" i="1"/>
  <c r="O19" i="1" s="1"/>
  <c r="M12" i="1"/>
  <c r="P12" i="1" s="1"/>
  <c r="M19" i="1"/>
  <c r="P19" i="1" s="1"/>
  <c r="M24" i="1"/>
  <c r="L22" i="1"/>
  <c r="O22" i="1" s="1"/>
  <c r="K24" i="1"/>
  <c r="L24" i="1"/>
  <c r="M21" i="1"/>
  <c r="P21" i="1" s="1"/>
  <c r="H16" i="1"/>
  <c r="J16" i="1" s="1"/>
  <c r="L16" i="1" s="1"/>
  <c r="O16" i="1" s="1"/>
  <c r="K16" i="1" l="1"/>
  <c r="M16" i="1"/>
  <c r="P16" i="1" s="1"/>
  <c r="T23" i="1" l="1"/>
  <c r="T24" i="1" l="1"/>
  <c r="S20" i="1" l="1"/>
  <c r="U20" i="1" s="1"/>
  <c r="S17" i="1"/>
  <c r="U17" i="1" s="1"/>
  <c r="S23" i="1"/>
  <c r="U23" i="1" s="1"/>
  <c r="T13" i="1" l="1"/>
  <c r="V13" i="1" s="1"/>
  <c r="T25" i="1"/>
  <c r="S25" i="1" l="1"/>
  <c r="U25" i="1" s="1"/>
  <c r="S18" i="1"/>
  <c r="U18" i="1" s="1"/>
  <c r="S24" i="1" l="1"/>
  <c r="U24" i="1" s="1"/>
  <c r="S15" i="1" l="1"/>
  <c r="U15" i="1" s="1"/>
  <c r="T18" i="1"/>
  <c r="V18" i="1" s="1"/>
  <c r="T16" i="1"/>
  <c r="V16" i="1" s="1"/>
  <c r="S14" i="1"/>
  <c r="U14" i="1" s="1"/>
  <c r="S13" i="1"/>
  <c r="U13" i="1" s="1"/>
  <c r="T15" i="1"/>
  <c r="V15" i="1" s="1"/>
  <c r="S16" i="1"/>
  <c r="U16" i="1" s="1"/>
  <c r="T20" i="1"/>
  <c r="V20" i="1" s="1"/>
  <c r="T14" i="1"/>
  <c r="V14" i="1" s="1"/>
  <c r="T22" i="1"/>
  <c r="V22" i="1" s="1"/>
  <c r="S21" i="1"/>
  <c r="U21" i="1" s="1"/>
  <c r="T17" i="1"/>
  <c r="V17" i="1" s="1"/>
  <c r="T21" i="1"/>
  <c r="V21" i="1" s="1"/>
  <c r="T19" i="1" l="1"/>
  <c r="V19" i="1" s="1"/>
  <c r="S22" i="1"/>
  <c r="U22" i="1" s="1"/>
  <c r="T12" i="1" l="1"/>
  <c r="V12" i="1" s="1"/>
  <c r="S12" i="1"/>
  <c r="U12" i="1" s="1"/>
  <c r="S19" i="1" l="1"/>
  <c r="U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Dugan, April</author>
  </authors>
  <commentList>
    <comment ref="U14" authorId="0" shapeId="0" xr:uid="{37FA3A25-B745-4158-9F5D-A4BC6A5EC56E}">
      <text>
        <r>
          <rPr>
            <sz val="9"/>
            <color indexed="81"/>
            <rFont val="Tahoma"/>
            <charset val="1"/>
          </rPr>
          <t xml:space="preserve">See footnote below
</t>
        </r>
      </text>
    </comment>
    <comment ref="U15" authorId="0" shapeId="0" xr:uid="{5A5B95CC-158B-4F1A-BF1E-6807BB58E82C}">
      <text>
        <r>
          <rPr>
            <sz val="9"/>
            <color indexed="81"/>
            <rFont val="Tahoma"/>
            <charset val="1"/>
          </rPr>
          <t xml:space="preserve">See footnote below
</t>
        </r>
      </text>
    </comment>
    <comment ref="U16" authorId="0" shapeId="0" xr:uid="{F81D7787-0D2F-4666-BA4B-5CE9277EFC57}">
      <text>
        <r>
          <rPr>
            <sz val="9"/>
            <color indexed="81"/>
            <rFont val="Tahoma"/>
            <charset val="1"/>
          </rPr>
          <t xml:space="preserve">see footnote below
</t>
        </r>
      </text>
    </comment>
  </commentList>
</comments>
</file>

<file path=xl/sharedStrings.xml><?xml version="1.0" encoding="utf-8"?>
<sst xmlns="http://schemas.openxmlformats.org/spreadsheetml/2006/main" count="139" uniqueCount="75">
  <si>
    <t>Rate Effective Date</t>
  </si>
  <si>
    <t>January 1 2026</t>
  </si>
  <si>
    <t>Postponed Implementation Date</t>
  </si>
  <si>
    <t>June 1 2026</t>
  </si>
  <si>
    <t>Forgone Period (number of months)</t>
  </si>
  <si>
    <t>Forgone Period (number of days)</t>
  </si>
  <si>
    <t>Proposed Recovery Period (number of months)</t>
  </si>
  <si>
    <t>Sunset Date of the Forgone Revenue Rate Rider</t>
  </si>
  <si>
    <t>May 31 2027</t>
  </si>
  <si>
    <t>Base Distribution Rates</t>
  </si>
  <si>
    <t>12 Month Recovery Period</t>
  </si>
  <si>
    <t>Rate Class</t>
  </si>
  <si>
    <t>Unit</t>
  </si>
  <si>
    <t>Approved 2026 Monthly Fixed Charge (MFC)</t>
  </si>
  <si>
    <t>Approved 2026 Distribution Volumetric Rate (DVR)</t>
  </si>
  <si>
    <t>Interim 2026 MFC</t>
  </si>
  <si>
    <t>Interim 2026 DVR</t>
  </si>
  <si>
    <t>Daily MFC Rate</t>
  </si>
  <si>
    <t>Difference in DVR</t>
  </si>
  <si>
    <t>Forgone Revenue (MFC)</t>
  </si>
  <si>
    <t>Forgone Revenue (DVR)</t>
  </si>
  <si>
    <t>Total Forgone Revenue</t>
  </si>
  <si>
    <t>Percentage MFC</t>
  </si>
  <si>
    <t>Percentage DVR</t>
  </si>
  <si>
    <t xml:space="preserve">Other Revenue </t>
  </si>
  <si>
    <t>Other Revenue (MFC)</t>
  </si>
  <si>
    <t>Other Revenue (DVR)</t>
  </si>
  <si>
    <t>Projected MFC Interest Jan 1, 2026- May 31, 2027</t>
  </si>
  <si>
    <t>Projected DVR Interest Jan 1, 2026- May 31, 2027</t>
  </si>
  <si>
    <t>Forgone Revenue (MFC) + Other Revenue + Projected Interest</t>
  </si>
  <si>
    <t xml:space="preserve">Forgone Revenue (DVR) + Other Revenue + Projected Interest </t>
  </si>
  <si>
    <t>Rate Rider Forgone Revenue (MFC)</t>
  </si>
  <si>
    <t>Rate Rider Forgone Revenue (DVR)</t>
  </si>
  <si>
    <t>Residential</t>
  </si>
  <si>
    <t>$</t>
  </si>
  <si>
    <t>GS &lt; 50 kW</t>
  </si>
  <si>
    <t>$/kWh</t>
  </si>
  <si>
    <t>GS 50 to 1,499 kW</t>
  </si>
  <si>
    <t>$/kW</t>
  </si>
  <si>
    <t>GS 1,500 to 4,999 kW</t>
  </si>
  <si>
    <t>Large Use</t>
  </si>
  <si>
    <t>Street Lighting</t>
  </si>
  <si>
    <t>Sentinel Lighting</t>
  </si>
  <si>
    <t>Unmetered Scattered Load</t>
  </si>
  <si>
    <t>Standby Power GS 50 to 1,499 kW</t>
  </si>
  <si>
    <t>Standby Power GS 1,500 to 4,999 kW</t>
  </si>
  <si>
    <t>Standby Power Large Use</t>
  </si>
  <si>
    <t>MicroFIT</t>
  </si>
  <si>
    <t>FIT</t>
  </si>
  <si>
    <t>HCI, RESOP</t>
  </si>
  <si>
    <t>Rate Classification</t>
  </si>
  <si>
    <t>2026 Interim</t>
  </si>
  <si>
    <t xml:space="preserve">2026 Interim </t>
  </si>
  <si>
    <t>2026 Approved</t>
  </si>
  <si>
    <t>Monthly Fixed Charge</t>
  </si>
  <si>
    <t>Distribution Volumetric Rate</t>
  </si>
  <si>
    <t>Fixed Billing Determinant (Count)</t>
  </si>
  <si>
    <t>Variable Billing Determinant (kWh / kW )</t>
  </si>
  <si>
    <t>2026 Total</t>
  </si>
  <si>
    <t>2027 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</si>
  <si>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</si>
  <si>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</si>
  <si>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</si>
  <si>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</si>
  <si>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</si>
  <si>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</si>
  <si>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</si>
  <si>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</si>
  <si>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</si>
  <si>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</si>
  <si>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</si>
  <si>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</si>
  <si>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HCI, RESOP, Other Large Generators</t>
  </si>
  <si>
    <t>TOTAL</t>
  </si>
  <si>
    <r>
      <rPr>
        <b/>
        <sz val="9"/>
        <color theme="1"/>
        <rFont val="Arial"/>
        <family val="2"/>
      </rPr>
      <t>Note -</t>
    </r>
    <r>
      <rPr>
        <sz val="9"/>
        <color theme="1"/>
        <rFont val="Arial"/>
        <family val="2"/>
      </rPr>
      <t xml:space="preserve"> Monthly Fixed Charges (MFC) for GS 50-1,499 kW, GS 1500-4,999 kW and Large Use class remain the same from 2026 Interim to 2026 Approved, however a revenue difference occurs when moving from monthly charge to rate per day. Monthly service charges per the revenue requirement model assume each month is equal at 30.42 days (x 5 months = 152.08 days), whereas charging at a daily rate accounts for the fluctuation in days per month (January to May = 151 days)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</si>
</sst>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0.0000"/>
    <numFmt numFmtId="167" formatCode="_(&quot;$&quot;* #,##0.00000_);_(&quot;$&quot;* \(#,##0.00000\);_(&quot;$&quot;* &quot;-&quot;??_);_(@_)"/>
    <numFmt numFmtId="168" formatCode="_(&quot;$&quot;* #,##0.0000000_);_(&quot;$&quot;* \(#,##0.0000000\);_(&quot;$&quot;* &quot;-&quot;??_);_(@_)"/>
  </numFmts>
  <fonts count="18">
    <font>
      <sz val="11"/>
      <color theme="1"/>
      <name val="Calibri"/>
      <scheme val="minor"/>
    </font>
    <font>
      <sz val="11"/>
      <color theme="1"/>
      <name val="Aptos Narrow"/>
    </font>
    <font>
      <b/>
      <sz val="11"/>
      <color theme="1"/>
      <name val="Calibri"/>
    </font>
    <font>
      <sz val="11"/>
      <color theme="1"/>
      <name val="Arial"/>
    </font>
    <font>
      <b/>
      <sz val="10"/>
      <color rgb="FF3F3F3F"/>
      <name val="Arial"/>
    </font>
    <font>
      <sz val="10"/>
      <color theme="1"/>
      <name val="Arial"/>
    </font>
    <font>
      <sz val="11"/>
      <name val="Calibri"/>
    </font>
    <font>
      <b/>
      <sz val="10"/>
      <color rgb="FF3F3F3F"/>
      <name val="Aptos Narrow"/>
    </font>
    <font>
      <b/>
      <sz val="9"/>
      <color rgb="FF3F3F3F"/>
      <name val="Aptos Narrow"/>
    </font>
    <font>
      <sz val="11"/>
      <color theme="1"/>
      <name val="Calibri"/>
    </font>
    <font>
      <b/>
      <sz val="10"/>
      <color theme="0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color theme="1"/>
      <name val="Calibri"/>
      <scheme val="minor"/>
    </font>
    <font>
      <sz val="9"/>
      <color indexed="81"/>
      <name val="Tahoma"/>
      <charset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757070"/>
        <bgColor rgb="FF757070"/>
      </patternFill>
    </fill>
    <fill>
      <patternFill patternType="solid">
        <fgColor rgb="FF005B9B"/>
        <bgColor rgb="FF005B9B"/>
      </patternFill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1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4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9" fontId="5" fillId="0" borderId="1" xfId="0" applyNumberFormat="1" applyFont="1" applyBorder="1"/>
    <xf numFmtId="166" fontId="5" fillId="0" borderId="1" xfId="0" applyNumberFormat="1" applyFont="1" applyBorder="1"/>
    <xf numFmtId="44" fontId="9" fillId="0" borderId="0" xfId="0" applyNumberFormat="1" applyFont="1"/>
    <xf numFmtId="0" fontId="5" fillId="0" borderId="1" xfId="0" applyFont="1" applyBorder="1"/>
    <xf numFmtId="165" fontId="5" fillId="3" borderId="1" xfId="0" applyNumberFormat="1" applyFont="1" applyFill="1" applyBorder="1"/>
    <xf numFmtId="3" fontId="9" fillId="0" borderId="0" xfId="0" applyNumberFormat="1" applyFont="1"/>
    <xf numFmtId="4" fontId="9" fillId="0" borderId="0" xfId="0" applyNumberFormat="1" applyFont="1"/>
    <xf numFmtId="167" fontId="9" fillId="0" borderId="0" xfId="0" applyNumberFormat="1" applyFont="1"/>
    <xf numFmtId="168" fontId="9" fillId="0" borderId="0" xfId="0" applyNumberFormat="1" applyFont="1"/>
    <xf numFmtId="0" fontId="10" fillId="4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3" fontId="12" fillId="0" borderId="0" xfId="0" applyNumberFormat="1" applyFont="1"/>
    <xf numFmtId="43" fontId="0" fillId="0" borderId="0" xfId="1" applyFont="1" applyAlignment="1"/>
    <xf numFmtId="43" fontId="0" fillId="0" borderId="0" xfId="0" applyNumberFormat="1" applyFont="1" applyAlignment="1"/>
    <xf numFmtId="0" fontId="17" fillId="0" borderId="0" xfId="0" applyFont="1" applyAlignment="1"/>
    <xf numFmtId="165" fontId="5" fillId="0" borderId="5" xfId="0" applyNumberFormat="1" applyFont="1" applyBorder="1"/>
    <xf numFmtId="165" fontId="17" fillId="0" borderId="13" xfId="0" applyNumberFormat="1" applyFont="1" applyBorder="1" applyAlignment="1"/>
    <xf numFmtId="0" fontId="4" fillId="2" borderId="2" xfId="0" applyFont="1" applyFill="1" applyBorder="1" applyAlignment="1">
      <alignment horizontal="center" wrapText="1"/>
    </xf>
    <xf numFmtId="0" fontId="6" fillId="0" borderId="3" xfId="0" applyFont="1" applyBorder="1"/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6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000"/>
  <sheetViews>
    <sheetView tabSelected="1" topLeftCell="A7" workbookViewId="0">
      <selection activeCell="D29" sqref="D29"/>
    </sheetView>
  </sheetViews>
  <sheetFormatPr defaultColWidth="14.42578125" defaultRowHeight="15" customHeight="1"/>
  <cols>
    <col min="1" max="1" width="47.28515625" customWidth="1"/>
    <col min="2" max="2" width="15.28515625" bestFit="1" customWidth="1"/>
    <col min="3" max="9" width="13.42578125" customWidth="1"/>
    <col min="10" max="10" width="14" bestFit="1" customWidth="1"/>
    <col min="11" max="21" width="12.5703125" customWidth="1"/>
    <col min="22" max="22" width="13" customWidth="1"/>
    <col min="23" max="27" width="8.7109375" customWidth="1"/>
  </cols>
  <sheetData>
    <row r="2" spans="1:27">
      <c r="A2" s="1" t="s">
        <v>0</v>
      </c>
      <c r="B2" s="2" t="s">
        <v>1</v>
      </c>
    </row>
    <row r="3" spans="1:27">
      <c r="A3" s="1" t="s">
        <v>2</v>
      </c>
      <c r="B3" s="3" t="s">
        <v>3</v>
      </c>
    </row>
    <row r="4" spans="1:27">
      <c r="A4" s="1" t="s">
        <v>4</v>
      </c>
      <c r="B4" s="2">
        <v>5</v>
      </c>
    </row>
    <row r="5" spans="1:27">
      <c r="A5" s="1" t="s">
        <v>5</v>
      </c>
      <c r="B5" s="2">
        <v>151</v>
      </c>
    </row>
    <row r="6" spans="1:27">
      <c r="A6" s="1" t="s">
        <v>6</v>
      </c>
      <c r="B6" s="2">
        <v>12</v>
      </c>
      <c r="D6" s="4"/>
    </row>
    <row r="7" spans="1:27">
      <c r="A7" s="1" t="s">
        <v>7</v>
      </c>
      <c r="B7" s="5" t="s">
        <v>8</v>
      </c>
    </row>
    <row r="10" spans="1:27" ht="28.5" customHeight="1">
      <c r="A10" s="6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41" t="s">
        <v>10</v>
      </c>
      <c r="V10" s="42"/>
    </row>
    <row r="11" spans="1:27" ht="72">
      <c r="A11" s="8" t="s">
        <v>11</v>
      </c>
      <c r="B11" s="8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 t="s">
        <v>18</v>
      </c>
      <c r="I11" s="9" t="s">
        <v>19</v>
      </c>
      <c r="J11" s="9" t="s">
        <v>20</v>
      </c>
      <c r="K11" s="9" t="s">
        <v>21</v>
      </c>
      <c r="L11" s="9" t="s">
        <v>22</v>
      </c>
      <c r="M11" s="9" t="s">
        <v>23</v>
      </c>
      <c r="N11" s="9" t="s">
        <v>24</v>
      </c>
      <c r="O11" s="9" t="s">
        <v>25</v>
      </c>
      <c r="P11" s="9" t="s">
        <v>26</v>
      </c>
      <c r="Q11" s="10" t="s">
        <v>27</v>
      </c>
      <c r="R11" s="10" t="s">
        <v>28</v>
      </c>
      <c r="S11" s="11" t="s">
        <v>29</v>
      </c>
      <c r="T11" s="11" t="s">
        <v>30</v>
      </c>
      <c r="U11" s="9" t="s">
        <v>31</v>
      </c>
      <c r="V11" s="9" t="s">
        <v>32</v>
      </c>
    </row>
    <row r="12" spans="1:27">
      <c r="A12" s="12" t="s">
        <v>33</v>
      </c>
      <c r="B12" s="13" t="s">
        <v>34</v>
      </c>
      <c r="C12" s="14">
        <f>'Billing Determinants'!D3</f>
        <v>39.200000000000003</v>
      </c>
      <c r="D12" s="15">
        <f>'Billing Determinants'!E3</f>
        <v>0</v>
      </c>
      <c r="E12" s="14">
        <f>'Billing Determinants'!B3</f>
        <v>34.26</v>
      </c>
      <c r="F12" s="15">
        <f>'Billing Determinants'!C3</f>
        <v>0</v>
      </c>
      <c r="G12" s="14">
        <f t="shared" ref="G12:G25" si="0">ROUND((C12)*12/365,4)</f>
        <v>1.2887999999999999</v>
      </c>
      <c r="H12" s="15">
        <f t="shared" ref="H12:H25" si="1">D12-F12</f>
        <v>0</v>
      </c>
      <c r="I12" s="16">
        <f>(G12*$B$5 - E12*$B$4)*'Billing Determinants'!B19</f>
        <v>8143954.8672000067</v>
      </c>
      <c r="J12" s="16">
        <f>ROUND(H12*SUM('Billing Determinants'!B36:F36),4)</f>
        <v>0</v>
      </c>
      <c r="K12" s="16">
        <f t="shared" ref="K12:K25" si="2">SUM(I12:J12)</f>
        <v>8143954.8672000067</v>
      </c>
      <c r="L12" s="17">
        <f t="shared" ref="L12:M12" si="3">ABS(I12)/SUM(ABS($I12),ABS($J12))</f>
        <v>1</v>
      </c>
      <c r="M12" s="17">
        <f t="shared" si="3"/>
        <v>0</v>
      </c>
      <c r="N12" s="16">
        <v>-539209.56999999995</v>
      </c>
      <c r="O12" s="16">
        <f t="shared" ref="O12:P12" si="4">$N12*L12</f>
        <v>-539209.56999999995</v>
      </c>
      <c r="P12" s="16">
        <f t="shared" si="4"/>
        <v>0</v>
      </c>
      <c r="Q12" s="16">
        <v>135639.28235420724</v>
      </c>
      <c r="R12" s="16">
        <v>0</v>
      </c>
      <c r="S12" s="16">
        <f t="shared" ref="S12:T12" si="5">I12+O12+Q12</f>
        <v>7740384.5795542132</v>
      </c>
      <c r="T12" s="16">
        <f t="shared" si="5"/>
        <v>0</v>
      </c>
      <c r="U12" s="14">
        <f>ROUND(S12/('Billing Determinants'!B19*7+'Billing Determinants'!C19*5),2)</f>
        <v>1.84</v>
      </c>
      <c r="V12" s="18">
        <f>ROUND(T12/SUM('Billing Determinants'!G36:M36,'Billing Determinants'!O36:S36),4)</f>
        <v>0</v>
      </c>
      <c r="Z12" s="19"/>
      <c r="AA12" s="19"/>
    </row>
    <row r="13" spans="1:27">
      <c r="A13" s="12" t="s">
        <v>35</v>
      </c>
      <c r="B13" s="13" t="s">
        <v>36</v>
      </c>
      <c r="C13" s="14">
        <f>'Billing Determinants'!D4</f>
        <v>26.16</v>
      </c>
      <c r="D13" s="15">
        <f>'Billing Determinants'!E4</f>
        <v>3.39E-2</v>
      </c>
      <c r="E13" s="14">
        <f>'Billing Determinants'!B4</f>
        <v>23.53</v>
      </c>
      <c r="F13" s="15">
        <f>'Billing Determinants'!C4</f>
        <v>3.0499999999999999E-2</v>
      </c>
      <c r="G13" s="14">
        <f t="shared" si="0"/>
        <v>0.86009999999999998</v>
      </c>
      <c r="H13" s="15">
        <f t="shared" si="1"/>
        <v>3.4000000000000002E-3</v>
      </c>
      <c r="I13" s="16">
        <f>(G13*$B$5 - E13*$B$4)*'Billing Determinants'!B20</f>
        <v>317106.86889999994</v>
      </c>
      <c r="J13" s="16">
        <f>ROUND(H13*SUM('Billing Determinants'!B37:F37),4)</f>
        <v>1036976.2986</v>
      </c>
      <c r="K13" s="16">
        <f t="shared" si="2"/>
        <v>1354083.1675</v>
      </c>
      <c r="L13" s="17">
        <f t="shared" ref="L13:M13" si="6">ABS(I13)/SUM(ABS($I13),ABS($J13))</f>
        <v>0.23418566636897503</v>
      </c>
      <c r="M13" s="17">
        <f t="shared" si="6"/>
        <v>0.76581433363102491</v>
      </c>
      <c r="N13" s="16">
        <v>-55794.22</v>
      </c>
      <c r="O13" s="16">
        <f t="shared" ref="O13:P13" si="7">$N13*L13</f>
        <v>-13066.206590237194</v>
      </c>
      <c r="P13" s="16">
        <f t="shared" si="7"/>
        <v>-42728.013409762803</v>
      </c>
      <c r="Q13" s="16">
        <v>5397.8628632243326</v>
      </c>
      <c r="R13" s="16">
        <v>18226.184767759623</v>
      </c>
      <c r="S13" s="16">
        <f t="shared" ref="S13:T13" si="8">I13+O13+Q13</f>
        <v>309438.52517298708</v>
      </c>
      <c r="T13" s="16">
        <f t="shared" si="8"/>
        <v>1012474.4699579969</v>
      </c>
      <c r="U13" s="14">
        <f>ROUND(S13/('Billing Determinants'!B20*7+'Billing Determinants'!C20*5),2)</f>
        <v>0.99</v>
      </c>
      <c r="V13" s="18">
        <f>ROUND(T13/SUM('Billing Determinants'!G37:M37,'Billing Determinants'!O37:S37),4)</f>
        <v>1.4E-3</v>
      </c>
      <c r="Z13" s="19"/>
      <c r="AA13" s="19"/>
    </row>
    <row r="14" spans="1:27">
      <c r="A14" s="12" t="s">
        <v>37</v>
      </c>
      <c r="B14" s="13" t="s">
        <v>38</v>
      </c>
      <c r="C14" s="14">
        <f>'Billing Determinants'!D5</f>
        <v>200</v>
      </c>
      <c r="D14" s="15">
        <f>'Billing Determinants'!E5</f>
        <v>7.6543000000000001</v>
      </c>
      <c r="E14" s="14">
        <f>'Billing Determinants'!B5</f>
        <v>200</v>
      </c>
      <c r="F14" s="15">
        <f>'Billing Determinants'!C5</f>
        <v>6.5552999999999999</v>
      </c>
      <c r="G14" s="14">
        <f t="shared" si="0"/>
        <v>6.5753000000000004</v>
      </c>
      <c r="H14" s="15">
        <f t="shared" si="1"/>
        <v>1.0990000000000002</v>
      </c>
      <c r="I14" s="16">
        <f>(G14*$B$5 - E14*$B$4)*'Billing Determinants'!B21</f>
        <v>-22572.630199999865</v>
      </c>
      <c r="J14" s="16">
        <f>ROUND(H14*SUM('Billing Determinants'!B38:F38),4)</f>
        <v>3217238.5474</v>
      </c>
      <c r="K14" s="16">
        <f t="shared" si="2"/>
        <v>3194665.9172</v>
      </c>
      <c r="L14" s="17">
        <f t="shared" ref="L14:M14" si="9">ABS(I14)/SUM(ABS($I14),ABS($J14))</f>
        <v>6.9672672148508689E-3</v>
      </c>
      <c r="M14" s="17">
        <f t="shared" si="9"/>
        <v>0.99303273278514903</v>
      </c>
      <c r="N14" s="16">
        <v>-75097.52</v>
      </c>
      <c r="O14" s="16">
        <f t="shared" ref="O14:P14" si="10">$N14*L14</f>
        <v>-523.22448901260748</v>
      </c>
      <c r="P14" s="16">
        <f t="shared" si="10"/>
        <v>-74574.295510987387</v>
      </c>
      <c r="Q14" s="16">
        <v>-509.99439456914365</v>
      </c>
      <c r="R14" s="16">
        <v>56572.740999714602</v>
      </c>
      <c r="S14" s="16">
        <f t="shared" ref="S14:T14" si="11">I14+O14+Q14</f>
        <v>-23605.849083581616</v>
      </c>
      <c r="T14" s="16">
        <f t="shared" si="11"/>
        <v>3199236.9928887272</v>
      </c>
      <c r="U14" s="14">
        <f>ROUND(S14/('Billing Determinants'!B21*7+'Billing Determinants'!C21*5),2)</f>
        <v>-0.62</v>
      </c>
      <c r="V14" s="18">
        <f>ROUND(T14/SUM('Billing Determinants'!G38:M38,'Billing Determinants'!O38:S38),4)</f>
        <v>0.45269999999999999</v>
      </c>
      <c r="Z14" s="19"/>
      <c r="AA14" s="19"/>
    </row>
    <row r="15" spans="1:27">
      <c r="A15" s="12" t="s">
        <v>39</v>
      </c>
      <c r="B15" s="13" t="s">
        <v>38</v>
      </c>
      <c r="C15" s="14">
        <f>'Billing Determinants'!D6</f>
        <v>4126.75</v>
      </c>
      <c r="D15" s="15">
        <f>'Billing Determinants'!E6</f>
        <v>7.2919999999999998</v>
      </c>
      <c r="E15" s="14">
        <f>'Billing Determinants'!B6</f>
        <v>4126.75</v>
      </c>
      <c r="F15" s="15">
        <f>'Billing Determinants'!C6</f>
        <v>6.0796000000000001</v>
      </c>
      <c r="G15" s="14">
        <f t="shared" si="0"/>
        <v>135.67400000000001</v>
      </c>
      <c r="H15" s="15">
        <f t="shared" si="1"/>
        <v>1.2123999999999997</v>
      </c>
      <c r="I15" s="16">
        <f>(G15*$B$5 - E15*$B$4)*'Billing Determinants'!B22</f>
        <v>-11758.0799999999</v>
      </c>
      <c r="J15" s="16">
        <f>ROUND(H15*SUM('Billing Determinants'!B39:F39),4)</f>
        <v>786786.03430000006</v>
      </c>
      <c r="K15" s="16">
        <f t="shared" si="2"/>
        <v>775027.9543000001</v>
      </c>
      <c r="L15" s="17">
        <f t="shared" ref="L15:M15" si="12">ABS(I15)/SUM(ABS($I15),ABS($J15))</f>
        <v>1.4724396297513228E-2</v>
      </c>
      <c r="M15" s="17">
        <f t="shared" si="12"/>
        <v>0.98527560370248668</v>
      </c>
      <c r="N15" s="16">
        <v>-10528.99</v>
      </c>
      <c r="O15" s="16">
        <f t="shared" ref="O15:P15" si="13">$N15*L15</f>
        <v>-155.0330213725538</v>
      </c>
      <c r="P15" s="16">
        <f t="shared" si="13"/>
        <v>-10373.956978627444</v>
      </c>
      <c r="Q15" s="16">
        <v>-268.38092310569834</v>
      </c>
      <c r="R15" s="16">
        <v>13661.942977550445</v>
      </c>
      <c r="S15" s="16">
        <f t="shared" ref="S15:T15" si="14">I15+O15+Q15</f>
        <v>-12181.493944478152</v>
      </c>
      <c r="T15" s="16">
        <f t="shared" si="14"/>
        <v>790074.02029892302</v>
      </c>
      <c r="U15" s="14">
        <f>ROUND(S15/('Billing Determinants'!B22*7+'Billing Determinants'!C22*5),2)</f>
        <v>-12</v>
      </c>
      <c r="V15" s="18">
        <f>ROUND(T15/SUM('Billing Determinants'!G39:M39,'Billing Determinants'!O39:S39),4)</f>
        <v>0.48420000000000002</v>
      </c>
      <c r="Z15" s="19"/>
      <c r="AA15" s="19"/>
    </row>
    <row r="16" spans="1:27">
      <c r="A16" s="12" t="s">
        <v>40</v>
      </c>
      <c r="B16" s="13" t="s">
        <v>38</v>
      </c>
      <c r="C16" s="14">
        <f>'Billing Determinants'!D7</f>
        <v>14946.93</v>
      </c>
      <c r="D16" s="15">
        <f>'Billing Determinants'!E7</f>
        <v>7.9119000000000002</v>
      </c>
      <c r="E16" s="14">
        <f>'Billing Determinants'!B7</f>
        <v>14946.93</v>
      </c>
      <c r="F16" s="15">
        <f>'Billing Determinants'!C7</f>
        <v>6.0316000000000001</v>
      </c>
      <c r="G16" s="14">
        <f t="shared" si="0"/>
        <v>491.40589999999997</v>
      </c>
      <c r="H16" s="15">
        <f t="shared" si="1"/>
        <v>1.8803000000000001</v>
      </c>
      <c r="I16" s="16">
        <f>(G16*$B$5 - E16*$B$4)*'Billing Determinants'!B23</f>
        <v>-5855.9501000000164</v>
      </c>
      <c r="J16" s="16">
        <f>ROUND(H16*SUM('Billing Determinants'!B40:F40),4)</f>
        <v>759279.29870000004</v>
      </c>
      <c r="K16" s="16">
        <f t="shared" si="2"/>
        <v>753423.34860000003</v>
      </c>
      <c r="L16" s="17">
        <f t="shared" ref="L16:M16" si="15">ABS(I16)/SUM(ABS($I16),ABS($J16))</f>
        <v>7.6534836281352825E-3</v>
      </c>
      <c r="M16" s="17">
        <f t="shared" si="15"/>
        <v>0.99234651637186477</v>
      </c>
      <c r="N16" s="16">
        <v>-6518.35</v>
      </c>
      <c r="O16" s="16">
        <f t="shared" ref="O16:P16" si="16">$N16*L16</f>
        <v>-49.888085007455622</v>
      </c>
      <c r="P16" s="16">
        <f t="shared" si="16"/>
        <v>-6468.4619149925447</v>
      </c>
      <c r="Q16" s="16">
        <v>-132.37527292625433</v>
      </c>
      <c r="R16" s="16">
        <v>13700.449531294038</v>
      </c>
      <c r="S16" s="16">
        <f t="shared" ref="S16:T16" si="17">I16+O16+Q16</f>
        <v>-6038.2134579337262</v>
      </c>
      <c r="T16" s="16">
        <f t="shared" si="17"/>
        <v>766511.28631630156</v>
      </c>
      <c r="U16" s="14">
        <f>ROUND(S16/('Billing Determinants'!B23*7+'Billing Determinants'!C23*5),2)</f>
        <v>-44.07</v>
      </c>
      <c r="V16" s="18">
        <f>ROUND(T16/SUM('Billing Determinants'!G40:M40,'Billing Determinants'!O40:S40),4)</f>
        <v>0.76329999999999998</v>
      </c>
      <c r="Z16" s="19"/>
      <c r="AA16" s="19"/>
    </row>
    <row r="17" spans="1:27">
      <c r="A17" s="12" t="s">
        <v>41</v>
      </c>
      <c r="B17" s="13" t="s">
        <v>38</v>
      </c>
      <c r="C17" s="14">
        <f>'Billing Determinants'!D8</f>
        <v>1.19</v>
      </c>
      <c r="D17" s="15">
        <f>'Billing Determinants'!E8</f>
        <v>8.3054000000000006</v>
      </c>
      <c r="E17" s="14">
        <f>'Billing Determinants'!B8</f>
        <v>1.1200000000000001</v>
      </c>
      <c r="F17" s="15">
        <f>'Billing Determinants'!C8</f>
        <v>7.8163999999999998</v>
      </c>
      <c r="G17" s="14">
        <f t="shared" si="0"/>
        <v>3.9100000000000003E-2</v>
      </c>
      <c r="H17" s="15">
        <f t="shared" si="1"/>
        <v>0.48900000000000077</v>
      </c>
      <c r="I17" s="16">
        <f>(G17*$B$5 - E17*$B$4)*'Billing Determinants'!B24</f>
        <v>19975.112600000004</v>
      </c>
      <c r="J17" s="16">
        <f>ROUND(H17*SUM('Billing Determinants'!B41:F41),4)</f>
        <v>12438.756600000001</v>
      </c>
      <c r="K17" s="16">
        <f t="shared" si="2"/>
        <v>32413.869200000005</v>
      </c>
      <c r="L17" s="17">
        <f t="shared" ref="L17:M17" si="18">ABS(I17)/SUM(ABS($I17),ABS($J17))</f>
        <v>0.61625202707981563</v>
      </c>
      <c r="M17" s="17">
        <f t="shared" si="18"/>
        <v>0.38374797292018437</v>
      </c>
      <c r="N17" s="16">
        <v>-834.7</v>
      </c>
      <c r="O17" s="16">
        <f t="shared" ref="O17:P17" si="19">$N17*L17</f>
        <v>-514.38556700352217</v>
      </c>
      <c r="P17" s="16">
        <f t="shared" si="19"/>
        <v>-320.31443299647793</v>
      </c>
      <c r="Q17" s="16">
        <v>340.03869005197947</v>
      </c>
      <c r="R17" s="16">
        <v>219.20257456417573</v>
      </c>
      <c r="S17" s="16">
        <f t="shared" ref="S17:T17" si="20">I17+O17+Q17</f>
        <v>19800.765723048462</v>
      </c>
      <c r="T17" s="16">
        <f t="shared" si="20"/>
        <v>12337.644741567698</v>
      </c>
      <c r="U17" s="14">
        <f>ROUND(S17/('Billing Determinants'!B24*7+'Billing Determinants'!C24*5),2)</f>
        <v>0.02</v>
      </c>
      <c r="V17" s="18">
        <f>ROUND(T17/SUM('Billing Determinants'!G41:M41,'Billing Determinants'!O41:S41),4)</f>
        <v>0.20150000000000001</v>
      </c>
      <c r="Z17" s="19"/>
      <c r="AA17" s="19"/>
    </row>
    <row r="18" spans="1:27">
      <c r="A18" s="12" t="s">
        <v>42</v>
      </c>
      <c r="B18" s="13" t="s">
        <v>38</v>
      </c>
      <c r="C18" s="14">
        <f>'Billing Determinants'!D9</f>
        <v>8.02</v>
      </c>
      <c r="D18" s="15">
        <f>'Billing Determinants'!E9</f>
        <v>37.632599999999996</v>
      </c>
      <c r="E18" s="14">
        <f>'Billing Determinants'!B9</f>
        <v>7.02</v>
      </c>
      <c r="F18" s="15">
        <f>'Billing Determinants'!C9</f>
        <v>32.929699999999997</v>
      </c>
      <c r="G18" s="14">
        <f t="shared" si="0"/>
        <v>0.26369999999999999</v>
      </c>
      <c r="H18" s="15">
        <f t="shared" si="1"/>
        <v>4.7028999999999996</v>
      </c>
      <c r="I18" s="16">
        <f>(G18*$B$5 - E18*$B$4)*'Billing Determinants'!B25</f>
        <v>221.77890000000025</v>
      </c>
      <c r="J18" s="16">
        <f>ROUND(H18*SUM('Billing Determinants'!B42:F42),4)</f>
        <v>235.14500000000001</v>
      </c>
      <c r="K18" s="16">
        <f t="shared" si="2"/>
        <v>456.92390000000023</v>
      </c>
      <c r="L18" s="17">
        <f t="shared" ref="L18:M18" si="21">ABS(I18)/SUM(ABS($I18),ABS($J18))</f>
        <v>0.48537382264311441</v>
      </c>
      <c r="M18" s="17">
        <f t="shared" si="21"/>
        <v>0.51462617735688565</v>
      </c>
      <c r="N18" s="16">
        <v>-42.14</v>
      </c>
      <c r="O18" s="16">
        <f t="shared" ref="O18:P18" si="22">$N18*L18</f>
        <v>-20.453652886180841</v>
      </c>
      <c r="P18" s="16">
        <f t="shared" si="22"/>
        <v>-21.68634711381916</v>
      </c>
      <c r="Q18" s="16">
        <v>3.56752023475928</v>
      </c>
      <c r="R18" s="16">
        <v>3.8594494078275661</v>
      </c>
      <c r="S18" s="16">
        <f t="shared" ref="S18:T18" si="23">I18+O18+Q18</f>
        <v>204.8927673485787</v>
      </c>
      <c r="T18" s="16">
        <f t="shared" si="23"/>
        <v>217.31810229400841</v>
      </c>
      <c r="U18" s="14">
        <f>ROUND(S18/('Billing Determinants'!B25*7+'Billing Determinants'!C25*5),2)</f>
        <v>0.37</v>
      </c>
      <c r="V18" s="18">
        <f>ROUND(T18/SUM('Billing Determinants'!G42:M42,'Billing Determinants'!O42:S42),4)</f>
        <v>1.8109999999999999</v>
      </c>
      <c r="Z18" s="19"/>
      <c r="AA18" s="19"/>
    </row>
    <row r="19" spans="1:27">
      <c r="A19" s="12" t="s">
        <v>43</v>
      </c>
      <c r="B19" s="13" t="s">
        <v>36</v>
      </c>
      <c r="C19" s="14">
        <f>'Billing Determinants'!D10</f>
        <v>8.0399999999999991</v>
      </c>
      <c r="D19" s="15">
        <f>'Billing Determinants'!E10</f>
        <v>3.8300000000000001E-2</v>
      </c>
      <c r="E19" s="14">
        <f>'Billing Determinants'!B10</f>
        <v>7.09</v>
      </c>
      <c r="F19" s="15">
        <f>'Billing Determinants'!C10</f>
        <v>3.3799999999999997E-2</v>
      </c>
      <c r="G19" s="14">
        <f t="shared" si="0"/>
        <v>0.26429999999999998</v>
      </c>
      <c r="H19" s="15">
        <f t="shared" si="1"/>
        <v>4.500000000000004E-3</v>
      </c>
      <c r="I19" s="16">
        <f>(G19*$B$5 - E19*$B$4)*'Billing Determinants'!B26</f>
        <v>18938.647099999966</v>
      </c>
      <c r="J19" s="16">
        <f>ROUND(H19*SUM('Billing Determinants'!B43:F43),4)</f>
        <v>26848.9575</v>
      </c>
      <c r="K19" s="16">
        <f t="shared" si="2"/>
        <v>45787.604599999962</v>
      </c>
      <c r="L19" s="17">
        <f t="shared" ref="L19:M19" si="24">ABS(I19)/SUM(ABS($I19),ABS($J19))</f>
        <v>0.41361952138461466</v>
      </c>
      <c r="M19" s="17">
        <f t="shared" si="24"/>
        <v>0.58638047861538545</v>
      </c>
      <c r="N19" s="16">
        <v>-819.4</v>
      </c>
      <c r="O19" s="16">
        <f t="shared" ref="O19:P19" si="25">$N19*L19</f>
        <v>-338.91983582255324</v>
      </c>
      <c r="P19" s="16">
        <f t="shared" si="25"/>
        <v>-480.4801641774468</v>
      </c>
      <c r="Q19" s="16">
        <v>332.53932742017003</v>
      </c>
      <c r="R19" s="16">
        <v>476.40757558818154</v>
      </c>
      <c r="S19" s="16">
        <f t="shared" ref="S19:T19" si="26">I19+O19+Q19</f>
        <v>18932.266591597581</v>
      </c>
      <c r="T19" s="16">
        <f t="shared" si="26"/>
        <v>26844.884911410736</v>
      </c>
      <c r="U19" s="14">
        <f>ROUND(S19/('Billing Determinants'!B26*7+'Billing Determinants'!C26*5),2)</f>
        <v>0.37</v>
      </c>
      <c r="V19" s="18">
        <f>ROUND(T19/SUM('Billing Determinants'!G43:M43,'Billing Determinants'!O43:S43),4)</f>
        <v>1.9E-3</v>
      </c>
      <c r="Z19" s="19"/>
      <c r="AA19" s="19"/>
    </row>
    <row r="20" spans="1:27">
      <c r="A20" s="12" t="s">
        <v>44</v>
      </c>
      <c r="B20" s="13" t="s">
        <v>38</v>
      </c>
      <c r="C20" s="14">
        <f>'Billing Determinants'!D11</f>
        <v>186.89</v>
      </c>
      <c r="D20" s="15">
        <f>'Billing Determinants'!E11</f>
        <v>3.8271999999999999</v>
      </c>
      <c r="E20" s="14">
        <f>'Billing Determinants'!B11</f>
        <v>186.89</v>
      </c>
      <c r="F20" s="15">
        <f>'Billing Determinants'!C11</f>
        <v>2.4940000000000002</v>
      </c>
      <c r="G20" s="14">
        <f t="shared" si="0"/>
        <v>6.1443000000000003</v>
      </c>
      <c r="H20" s="15">
        <f t="shared" si="1"/>
        <v>1.3331999999999997</v>
      </c>
      <c r="I20" s="16">
        <f>(G20*$B$5 - E20*$B$4)*'Billing Determinants'!B27</f>
        <v>-13.321399999999812</v>
      </c>
      <c r="J20" s="16">
        <f>ROUND(H20*SUM('Billing Determinants'!B44:F44),4)</f>
        <v>7242.0757000000003</v>
      </c>
      <c r="K20" s="16">
        <f t="shared" si="2"/>
        <v>7228.7543000000005</v>
      </c>
      <c r="L20" s="17">
        <f t="shared" ref="L20:M20" si="27">ABS(I20)/SUM(ABS($I20),ABS($J20))</f>
        <v>1.836067663339862E-3</v>
      </c>
      <c r="M20" s="17">
        <f t="shared" si="27"/>
        <v>0.99816393233666012</v>
      </c>
      <c r="N20" s="16">
        <v>-6.59</v>
      </c>
      <c r="O20" s="16">
        <f t="shared" ref="O20:P20" si="28">$N20*L20</f>
        <v>-1.2099685901409691E-2</v>
      </c>
      <c r="P20" s="16">
        <f t="shared" si="28"/>
        <v>-6.5779003140985903</v>
      </c>
      <c r="Q20" s="16">
        <v>-0.29554807860149479</v>
      </c>
      <c r="R20" s="16">
        <v>130.73412016596657</v>
      </c>
      <c r="S20" s="16">
        <f t="shared" ref="S20:T20" si="29">I20+O20+Q20</f>
        <v>-13.629047764502717</v>
      </c>
      <c r="T20" s="16">
        <f t="shared" si="29"/>
        <v>7366.231919851868</v>
      </c>
      <c r="U20" s="14">
        <f>ROUND(S20/('Billing Determinants'!B27*7+'Billing Determinants'!C27*5),2)</f>
        <v>-0.56999999999999995</v>
      </c>
      <c r="V20" s="18">
        <f>ROUND(T20/SUM('Billing Determinants'!G44:M44,'Billing Determinants'!O44:S44),4)</f>
        <v>0.56589999999999996</v>
      </c>
      <c r="Z20" s="19"/>
      <c r="AA20" s="19"/>
    </row>
    <row r="21" spans="1:27" ht="15.75" customHeight="1">
      <c r="A21" s="12" t="s">
        <v>45</v>
      </c>
      <c r="B21" s="13" t="s">
        <v>38</v>
      </c>
      <c r="C21" s="14">
        <f>'Billing Determinants'!D12</f>
        <v>186.89</v>
      </c>
      <c r="D21" s="15">
        <f>'Billing Determinants'!E12</f>
        <v>3.6459999999999999</v>
      </c>
      <c r="E21" s="14">
        <f>'Billing Determinants'!B12</f>
        <v>186.89</v>
      </c>
      <c r="F21" s="15">
        <f>'Billing Determinants'!C12</f>
        <v>2.2877000000000001</v>
      </c>
      <c r="G21" s="14">
        <f t="shared" si="0"/>
        <v>6.1443000000000003</v>
      </c>
      <c r="H21" s="15">
        <f t="shared" si="1"/>
        <v>1.3582999999999998</v>
      </c>
      <c r="I21" s="16">
        <f>(G21*$B$5 - E21*$B$4)*'Billing Determinants'!B28</f>
        <v>-13.321399999999812</v>
      </c>
      <c r="J21" s="16">
        <f>ROUND(H21*SUM('Billing Determinants'!B45:F45),4)</f>
        <v>2314.7469000000001</v>
      </c>
      <c r="K21" s="16">
        <f t="shared" si="2"/>
        <v>2301.4255000000003</v>
      </c>
      <c r="L21" s="17">
        <f t="shared" ref="L21:M21" si="30">ABS(I21)/SUM(ABS($I21),ABS($J21))</f>
        <v>5.7220829818437086E-3</v>
      </c>
      <c r="M21" s="17">
        <f t="shared" si="30"/>
        <v>0.99427791701815627</v>
      </c>
      <c r="N21" s="16">
        <v>-6.59</v>
      </c>
      <c r="O21" s="16">
        <f t="shared" ref="O21:P21" si="31">$N21*L21</f>
        <v>-3.770852685035004E-2</v>
      </c>
      <c r="P21" s="16">
        <f t="shared" si="31"/>
        <v>-6.5522914731496495</v>
      </c>
      <c r="Q21" s="16">
        <v>-0.29605394442105504</v>
      </c>
      <c r="R21" s="16">
        <v>41.654552775926682</v>
      </c>
      <c r="S21" s="16">
        <f t="shared" ref="S21:T21" si="32">I21+O21+Q21</f>
        <v>-13.655162471271218</v>
      </c>
      <c r="T21" s="16">
        <f t="shared" si="32"/>
        <v>2349.8491613027772</v>
      </c>
      <c r="U21" s="14">
        <f>ROUND(S21/('Billing Determinants'!B28*7+'Billing Determinants'!C28*5),2)</f>
        <v>-0.56999999999999995</v>
      </c>
      <c r="V21" s="18">
        <f>ROUND(T21/SUM('Billing Determinants'!G45:M45,'Billing Determinants'!O45:S45),4)</f>
        <v>0.57720000000000005</v>
      </c>
      <c r="Z21" s="19"/>
      <c r="AA21" s="19"/>
    </row>
    <row r="22" spans="1:27" ht="15.75" customHeight="1">
      <c r="A22" s="12" t="s">
        <v>46</v>
      </c>
      <c r="B22" s="13" t="s">
        <v>38</v>
      </c>
      <c r="C22" s="14">
        <f>'Billing Determinants'!D13</f>
        <v>186.89</v>
      </c>
      <c r="D22" s="15">
        <f>'Billing Determinants'!E13</f>
        <v>3.956</v>
      </c>
      <c r="E22" s="14">
        <f>'Billing Determinants'!B13</f>
        <v>186.89</v>
      </c>
      <c r="F22" s="15">
        <f>'Billing Determinants'!C13</f>
        <v>2.5388000000000002</v>
      </c>
      <c r="G22" s="14">
        <f t="shared" si="0"/>
        <v>6.1443000000000003</v>
      </c>
      <c r="H22" s="15">
        <f t="shared" si="1"/>
        <v>1.4171999999999998</v>
      </c>
      <c r="I22" s="16">
        <f>(G22*$B$5 - E22*$B$4)*'Billing Determinants'!B29</f>
        <v>-13.321399999999812</v>
      </c>
      <c r="J22" s="16">
        <f>ROUND(H22*SUM('Billing Determinants'!B46:F46),4)</f>
        <v>16362.7786</v>
      </c>
      <c r="K22" s="16">
        <f t="shared" si="2"/>
        <v>16349.457200000001</v>
      </c>
      <c r="L22" s="17">
        <f t="shared" ref="L22:M22" si="33">ABS(I22)/SUM(ABS($I22),ABS($J22))</f>
        <v>8.1346596564504448E-4</v>
      </c>
      <c r="M22" s="17">
        <f t="shared" si="33"/>
        <v>0.99918653403435498</v>
      </c>
      <c r="N22" s="16">
        <v>-6.59</v>
      </c>
      <c r="O22" s="16">
        <f t="shared" ref="O22:P22" si="34">$N22*L22</f>
        <v>-5.3607407136008426E-3</v>
      </c>
      <c r="P22" s="16">
        <f t="shared" si="34"/>
        <v>-6.5846392592863996</v>
      </c>
      <c r="Q22" s="16">
        <v>-0.29543292319613962</v>
      </c>
      <c r="R22" s="16">
        <v>295.24154081347672</v>
      </c>
      <c r="S22" s="16">
        <f t="shared" ref="S22:T22" si="35">I22+O22+Q22</f>
        <v>-13.622193663909552</v>
      </c>
      <c r="T22" s="16">
        <f t="shared" si="35"/>
        <v>16651.435501554191</v>
      </c>
      <c r="U22" s="14">
        <f>ROUND(S22/('Billing Determinants'!B29*7+'Billing Determinants'!C29*5),2)</f>
        <v>-0.56999999999999995</v>
      </c>
      <c r="V22" s="18">
        <f>ROUND(T22/SUM('Billing Determinants'!G46:M46,'Billing Determinants'!O46:S46),4)</f>
        <v>0.60329999999999995</v>
      </c>
      <c r="Z22" s="19"/>
      <c r="AA22" s="19"/>
    </row>
    <row r="23" spans="1:27" ht="15.75" customHeight="1">
      <c r="A23" s="20" t="s">
        <v>47</v>
      </c>
      <c r="B23" s="13" t="s">
        <v>34</v>
      </c>
      <c r="C23" s="14">
        <f>'Billing Determinants'!D14</f>
        <v>11</v>
      </c>
      <c r="D23" s="15">
        <f>'Billing Determinants'!E14</f>
        <v>0</v>
      </c>
      <c r="E23" s="14">
        <f>'Billing Determinants'!B14</f>
        <v>16</v>
      </c>
      <c r="F23" s="15">
        <f>'Billing Determinants'!C14</f>
        <v>0</v>
      </c>
      <c r="G23" s="14">
        <f t="shared" si="0"/>
        <v>0.36159999999999998</v>
      </c>
      <c r="H23" s="15">
        <f t="shared" si="1"/>
        <v>0</v>
      </c>
      <c r="I23" s="16">
        <f>(G23*$B$5 - E23*$B$4)*'Billing Determinants'!B30</f>
        <v>-22147.4048</v>
      </c>
      <c r="J23" s="16">
        <f>ROUND(H23*SUM('Billing Determinants'!B47:F47),4)</f>
        <v>0</v>
      </c>
      <c r="K23" s="16">
        <f t="shared" si="2"/>
        <v>-22147.4048</v>
      </c>
      <c r="L23" s="17">
        <f t="shared" ref="L23:M23" si="36">ABS(I23)/SUM(ABS($I23),ABS($J23))</f>
        <v>1</v>
      </c>
      <c r="M23" s="17">
        <f t="shared" si="36"/>
        <v>0</v>
      </c>
      <c r="N23" s="21"/>
      <c r="O23" s="21"/>
      <c r="P23" s="21"/>
      <c r="Q23" s="16">
        <v>-401.4275887305206</v>
      </c>
      <c r="R23" s="16">
        <v>0</v>
      </c>
      <c r="S23" s="16">
        <f t="shared" ref="S23:T23" si="37">I23+O23+Q23</f>
        <v>-22548.83238873052</v>
      </c>
      <c r="T23" s="16">
        <f t="shared" si="37"/>
        <v>0</v>
      </c>
      <c r="U23" s="14">
        <f>ROUND(S23/('Billing Determinants'!B30*7+'Billing Determinants'!C30*5),2)</f>
        <v>-2.15</v>
      </c>
      <c r="V23" s="18">
        <v>0</v>
      </c>
      <c r="Z23" s="19"/>
      <c r="AA23" s="19"/>
    </row>
    <row r="24" spans="1:27" ht="15.75" customHeight="1">
      <c r="A24" s="20" t="s">
        <v>48</v>
      </c>
      <c r="B24" s="13" t="s">
        <v>34</v>
      </c>
      <c r="C24" s="14">
        <f>'Billing Determinants'!D15</f>
        <v>87</v>
      </c>
      <c r="D24" s="15">
        <f>'Billing Determinants'!E15</f>
        <v>0</v>
      </c>
      <c r="E24" s="14">
        <f>'Billing Determinants'!B15</f>
        <v>84</v>
      </c>
      <c r="F24" s="15">
        <f>'Billing Determinants'!C15</f>
        <v>0</v>
      </c>
      <c r="G24" s="14">
        <f t="shared" si="0"/>
        <v>2.8603000000000001</v>
      </c>
      <c r="H24" s="15">
        <f t="shared" si="1"/>
        <v>0</v>
      </c>
      <c r="I24" s="16">
        <f>(G24*$B$5 - E24*$B$4)*'Billing Determinants'!B31</f>
        <v>1226.2459000000013</v>
      </c>
      <c r="J24" s="16">
        <f>ROUND(H24*SUM('Billing Determinants'!B48:F48),4)</f>
        <v>0</v>
      </c>
      <c r="K24" s="16">
        <f t="shared" si="2"/>
        <v>1226.2459000000013</v>
      </c>
      <c r="L24" s="17">
        <f t="shared" ref="L24:M24" si="38">ABS(I24)/SUM(ABS($I24),ABS($J24))</f>
        <v>1</v>
      </c>
      <c r="M24" s="17">
        <f t="shared" si="38"/>
        <v>0</v>
      </c>
      <c r="N24" s="21"/>
      <c r="O24" s="21"/>
      <c r="P24" s="21"/>
      <c r="Q24" s="16">
        <v>20.832896158602814</v>
      </c>
      <c r="R24" s="16">
        <v>0</v>
      </c>
      <c r="S24" s="16">
        <f t="shared" ref="S24:T24" si="39">I24+O24+Q24</f>
        <v>1247.0787961586041</v>
      </c>
      <c r="T24" s="16">
        <f t="shared" si="39"/>
        <v>0</v>
      </c>
      <c r="U24" s="14">
        <f>ROUND(S24/('Billing Determinants'!B31*7+'Billing Determinants'!C31*5),2)</f>
        <v>1.01</v>
      </c>
      <c r="V24" s="18">
        <v>0</v>
      </c>
      <c r="Z24" s="19"/>
      <c r="AA24" s="19"/>
    </row>
    <row r="25" spans="1:27" ht="15.75" customHeight="1">
      <c r="A25" s="20" t="s">
        <v>72</v>
      </c>
      <c r="B25" s="13" t="s">
        <v>34</v>
      </c>
      <c r="C25" s="14">
        <f>'Billing Determinants'!D16</f>
        <v>266</v>
      </c>
      <c r="D25" s="15">
        <f>'Billing Determinants'!E16</f>
        <v>0</v>
      </c>
      <c r="E25" s="14">
        <f>'Billing Determinants'!B16</f>
        <v>347</v>
      </c>
      <c r="F25" s="15">
        <f>'Billing Determinants'!C16</f>
        <v>0</v>
      </c>
      <c r="G25" s="14">
        <f t="shared" si="0"/>
        <v>8.7452000000000005</v>
      </c>
      <c r="H25" s="15">
        <f t="shared" si="1"/>
        <v>0</v>
      </c>
      <c r="I25" s="16">
        <f>(G25*$B$5 - E25*$B$4)*'Billing Determinants'!B32</f>
        <v>-3730.2731999999996</v>
      </c>
      <c r="J25" s="39">
        <f>ROUND(H25*SUM('Billing Determinants'!B49:F49),4)</f>
        <v>0</v>
      </c>
      <c r="K25" s="16">
        <f t="shared" si="2"/>
        <v>-3730.2731999999996</v>
      </c>
      <c r="L25" s="17">
        <f t="shared" ref="L25:M25" si="40">ABS(I25)/SUM(ABS($I25),ABS($J25))</f>
        <v>1</v>
      </c>
      <c r="M25" s="17">
        <f t="shared" si="40"/>
        <v>0</v>
      </c>
      <c r="N25" s="21"/>
      <c r="O25" s="21"/>
      <c r="P25" s="21"/>
      <c r="Q25" s="16">
        <v>-67.723272736643793</v>
      </c>
      <c r="R25" s="16">
        <v>0</v>
      </c>
      <c r="S25" s="16">
        <f t="shared" ref="S25:T25" si="41">I25+O25+Q25</f>
        <v>-3797.9964727366432</v>
      </c>
      <c r="T25" s="16">
        <f t="shared" si="41"/>
        <v>0</v>
      </c>
      <c r="U25" s="14">
        <f>ROUND(S25/('Billing Determinants'!B32*7+'Billing Determinants'!C32*5),2)</f>
        <v>-35.17</v>
      </c>
      <c r="V25" s="18">
        <v>0</v>
      </c>
      <c r="Z25" s="19"/>
      <c r="AA25" s="19"/>
    </row>
    <row r="26" spans="1:27" ht="15.75" customHeight="1" thickBot="1">
      <c r="A26" s="38" t="s">
        <v>73</v>
      </c>
      <c r="J26" s="40">
        <f>SUM(I12:J25)</f>
        <v>14301041.857400004</v>
      </c>
      <c r="N26" s="40">
        <f>SUM(N12:N22)</f>
        <v>-688864.6599999998</v>
      </c>
      <c r="R26" s="40">
        <f>SUM(Q12:R25)</f>
        <v>243681.75325391677</v>
      </c>
      <c r="S26" s="40">
        <f>SUM(S12:S22)</f>
        <v>8046894.5669193007</v>
      </c>
      <c r="T26" s="40">
        <f>SUM(T12:T22)</f>
        <v>5834064.1337999301</v>
      </c>
    </row>
    <row r="27" spans="1:27" ht="15.75" customHeight="1" thickTop="1">
      <c r="I27" s="22"/>
      <c r="Q27" s="23"/>
      <c r="S27" s="23"/>
      <c r="T27" s="24"/>
      <c r="U27" s="24"/>
    </row>
    <row r="28" spans="1:27" ht="15.75" customHeight="1">
      <c r="I28" s="22"/>
      <c r="J28" s="23"/>
      <c r="Q28" s="23"/>
      <c r="R28" s="23"/>
      <c r="S28" s="23"/>
      <c r="T28" s="24"/>
      <c r="U28" s="24"/>
    </row>
    <row r="29" spans="1:27" ht="15.75" customHeight="1">
      <c r="E29" s="36"/>
      <c r="I29" s="22"/>
      <c r="J29" s="23"/>
      <c r="R29" s="23"/>
      <c r="S29" s="23"/>
      <c r="T29" s="24"/>
      <c r="V29" s="25"/>
    </row>
    <row r="30" spans="1:27" ht="15.75" customHeight="1">
      <c r="A30" s="43" t="s">
        <v>74</v>
      </c>
      <c r="B30" s="44"/>
      <c r="E30" s="37"/>
      <c r="I30" s="22"/>
      <c r="J30" s="23"/>
      <c r="R30" s="23"/>
      <c r="S30" s="23"/>
      <c r="T30" s="24"/>
      <c r="U30" s="24"/>
    </row>
    <row r="31" spans="1:27" ht="15.75" customHeight="1">
      <c r="A31" s="45"/>
      <c r="B31" s="46"/>
      <c r="I31" s="22"/>
      <c r="J31" s="23"/>
      <c r="R31" s="23"/>
      <c r="S31" s="23"/>
      <c r="T31" s="24"/>
      <c r="U31" s="24"/>
    </row>
    <row r="32" spans="1:27" ht="15.75" customHeight="1">
      <c r="A32" s="45"/>
      <c r="B32" s="46"/>
      <c r="I32" s="22"/>
      <c r="J32" s="23"/>
      <c r="S32" s="23"/>
      <c r="T32" s="24"/>
      <c r="U32" s="24"/>
      <c r="V32" s="23"/>
    </row>
    <row r="33" spans="1:21" ht="15.75" customHeight="1">
      <c r="A33" s="45"/>
      <c r="B33" s="46"/>
      <c r="T33" s="24"/>
      <c r="U33" s="24"/>
    </row>
    <row r="34" spans="1:21" ht="15.75" customHeight="1">
      <c r="A34" s="45"/>
      <c r="B34" s="46"/>
      <c r="I34" s="22"/>
      <c r="J34" s="23"/>
      <c r="S34" s="23"/>
      <c r="T34" s="24"/>
      <c r="U34" s="24"/>
    </row>
    <row r="35" spans="1:21" ht="15.75" customHeight="1">
      <c r="A35" s="47"/>
      <c r="B35" s="48"/>
      <c r="J35" s="23"/>
      <c r="T35" s="24"/>
      <c r="U35" s="24"/>
    </row>
    <row r="36" spans="1:21" ht="15.75" customHeight="1">
      <c r="J36" s="23"/>
      <c r="T36" s="24"/>
      <c r="U36" s="24"/>
    </row>
    <row r="37" spans="1:21" ht="15.75" customHeight="1">
      <c r="J37" s="23"/>
      <c r="T37" s="24"/>
      <c r="U37" s="24"/>
    </row>
    <row r="38" spans="1:21" ht="15.75" customHeight="1">
      <c r="I38" s="22"/>
      <c r="S38" s="23"/>
      <c r="T38" s="24"/>
      <c r="U38" s="24"/>
    </row>
    <row r="39" spans="1:21" ht="15.75" customHeight="1">
      <c r="I39" s="22"/>
      <c r="S39" s="23"/>
      <c r="T39" s="24"/>
      <c r="U39" s="24"/>
    </row>
    <row r="40" spans="1:21" ht="15.75" customHeight="1">
      <c r="I40" s="22"/>
      <c r="S40" s="23"/>
      <c r="T40" s="24"/>
      <c r="U40" s="24"/>
    </row>
    <row r="41" spans="1:21" ht="15.75" customHeight="1"/>
    <row r="42" spans="1:21" ht="15.75" customHeight="1">
      <c r="I42" s="24"/>
      <c r="J42" s="24"/>
      <c r="Q42" s="24"/>
      <c r="R42" s="24"/>
      <c r="S42" s="24"/>
      <c r="T42" s="24"/>
    </row>
    <row r="43" spans="1:21" ht="15.75" customHeight="1">
      <c r="I43" s="24"/>
      <c r="J43" s="24"/>
      <c r="Q43" s="24"/>
      <c r="R43" s="24"/>
      <c r="S43" s="24"/>
      <c r="T43" s="24"/>
    </row>
    <row r="44" spans="1:21" ht="15.75" customHeight="1">
      <c r="I44" s="24"/>
      <c r="J44" s="24"/>
      <c r="Q44" s="24"/>
      <c r="R44" s="24"/>
      <c r="S44" s="24"/>
      <c r="T44" s="24"/>
    </row>
    <row r="45" spans="1:21" ht="15.75" customHeight="1">
      <c r="I45" s="24"/>
      <c r="J45" s="24"/>
      <c r="Q45" s="24"/>
      <c r="R45" s="24"/>
      <c r="S45" s="24"/>
      <c r="T45" s="24"/>
    </row>
    <row r="46" spans="1:21" ht="15.75" customHeight="1">
      <c r="I46" s="24"/>
      <c r="J46" s="24"/>
      <c r="Q46" s="24"/>
      <c r="R46" s="24"/>
      <c r="S46" s="24"/>
      <c r="T46" s="24"/>
    </row>
    <row r="47" spans="1:21" ht="15.75" customHeight="1">
      <c r="I47" s="24"/>
      <c r="J47" s="24"/>
      <c r="Q47" s="24"/>
      <c r="R47" s="24"/>
      <c r="S47" s="24"/>
      <c r="T47" s="24"/>
    </row>
    <row r="48" spans="1:21" ht="15.75" customHeight="1">
      <c r="I48" s="24"/>
      <c r="J48" s="24"/>
      <c r="Q48" s="24"/>
      <c r="R48" s="24"/>
      <c r="S48" s="24"/>
      <c r="T48" s="24"/>
    </row>
    <row r="49" spans="9:20" ht="15.75" customHeight="1">
      <c r="I49" s="24"/>
      <c r="J49" s="24"/>
      <c r="Q49" s="24"/>
      <c r="R49" s="24"/>
      <c r="S49" s="24"/>
      <c r="T49" s="24"/>
    </row>
    <row r="50" spans="9:20" ht="15.75" customHeight="1">
      <c r="I50" s="24"/>
      <c r="J50" s="24"/>
      <c r="Q50" s="24"/>
      <c r="R50" s="24"/>
      <c r="S50" s="24"/>
      <c r="T50" s="24"/>
    </row>
    <row r="51" spans="9:20" ht="15.75" customHeight="1">
      <c r="I51" s="24"/>
      <c r="J51" s="24"/>
      <c r="Q51" s="24"/>
      <c r="R51" s="24"/>
      <c r="S51" s="24"/>
      <c r="T51" s="24"/>
    </row>
    <row r="52" spans="9:20" ht="15.75" customHeight="1">
      <c r="I52" s="24"/>
      <c r="J52" s="24"/>
      <c r="Q52" s="24"/>
      <c r="R52" s="24"/>
      <c r="S52" s="24"/>
      <c r="T52" s="24"/>
    </row>
    <row r="53" spans="9:20" ht="15.75" customHeight="1">
      <c r="I53" s="24"/>
      <c r="J53" s="24"/>
      <c r="Q53" s="24"/>
      <c r="R53" s="24"/>
      <c r="S53" s="24"/>
      <c r="T53" s="24"/>
    </row>
    <row r="54" spans="9:20" ht="15.75" customHeight="1">
      <c r="I54" s="24"/>
      <c r="J54" s="24"/>
      <c r="Q54" s="24"/>
      <c r="R54" s="24"/>
      <c r="S54" s="24"/>
      <c r="T54" s="24"/>
    </row>
    <row r="55" spans="9:20" ht="15.75" customHeight="1">
      <c r="I55" s="24"/>
      <c r="J55" s="24"/>
      <c r="Q55" s="24"/>
      <c r="R55" s="24"/>
      <c r="S55" s="24"/>
      <c r="T55" s="24"/>
    </row>
    <row r="56" spans="9:20" ht="15.75" customHeight="1">
      <c r="I56" s="24"/>
      <c r="J56" s="24"/>
      <c r="Q56" s="24"/>
      <c r="R56" s="24"/>
      <c r="S56" s="24"/>
      <c r="T56" s="24"/>
    </row>
    <row r="57" spans="9:20" ht="15.75" customHeight="1">
      <c r="Q57" s="24"/>
      <c r="R57" s="24"/>
      <c r="S57" s="24"/>
      <c r="T57" s="24"/>
    </row>
    <row r="58" spans="9:20" ht="15.75" customHeight="1"/>
    <row r="59" spans="9:20" ht="15.75" customHeight="1"/>
    <row r="60" spans="9:20" ht="15.75" customHeight="1"/>
    <row r="61" spans="9:20" ht="15.75" customHeight="1"/>
    <row r="62" spans="9:20" ht="15.75" customHeight="1"/>
    <row r="63" spans="9:20" ht="15.75" customHeight="1"/>
    <row r="64" spans="9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U10:V10"/>
    <mergeCell ref="A30:B35"/>
  </mergeCells>
  <pageMargins left="0.7" right="0.7" top="0.75" bottom="0.75" header="0" footer="0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sqref="A1:A2"/>
    </sheetView>
  </sheetViews>
  <sheetFormatPr defaultColWidth="14.42578125" defaultRowHeight="15" customHeight="1"/>
  <cols>
    <col min="1" max="1" width="33.28515625" customWidth="1"/>
    <col min="2" max="2" width="10.85546875" customWidth="1"/>
    <col min="3" max="3" width="11.42578125" customWidth="1"/>
    <col min="4" max="4" width="10.85546875" customWidth="1"/>
    <col min="5" max="5" width="11.85546875" customWidth="1"/>
    <col min="6" max="13" width="10.85546875" customWidth="1"/>
    <col min="14" max="14" width="12.7109375" customWidth="1"/>
    <col min="15" max="26" width="10.85546875" customWidth="1"/>
    <col min="27" max="27" width="12.7109375" customWidth="1"/>
  </cols>
  <sheetData>
    <row r="1" spans="1:5" ht="26.25">
      <c r="A1" s="49" t="s">
        <v>50</v>
      </c>
      <c r="B1" s="26" t="s">
        <v>51</v>
      </c>
      <c r="C1" s="26" t="s">
        <v>52</v>
      </c>
      <c r="D1" s="26" t="s">
        <v>53</v>
      </c>
      <c r="E1" s="26" t="s">
        <v>53</v>
      </c>
    </row>
    <row r="2" spans="1:5" ht="39">
      <c r="A2" s="50"/>
      <c r="B2" s="27" t="s">
        <v>54</v>
      </c>
      <c r="C2" s="27" t="s">
        <v>55</v>
      </c>
      <c r="D2" s="27" t="s">
        <v>54</v>
      </c>
      <c r="E2" s="27" t="s">
        <v>55</v>
      </c>
    </row>
    <row r="3" spans="1:5">
      <c r="A3" s="20" t="s">
        <v>33</v>
      </c>
      <c r="B3" s="28">
        <v>34.26</v>
      </c>
      <c r="C3" s="28">
        <v>0</v>
      </c>
      <c r="D3" s="29">
        <v>39.200000000000003</v>
      </c>
      <c r="E3" s="29">
        <v>0</v>
      </c>
    </row>
    <row r="4" spans="1:5">
      <c r="A4" s="20" t="s">
        <v>35</v>
      </c>
      <c r="B4" s="28">
        <v>23.53</v>
      </c>
      <c r="C4" s="28">
        <v>3.0499999999999999E-2</v>
      </c>
      <c r="D4" s="29">
        <v>26.16</v>
      </c>
      <c r="E4" s="29">
        <v>3.39E-2</v>
      </c>
    </row>
    <row r="5" spans="1:5">
      <c r="A5" s="20" t="s">
        <v>37</v>
      </c>
      <c r="B5" s="28">
        <v>200</v>
      </c>
      <c r="C5" s="28">
        <v>6.5552999999999999</v>
      </c>
      <c r="D5" s="29">
        <v>200</v>
      </c>
      <c r="E5" s="29">
        <v>7.6543000000000001</v>
      </c>
    </row>
    <row r="6" spans="1:5">
      <c r="A6" s="20" t="s">
        <v>39</v>
      </c>
      <c r="B6" s="30">
        <v>4126.75</v>
      </c>
      <c r="C6" s="28">
        <v>6.0796000000000001</v>
      </c>
      <c r="D6" s="31">
        <v>4126.75</v>
      </c>
      <c r="E6" s="29">
        <v>7.2919999999999998</v>
      </c>
    </row>
    <row r="7" spans="1:5">
      <c r="A7" s="20" t="s">
        <v>40</v>
      </c>
      <c r="B7" s="30">
        <v>14946.93</v>
      </c>
      <c r="C7" s="28">
        <v>6.0316000000000001</v>
      </c>
      <c r="D7" s="31">
        <v>14946.93</v>
      </c>
      <c r="E7" s="29">
        <v>7.9119000000000002</v>
      </c>
    </row>
    <row r="8" spans="1:5">
      <c r="A8" s="20" t="s">
        <v>41</v>
      </c>
      <c r="B8" s="28">
        <v>1.1200000000000001</v>
      </c>
      <c r="C8" s="28">
        <v>7.8163999999999998</v>
      </c>
      <c r="D8" s="29">
        <v>1.19</v>
      </c>
      <c r="E8" s="29">
        <v>8.3054000000000006</v>
      </c>
    </row>
    <row r="9" spans="1:5">
      <c r="A9" s="20" t="s">
        <v>42</v>
      </c>
      <c r="B9" s="28">
        <v>7.02</v>
      </c>
      <c r="C9" s="28">
        <v>32.929699999999997</v>
      </c>
      <c r="D9" s="29">
        <v>8.02</v>
      </c>
      <c r="E9" s="29">
        <v>37.632599999999996</v>
      </c>
    </row>
    <row r="10" spans="1:5">
      <c r="A10" s="20" t="s">
        <v>43</v>
      </c>
      <c r="B10" s="28">
        <v>7.09</v>
      </c>
      <c r="C10" s="28">
        <v>3.3799999999999997E-2</v>
      </c>
      <c r="D10" s="29">
        <v>8.0399999999999991</v>
      </c>
      <c r="E10" s="29">
        <v>3.8300000000000001E-2</v>
      </c>
    </row>
    <row r="11" spans="1:5">
      <c r="A11" s="20" t="s">
        <v>44</v>
      </c>
      <c r="B11" s="28">
        <v>186.89</v>
      </c>
      <c r="C11" s="28">
        <v>2.4940000000000002</v>
      </c>
      <c r="D11" s="29">
        <v>186.89</v>
      </c>
      <c r="E11" s="29">
        <v>3.8271999999999999</v>
      </c>
    </row>
    <row r="12" spans="1:5">
      <c r="A12" s="20" t="s">
        <v>45</v>
      </c>
      <c r="B12" s="28">
        <v>186.89</v>
      </c>
      <c r="C12" s="28">
        <v>2.2877000000000001</v>
      </c>
      <c r="D12" s="29">
        <v>186.89</v>
      </c>
      <c r="E12" s="29">
        <v>3.6459999999999999</v>
      </c>
    </row>
    <row r="13" spans="1:5">
      <c r="A13" s="20" t="s">
        <v>46</v>
      </c>
      <c r="B13" s="28">
        <v>186.89</v>
      </c>
      <c r="C13" s="28">
        <v>2.5388000000000002</v>
      </c>
      <c r="D13" s="29">
        <v>186.89</v>
      </c>
      <c r="E13" s="29">
        <v>3.956</v>
      </c>
    </row>
    <row r="14" spans="1:5">
      <c r="A14" s="20" t="s">
        <v>47</v>
      </c>
      <c r="B14" s="28">
        <v>16</v>
      </c>
      <c r="C14" s="28"/>
      <c r="D14" s="29">
        <v>11</v>
      </c>
      <c r="E14" s="29"/>
    </row>
    <row r="15" spans="1:5">
      <c r="A15" s="20" t="s">
        <v>48</v>
      </c>
      <c r="B15" s="28">
        <v>84</v>
      </c>
      <c r="C15" s="28"/>
      <c r="D15" s="29">
        <v>87</v>
      </c>
      <c r="E15" s="29"/>
    </row>
    <row r="16" spans="1:5">
      <c r="A16" s="20" t="s">
        <v>49</v>
      </c>
      <c r="B16" s="28">
        <v>347</v>
      </c>
      <c r="C16" s="28"/>
      <c r="D16" s="29">
        <v>266</v>
      </c>
      <c r="E16" s="29"/>
    </row>
    <row r="18" spans="1:3">
      <c r="A18" s="26" t="s">
        <v>56</v>
      </c>
      <c r="B18" s="26">
        <v>2026</v>
      </c>
      <c r="C18" s="26">
        <v>2027</v>
      </c>
    </row>
    <row r="19" spans="1:3">
      <c r="A19" s="12" t="s">
        <v>33</v>
      </c>
      <c r="B19" s="32">
        <v>349394</v>
      </c>
      <c r="C19" s="32">
        <v>353827</v>
      </c>
    </row>
    <row r="20" spans="1:3">
      <c r="A20" s="12" t="s">
        <v>35</v>
      </c>
      <c r="B20" s="32">
        <v>25939</v>
      </c>
      <c r="C20" s="32">
        <v>26096</v>
      </c>
    </row>
    <row r="21" spans="1:3" ht="15.75" customHeight="1">
      <c r="A21" s="12" t="s">
        <v>37</v>
      </c>
      <c r="B21" s="32">
        <v>3166</v>
      </c>
      <c r="C21" s="32">
        <v>3167</v>
      </c>
    </row>
    <row r="22" spans="1:3" ht="15.75" customHeight="1">
      <c r="A22" s="12" t="s">
        <v>39</v>
      </c>
      <c r="B22" s="33">
        <v>80</v>
      </c>
      <c r="C22" s="33">
        <v>91</v>
      </c>
    </row>
    <row r="23" spans="1:3" ht="15.75" customHeight="1">
      <c r="A23" s="12" t="s">
        <v>40</v>
      </c>
      <c r="B23" s="33">
        <v>11</v>
      </c>
      <c r="C23" s="33">
        <v>12</v>
      </c>
    </row>
    <row r="24" spans="1:3" ht="15.75" customHeight="1">
      <c r="A24" s="12" t="s">
        <v>41</v>
      </c>
      <c r="B24" s="32">
        <v>65686</v>
      </c>
      <c r="C24" s="32">
        <v>66596</v>
      </c>
    </row>
    <row r="25" spans="1:3" ht="15.75" customHeight="1">
      <c r="A25" s="12" t="s">
        <v>42</v>
      </c>
      <c r="B25" s="33">
        <v>47</v>
      </c>
      <c r="C25" s="33">
        <v>46</v>
      </c>
    </row>
    <row r="26" spans="1:3" ht="15.75" customHeight="1">
      <c r="A26" s="12" t="s">
        <v>43</v>
      </c>
      <c r="B26" s="32">
        <v>4247</v>
      </c>
      <c r="C26" s="32">
        <v>4366</v>
      </c>
    </row>
    <row r="27" spans="1:3" ht="15.75" customHeight="1">
      <c r="A27" s="12" t="s">
        <v>44</v>
      </c>
      <c r="B27" s="33">
        <v>2</v>
      </c>
      <c r="C27" s="33">
        <v>2</v>
      </c>
    </row>
    <row r="28" spans="1:3" ht="15" customHeight="1">
      <c r="A28" s="12" t="s">
        <v>45</v>
      </c>
      <c r="B28" s="33">
        <v>2</v>
      </c>
      <c r="C28" s="33">
        <v>2</v>
      </c>
    </row>
    <row r="29" spans="1:3" ht="15.75" customHeight="1">
      <c r="A29" s="12" t="s">
        <v>46</v>
      </c>
      <c r="B29" s="33">
        <v>2</v>
      </c>
      <c r="C29" s="33">
        <v>2</v>
      </c>
    </row>
    <row r="30" spans="1:3" ht="15.75" customHeight="1">
      <c r="A30" s="12" t="s">
        <v>47</v>
      </c>
      <c r="B30" s="33">
        <v>872</v>
      </c>
      <c r="C30" s="33">
        <v>872</v>
      </c>
    </row>
    <row r="31" spans="1:3" ht="15.75" customHeight="1">
      <c r="A31" s="12" t="s">
        <v>48</v>
      </c>
      <c r="B31" s="33">
        <v>103</v>
      </c>
      <c r="C31" s="33">
        <v>103</v>
      </c>
    </row>
    <row r="32" spans="1:3" ht="15.75" customHeight="1">
      <c r="A32" s="12" t="s">
        <v>49</v>
      </c>
      <c r="B32" s="33">
        <v>9</v>
      </c>
      <c r="C32" s="33">
        <v>9</v>
      </c>
    </row>
    <row r="33" spans="1:27" ht="15.75" customHeight="1"/>
    <row r="34" spans="1:27" ht="15" customHeight="1">
      <c r="A34" s="49" t="s">
        <v>57</v>
      </c>
      <c r="B34" s="26">
        <v>2026</v>
      </c>
      <c r="C34" s="26">
        <v>2026</v>
      </c>
      <c r="D34" s="26">
        <v>2026</v>
      </c>
      <c r="E34" s="26">
        <v>2026</v>
      </c>
      <c r="F34" s="26">
        <v>2026</v>
      </c>
      <c r="G34" s="26">
        <v>2026</v>
      </c>
      <c r="H34" s="26">
        <v>2026</v>
      </c>
      <c r="I34" s="26">
        <v>2026</v>
      </c>
      <c r="J34" s="26">
        <v>2026</v>
      </c>
      <c r="K34" s="26">
        <v>2026</v>
      </c>
      <c r="L34" s="26">
        <v>2026</v>
      </c>
      <c r="M34" s="26">
        <v>2026</v>
      </c>
      <c r="N34" s="49" t="s">
        <v>58</v>
      </c>
      <c r="O34" s="26">
        <v>2027</v>
      </c>
      <c r="P34" s="26">
        <v>2027</v>
      </c>
      <c r="Q34" s="26">
        <v>2027</v>
      </c>
      <c r="R34" s="26">
        <v>2027</v>
      </c>
      <c r="S34" s="26">
        <v>2027</v>
      </c>
      <c r="T34" s="26">
        <v>2027</v>
      </c>
      <c r="U34" s="26">
        <v>2027</v>
      </c>
      <c r="V34" s="26">
        <v>2027</v>
      </c>
      <c r="W34" s="26">
        <v>2027</v>
      </c>
      <c r="X34" s="26">
        <v>2027</v>
      </c>
      <c r="Y34" s="26">
        <v>2027</v>
      </c>
      <c r="Z34" s="26">
        <v>2027</v>
      </c>
      <c r="AA34" s="49" t="s">
        <v>59</v>
      </c>
    </row>
    <row r="35" spans="1:27" ht="15.75" customHeight="1">
      <c r="A35" s="50"/>
      <c r="B35" s="27" t="s">
        <v>60</v>
      </c>
      <c r="C35" s="27" t="s">
        <v>61</v>
      </c>
      <c r="D35" s="27" t="s">
        <v>62</v>
      </c>
      <c r="E35" s="27" t="s">
        <v>63</v>
      </c>
      <c r="F35" s="27" t="s">
        <v>64</v>
      </c>
      <c r="G35" s="27" t="s">
        <v>65</v>
      </c>
      <c r="H35" s="27" t="s">
        <v>66</v>
      </c>
      <c r="I35" s="27" t="s">
        <v>67</v>
      </c>
      <c r="J35" s="27" t="s">
        <v>68</v>
      </c>
      <c r="K35" s="27" t="s">
        <v>69</v>
      </c>
      <c r="L35" s="27" t="s">
        <v>70</v>
      </c>
      <c r="M35" s="27" t="s">
        <v>71</v>
      </c>
      <c r="N35" s="50"/>
      <c r="O35" s="27" t="s">
        <v>60</v>
      </c>
      <c r="P35" s="27" t="s">
        <v>61</v>
      </c>
      <c r="Q35" s="27" t="s">
        <v>62</v>
      </c>
      <c r="R35" s="27" t="s">
        <v>63</v>
      </c>
      <c r="S35" s="27" t="s">
        <v>64</v>
      </c>
      <c r="T35" s="27" t="s">
        <v>65</v>
      </c>
      <c r="U35" s="27" t="s">
        <v>66</v>
      </c>
      <c r="V35" s="27" t="s">
        <v>67</v>
      </c>
      <c r="W35" s="27" t="s">
        <v>68</v>
      </c>
      <c r="X35" s="27" t="s">
        <v>69</v>
      </c>
      <c r="Y35" s="27" t="s">
        <v>70</v>
      </c>
      <c r="Z35" s="27" t="s">
        <v>71</v>
      </c>
      <c r="AA35" s="50"/>
    </row>
    <row r="36" spans="1:27" ht="15.75" customHeight="1">
      <c r="A36" s="12" t="s">
        <v>33</v>
      </c>
      <c r="B36" s="32">
        <v>254450491</v>
      </c>
      <c r="C36" s="32">
        <v>222784198</v>
      </c>
      <c r="D36" s="32">
        <v>218476777</v>
      </c>
      <c r="E36" s="32">
        <v>183417706</v>
      </c>
      <c r="F36" s="32">
        <v>180660776</v>
      </c>
      <c r="G36" s="32">
        <v>213790505</v>
      </c>
      <c r="H36" s="32">
        <v>263294179</v>
      </c>
      <c r="I36" s="32">
        <v>233788179</v>
      </c>
      <c r="J36" s="32">
        <v>186248676</v>
      </c>
      <c r="K36" s="32">
        <v>190859946</v>
      </c>
      <c r="L36" s="32">
        <v>200650925</v>
      </c>
      <c r="M36" s="32">
        <v>240895996</v>
      </c>
      <c r="N36" s="32">
        <f t="shared" ref="N36:N46" si="0">SUM(B36:M36)</f>
        <v>2589318354</v>
      </c>
      <c r="O36" s="32">
        <v>258177010</v>
      </c>
      <c r="P36" s="32">
        <v>226029316</v>
      </c>
      <c r="Q36" s="32">
        <v>221664946</v>
      </c>
      <c r="R36" s="32">
        <v>186083538</v>
      </c>
      <c r="S36" s="32">
        <v>182774425</v>
      </c>
      <c r="T36" s="32">
        <v>216256231</v>
      </c>
      <c r="U36" s="32">
        <v>266350688</v>
      </c>
      <c r="V36" s="32">
        <v>236495909</v>
      </c>
      <c r="W36" s="32">
        <v>188396620</v>
      </c>
      <c r="X36" s="32">
        <v>193116163</v>
      </c>
      <c r="Y36" s="32">
        <v>203526190</v>
      </c>
      <c r="Z36" s="32">
        <v>244341173</v>
      </c>
      <c r="AA36" s="32">
        <f t="shared" ref="AA36:AA46" si="1">SUM(O36:Z36)</f>
        <v>2623212209</v>
      </c>
    </row>
    <row r="37" spans="1:27" ht="15.75" customHeight="1">
      <c r="A37" s="12" t="s">
        <v>35</v>
      </c>
      <c r="B37" s="32">
        <v>69435475</v>
      </c>
      <c r="C37" s="32">
        <v>61216188</v>
      </c>
      <c r="D37" s="32">
        <v>63655750</v>
      </c>
      <c r="E37" s="32">
        <v>55477518</v>
      </c>
      <c r="F37" s="32">
        <v>55208098</v>
      </c>
      <c r="G37" s="32">
        <v>56792098</v>
      </c>
      <c r="H37" s="32">
        <v>65258730</v>
      </c>
      <c r="I37" s="32">
        <v>60915304</v>
      </c>
      <c r="J37" s="32">
        <v>53221026</v>
      </c>
      <c r="K37" s="32">
        <v>55998672</v>
      </c>
      <c r="L37" s="32">
        <v>59325377</v>
      </c>
      <c r="M37" s="32">
        <v>66742196</v>
      </c>
      <c r="N37" s="32">
        <f t="shared" si="0"/>
        <v>723246432</v>
      </c>
      <c r="O37" s="32">
        <v>69530798.670000002</v>
      </c>
      <c r="P37" s="32">
        <v>61247737.829999998</v>
      </c>
      <c r="Q37" s="32">
        <v>63720784.780000001</v>
      </c>
      <c r="R37" s="32">
        <v>55498535.920000002</v>
      </c>
      <c r="S37" s="32">
        <v>55267798.329999998</v>
      </c>
      <c r="T37" s="32">
        <v>56937684.869999997</v>
      </c>
      <c r="U37" s="32">
        <v>65575692.539999999</v>
      </c>
      <c r="V37" s="32">
        <v>61133698.630000003</v>
      </c>
      <c r="W37" s="32">
        <v>53275923.93</v>
      </c>
      <c r="X37" s="32">
        <v>56023812.700000003</v>
      </c>
      <c r="Y37" s="32">
        <v>59357096.859999999</v>
      </c>
      <c r="Z37" s="32">
        <v>66816066.25</v>
      </c>
      <c r="AA37" s="32">
        <f t="shared" si="1"/>
        <v>724385631.31000006</v>
      </c>
    </row>
    <row r="38" spans="1:27" ht="15.75" customHeight="1">
      <c r="A38" s="12" t="s">
        <v>37</v>
      </c>
      <c r="B38" s="32">
        <v>608040</v>
      </c>
      <c r="C38" s="32">
        <v>585961.89</v>
      </c>
      <c r="D38" s="32">
        <v>582053.75</v>
      </c>
      <c r="E38" s="32">
        <v>558487.51</v>
      </c>
      <c r="F38" s="32">
        <v>592880.46</v>
      </c>
      <c r="G38" s="32">
        <v>604672.56999999995</v>
      </c>
      <c r="H38" s="32">
        <v>635325.12</v>
      </c>
      <c r="I38" s="32">
        <v>603453.89</v>
      </c>
      <c r="J38" s="32">
        <v>570730.96</v>
      </c>
      <c r="K38" s="32">
        <v>566559.76</v>
      </c>
      <c r="L38" s="32">
        <v>571667.16</v>
      </c>
      <c r="M38" s="32">
        <v>595273.98</v>
      </c>
      <c r="N38" s="32">
        <f t="shared" si="0"/>
        <v>7075107.0500000007</v>
      </c>
      <c r="O38" s="32">
        <v>606594.57999999996</v>
      </c>
      <c r="P38" s="32">
        <v>584017.14</v>
      </c>
      <c r="Q38" s="34">
        <v>580807.34</v>
      </c>
      <c r="R38" s="34">
        <v>556579.64</v>
      </c>
      <c r="S38" s="34">
        <v>591225.72</v>
      </c>
      <c r="T38" s="34">
        <v>604010.21</v>
      </c>
      <c r="U38" s="34">
        <v>637219.23</v>
      </c>
      <c r="V38" s="34">
        <v>604033.46</v>
      </c>
      <c r="W38" s="34">
        <v>569268.82999999996</v>
      </c>
      <c r="X38" s="34">
        <v>565467.62</v>
      </c>
      <c r="Y38" s="34">
        <v>571030.69999999995</v>
      </c>
      <c r="Z38" s="34">
        <v>595191.6</v>
      </c>
      <c r="AA38" s="32">
        <f t="shared" si="1"/>
        <v>7065446.0700000003</v>
      </c>
    </row>
    <row r="39" spans="1:27" ht="15.75" customHeight="1">
      <c r="A39" s="12" t="s">
        <v>39</v>
      </c>
      <c r="B39" s="32">
        <v>125579.35</v>
      </c>
      <c r="C39" s="32">
        <v>121807.1</v>
      </c>
      <c r="D39" s="32">
        <v>133280.51999999999</v>
      </c>
      <c r="E39" s="32">
        <v>130834.42</v>
      </c>
      <c r="F39" s="32">
        <v>137447.82999999999</v>
      </c>
      <c r="G39" s="32">
        <v>144111.64000000001</v>
      </c>
      <c r="H39" s="32">
        <v>155179.13</v>
      </c>
      <c r="I39" s="32">
        <v>148225.94</v>
      </c>
      <c r="J39" s="32">
        <v>142939.06</v>
      </c>
      <c r="K39" s="32">
        <v>137569.76999999999</v>
      </c>
      <c r="L39" s="32">
        <v>131776.88</v>
      </c>
      <c r="M39" s="32">
        <v>127792.21</v>
      </c>
      <c r="N39" s="32">
        <f t="shared" si="0"/>
        <v>1636543.85</v>
      </c>
      <c r="O39" s="32">
        <v>124614.882</v>
      </c>
      <c r="P39" s="32">
        <v>120715.454</v>
      </c>
      <c r="Q39" s="34">
        <v>132368.3192</v>
      </c>
      <c r="R39" s="34">
        <v>129802.496</v>
      </c>
      <c r="S39" s="34">
        <v>136506.2966</v>
      </c>
      <c r="T39" s="34">
        <v>143408.22949999999</v>
      </c>
      <c r="U39" s="34">
        <v>155051.6678</v>
      </c>
      <c r="V39" s="34">
        <v>147788.7831</v>
      </c>
      <c r="W39" s="34">
        <v>142017.2444</v>
      </c>
      <c r="X39" s="34">
        <v>136690.76620000001</v>
      </c>
      <c r="Y39" s="34">
        <v>130933.0992</v>
      </c>
      <c r="Z39" s="34">
        <v>127013.47380000001</v>
      </c>
      <c r="AA39" s="32">
        <f t="shared" si="1"/>
        <v>1626910.7118000002</v>
      </c>
    </row>
    <row r="40" spans="1:27" ht="15.75" customHeight="1">
      <c r="A40" s="12" t="s">
        <v>40</v>
      </c>
      <c r="B40" s="34">
        <v>82209.06</v>
      </c>
      <c r="C40" s="34">
        <v>79220.679999999993</v>
      </c>
      <c r="D40" s="34">
        <v>79762.81</v>
      </c>
      <c r="E40" s="34">
        <v>75900.73</v>
      </c>
      <c r="F40" s="34">
        <v>86714.25</v>
      </c>
      <c r="G40" s="34">
        <v>90058.35</v>
      </c>
      <c r="H40" s="34">
        <v>85228.66</v>
      </c>
      <c r="I40" s="34">
        <v>79798.820000000007</v>
      </c>
      <c r="J40" s="34">
        <v>78776.92</v>
      </c>
      <c r="K40" s="34">
        <v>77997.509999999995</v>
      </c>
      <c r="L40" s="34">
        <v>71878.44</v>
      </c>
      <c r="M40" s="34">
        <v>75813.8</v>
      </c>
      <c r="N40" s="32">
        <f t="shared" si="0"/>
        <v>963360.03000000026</v>
      </c>
      <c r="O40" s="32">
        <v>93154.218999999997</v>
      </c>
      <c r="P40" s="32">
        <v>90365.769899999999</v>
      </c>
      <c r="Q40" s="34">
        <v>90050.190600000002</v>
      </c>
      <c r="R40" s="34">
        <v>80480.514299999995</v>
      </c>
      <c r="S40" s="34">
        <v>90626.87</v>
      </c>
      <c r="T40" s="34">
        <v>93496.547999999995</v>
      </c>
      <c r="U40" s="34">
        <v>88363.452000000005</v>
      </c>
      <c r="V40" s="34">
        <v>82982.875400000004</v>
      </c>
      <c r="W40" s="34">
        <v>82324.560200000007</v>
      </c>
      <c r="X40" s="34">
        <v>82198.1345</v>
      </c>
      <c r="Y40" s="34">
        <v>76871.604800000001</v>
      </c>
      <c r="Z40" s="34">
        <v>81362.596600000004</v>
      </c>
      <c r="AA40" s="32">
        <f t="shared" si="1"/>
        <v>1032277.3353000002</v>
      </c>
    </row>
    <row r="41" spans="1:27" ht="15.75" customHeight="1">
      <c r="A41" s="12" t="s">
        <v>41</v>
      </c>
      <c r="B41" s="34">
        <v>5083.63</v>
      </c>
      <c r="C41" s="34">
        <v>5085.53</v>
      </c>
      <c r="D41" s="34">
        <v>5087.43</v>
      </c>
      <c r="E41" s="34">
        <v>5089.32</v>
      </c>
      <c r="F41" s="34">
        <v>5091.22</v>
      </c>
      <c r="G41" s="34">
        <v>5093.12</v>
      </c>
      <c r="H41" s="34">
        <v>5095.0200000000004</v>
      </c>
      <c r="I41" s="34">
        <v>5096.92</v>
      </c>
      <c r="J41" s="34">
        <v>5098.82</v>
      </c>
      <c r="K41" s="34">
        <v>5100.72</v>
      </c>
      <c r="L41" s="34">
        <v>5102.6099999999997</v>
      </c>
      <c r="M41" s="34">
        <v>5104.51</v>
      </c>
      <c r="N41" s="32">
        <f t="shared" si="0"/>
        <v>61128.850000000006</v>
      </c>
      <c r="O41" s="32">
        <v>5106.4114</v>
      </c>
      <c r="P41" s="32">
        <v>5108.3099000000002</v>
      </c>
      <c r="Q41" s="32">
        <v>5110.2084000000004</v>
      </c>
      <c r="R41" s="32">
        <v>5112.1068999999998</v>
      </c>
      <c r="S41" s="32">
        <v>5114.0054</v>
      </c>
      <c r="T41" s="32">
        <v>5115.9039000000002</v>
      </c>
      <c r="U41" s="32">
        <v>5117.8023999999996</v>
      </c>
      <c r="V41" s="32">
        <v>5119.7008999999998</v>
      </c>
      <c r="W41" s="32">
        <v>5121.5994000000001</v>
      </c>
      <c r="X41" s="32">
        <v>5123.4979000000003</v>
      </c>
      <c r="Y41" s="32">
        <v>5125.3963999999996</v>
      </c>
      <c r="Z41" s="32">
        <v>5127.2948999999999</v>
      </c>
      <c r="AA41" s="32">
        <f t="shared" si="1"/>
        <v>61402.237800000003</v>
      </c>
    </row>
    <row r="42" spans="1:27" ht="15.75" customHeight="1">
      <c r="A42" s="12" t="s">
        <v>42</v>
      </c>
      <c r="B42" s="34">
        <v>10</v>
      </c>
      <c r="C42" s="34">
        <v>10</v>
      </c>
      <c r="D42" s="34">
        <v>10</v>
      </c>
      <c r="E42" s="34">
        <v>10</v>
      </c>
      <c r="F42" s="34">
        <v>10</v>
      </c>
      <c r="G42" s="34">
        <v>10</v>
      </c>
      <c r="H42" s="34">
        <v>10</v>
      </c>
      <c r="I42" s="34">
        <v>10</v>
      </c>
      <c r="J42" s="34">
        <v>10</v>
      </c>
      <c r="K42" s="34">
        <v>10</v>
      </c>
      <c r="L42" s="34">
        <v>10</v>
      </c>
      <c r="M42" s="34">
        <v>10</v>
      </c>
      <c r="N42" s="32">
        <f t="shared" si="0"/>
        <v>120</v>
      </c>
      <c r="O42" s="33">
        <v>10</v>
      </c>
      <c r="P42" s="33">
        <v>10</v>
      </c>
      <c r="Q42" s="33">
        <v>10</v>
      </c>
      <c r="R42" s="33">
        <v>10</v>
      </c>
      <c r="S42" s="33">
        <v>10</v>
      </c>
      <c r="T42" s="33">
        <v>10</v>
      </c>
      <c r="U42" s="33">
        <v>9</v>
      </c>
      <c r="V42" s="33">
        <v>9</v>
      </c>
      <c r="W42" s="33">
        <v>9</v>
      </c>
      <c r="X42" s="33">
        <v>9</v>
      </c>
      <c r="Y42" s="33">
        <v>9</v>
      </c>
      <c r="Z42" s="33">
        <v>9</v>
      </c>
      <c r="AA42" s="32">
        <f t="shared" si="1"/>
        <v>114</v>
      </c>
    </row>
    <row r="43" spans="1:27" ht="15.75" customHeight="1">
      <c r="A43" s="12" t="s">
        <v>43</v>
      </c>
      <c r="B43" s="32">
        <v>1223872</v>
      </c>
      <c r="C43" s="32">
        <v>1122255</v>
      </c>
      <c r="D43" s="32">
        <v>1224612</v>
      </c>
      <c r="E43" s="32">
        <v>1176282</v>
      </c>
      <c r="F43" s="32">
        <v>1219414</v>
      </c>
      <c r="G43" s="32">
        <v>1180482</v>
      </c>
      <c r="H43" s="32">
        <v>1219744</v>
      </c>
      <c r="I43" s="32">
        <v>1221010</v>
      </c>
      <c r="J43" s="32">
        <v>1180311</v>
      </c>
      <c r="K43" s="32">
        <v>1222339</v>
      </c>
      <c r="L43" s="32">
        <v>1181044</v>
      </c>
      <c r="M43" s="32">
        <v>1220139</v>
      </c>
      <c r="N43" s="32">
        <f t="shared" si="0"/>
        <v>14391504</v>
      </c>
      <c r="O43" s="32">
        <v>1230726</v>
      </c>
      <c r="P43" s="32">
        <v>1128537</v>
      </c>
      <c r="Q43" s="32">
        <v>1231464</v>
      </c>
      <c r="R43" s="32">
        <v>1182860</v>
      </c>
      <c r="S43" s="32">
        <v>1226230</v>
      </c>
      <c r="T43" s="32">
        <v>1187078</v>
      </c>
      <c r="U43" s="32">
        <v>1226556</v>
      </c>
      <c r="V43" s="32">
        <v>1227826</v>
      </c>
      <c r="W43" s="32">
        <v>1186896</v>
      </c>
      <c r="X43" s="32">
        <v>1229156</v>
      </c>
      <c r="Y43" s="32">
        <v>1187628</v>
      </c>
      <c r="Z43" s="32">
        <v>1226937</v>
      </c>
      <c r="AA43" s="32">
        <f t="shared" si="1"/>
        <v>14471894</v>
      </c>
    </row>
    <row r="44" spans="1:27" ht="15.75" customHeight="1">
      <c r="A44" s="12" t="s">
        <v>44</v>
      </c>
      <c r="B44" s="32">
        <v>1086.42</v>
      </c>
      <c r="C44" s="32">
        <v>1086.42</v>
      </c>
      <c r="D44" s="32">
        <v>1086.42</v>
      </c>
      <c r="E44" s="32">
        <v>1086.42</v>
      </c>
      <c r="F44" s="32">
        <v>1086.42</v>
      </c>
      <c r="G44" s="32">
        <v>1086.42</v>
      </c>
      <c r="H44" s="32">
        <v>1086.42</v>
      </c>
      <c r="I44" s="32">
        <v>1086.42</v>
      </c>
      <c r="J44" s="32">
        <v>1086.42</v>
      </c>
      <c r="K44" s="32">
        <v>1086.42</v>
      </c>
      <c r="L44" s="32">
        <v>1086.42</v>
      </c>
      <c r="M44" s="32">
        <v>1086.42</v>
      </c>
      <c r="N44" s="32">
        <f t="shared" si="0"/>
        <v>13037.04</v>
      </c>
      <c r="O44" s="32">
        <v>1082.17</v>
      </c>
      <c r="P44" s="32">
        <v>1082.17</v>
      </c>
      <c r="Q44" s="32">
        <v>1082.17</v>
      </c>
      <c r="R44" s="32">
        <v>1082.17</v>
      </c>
      <c r="S44" s="32">
        <v>1082.17</v>
      </c>
      <c r="T44" s="32">
        <v>1082.17</v>
      </c>
      <c r="U44" s="32">
        <v>1082.17</v>
      </c>
      <c r="V44" s="32">
        <v>1082.17</v>
      </c>
      <c r="W44" s="32">
        <v>1082.17</v>
      </c>
      <c r="X44" s="32">
        <v>1082.17</v>
      </c>
      <c r="Y44" s="32">
        <v>1082.17</v>
      </c>
      <c r="Z44" s="32">
        <v>1082.17</v>
      </c>
      <c r="AA44" s="32">
        <f t="shared" si="1"/>
        <v>12986.04</v>
      </c>
    </row>
    <row r="45" spans="1:27" ht="15.75" customHeight="1">
      <c r="A45" s="12" t="s">
        <v>45</v>
      </c>
      <c r="B45" s="33">
        <v>340.83</v>
      </c>
      <c r="C45" s="33">
        <v>340.83</v>
      </c>
      <c r="D45" s="33">
        <v>340.83</v>
      </c>
      <c r="E45" s="33">
        <v>340.83</v>
      </c>
      <c r="F45" s="33">
        <v>340.83</v>
      </c>
      <c r="G45" s="33">
        <v>340.83</v>
      </c>
      <c r="H45" s="33">
        <v>340.83</v>
      </c>
      <c r="I45" s="33">
        <v>340.83</v>
      </c>
      <c r="J45" s="33">
        <v>340.83</v>
      </c>
      <c r="K45" s="33">
        <v>340.83</v>
      </c>
      <c r="L45" s="33">
        <v>340.83</v>
      </c>
      <c r="M45" s="33">
        <v>340.83</v>
      </c>
      <c r="N45" s="32">
        <f t="shared" si="0"/>
        <v>4089.9599999999996</v>
      </c>
      <c r="O45" s="33">
        <v>337.08</v>
      </c>
      <c r="P45" s="33">
        <v>337.08</v>
      </c>
      <c r="Q45" s="33">
        <v>337.08</v>
      </c>
      <c r="R45" s="33">
        <v>337.08</v>
      </c>
      <c r="S45" s="33">
        <v>337.08</v>
      </c>
      <c r="T45" s="33">
        <v>337.08</v>
      </c>
      <c r="U45" s="33">
        <v>337.08</v>
      </c>
      <c r="V45" s="33">
        <v>337.08</v>
      </c>
      <c r="W45" s="33">
        <v>337.08</v>
      </c>
      <c r="X45" s="33">
        <v>337.08</v>
      </c>
      <c r="Y45" s="33">
        <v>337.08</v>
      </c>
      <c r="Z45" s="33">
        <v>337.08</v>
      </c>
      <c r="AA45" s="32">
        <f t="shared" si="1"/>
        <v>4044.9599999999996</v>
      </c>
    </row>
    <row r="46" spans="1:27" ht="15.75" customHeight="1">
      <c r="A46" s="12" t="s">
        <v>46</v>
      </c>
      <c r="B46" s="32">
        <v>2309.17</v>
      </c>
      <c r="C46" s="32">
        <v>2309.17</v>
      </c>
      <c r="D46" s="32">
        <v>2309.17</v>
      </c>
      <c r="E46" s="32">
        <v>2309.17</v>
      </c>
      <c r="F46" s="32">
        <v>2309.17</v>
      </c>
      <c r="G46" s="32">
        <v>2309.17</v>
      </c>
      <c r="H46" s="32">
        <v>2309.17</v>
      </c>
      <c r="I46" s="32">
        <v>2309.17</v>
      </c>
      <c r="J46" s="32">
        <v>2309.17</v>
      </c>
      <c r="K46" s="32">
        <v>2309.17</v>
      </c>
      <c r="L46" s="32">
        <v>2309.17</v>
      </c>
      <c r="M46" s="32">
        <v>2309.17</v>
      </c>
      <c r="N46" s="32">
        <f t="shared" si="0"/>
        <v>27710.039999999994</v>
      </c>
      <c r="O46" s="32">
        <v>2287</v>
      </c>
      <c r="P46" s="32">
        <v>2287</v>
      </c>
      <c r="Q46" s="32">
        <v>2287</v>
      </c>
      <c r="R46" s="32">
        <v>2287</v>
      </c>
      <c r="S46" s="32">
        <v>2287</v>
      </c>
      <c r="T46" s="32">
        <v>2287</v>
      </c>
      <c r="U46" s="32">
        <v>2287</v>
      </c>
      <c r="V46" s="32">
        <v>2287</v>
      </c>
      <c r="W46" s="32">
        <v>2287</v>
      </c>
      <c r="X46" s="32">
        <v>2287</v>
      </c>
      <c r="Y46" s="32">
        <v>2287</v>
      </c>
      <c r="Z46" s="32">
        <v>2287</v>
      </c>
      <c r="AA46" s="32">
        <f t="shared" si="1"/>
        <v>27444</v>
      </c>
    </row>
    <row r="47" spans="1:27" ht="15.75" customHeight="1"/>
    <row r="48" spans="1:27" ht="15.75" customHeight="1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27" ht="15.75" customHeight="1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27" ht="15.75" customHeight="1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27" ht="15.75" customHeight="1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2:27" ht="15.75" customHeight="1">
      <c r="B52" s="23"/>
      <c r="C52" s="22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2:27" ht="15.75" customHeight="1">
      <c r="B53" s="35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2:27" ht="15.75" customHeight="1"/>
    <row r="55" spans="2:27" ht="15.75" customHeight="1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2:27" ht="15.75" customHeight="1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2:27" ht="15.75" customHeight="1">
      <c r="N57" s="23"/>
      <c r="AA57" s="23"/>
    </row>
    <row r="58" spans="2:27" ht="15.75" customHeight="1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15.75" customHeight="1"/>
    <row r="60" spans="2:27" ht="15.75" customHeight="1"/>
    <row r="61" spans="2:27" ht="15.75" customHeight="1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7" ht="15.75" customHeight="1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7" ht="15.75" customHeight="1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ht="15.75" customHeight="1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2:26" ht="15.75" customHeight="1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2:26" ht="15.75" customHeight="1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2:26" ht="15.75" customHeight="1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2:26" ht="15.75" customHeight="1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2:26" ht="15.75" customHeight="1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2:26" ht="15.75" customHeight="1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2:26" ht="15.75" customHeight="1"/>
    <row r="72" spans="2:26" ht="15.75" customHeight="1"/>
    <row r="73" spans="2:26" ht="15.75" customHeight="1"/>
    <row r="74" spans="2:26" ht="15.75" customHeight="1"/>
    <row r="75" spans="2:26" ht="15.75" customHeight="1"/>
    <row r="76" spans="2:26" ht="15.75" customHeight="1"/>
    <row r="77" spans="2:26" ht="15.75" customHeight="1"/>
    <row r="78" spans="2:26" ht="15.75" customHeight="1"/>
    <row r="79" spans="2:26" ht="15.75" customHeight="1"/>
    <row r="80" spans="2:2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A34:A35"/>
    <mergeCell ref="N34:N35"/>
    <mergeCell ref="AA34:AA3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Foregeone Revenue RR</vt:lpstr>
      <vt:lpstr>Billing Determinants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Dugan, April</cp:lastModifiedBy>
  <dcterms:created xsi:type="dcterms:W3CDTF">2026-04-23T15:31:13Z</dcterms:created>
  <dcterms:modified xsi:type="dcterms:W3CDTF">2026-05-21T16:54:37Z</dcterms:modified>
</cp:coreProperties>
</file>